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60" yWindow="6105" windowWidth="38475" windowHeight="6660" tabRatio="876" activeTab="1"/>
  </bookViews>
  <sheets>
    <sheet name="Tartalomjegyzék" sheetId="121" r:id="rId1"/>
    <sheet name="1.mell._Össz_Mérleg2018" sheetId="61" r:id="rId2"/>
    <sheet name="1.1.mell._ÖNK_Mérleg2018" sheetId="64" r:id="rId3"/>
    <sheet name="1.2.mell._HKÖH_Mérleg2018" sheetId="65" r:id="rId4"/>
    <sheet name="1.3.mell._HVÓBKI_Mérleg2018" sheetId="66" r:id="rId5"/>
    <sheet name="1.4.mell._HKK_Mérleg2018" sheetId="67" r:id="rId6"/>
    <sheet name="1.5._mell._MŐSZ_Mérleg2018" sheetId="97" r:id="rId7"/>
    <sheet name="1.6._mell._HVGYKCSSZ_Mérleg2018" sheetId="109" r:id="rId8"/>
    <sheet name="2.a.mell._MMérleg2018" sheetId="68" r:id="rId9"/>
    <sheet name="2.b.mell._FMérleg2018" sheetId="69" r:id="rId10"/>
    <sheet name="3. mell._létszám2018" sheetId="70" r:id="rId11"/>
    <sheet name="4. mell. EUprojektek2017" sheetId="116" r:id="rId12"/>
    <sheet name="5.mell_adósság2018" sheetId="72" r:id="rId13"/>
    <sheet name="6.mell_Többévesköt.2018" sheetId="73" r:id="rId14"/>
    <sheet name="7. mell_KözvetettTám2018" sheetId="74" r:id="rId15"/>
    <sheet name="8.mell_EIfelhterv2018" sheetId="75" r:id="rId16"/>
    <sheet name="9.mell_ÖsszMérleg(telj)2018" sheetId="76" r:id="rId17"/>
    <sheet name="10.mell_támogatások2018" sheetId="77" r:id="rId18"/>
    <sheet name="11.mell_felhKiad2018" sheetId="78" r:id="rId19"/>
    <sheet name="12.mell_céltámogatások2018" sheetId="79" r:id="rId20"/>
    <sheet name="13.mell_ÖNKfeladatok2018" sheetId="84" r:id="rId21"/>
    <sheet name="14.mell_Önk kiegészítés2018" sheetId="85" r:id="rId22"/>
    <sheet name="15.mell 2018K01" sheetId="122" r:id="rId23"/>
    <sheet name="16.mell 2018K02" sheetId="123" r:id="rId24"/>
    <sheet name="17.mell 2018K03" sheetId="124" r:id="rId25"/>
    <sheet name="18.mell 2018K04" sheetId="125" r:id="rId26"/>
    <sheet name="19.mell 2018K12" sheetId="126" r:id="rId27"/>
    <sheet name="20.mell 2018K13" sheetId="127" r:id="rId28"/>
    <sheet name="21.mell Vagyonkim2018" sheetId="128" r:id="rId29"/>
    <sheet name="22.mell Részesedések2018" sheetId="129" r:id="rId30"/>
    <sheet name="23.mell_Adósságáll2018" sheetId="130" r:id="rId31"/>
    <sheet name="24.Hitelek2018" sheetId="131" r:id="rId32"/>
    <sheet name="25.mell_maradvány2018" sheetId="132" r:id="rId33"/>
    <sheet name="26.mell_maradványfeloszt2018" sheetId="133" r:id="rId34"/>
    <sheet name="15.mell_Tartozások2018" sheetId="88" state="hidden" r:id="rId35"/>
    <sheet name="16.mell_Étkezésdíj2018" sheetId="89" state="hidden" r:id="rId36"/>
    <sheet name="1.függVárosüzem2018" sheetId="91" state="hidden" r:id="rId37"/>
    <sheet name="2.függ_adósság2018 (határozat)" sheetId="90" state="hidden" r:id="rId38"/>
  </sheets>
  <externalReferences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kst" localSheetId="31">#REF!</definedName>
    <definedName name="kst" localSheetId="0">#REF!</definedName>
    <definedName name="kst">#REF!</definedName>
    <definedName name="nev" localSheetId="31">[5]kod!$CD$8:$CD$3150</definedName>
    <definedName name="nev">[1]kod!$CD$8:$CD$3150</definedName>
    <definedName name="_xlnm.Print_Titles" localSheetId="17">'10.mell_támogatások2018'!$6:$7</definedName>
    <definedName name="_xlnm.Print_Titles" localSheetId="20">'13.mell_ÖNKfeladatok2018'!$A:$F,'13.mell_ÖNKfeladatok2018'!$167:$170</definedName>
    <definedName name="_xlnm.Print_Titles" localSheetId="21">'14.mell_Önk kiegészítés2018'!$B:$B</definedName>
    <definedName name="_xlnm.Print_Titles" localSheetId="22">'15.mell 2018K01'!$A$3:$IM$5</definedName>
    <definedName name="_xlnm.Print_Titles" localSheetId="23">'16.mell 2018K02'!$A$3:$IT$5</definedName>
    <definedName name="_xlnm.Print_Area" localSheetId="2">'1.1.mell._ÖNK_Mérleg2018'!$A$1:$I$242</definedName>
    <definedName name="_xlnm.Print_Area" localSheetId="3">'1.2.mell._HKÖH_Mérleg2018'!$A$1:$I$242</definedName>
    <definedName name="_xlnm.Print_Area" localSheetId="4">'1.3.mell._HVÓBKI_Mérleg2018'!$A$1:$I$242</definedName>
    <definedName name="_xlnm.Print_Area" localSheetId="5">'1.4.mell._HKK_Mérleg2018'!$A$1:$I$242</definedName>
    <definedName name="_xlnm.Print_Area" localSheetId="6">'1.5._mell._MŐSZ_Mérleg2018'!$A$1:$I$242</definedName>
    <definedName name="_xlnm.Print_Area" localSheetId="7">'1.6._mell._HVGYKCSSZ_Mérleg2018'!$A$1:$I$242</definedName>
    <definedName name="_xlnm.Print_Area" localSheetId="36">'1.függVárosüzem2018'!$A$1:$F$118</definedName>
    <definedName name="_xlnm.Print_Area" localSheetId="1">'1.mell._Össz_Mérleg2018'!$A$1:$I$242</definedName>
    <definedName name="_xlnm.Print_Area" localSheetId="17">'10.mell_támogatások2018'!$A$1:$G$123</definedName>
    <definedName name="_xlnm.Print_Area" localSheetId="18">'11.mell_felhKiad2018'!$A$1:$J$123</definedName>
    <definedName name="_xlnm.Print_Area" localSheetId="19">'12.mell_céltámogatások2018'!$A$1:$G$38</definedName>
    <definedName name="_xlnm.Print_Area" localSheetId="20">'13.mell_ÖNKfeladatok2018'!$A$1:$AX$323</definedName>
    <definedName name="_xlnm.Print_Area" localSheetId="21">'14.mell_Önk kiegészítés2018'!$A$1:$V$282</definedName>
    <definedName name="_xlnm.Print_Area" localSheetId="22">'15.mell 2018K01'!$A$1:$E$270</definedName>
    <definedName name="_xlnm.Print_Area" localSheetId="23">'16.mell 2018K02'!$A$1:$E$289</definedName>
    <definedName name="_xlnm.Print_Area" localSheetId="35">'16.mell_Étkezésdíj2018'!$A$1:$F$23</definedName>
    <definedName name="_xlnm.Print_Area" localSheetId="24">'17.mell 2018K03'!$A$1:$E$45</definedName>
    <definedName name="_xlnm.Print_Area" localSheetId="25">'18.mell 2018K04'!$A$1:$E$37</definedName>
    <definedName name="_xlnm.Print_Area" localSheetId="8">'2.a.mell._MMérleg2018'!$A$1:$Q$35</definedName>
    <definedName name="_xlnm.Print_Area" localSheetId="9">'2.b.mell._FMérleg2018'!$A$1:$Q$35</definedName>
    <definedName name="_xlnm.Print_Area" localSheetId="37">'2.függ_adósság2018 (határozat)'!$A$1:$F$38</definedName>
    <definedName name="_xlnm.Print_Area" localSheetId="28">'21.mell Vagyonkim2018'!$A$1:$J$93</definedName>
    <definedName name="_xlnm.Print_Area" localSheetId="30">'23.mell_Adósságáll2018'!$A$1:$K$24</definedName>
    <definedName name="_xlnm.Print_Area" localSheetId="32">'25.mell_maradvány2018'!$A$1:$I$24</definedName>
    <definedName name="_xlnm.Print_Area" localSheetId="10">'3. mell._létszám2018'!$A$1:$I$87</definedName>
    <definedName name="_xlnm.Print_Area" localSheetId="11">'4. mell. EUprojektek2017'!$A$1:$U$312</definedName>
    <definedName name="_xlnm.Print_Area" localSheetId="14">'7. mell_KözvetettTám2018'!$A$1:$J$25</definedName>
    <definedName name="_xlnm.Print_Area" localSheetId="15">'8.mell_EIfelhterv2018'!$A$1:$S$30</definedName>
    <definedName name="_xlnm.Print_Area" localSheetId="16">'9.mell_ÖsszMérleg(telj)2018'!$A$1:$H$242</definedName>
    <definedName name="onev" localSheetId="31">[6]kod!$BT$34:$BT$3184</definedName>
    <definedName name="onev">[2]kod!$BT$34:$BT$3184</definedName>
  </definedNames>
  <calcPr calcId="125725"/>
</workbook>
</file>

<file path=xl/calcChain.xml><?xml version="1.0" encoding="utf-8"?>
<calcChain xmlns="http://schemas.openxmlformats.org/spreadsheetml/2006/main">
  <c r="H50" i="133"/>
  <c r="O98" i="78"/>
  <c r="O97"/>
  <c r="O96"/>
  <c r="O95"/>
  <c r="O94"/>
  <c r="O93"/>
  <c r="O92"/>
  <c r="O86"/>
  <c r="O77"/>
  <c r="O76"/>
  <c r="O75"/>
  <c r="O74"/>
  <c r="O73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6"/>
  <c r="O45"/>
  <c r="O42"/>
  <c r="O39"/>
  <c r="O38"/>
  <c r="O35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F41" i="73"/>
  <c r="G79" i="65"/>
  <c r="G122"/>
  <c r="G120"/>
  <c r="G118"/>
  <c r="G114"/>
  <c r="G113"/>
  <c r="G23"/>
  <c r="U151" i="85"/>
  <c r="T146"/>
  <c r="U202" l="1"/>
  <c r="U196"/>
  <c r="U185"/>
  <c r="U184"/>
  <c r="U174"/>
  <c r="U164"/>
  <c r="U162"/>
  <c r="U153"/>
  <c r="U96"/>
  <c r="U132"/>
  <c r="U126"/>
  <c r="U116"/>
  <c r="U115"/>
  <c r="U106"/>
  <c r="U105"/>
  <c r="U104"/>
  <c r="U94"/>
  <c r="U92"/>
  <c r="U83"/>
  <c r="U81"/>
  <c r="AD141"/>
  <c r="AG132"/>
  <c r="AG115"/>
  <c r="AE104"/>
  <c r="AG92"/>
  <c r="AG83"/>
  <c r="AE83"/>
  <c r="AD83"/>
  <c r="AD211"/>
  <c r="AG202"/>
  <c r="AG185"/>
  <c r="AE174"/>
  <c r="AG162"/>
  <c r="AG153"/>
  <c r="AE153"/>
  <c r="AD153"/>
  <c r="T277" i="84"/>
  <c r="U166" i="85"/>
  <c r="T283" i="84"/>
  <c r="T288" s="1"/>
  <c r="X313"/>
  <c r="X316" s="1"/>
  <c r="X321" s="1"/>
  <c r="X291"/>
  <c r="X295" s="1"/>
  <c r="X300" s="1"/>
  <c r="X277"/>
  <c r="X283" s="1"/>
  <c r="X288" s="1"/>
  <c r="X114"/>
  <c r="X120" s="1"/>
  <c r="X125" s="1"/>
  <c r="AN257"/>
  <c r="AN262" s="1"/>
  <c r="AN275" s="1"/>
  <c r="X257"/>
  <c r="X262" s="1"/>
  <c r="X275" s="1"/>
  <c r="X94"/>
  <c r="X99" s="1"/>
  <c r="X112" s="1"/>
  <c r="AN172"/>
  <c r="AN244" s="1"/>
  <c r="AN255" s="1"/>
  <c r="AF172"/>
  <c r="AF244" s="1"/>
  <c r="AF255" s="1"/>
  <c r="AF323" s="1"/>
  <c r="AB239"/>
  <c r="AB244" s="1"/>
  <c r="AB255" s="1"/>
  <c r="AB323" s="1"/>
  <c r="X172"/>
  <c r="X244" s="1"/>
  <c r="X255" s="1"/>
  <c r="AR41"/>
  <c r="AR81" s="1"/>
  <c r="AR92" s="1"/>
  <c r="AN14"/>
  <c r="AN81" s="1"/>
  <c r="AN92" s="1"/>
  <c r="AB9"/>
  <c r="AB81" s="1"/>
  <c r="AB92" s="1"/>
  <c r="X9"/>
  <c r="X81" s="1"/>
  <c r="X92" s="1"/>
  <c r="T12"/>
  <c r="T81" s="1"/>
  <c r="T92" s="1"/>
  <c r="AV321"/>
  <c r="AV320"/>
  <c r="AV318"/>
  <c r="AV316"/>
  <c r="AV309"/>
  <c r="AV308"/>
  <c r="AV306"/>
  <c r="AV303"/>
  <c r="AV300"/>
  <c r="AV299"/>
  <c r="AV297"/>
  <c r="AV295"/>
  <c r="AV288"/>
  <c r="AV287"/>
  <c r="AV285"/>
  <c r="AV283"/>
  <c r="AV275"/>
  <c r="AV274"/>
  <c r="AV266"/>
  <c r="AV262"/>
  <c r="AV255"/>
  <c r="AV323" s="1"/>
  <c r="AV254"/>
  <c r="AV252"/>
  <c r="AV244"/>
  <c r="AR320"/>
  <c r="AR318"/>
  <c r="AR316"/>
  <c r="AR321" s="1"/>
  <c r="AR308"/>
  <c r="AR306"/>
  <c r="AR303"/>
  <c r="AR309" s="1"/>
  <c r="AR299"/>
  <c r="AR297"/>
  <c r="AR295"/>
  <c r="AR300" s="1"/>
  <c r="AR287"/>
  <c r="AR285"/>
  <c r="AR283"/>
  <c r="AR288" s="1"/>
  <c r="AR274"/>
  <c r="AR266"/>
  <c r="AR262"/>
  <c r="AR275" s="1"/>
  <c r="AR254"/>
  <c r="AR252"/>
  <c r="AR244"/>
  <c r="AR255" s="1"/>
  <c r="AN321"/>
  <c r="AN320"/>
  <c r="AN318"/>
  <c r="AN316"/>
  <c r="AN309"/>
  <c r="AN308"/>
  <c r="AN306"/>
  <c r="AN303"/>
  <c r="AN300"/>
  <c r="AN299"/>
  <c r="AN297"/>
  <c r="AN295"/>
  <c r="AN288"/>
  <c r="AN287"/>
  <c r="AN285"/>
  <c r="AN283"/>
  <c r="AN274"/>
  <c r="AN266"/>
  <c r="AN254"/>
  <c r="AN252"/>
  <c r="AN210"/>
  <c r="AN204"/>
  <c r="AF321"/>
  <c r="AF320"/>
  <c r="AF318"/>
  <c r="AF316"/>
  <c r="AF309"/>
  <c r="AF308"/>
  <c r="AF306"/>
  <c r="AF303"/>
  <c r="AF300"/>
  <c r="AF299"/>
  <c r="AF297"/>
  <c r="AF295"/>
  <c r="AF288"/>
  <c r="AF287"/>
  <c r="AF285"/>
  <c r="AF283"/>
  <c r="AF275"/>
  <c r="AF274"/>
  <c r="AF266"/>
  <c r="AF262"/>
  <c r="AF254"/>
  <c r="AF252"/>
  <c r="AF217"/>
  <c r="AF183"/>
  <c r="AB321"/>
  <c r="AB320"/>
  <c r="AB318"/>
  <c r="AB316"/>
  <c r="AB309"/>
  <c r="AB308"/>
  <c r="AB306"/>
  <c r="AB303"/>
  <c r="AB300"/>
  <c r="AB299"/>
  <c r="AB297"/>
  <c r="AB295"/>
  <c r="AB288"/>
  <c r="AB287"/>
  <c r="AB285"/>
  <c r="AB283"/>
  <c r="AB275"/>
  <c r="AB274"/>
  <c r="AB266"/>
  <c r="AB262"/>
  <c r="AB254"/>
  <c r="AB252"/>
  <c r="AB238"/>
  <c r="X320"/>
  <c r="X318"/>
  <c r="X308"/>
  <c r="X306"/>
  <c r="X303"/>
  <c r="X309" s="1"/>
  <c r="X299"/>
  <c r="X297"/>
  <c r="X287"/>
  <c r="X285"/>
  <c r="X274"/>
  <c r="X267"/>
  <c r="X266"/>
  <c r="X254"/>
  <c r="X252"/>
  <c r="X234"/>
  <c r="X227"/>
  <c r="L227" s="1"/>
  <c r="X210"/>
  <c r="X204"/>
  <c r="X188"/>
  <c r="T321"/>
  <c r="T320"/>
  <c r="T318"/>
  <c r="T316"/>
  <c r="T309"/>
  <c r="T308"/>
  <c r="T306"/>
  <c r="T303"/>
  <c r="T300"/>
  <c r="T299"/>
  <c r="T297"/>
  <c r="T295"/>
  <c r="T287"/>
  <c r="T285"/>
  <c r="T275"/>
  <c r="T274"/>
  <c r="T266"/>
  <c r="T262"/>
  <c r="T257"/>
  <c r="T254"/>
  <c r="T252"/>
  <c r="T244"/>
  <c r="T255" s="1"/>
  <c r="T241"/>
  <c r="T236"/>
  <c r="T234"/>
  <c r="T227"/>
  <c r="T222"/>
  <c r="T212"/>
  <c r="T172"/>
  <c r="P321"/>
  <c r="P320"/>
  <c r="P318"/>
  <c r="P316"/>
  <c r="P309"/>
  <c r="P308"/>
  <c r="P306"/>
  <c r="P303"/>
  <c r="P300"/>
  <c r="P299"/>
  <c r="P297"/>
  <c r="P295"/>
  <c r="P288"/>
  <c r="P287"/>
  <c r="P285"/>
  <c r="P283"/>
  <c r="P275"/>
  <c r="P274"/>
  <c r="P267"/>
  <c r="P266"/>
  <c r="P262"/>
  <c r="P257"/>
  <c r="P254"/>
  <c r="P252"/>
  <c r="P244"/>
  <c r="P255" s="1"/>
  <c r="P323" s="1"/>
  <c r="P241"/>
  <c r="P236"/>
  <c r="P234"/>
  <c r="P227"/>
  <c r="P222"/>
  <c r="P212"/>
  <c r="P172"/>
  <c r="AR157"/>
  <c r="AR155"/>
  <c r="AR153"/>
  <c r="AR158" s="1"/>
  <c r="AR145"/>
  <c r="AR143"/>
  <c r="AR140"/>
  <c r="AR146" s="1"/>
  <c r="AR136"/>
  <c r="AR134"/>
  <c r="AR132"/>
  <c r="AR137" s="1"/>
  <c r="AR124"/>
  <c r="AR122"/>
  <c r="AR120"/>
  <c r="AR125" s="1"/>
  <c r="AR111"/>
  <c r="AR103"/>
  <c r="AR99"/>
  <c r="AR112" s="1"/>
  <c r="AR91"/>
  <c r="AR89"/>
  <c r="AN157"/>
  <c r="AN155"/>
  <c r="AN153"/>
  <c r="AN158" s="1"/>
  <c r="AN145"/>
  <c r="AN143"/>
  <c r="AN140"/>
  <c r="AN146" s="1"/>
  <c r="AN136"/>
  <c r="AN134"/>
  <c r="AN132"/>
  <c r="AN137" s="1"/>
  <c r="AN124"/>
  <c r="AN122"/>
  <c r="AN120"/>
  <c r="AN125" s="1"/>
  <c r="AN111"/>
  <c r="AN103"/>
  <c r="AN99"/>
  <c r="AN112" s="1"/>
  <c r="AN91"/>
  <c r="AN89"/>
  <c r="AJ157"/>
  <c r="AJ155"/>
  <c r="AJ153"/>
  <c r="AJ158" s="1"/>
  <c r="AJ145"/>
  <c r="AJ143"/>
  <c r="AJ140"/>
  <c r="AJ146" s="1"/>
  <c r="AJ136"/>
  <c r="AJ134"/>
  <c r="AJ132"/>
  <c r="AJ137" s="1"/>
  <c r="AJ124"/>
  <c r="AJ122"/>
  <c r="AJ120"/>
  <c r="AJ125" s="1"/>
  <c r="AJ111"/>
  <c r="AJ103"/>
  <c r="AJ99"/>
  <c r="AJ112" s="1"/>
  <c r="AJ91"/>
  <c r="AJ89"/>
  <c r="AJ81"/>
  <c r="AJ92" s="1"/>
  <c r="AB157"/>
  <c r="AB155"/>
  <c r="AB153"/>
  <c r="AB158" s="1"/>
  <c r="AB145"/>
  <c r="AB143"/>
  <c r="AB140"/>
  <c r="AB146" s="1"/>
  <c r="AB136"/>
  <c r="AB134"/>
  <c r="AB132"/>
  <c r="AB137" s="1"/>
  <c r="AB124"/>
  <c r="AB122"/>
  <c r="AB120"/>
  <c r="AB125" s="1"/>
  <c r="AB111"/>
  <c r="AB103"/>
  <c r="AB99"/>
  <c r="AB112" s="1"/>
  <c r="AB91"/>
  <c r="AB89"/>
  <c r="X157"/>
  <c r="X155"/>
  <c r="X153"/>
  <c r="X158" s="1"/>
  <c r="X145"/>
  <c r="X143"/>
  <c r="X140"/>
  <c r="X146" s="1"/>
  <c r="X136"/>
  <c r="X134"/>
  <c r="X132"/>
  <c r="X137" s="1"/>
  <c r="X124"/>
  <c r="X122"/>
  <c r="X111"/>
  <c r="X103"/>
  <c r="X91"/>
  <c r="X89"/>
  <c r="T157"/>
  <c r="T155"/>
  <c r="T153"/>
  <c r="T158" s="1"/>
  <c r="T145"/>
  <c r="T143"/>
  <c r="T140"/>
  <c r="T146" s="1"/>
  <c r="T136"/>
  <c r="T134"/>
  <c r="T132"/>
  <c r="T137" s="1"/>
  <c r="T124"/>
  <c r="T122"/>
  <c r="T120"/>
  <c r="T125" s="1"/>
  <c r="T111"/>
  <c r="T103"/>
  <c r="T99"/>
  <c r="T112" s="1"/>
  <c r="T91"/>
  <c r="T89"/>
  <c r="P157"/>
  <c r="P155"/>
  <c r="P153"/>
  <c r="P158" s="1"/>
  <c r="P145"/>
  <c r="P143"/>
  <c r="P140"/>
  <c r="P146" s="1"/>
  <c r="P136"/>
  <c r="P134"/>
  <c r="P132"/>
  <c r="P137" s="1"/>
  <c r="P124"/>
  <c r="P122"/>
  <c r="P120"/>
  <c r="P125" s="1"/>
  <c r="P111"/>
  <c r="P103"/>
  <c r="P99"/>
  <c r="P112" s="1"/>
  <c r="P95"/>
  <c r="P91"/>
  <c r="P89"/>
  <c r="P78"/>
  <c r="P76"/>
  <c r="P81" s="1"/>
  <c r="P92" s="1"/>
  <c r="Y188"/>
  <c r="Y204"/>
  <c r="Y172"/>
  <c r="Z241"/>
  <c r="Z236"/>
  <c r="Y234"/>
  <c r="Y227"/>
  <c r="Y210"/>
  <c r="AO204"/>
  <c r="AO210"/>
  <c r="AO172"/>
  <c r="AG217"/>
  <c r="AG172"/>
  <c r="AG183"/>
  <c r="AC239"/>
  <c r="AC238"/>
  <c r="Q76"/>
  <c r="U172"/>
  <c r="U236"/>
  <c r="V236" s="1"/>
  <c r="U222"/>
  <c r="V222" s="1"/>
  <c r="U241"/>
  <c r="V241" s="1"/>
  <c r="U212"/>
  <c r="U234"/>
  <c r="U227"/>
  <c r="V227" s="1"/>
  <c r="Q172"/>
  <c r="E111" i="64"/>
  <c r="D111"/>
  <c r="T202" i="116"/>
  <c r="S202"/>
  <c r="R202"/>
  <c r="R185" s="1"/>
  <c r="R191" s="1"/>
  <c r="P202"/>
  <c r="Q202" s="1"/>
  <c r="O202"/>
  <c r="N202"/>
  <c r="N185" s="1"/>
  <c r="N191" s="1"/>
  <c r="M202"/>
  <c r="U201"/>
  <c r="Q201"/>
  <c r="U200"/>
  <c r="Q200"/>
  <c r="U199"/>
  <c r="Q199"/>
  <c r="U198"/>
  <c r="Q198"/>
  <c r="U197"/>
  <c r="Q197"/>
  <c r="U196"/>
  <c r="R196"/>
  <c r="Q196"/>
  <c r="U195"/>
  <c r="Q195"/>
  <c r="U194"/>
  <c r="U202" s="1"/>
  <c r="U185" s="1"/>
  <c r="U191" s="1"/>
  <c r="Q194"/>
  <c r="T191"/>
  <c r="P191"/>
  <c r="M191"/>
  <c r="U190"/>
  <c r="Q190"/>
  <c r="U189"/>
  <c r="Q189"/>
  <c r="U188"/>
  <c r="Q188"/>
  <c r="U187"/>
  <c r="Q187"/>
  <c r="U186"/>
  <c r="Q186"/>
  <c r="T185"/>
  <c r="S185"/>
  <c r="S191" s="1"/>
  <c r="P185"/>
  <c r="Q185" s="1"/>
  <c r="O185"/>
  <c r="O191" s="1"/>
  <c r="M185"/>
  <c r="Q241" i="84"/>
  <c r="Q212"/>
  <c r="Q236"/>
  <c r="R236" s="1"/>
  <c r="Q234"/>
  <c r="Q227"/>
  <c r="Q222"/>
  <c r="A200"/>
  <c r="A201" s="1"/>
  <c r="A202" s="1"/>
  <c r="A203" s="1"/>
  <c r="A204" s="1"/>
  <c r="AT74"/>
  <c r="AP74"/>
  <c r="AL74"/>
  <c r="AG74"/>
  <c r="AF74"/>
  <c r="AH74" s="1"/>
  <c r="AE74"/>
  <c r="AD74"/>
  <c r="Z74"/>
  <c r="V74"/>
  <c r="R74"/>
  <c r="M74"/>
  <c r="L74"/>
  <c r="N74" s="1"/>
  <c r="K74"/>
  <c r="I74"/>
  <c r="G74"/>
  <c r="AX236"/>
  <c r="AT236"/>
  <c r="AP236"/>
  <c r="AK236"/>
  <c r="AJ236"/>
  <c r="AI236"/>
  <c r="AH236"/>
  <c r="AD236"/>
  <c r="L236"/>
  <c r="H236" s="1"/>
  <c r="K236"/>
  <c r="G236"/>
  <c r="A172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X246"/>
  <c r="AT246"/>
  <c r="AP246"/>
  <c r="AK246"/>
  <c r="AJ246"/>
  <c r="AI246"/>
  <c r="AH246"/>
  <c r="AD246"/>
  <c r="Z246"/>
  <c r="V246"/>
  <c r="R246"/>
  <c r="M246"/>
  <c r="L246"/>
  <c r="K246"/>
  <c r="AX241"/>
  <c r="AT241"/>
  <c r="AP241"/>
  <c r="AK241"/>
  <c r="AJ241"/>
  <c r="AI241"/>
  <c r="AH241"/>
  <c r="AD241"/>
  <c r="L241"/>
  <c r="H241" s="1"/>
  <c r="K241"/>
  <c r="G241" s="1"/>
  <c r="AX242"/>
  <c r="AT242"/>
  <c r="AP242"/>
  <c r="AK242"/>
  <c r="AJ242"/>
  <c r="AI242"/>
  <c r="AH242"/>
  <c r="AD242"/>
  <c r="Z242"/>
  <c r="V242"/>
  <c r="R242"/>
  <c r="M242"/>
  <c r="L242"/>
  <c r="H242" s="1"/>
  <c r="K242"/>
  <c r="G242" s="1"/>
  <c r="AX226"/>
  <c r="AT226"/>
  <c r="AP226"/>
  <c r="AK226"/>
  <c r="AJ226"/>
  <c r="AI226"/>
  <c r="AH226"/>
  <c r="AD226"/>
  <c r="Z226"/>
  <c r="V226"/>
  <c r="R226"/>
  <c r="M226"/>
  <c r="I226" s="1"/>
  <c r="L226"/>
  <c r="H226" s="1"/>
  <c r="K226"/>
  <c r="AX227"/>
  <c r="AT227"/>
  <c r="AP227"/>
  <c r="AK227"/>
  <c r="AJ227"/>
  <c r="AI227"/>
  <c r="AH227"/>
  <c r="AD227"/>
  <c r="R227"/>
  <c r="K227"/>
  <c r="G227" s="1"/>
  <c r="AX222"/>
  <c r="AT222"/>
  <c r="AP222"/>
  <c r="AK222"/>
  <c r="AJ222"/>
  <c r="AI222"/>
  <c r="AH222"/>
  <c r="AD222"/>
  <c r="Z222"/>
  <c r="L222"/>
  <c r="K222"/>
  <c r="G222" s="1"/>
  <c r="AX200"/>
  <c r="AT200"/>
  <c r="AP200"/>
  <c r="AK200"/>
  <c r="AJ200"/>
  <c r="AI200"/>
  <c r="AH200"/>
  <c r="AD200"/>
  <c r="Z200"/>
  <c r="V200"/>
  <c r="R200"/>
  <c r="M200"/>
  <c r="I200" s="1"/>
  <c r="L200"/>
  <c r="H200" s="1"/>
  <c r="K200"/>
  <c r="G200" s="1"/>
  <c r="AX197"/>
  <c r="AT197"/>
  <c r="AP197"/>
  <c r="AK197"/>
  <c r="AJ197"/>
  <c r="AI197"/>
  <c r="AH197"/>
  <c r="AD197"/>
  <c r="Z197"/>
  <c r="V197"/>
  <c r="R197"/>
  <c r="M197"/>
  <c r="L197"/>
  <c r="K197"/>
  <c r="G197" s="1"/>
  <c r="AX196"/>
  <c r="AT196"/>
  <c r="AP196"/>
  <c r="AK196"/>
  <c r="AJ196"/>
  <c r="AI196"/>
  <c r="AH196"/>
  <c r="AD196"/>
  <c r="Z196"/>
  <c r="V196"/>
  <c r="R196"/>
  <c r="M196"/>
  <c r="L196"/>
  <c r="H196" s="1"/>
  <c r="K196"/>
  <c r="G196" s="1"/>
  <c r="AX194"/>
  <c r="AT194"/>
  <c r="AP194"/>
  <c r="AK194"/>
  <c r="AJ194"/>
  <c r="AI194"/>
  <c r="AH194"/>
  <c r="AD194"/>
  <c r="Z194"/>
  <c r="V194"/>
  <c r="R194"/>
  <c r="M194"/>
  <c r="L194"/>
  <c r="H194" s="1"/>
  <c r="K194"/>
  <c r="AX179"/>
  <c r="AT179"/>
  <c r="AP179"/>
  <c r="AK179"/>
  <c r="AJ179"/>
  <c r="AI179"/>
  <c r="AH179"/>
  <c r="AD179"/>
  <c r="Z179"/>
  <c r="V179"/>
  <c r="R179"/>
  <c r="M179"/>
  <c r="L179"/>
  <c r="H179" s="1"/>
  <c r="K179"/>
  <c r="G179" s="1"/>
  <c r="AT63"/>
  <c r="AP63"/>
  <c r="AL63"/>
  <c r="AG63"/>
  <c r="AF63"/>
  <c r="AE63"/>
  <c r="AD63"/>
  <c r="Z63"/>
  <c r="V63"/>
  <c r="R63"/>
  <c r="M63"/>
  <c r="L63"/>
  <c r="K63"/>
  <c r="AT36"/>
  <c r="AP36"/>
  <c r="AL36"/>
  <c r="AG36"/>
  <c r="AF36"/>
  <c r="AE36"/>
  <c r="AD36"/>
  <c r="Z36"/>
  <c r="V36"/>
  <c r="R36"/>
  <c r="M36"/>
  <c r="L36"/>
  <c r="K36"/>
  <c r="Y9"/>
  <c r="AT83"/>
  <c r="AP83"/>
  <c r="AL83"/>
  <c r="AG83"/>
  <c r="AF83"/>
  <c r="AE83"/>
  <c r="AD83"/>
  <c r="Z83"/>
  <c r="V83"/>
  <c r="R83"/>
  <c r="M83"/>
  <c r="L83"/>
  <c r="K83"/>
  <c r="AT31"/>
  <c r="AP31"/>
  <c r="AL31"/>
  <c r="AG31"/>
  <c r="AF31"/>
  <c r="AE31"/>
  <c r="AD31"/>
  <c r="Z31"/>
  <c r="V31"/>
  <c r="R31"/>
  <c r="M31"/>
  <c r="L31"/>
  <c r="K31"/>
  <c r="AT16"/>
  <c r="AP16"/>
  <c r="AL16"/>
  <c r="AG16"/>
  <c r="AF16"/>
  <c r="AE16"/>
  <c r="AD16"/>
  <c r="Z16"/>
  <c r="V16"/>
  <c r="R16"/>
  <c r="M16"/>
  <c r="L16"/>
  <c r="K16"/>
  <c r="Q78"/>
  <c r="R78" s="1"/>
  <c r="AT78"/>
  <c r="AP78"/>
  <c r="AL78"/>
  <c r="AG78"/>
  <c r="AF78"/>
  <c r="AE78"/>
  <c r="AD78"/>
  <c r="Z78"/>
  <c r="V78"/>
  <c r="L78"/>
  <c r="K78"/>
  <c r="AT79"/>
  <c r="AP79"/>
  <c r="AL79"/>
  <c r="AG79"/>
  <c r="AF79"/>
  <c r="AE79"/>
  <c r="AD79"/>
  <c r="Z79"/>
  <c r="V79"/>
  <c r="R79"/>
  <c r="M79"/>
  <c r="L79"/>
  <c r="K79"/>
  <c r="AT64"/>
  <c r="AP64"/>
  <c r="AL64"/>
  <c r="AG64"/>
  <c r="AF64"/>
  <c r="AE64"/>
  <c r="AD64"/>
  <c r="Z64"/>
  <c r="V64"/>
  <c r="R64"/>
  <c r="M64"/>
  <c r="L64"/>
  <c r="K64"/>
  <c r="AT59"/>
  <c r="AP59"/>
  <c r="AL59"/>
  <c r="AG59"/>
  <c r="AF59"/>
  <c r="AE59"/>
  <c r="AD59"/>
  <c r="Z59"/>
  <c r="V59"/>
  <c r="R59"/>
  <c r="M59"/>
  <c r="L59"/>
  <c r="K59"/>
  <c r="AT37"/>
  <c r="AP37"/>
  <c r="AL37"/>
  <c r="AG37"/>
  <c r="AF37"/>
  <c r="AE37"/>
  <c r="AD37"/>
  <c r="Z37"/>
  <c r="V37"/>
  <c r="R37"/>
  <c r="M37"/>
  <c r="L37"/>
  <c r="K37"/>
  <c r="AT33"/>
  <c r="AP33"/>
  <c r="AL33"/>
  <c r="AG33"/>
  <c r="AF33"/>
  <c r="AE33"/>
  <c r="AD33"/>
  <c r="Z33"/>
  <c r="V33"/>
  <c r="R33"/>
  <c r="M33"/>
  <c r="L33"/>
  <c r="K33"/>
  <c r="AT34"/>
  <c r="AP34"/>
  <c r="AL34"/>
  <c r="AG34"/>
  <c r="AF34"/>
  <c r="AE34"/>
  <c r="AD34"/>
  <c r="Z34"/>
  <c r="V34"/>
  <c r="R34"/>
  <c r="M34"/>
  <c r="L34"/>
  <c r="K34"/>
  <c r="H34" i="65"/>
  <c r="AO257" i="84"/>
  <c r="Y257"/>
  <c r="Y267"/>
  <c r="U257"/>
  <c r="Q257"/>
  <c r="Q267"/>
  <c r="T323" l="1"/>
  <c r="AN323"/>
  <c r="AR323"/>
  <c r="X323"/>
  <c r="Z227"/>
  <c r="AR160"/>
  <c r="AN160"/>
  <c r="H59"/>
  <c r="H31"/>
  <c r="H36"/>
  <c r="J36" s="1"/>
  <c r="AJ160"/>
  <c r="AB160"/>
  <c r="X160"/>
  <c r="T160"/>
  <c r="H74"/>
  <c r="J74" s="1"/>
  <c r="P160"/>
  <c r="M241"/>
  <c r="N241" s="1"/>
  <c r="M222"/>
  <c r="N222" s="1"/>
  <c r="M227"/>
  <c r="N227" s="1"/>
  <c r="Q191" i="116"/>
  <c r="R241" i="84"/>
  <c r="R222"/>
  <c r="M236"/>
  <c r="N236" s="1"/>
  <c r="H34"/>
  <c r="G33"/>
  <c r="N59"/>
  <c r="AL236"/>
  <c r="A205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5" s="1"/>
  <c r="A246" s="1"/>
  <c r="A247" s="1"/>
  <c r="A248" s="1"/>
  <c r="A249" s="1"/>
  <c r="A250" s="1"/>
  <c r="A251" s="1"/>
  <c r="A253" s="1"/>
  <c r="A257" s="1"/>
  <c r="A258" s="1"/>
  <c r="A259" s="1"/>
  <c r="A260" s="1"/>
  <c r="A261" s="1"/>
  <c r="A263" s="1"/>
  <c r="A264" s="1"/>
  <c r="A265" s="1"/>
  <c r="A267" s="1"/>
  <c r="A268" s="1"/>
  <c r="A269" s="1"/>
  <c r="A270" s="1"/>
  <c r="A271" s="1"/>
  <c r="A272" s="1"/>
  <c r="A273" s="1"/>
  <c r="A277" s="1"/>
  <c r="A278" s="1"/>
  <c r="A279" s="1"/>
  <c r="A280" s="1"/>
  <c r="A281" s="1"/>
  <c r="A282" s="1"/>
  <c r="A284" s="1"/>
  <c r="A286" s="1"/>
  <c r="A290" s="1"/>
  <c r="A291" s="1"/>
  <c r="A292" s="1"/>
  <c r="A293" s="1"/>
  <c r="A294" s="1"/>
  <c r="A296" s="1"/>
  <c r="A298" s="1"/>
  <c r="A302" s="1"/>
  <c r="A304" s="1"/>
  <c r="A305" s="1"/>
  <c r="A307" s="1"/>
  <c r="A311" s="1"/>
  <c r="A312" s="1"/>
  <c r="A313" s="1"/>
  <c r="A314" s="1"/>
  <c r="A315" s="1"/>
  <c r="A317" s="1"/>
  <c r="A319" s="1"/>
  <c r="N37"/>
  <c r="AH59"/>
  <c r="AH36"/>
  <c r="G59"/>
  <c r="N242"/>
  <c r="AL242"/>
  <c r="H33"/>
  <c r="H78"/>
  <c r="G36"/>
  <c r="H37"/>
  <c r="AL226"/>
  <c r="AH33"/>
  <c r="G37"/>
  <c r="I59"/>
  <c r="J59" s="1"/>
  <c r="G79"/>
  <c r="G31"/>
  <c r="N36"/>
  <c r="N194"/>
  <c r="N197"/>
  <c r="N246"/>
  <c r="M78"/>
  <c r="I78" s="1"/>
  <c r="I79"/>
  <c r="G16"/>
  <c r="N31"/>
  <c r="N179"/>
  <c r="H64"/>
  <c r="H222"/>
  <c r="AL194"/>
  <c r="H197"/>
  <c r="I242"/>
  <c r="J242" s="1"/>
  <c r="G246"/>
  <c r="G194"/>
  <c r="H79"/>
  <c r="N16"/>
  <c r="I31"/>
  <c r="J31" s="1"/>
  <c r="I36"/>
  <c r="N196"/>
  <c r="H227"/>
  <c r="AL246"/>
  <c r="J200"/>
  <c r="G64"/>
  <c r="G226"/>
  <c r="AH34"/>
  <c r="N64"/>
  <c r="H16"/>
  <c r="J226"/>
  <c r="N226"/>
  <c r="H246"/>
  <c r="G34"/>
  <c r="N33"/>
  <c r="N79"/>
  <c r="G78"/>
  <c r="AH78"/>
  <c r="N83"/>
  <c r="G63"/>
  <c r="AL196"/>
  <c r="AL197"/>
  <c r="AL222"/>
  <c r="AL227"/>
  <c r="I246"/>
  <c r="J246" s="1"/>
  <c r="AH37"/>
  <c r="AH64"/>
  <c r="AH79"/>
  <c r="N78"/>
  <c r="AH31"/>
  <c r="H83"/>
  <c r="AL179"/>
  <c r="N34"/>
  <c r="AH16"/>
  <c r="G83"/>
  <c r="H63"/>
  <c r="AH63"/>
  <c r="N200"/>
  <c r="AL200"/>
  <c r="AL241"/>
  <c r="I197"/>
  <c r="I196"/>
  <c r="J196" s="1"/>
  <c r="I194"/>
  <c r="J194" s="1"/>
  <c r="I179"/>
  <c r="J179" s="1"/>
  <c r="N63"/>
  <c r="I63"/>
  <c r="I83"/>
  <c r="AH83"/>
  <c r="I33"/>
  <c r="I16"/>
  <c r="I64"/>
  <c r="I37"/>
  <c r="I34"/>
  <c r="Q95"/>
  <c r="J33" l="1"/>
  <c r="J83"/>
  <c r="J78"/>
  <c r="I241"/>
  <c r="J241" s="1"/>
  <c r="I222"/>
  <c r="J222" s="1"/>
  <c r="I236"/>
  <c r="J236" s="1"/>
  <c r="I227"/>
  <c r="J227" s="1"/>
  <c r="J197"/>
  <c r="J34"/>
  <c r="J37"/>
  <c r="J64"/>
  <c r="J79"/>
  <c r="J16"/>
  <c r="J63"/>
  <c r="H23" i="133"/>
  <c r="H20"/>
  <c r="H51"/>
  <c r="N103" i="61" l="1"/>
  <c r="M103"/>
  <c r="F12" i="133"/>
  <c r="D117" i="64"/>
  <c r="O171" i="116"/>
  <c r="P29" i="130"/>
  <c r="G171" i="116"/>
  <c r="D171"/>
  <c r="D151" i="64"/>
  <c r="D174" i="116"/>
  <c r="R75"/>
  <c r="F52" i="78"/>
  <c r="B9"/>
  <c r="F9"/>
  <c r="F59"/>
  <c r="J33"/>
  <c r="I33"/>
  <c r="G33"/>
  <c r="F33"/>
  <c r="E33"/>
  <c r="D33"/>
  <c r="B33"/>
  <c r="F32"/>
  <c r="Q34" i="130"/>
  <c r="W34" s="1"/>
  <c r="R34"/>
  <c r="S34"/>
  <c r="T34"/>
  <c r="U34"/>
  <c r="V34"/>
  <c r="C35"/>
  <c r="D35"/>
  <c r="E35"/>
  <c r="F35"/>
  <c r="G35"/>
  <c r="H35"/>
  <c r="I35"/>
  <c r="C36"/>
  <c r="D36"/>
  <c r="E36"/>
  <c r="F36"/>
  <c r="G36"/>
  <c r="H36"/>
  <c r="I36"/>
  <c r="P28"/>
  <c r="P35"/>
  <c r="P15"/>
  <c r="Q15"/>
  <c r="AN15"/>
  <c r="AC15"/>
  <c r="BA15"/>
  <c r="AZ15"/>
  <c r="BF27"/>
  <c r="V15" l="1"/>
  <c r="U15"/>
  <c r="T15"/>
  <c r="S15"/>
  <c r="R15"/>
  <c r="E26" i="79" l="1"/>
  <c r="G27"/>
  <c r="L36" i="73"/>
  <c r="H36"/>
  <c r="L37"/>
  <c r="H37"/>
  <c r="L38"/>
  <c r="H38"/>
  <c r="L28"/>
  <c r="H28"/>
  <c r="L29"/>
  <c r="H29"/>
  <c r="L30"/>
  <c r="H30"/>
  <c r="L31"/>
  <c r="H31"/>
  <c r="L32"/>
  <c r="H32"/>
  <c r="L33"/>
  <c r="H33"/>
  <c r="L34"/>
  <c r="H34"/>
  <c r="L35"/>
  <c r="H35"/>
  <c r="J66" i="78"/>
  <c r="H66"/>
  <c r="J64"/>
  <c r="H64"/>
  <c r="J65"/>
  <c r="H65"/>
  <c r="P65" s="1"/>
  <c r="G28"/>
  <c r="F28"/>
  <c r="J28" s="1"/>
  <c r="J29"/>
  <c r="J77"/>
  <c r="H77"/>
  <c r="P77" s="1"/>
  <c r="B73"/>
  <c r="D9"/>
  <c r="AB301" i="116"/>
  <c r="AB302"/>
  <c r="AB287"/>
  <c r="AB288"/>
  <c r="AB289"/>
  <c r="AB290"/>
  <c r="AB291"/>
  <c r="AB294"/>
  <c r="AB295"/>
  <c r="AB296"/>
  <c r="AB297"/>
  <c r="AB298"/>
  <c r="AB299"/>
  <c r="AB300"/>
  <c r="AB286"/>
  <c r="X287"/>
  <c r="X288"/>
  <c r="X289"/>
  <c r="X290"/>
  <c r="X294"/>
  <c r="X295"/>
  <c r="X296"/>
  <c r="X297"/>
  <c r="X298"/>
  <c r="X299"/>
  <c r="X300"/>
  <c r="X301"/>
  <c r="X286"/>
  <c r="T302"/>
  <c r="T285" s="1"/>
  <c r="T291" s="1"/>
  <c r="S302"/>
  <c r="S285" s="1"/>
  <c r="S291" s="1"/>
  <c r="P302"/>
  <c r="Q302" s="1"/>
  <c r="O302"/>
  <c r="N302"/>
  <c r="N285" s="1"/>
  <c r="N291" s="1"/>
  <c r="M302"/>
  <c r="I302"/>
  <c r="I285" s="1"/>
  <c r="I291" s="1"/>
  <c r="H302"/>
  <c r="G302"/>
  <c r="G285" s="1"/>
  <c r="G291" s="1"/>
  <c r="E302"/>
  <c r="F302" s="1"/>
  <c r="D302"/>
  <c r="D285" s="1"/>
  <c r="D291" s="1"/>
  <c r="C302"/>
  <c r="C285" s="1"/>
  <c r="C291" s="1"/>
  <c r="B302"/>
  <c r="U301"/>
  <c r="Q301"/>
  <c r="J301"/>
  <c r="F301"/>
  <c r="U300"/>
  <c r="Q300"/>
  <c r="J300"/>
  <c r="F300"/>
  <c r="U299"/>
  <c r="U302" s="1"/>
  <c r="R299"/>
  <c r="R302" s="1"/>
  <c r="Q299"/>
  <c r="J299"/>
  <c r="F299"/>
  <c r="U298"/>
  <c r="Q298"/>
  <c r="J298"/>
  <c r="F298"/>
  <c r="U297"/>
  <c r="Q297"/>
  <c r="J297"/>
  <c r="F297"/>
  <c r="U296"/>
  <c r="Q296"/>
  <c r="J296"/>
  <c r="F296"/>
  <c r="U295"/>
  <c r="Q295"/>
  <c r="J295"/>
  <c r="F295"/>
  <c r="U294"/>
  <c r="Q294"/>
  <c r="J294"/>
  <c r="J302" s="1"/>
  <c r="F294"/>
  <c r="U290"/>
  <c r="Q290"/>
  <c r="J290"/>
  <c r="F290"/>
  <c r="U289"/>
  <c r="Q289"/>
  <c r="J289"/>
  <c r="F289"/>
  <c r="U288"/>
  <c r="Q288"/>
  <c r="J288"/>
  <c r="F288"/>
  <c r="R287"/>
  <c r="Q287"/>
  <c r="M287"/>
  <c r="J287"/>
  <c r="F287"/>
  <c r="U286"/>
  <c r="Q286"/>
  <c r="J286"/>
  <c r="F286"/>
  <c r="P285"/>
  <c r="Q285" s="1"/>
  <c r="O285"/>
  <c r="O291" s="1"/>
  <c r="H285"/>
  <c r="H291" s="1"/>
  <c r="B285"/>
  <c r="B291" s="1"/>
  <c r="Y287"/>
  <c r="AC287"/>
  <c r="AD297"/>
  <c r="Y301"/>
  <c r="AC301"/>
  <c r="R150"/>
  <c r="R146"/>
  <c r="G149"/>
  <c r="R121"/>
  <c r="R120"/>
  <c r="R119"/>
  <c r="H120"/>
  <c r="H119"/>
  <c r="G121"/>
  <c r="G100"/>
  <c r="G96"/>
  <c r="R71"/>
  <c r="G75"/>
  <c r="G71"/>
  <c r="D46"/>
  <c r="O46"/>
  <c r="G24"/>
  <c r="P64" i="78" l="1"/>
  <c r="P66"/>
  <c r="H28"/>
  <c r="P28" s="1"/>
  <c r="E285" i="116"/>
  <c r="Z301"/>
  <c r="R285"/>
  <c r="R291" s="1"/>
  <c r="U287"/>
  <c r="U285" s="1"/>
  <c r="U291" s="1"/>
  <c r="J285"/>
  <c r="J291" s="1"/>
  <c r="M285"/>
  <c r="M291" s="1"/>
  <c r="AD301"/>
  <c r="P291"/>
  <c r="Q291" s="1"/>
  <c r="Z287"/>
  <c r="AD287"/>
  <c r="P100"/>
  <c r="M112"/>
  <c r="T277"/>
  <c r="T260" s="1"/>
  <c r="T266" s="1"/>
  <c r="S277"/>
  <c r="S260" s="1"/>
  <c r="S266" s="1"/>
  <c r="R277"/>
  <c r="R260" s="1"/>
  <c r="R266" s="1"/>
  <c r="P277"/>
  <c r="P260" s="1"/>
  <c r="P266" s="1"/>
  <c r="O277"/>
  <c r="N277"/>
  <c r="N260" s="1"/>
  <c r="N266" s="1"/>
  <c r="M277"/>
  <c r="M260" s="1"/>
  <c r="M266" s="1"/>
  <c r="I277"/>
  <c r="I260" s="1"/>
  <c r="I266" s="1"/>
  <c r="H277"/>
  <c r="H260" s="1"/>
  <c r="H266" s="1"/>
  <c r="G277"/>
  <c r="G260" s="1"/>
  <c r="G266" s="1"/>
  <c r="E277"/>
  <c r="D277"/>
  <c r="D260" s="1"/>
  <c r="D266" s="1"/>
  <c r="C277"/>
  <c r="C260" s="1"/>
  <c r="C266" s="1"/>
  <c r="B277"/>
  <c r="B260" s="1"/>
  <c r="B266" s="1"/>
  <c r="U276"/>
  <c r="Q276"/>
  <c r="J276"/>
  <c r="F276"/>
  <c r="U275"/>
  <c r="Q275"/>
  <c r="J275"/>
  <c r="F275"/>
  <c r="U274"/>
  <c r="Q274"/>
  <c r="J274"/>
  <c r="F274"/>
  <c r="U273"/>
  <c r="Q273"/>
  <c r="J273"/>
  <c r="F273"/>
  <c r="U272"/>
  <c r="Q272"/>
  <c r="J272"/>
  <c r="F272"/>
  <c r="U271"/>
  <c r="Q271"/>
  <c r="J271"/>
  <c r="F271"/>
  <c r="U270"/>
  <c r="Q270"/>
  <c r="J270"/>
  <c r="F270"/>
  <c r="U269"/>
  <c r="Q269"/>
  <c r="J269"/>
  <c r="F269"/>
  <c r="U265"/>
  <c r="Q265"/>
  <c r="J265"/>
  <c r="F265"/>
  <c r="U264"/>
  <c r="Q264"/>
  <c r="J264"/>
  <c r="F264"/>
  <c r="U263"/>
  <c r="Q263"/>
  <c r="J263"/>
  <c r="F263"/>
  <c r="U262"/>
  <c r="Q262"/>
  <c r="J262"/>
  <c r="F262"/>
  <c r="U261"/>
  <c r="Q261"/>
  <c r="J261"/>
  <c r="F261"/>
  <c r="E260"/>
  <c r="E266" s="1"/>
  <c r="T252"/>
  <c r="T235" s="1"/>
  <c r="T241" s="1"/>
  <c r="S252"/>
  <c r="R252"/>
  <c r="R235" s="1"/>
  <c r="R241" s="1"/>
  <c r="P252"/>
  <c r="P235" s="1"/>
  <c r="P241" s="1"/>
  <c r="O252"/>
  <c r="O235" s="1"/>
  <c r="O241" s="1"/>
  <c r="N252"/>
  <c r="M252"/>
  <c r="M235" s="1"/>
  <c r="M241" s="1"/>
  <c r="I252"/>
  <c r="I235" s="1"/>
  <c r="I241" s="1"/>
  <c r="H252"/>
  <c r="H235" s="1"/>
  <c r="H241" s="1"/>
  <c r="G252"/>
  <c r="G235" s="1"/>
  <c r="G241" s="1"/>
  <c r="E252"/>
  <c r="E235" s="1"/>
  <c r="E241" s="1"/>
  <c r="D252"/>
  <c r="D235" s="1"/>
  <c r="D241" s="1"/>
  <c r="C252"/>
  <c r="C235" s="1"/>
  <c r="C241" s="1"/>
  <c r="B252"/>
  <c r="B235" s="1"/>
  <c r="B241" s="1"/>
  <c r="U251"/>
  <c r="Q251"/>
  <c r="J251"/>
  <c r="F251"/>
  <c r="U250"/>
  <c r="Q250"/>
  <c r="J250"/>
  <c r="F250"/>
  <c r="U249"/>
  <c r="Q249"/>
  <c r="J249"/>
  <c r="F249"/>
  <c r="U248"/>
  <c r="Q248"/>
  <c r="J248"/>
  <c r="F248"/>
  <c r="U247"/>
  <c r="Q247"/>
  <c r="J247"/>
  <c r="F247"/>
  <c r="U246"/>
  <c r="Q246"/>
  <c r="J246"/>
  <c r="F246"/>
  <c r="U245"/>
  <c r="Q245"/>
  <c r="J245"/>
  <c r="F245"/>
  <c r="U244"/>
  <c r="Q244"/>
  <c r="J244"/>
  <c r="F244"/>
  <c r="U240"/>
  <c r="Q240"/>
  <c r="J240"/>
  <c r="F240"/>
  <c r="U239"/>
  <c r="Q239"/>
  <c r="J239"/>
  <c r="F239"/>
  <c r="U238"/>
  <c r="Q238"/>
  <c r="J238"/>
  <c r="F238"/>
  <c r="U237"/>
  <c r="Q237"/>
  <c r="J237"/>
  <c r="F237"/>
  <c r="U236"/>
  <c r="Q236"/>
  <c r="J236"/>
  <c r="F236"/>
  <c r="S235"/>
  <c r="S241" s="1"/>
  <c r="N235"/>
  <c r="N241" s="1"/>
  <c r="T227"/>
  <c r="T210" s="1"/>
  <c r="T216" s="1"/>
  <c r="S227"/>
  <c r="S210" s="1"/>
  <c r="S216" s="1"/>
  <c r="R227"/>
  <c r="R210" s="1"/>
  <c r="R216" s="1"/>
  <c r="P227"/>
  <c r="P210" s="1"/>
  <c r="P216" s="1"/>
  <c r="O227"/>
  <c r="O210" s="1"/>
  <c r="O216" s="1"/>
  <c r="N227"/>
  <c r="N210" s="1"/>
  <c r="N216" s="1"/>
  <c r="M227"/>
  <c r="M210" s="1"/>
  <c r="M216" s="1"/>
  <c r="I227"/>
  <c r="I210" s="1"/>
  <c r="I216" s="1"/>
  <c r="H227"/>
  <c r="H210" s="1"/>
  <c r="H216" s="1"/>
  <c r="G227"/>
  <c r="E227"/>
  <c r="D227"/>
  <c r="C227"/>
  <c r="C210" s="1"/>
  <c r="C216" s="1"/>
  <c r="B227"/>
  <c r="B210" s="1"/>
  <c r="B216" s="1"/>
  <c r="U226"/>
  <c r="Q226"/>
  <c r="J226"/>
  <c r="F226"/>
  <c r="U225"/>
  <c r="Q225"/>
  <c r="J225"/>
  <c r="F225"/>
  <c r="U224"/>
  <c r="Q224"/>
  <c r="J224"/>
  <c r="F224"/>
  <c r="U223"/>
  <c r="Q223"/>
  <c r="J223"/>
  <c r="F223"/>
  <c r="U222"/>
  <c r="Q222"/>
  <c r="J222"/>
  <c r="F222"/>
  <c r="U221"/>
  <c r="Q221"/>
  <c r="J221"/>
  <c r="F221"/>
  <c r="U220"/>
  <c r="Q220"/>
  <c r="J220"/>
  <c r="F220"/>
  <c r="U219"/>
  <c r="Q219"/>
  <c r="J219"/>
  <c r="J227" s="1"/>
  <c r="F219"/>
  <c r="U215"/>
  <c r="Q215"/>
  <c r="J215"/>
  <c r="F215"/>
  <c r="U214"/>
  <c r="Q214"/>
  <c r="J214"/>
  <c r="F214"/>
  <c r="U213"/>
  <c r="Q213"/>
  <c r="J213"/>
  <c r="F213"/>
  <c r="U212"/>
  <c r="Q212"/>
  <c r="J212"/>
  <c r="F212"/>
  <c r="U211"/>
  <c r="Q211"/>
  <c r="J211"/>
  <c r="F211"/>
  <c r="G210"/>
  <c r="G216" s="1"/>
  <c r="E210"/>
  <c r="E216" s="1"/>
  <c r="I202"/>
  <c r="I185" s="1"/>
  <c r="I191" s="1"/>
  <c r="H202"/>
  <c r="G202"/>
  <c r="G185" s="1"/>
  <c r="G191" s="1"/>
  <c r="E202"/>
  <c r="D202"/>
  <c r="D185" s="1"/>
  <c r="D191" s="1"/>
  <c r="C202"/>
  <c r="C185" s="1"/>
  <c r="C191" s="1"/>
  <c r="B202"/>
  <c r="B185" s="1"/>
  <c r="B191" s="1"/>
  <c r="J201"/>
  <c r="F201"/>
  <c r="J200"/>
  <c r="F200"/>
  <c r="J199"/>
  <c r="F199"/>
  <c r="J198"/>
  <c r="F198"/>
  <c r="J197"/>
  <c r="F197"/>
  <c r="J196"/>
  <c r="F196"/>
  <c r="J195"/>
  <c r="F195"/>
  <c r="J194"/>
  <c r="F194"/>
  <c r="J190"/>
  <c r="F190"/>
  <c r="J189"/>
  <c r="F189"/>
  <c r="J188"/>
  <c r="F188"/>
  <c r="J187"/>
  <c r="F187"/>
  <c r="J186"/>
  <c r="F186"/>
  <c r="H185"/>
  <c r="H191" s="1"/>
  <c r="T177"/>
  <c r="T160" s="1"/>
  <c r="T166" s="1"/>
  <c r="S177"/>
  <c r="S160" s="1"/>
  <c r="S166" s="1"/>
  <c r="R177"/>
  <c r="R160" s="1"/>
  <c r="R166" s="1"/>
  <c r="P177"/>
  <c r="P160" s="1"/>
  <c r="O177"/>
  <c r="O160" s="1"/>
  <c r="O166" s="1"/>
  <c r="N177"/>
  <c r="N160" s="1"/>
  <c r="N166" s="1"/>
  <c r="M177"/>
  <c r="M160" s="1"/>
  <c r="M166" s="1"/>
  <c r="I177"/>
  <c r="I160" s="1"/>
  <c r="I166" s="1"/>
  <c r="H177"/>
  <c r="H160" s="1"/>
  <c r="H166" s="1"/>
  <c r="G177"/>
  <c r="G160" s="1"/>
  <c r="G166" s="1"/>
  <c r="E177"/>
  <c r="E160" s="1"/>
  <c r="C177"/>
  <c r="C160" s="1"/>
  <c r="C166" s="1"/>
  <c r="B177"/>
  <c r="B160" s="1"/>
  <c r="B166" s="1"/>
  <c r="U176"/>
  <c r="Q176"/>
  <c r="J176"/>
  <c r="F176"/>
  <c r="U175"/>
  <c r="Q175"/>
  <c r="J175"/>
  <c r="F175"/>
  <c r="U174"/>
  <c r="Q174"/>
  <c r="J174"/>
  <c r="F174"/>
  <c r="U173"/>
  <c r="Q173"/>
  <c r="J173"/>
  <c r="F173"/>
  <c r="U172"/>
  <c r="Q172"/>
  <c r="J172"/>
  <c r="F172"/>
  <c r="U171"/>
  <c r="Q171"/>
  <c r="F171"/>
  <c r="D177"/>
  <c r="J171"/>
  <c r="U170"/>
  <c r="Q170"/>
  <c r="J170"/>
  <c r="F170"/>
  <c r="U169"/>
  <c r="Q169"/>
  <c r="J169"/>
  <c r="F169"/>
  <c r="U165"/>
  <c r="Q165"/>
  <c r="J165"/>
  <c r="F165"/>
  <c r="U164"/>
  <c r="Q164"/>
  <c r="J164"/>
  <c r="F164"/>
  <c r="U163"/>
  <c r="Q163"/>
  <c r="J163"/>
  <c r="F163"/>
  <c r="U162"/>
  <c r="Q162"/>
  <c r="J162"/>
  <c r="F162"/>
  <c r="U161"/>
  <c r="Q161"/>
  <c r="J161"/>
  <c r="F161"/>
  <c r="E291" l="1"/>
  <c r="F291" s="1"/>
  <c r="F285"/>
  <c r="Q277"/>
  <c r="U227"/>
  <c r="U210" s="1"/>
  <c r="U216" s="1"/>
  <c r="F277"/>
  <c r="J277"/>
  <c r="J260" s="1"/>
  <c r="J266" s="1"/>
  <c r="U252"/>
  <c r="U235" s="1"/>
  <c r="U241" s="1"/>
  <c r="O260"/>
  <c r="O266" s="1"/>
  <c r="Q266" s="1"/>
  <c r="U277"/>
  <c r="U260" s="1"/>
  <c r="U266" s="1"/>
  <c r="J252"/>
  <c r="J235" s="1"/>
  <c r="J241" s="1"/>
  <c r="F202"/>
  <c r="F227"/>
  <c r="J202"/>
  <c r="J185" s="1"/>
  <c r="J191" s="1"/>
  <c r="F241"/>
  <c r="Q241"/>
  <c r="F252"/>
  <c r="Q252"/>
  <c r="E185"/>
  <c r="E191" s="1"/>
  <c r="F191" s="1"/>
  <c r="D210"/>
  <c r="D216" s="1"/>
  <c r="F216" s="1"/>
  <c r="Q216"/>
  <c r="Q227"/>
  <c r="U177"/>
  <c r="U160" s="1"/>
  <c r="U166" s="1"/>
  <c r="Q235"/>
  <c r="F260"/>
  <c r="Q210"/>
  <c r="F266"/>
  <c r="F235"/>
  <c r="J210"/>
  <c r="J216" s="1"/>
  <c r="Q177"/>
  <c r="J177"/>
  <c r="J160" s="1"/>
  <c r="J166" s="1"/>
  <c r="P166"/>
  <c r="Q166" s="1"/>
  <c r="Q160"/>
  <c r="F177"/>
  <c r="D160"/>
  <c r="D166" s="1"/>
  <c r="E166"/>
  <c r="G19" i="74"/>
  <c r="L25"/>
  <c r="G16"/>
  <c r="J76" i="78"/>
  <c r="H76"/>
  <c r="G96"/>
  <c r="G92"/>
  <c r="J97"/>
  <c r="H97"/>
  <c r="P97" s="1"/>
  <c r="B97"/>
  <c r="I106"/>
  <c r="G106"/>
  <c r="F106"/>
  <c r="E106"/>
  <c r="D106"/>
  <c r="B106"/>
  <c r="J105"/>
  <c r="H105"/>
  <c r="L123"/>
  <c r="L121"/>
  <c r="L101"/>
  <c r="L70"/>
  <c r="G27"/>
  <c r="J27" s="1"/>
  <c r="H29"/>
  <c r="J26"/>
  <c r="H26"/>
  <c r="J25"/>
  <c r="H25"/>
  <c r="G9"/>
  <c r="J24"/>
  <c r="H24"/>
  <c r="J23"/>
  <c r="H23"/>
  <c r="P23" s="1"/>
  <c r="J22"/>
  <c r="H22"/>
  <c r="P22" s="1"/>
  <c r="J21"/>
  <c r="H21"/>
  <c r="P21" s="1"/>
  <c r="J20"/>
  <c r="H20"/>
  <c r="P20" s="1"/>
  <c r="J19"/>
  <c r="H19"/>
  <c r="P19" s="1"/>
  <c r="J18"/>
  <c r="H18"/>
  <c r="G61"/>
  <c r="J61" s="1"/>
  <c r="J63"/>
  <c r="H63"/>
  <c r="J62"/>
  <c r="H62"/>
  <c r="J60"/>
  <c r="H60"/>
  <c r="P60" s="1"/>
  <c r="J59"/>
  <c r="H59"/>
  <c r="J58"/>
  <c r="H58"/>
  <c r="I47"/>
  <c r="G47"/>
  <c r="F47"/>
  <c r="E47"/>
  <c r="D47"/>
  <c r="B47"/>
  <c r="J45"/>
  <c r="H45"/>
  <c r="P45" s="1"/>
  <c r="F210" i="116" l="1"/>
  <c r="Q260"/>
  <c r="F166"/>
  <c r="F185"/>
  <c r="F160"/>
  <c r="P76" i="78"/>
  <c r="H27"/>
  <c r="P27" s="1"/>
  <c r="P26"/>
  <c r="P25"/>
  <c r="P24"/>
  <c r="P29"/>
  <c r="P58"/>
  <c r="P18"/>
  <c r="H61"/>
  <c r="P63"/>
  <c r="P62"/>
  <c r="P59"/>
  <c r="P61" l="1"/>
  <c r="G72" i="128" l="1"/>
  <c r="G68"/>
  <c r="H14" i="129" l="1"/>
  <c r="E14"/>
  <c r="C14"/>
  <c r="G13"/>
  <c r="F13"/>
  <c r="F12"/>
  <c r="G11"/>
  <c r="F11"/>
  <c r="D14"/>
  <c r="F10"/>
  <c r="F9"/>
  <c r="F8"/>
  <c r="F7"/>
  <c r="E22" i="128"/>
  <c r="E21"/>
  <c r="E20"/>
  <c r="E19"/>
  <c r="E18" s="1"/>
  <c r="F18"/>
  <c r="D18"/>
  <c r="C18"/>
  <c r="B18"/>
  <c r="E17"/>
  <c r="E16"/>
  <c r="E15"/>
  <c r="E14"/>
  <c r="E13"/>
  <c r="F14" i="129" l="1"/>
  <c r="E58" i="77" l="1"/>
  <c r="E57" s="1"/>
  <c r="E53"/>
  <c r="F95"/>
  <c r="E95"/>
  <c r="D95"/>
  <c r="G93"/>
  <c r="E93"/>
  <c r="E61"/>
  <c r="E71"/>
  <c r="E33"/>
  <c r="E29"/>
  <c r="E27"/>
  <c r="E26"/>
  <c r="E17"/>
  <c r="E11"/>
  <c r="E9" s="1"/>
  <c r="E25" s="1"/>
  <c r="F58"/>
  <c r="F26"/>
  <c r="F29"/>
  <c r="F27"/>
  <c r="F25"/>
  <c r="D25"/>
  <c r="K10" i="132"/>
  <c r="K9"/>
  <c r="K7"/>
  <c r="K6"/>
  <c r="I9"/>
  <c r="I7"/>
  <c r="I6"/>
  <c r="H9"/>
  <c r="H7"/>
  <c r="H6"/>
  <c r="G7"/>
  <c r="G9"/>
  <c r="G6"/>
  <c r="F9"/>
  <c r="F7"/>
  <c r="F6"/>
  <c r="E9"/>
  <c r="E7"/>
  <c r="E6"/>
  <c r="D10"/>
  <c r="D9"/>
  <c r="D7"/>
  <c r="D6"/>
  <c r="C31" i="126"/>
  <c r="C33" s="1"/>
  <c r="G37" i="125"/>
  <c r="G35"/>
  <c r="H35" s="1"/>
  <c r="G36"/>
  <c r="G34"/>
  <c r="G22"/>
  <c r="G45" i="124"/>
  <c r="G27" i="125"/>
  <c r="G20"/>
  <c r="H20" s="1"/>
  <c r="G21"/>
  <c r="G23"/>
  <c r="G24"/>
  <c r="H24" s="1"/>
  <c r="G19"/>
  <c r="G16"/>
  <c r="H16" s="1"/>
  <c r="G9"/>
  <c r="H9" s="1"/>
  <c r="D34" i="124"/>
  <c r="D45" s="1"/>
  <c r="H11"/>
  <c r="H29"/>
  <c r="H24"/>
  <c r="H42"/>
  <c r="G43"/>
  <c r="H43" s="1"/>
  <c r="G44"/>
  <c r="H44" s="1"/>
  <c r="G42"/>
  <c r="G33"/>
  <c r="H33" s="1"/>
  <c r="G29"/>
  <c r="G30"/>
  <c r="H30" s="1"/>
  <c r="G28"/>
  <c r="H28" s="1"/>
  <c r="G26"/>
  <c r="H26" s="1"/>
  <c r="G24"/>
  <c r="G25"/>
  <c r="H25" s="1"/>
  <c r="G11"/>
  <c r="G27"/>
  <c r="H10" i="123"/>
  <c r="H8"/>
  <c r="H6"/>
  <c r="H51"/>
  <c r="H98"/>
  <c r="H172"/>
  <c r="H196"/>
  <c r="H207"/>
  <c r="H205"/>
  <c r="H224"/>
  <c r="H222"/>
  <c r="H230"/>
  <c r="H265"/>
  <c r="H276"/>
  <c r="G289"/>
  <c r="G266"/>
  <c r="H266" s="1"/>
  <c r="G276"/>
  <c r="G264"/>
  <c r="H264" s="1"/>
  <c r="G265"/>
  <c r="G263"/>
  <c r="H263" s="1"/>
  <c r="G250"/>
  <c r="G238"/>
  <c r="H238" s="1"/>
  <c r="G239"/>
  <c r="H239" s="1"/>
  <c r="G240"/>
  <c r="H240" s="1"/>
  <c r="G237"/>
  <c r="H237" s="1"/>
  <c r="G233"/>
  <c r="H233" s="1"/>
  <c r="G235"/>
  <c r="H235" s="1"/>
  <c r="G232"/>
  <c r="H232" s="1"/>
  <c r="G230"/>
  <c r="G228"/>
  <c r="H228" s="1"/>
  <c r="G224"/>
  <c r="G223"/>
  <c r="H223" s="1"/>
  <c r="G222"/>
  <c r="G214"/>
  <c r="H214" s="1"/>
  <c r="G207"/>
  <c r="G206"/>
  <c r="H206" s="1"/>
  <c r="G205"/>
  <c r="G198"/>
  <c r="H198" s="1"/>
  <c r="G196"/>
  <c r="G193"/>
  <c r="G192"/>
  <c r="H192" s="1"/>
  <c r="G173"/>
  <c r="H173" s="1"/>
  <c r="G172"/>
  <c r="G114"/>
  <c r="H114" s="1"/>
  <c r="G109"/>
  <c r="H109" s="1"/>
  <c r="G99"/>
  <c r="H99" s="1"/>
  <c r="G98"/>
  <c r="G73"/>
  <c r="H73" s="1"/>
  <c r="G62"/>
  <c r="H62" s="1"/>
  <c r="G50"/>
  <c r="H50" s="1"/>
  <c r="G51"/>
  <c r="G49"/>
  <c r="H49" s="1"/>
  <c r="G37"/>
  <c r="H37" s="1"/>
  <c r="G26"/>
  <c r="H26" s="1"/>
  <c r="G15"/>
  <c r="H15" s="1"/>
  <c r="G14"/>
  <c r="H14" s="1"/>
  <c r="G13"/>
  <c r="H13" s="1"/>
  <c r="G7"/>
  <c r="H7" s="1"/>
  <c r="G8"/>
  <c r="G9"/>
  <c r="H9" s="1"/>
  <c r="G10"/>
  <c r="G11"/>
  <c r="H11" s="1"/>
  <c r="G6"/>
  <c r="H79" i="122"/>
  <c r="H130"/>
  <c r="H181"/>
  <c r="H179"/>
  <c r="H192"/>
  <c r="H200"/>
  <c r="H206"/>
  <c r="H204"/>
  <c r="H220"/>
  <c r="H258"/>
  <c r="G270"/>
  <c r="G257"/>
  <c r="H257" s="1"/>
  <c r="G258"/>
  <c r="G256"/>
  <c r="H256" s="1"/>
  <c r="G244"/>
  <c r="H244" s="1"/>
  <c r="G242"/>
  <c r="H242" s="1"/>
  <c r="G231"/>
  <c r="H231" s="1"/>
  <c r="G209"/>
  <c r="H209" s="1"/>
  <c r="G220"/>
  <c r="G208"/>
  <c r="H208" s="1"/>
  <c r="G204"/>
  <c r="G205"/>
  <c r="H205" s="1"/>
  <c r="G206"/>
  <c r="G203"/>
  <c r="H203" s="1"/>
  <c r="G195"/>
  <c r="H195" s="1"/>
  <c r="G197"/>
  <c r="G198"/>
  <c r="G199"/>
  <c r="H199" s="1"/>
  <c r="G200"/>
  <c r="G201"/>
  <c r="H201" s="1"/>
  <c r="G192"/>
  <c r="G194"/>
  <c r="H194" s="1"/>
  <c r="G179"/>
  <c r="G180"/>
  <c r="H180" s="1"/>
  <c r="G181"/>
  <c r="G178"/>
  <c r="H178" s="1"/>
  <c r="G166"/>
  <c r="H166" s="1"/>
  <c r="G164"/>
  <c r="H164" s="1"/>
  <c r="G153"/>
  <c r="H153" s="1"/>
  <c r="G142"/>
  <c r="H142" s="1"/>
  <c r="G130"/>
  <c r="G131"/>
  <c r="H131" s="1"/>
  <c r="G66"/>
  <c r="H66" s="1"/>
  <c r="G78"/>
  <c r="H78" s="1"/>
  <c r="G79"/>
  <c r="G87"/>
  <c r="H87" s="1"/>
  <c r="G97"/>
  <c r="H97" s="1"/>
  <c r="G100"/>
  <c r="H100" s="1"/>
  <c r="G103"/>
  <c r="H103" s="1"/>
  <c r="G124"/>
  <c r="H124" s="1"/>
  <c r="G129"/>
  <c r="H129" s="1"/>
  <c r="G39"/>
  <c r="G50"/>
  <c r="H50" s="1"/>
  <c r="G53"/>
  <c r="H53" s="1"/>
  <c r="G64"/>
  <c r="H64" s="1"/>
  <c r="G67"/>
  <c r="H67" s="1"/>
  <c r="G36"/>
  <c r="G26"/>
  <c r="G24"/>
  <c r="G20"/>
  <c r="H20" s="1"/>
  <c r="D47" i="127"/>
  <c r="C47"/>
  <c r="E46"/>
  <c r="E45"/>
  <c r="E44"/>
  <c r="E43"/>
  <c r="E42"/>
  <c r="E41"/>
  <c r="E40"/>
  <c r="E39"/>
  <c r="E38"/>
  <c r="D37"/>
  <c r="D48" s="1"/>
  <c r="C37"/>
  <c r="E36"/>
  <c r="E35"/>
  <c r="E34"/>
  <c r="E33"/>
  <c r="E32"/>
  <c r="E31"/>
  <c r="E30"/>
  <c r="E28"/>
  <c r="E27"/>
  <c r="D26"/>
  <c r="C26"/>
  <c r="E25"/>
  <c r="E24"/>
  <c r="E26" s="1"/>
  <c r="E23"/>
  <c r="D22"/>
  <c r="C22"/>
  <c r="E21"/>
  <c r="E20"/>
  <c r="E19"/>
  <c r="E18"/>
  <c r="D17"/>
  <c r="C17"/>
  <c r="E16"/>
  <c r="E15"/>
  <c r="E14"/>
  <c r="E13"/>
  <c r="D12"/>
  <c r="C12"/>
  <c r="E11"/>
  <c r="E10"/>
  <c r="D9"/>
  <c r="C9"/>
  <c r="E8"/>
  <c r="E7"/>
  <c r="E6"/>
  <c r="E35" i="126"/>
  <c r="E34"/>
  <c r="D33"/>
  <c r="E32"/>
  <c r="E31"/>
  <c r="E30"/>
  <c r="D29"/>
  <c r="D36" s="1"/>
  <c r="E28"/>
  <c r="E27"/>
  <c r="E26"/>
  <c r="E25"/>
  <c r="C29"/>
  <c r="D24"/>
  <c r="E23"/>
  <c r="E22"/>
  <c r="D21"/>
  <c r="C21"/>
  <c r="E20"/>
  <c r="E19"/>
  <c r="E18"/>
  <c r="D17"/>
  <c r="C17"/>
  <c r="E16"/>
  <c r="E15"/>
  <c r="E14"/>
  <c r="D13"/>
  <c r="C13"/>
  <c r="E12"/>
  <c r="E11"/>
  <c r="E13" s="1"/>
  <c r="D10"/>
  <c r="C10"/>
  <c r="E9"/>
  <c r="E8"/>
  <c r="E7"/>
  <c r="E6"/>
  <c r="E36" i="125"/>
  <c r="H36" s="1"/>
  <c r="E35"/>
  <c r="D34"/>
  <c r="C34"/>
  <c r="E33"/>
  <c r="E32"/>
  <c r="E31"/>
  <c r="E30"/>
  <c r="E29"/>
  <c r="D27"/>
  <c r="C27"/>
  <c r="E26"/>
  <c r="E25"/>
  <c r="E24"/>
  <c r="E23"/>
  <c r="E22"/>
  <c r="H22" s="1"/>
  <c r="E21"/>
  <c r="E20"/>
  <c r="D19"/>
  <c r="C19"/>
  <c r="E18"/>
  <c r="E17"/>
  <c r="D16"/>
  <c r="C16"/>
  <c r="E15"/>
  <c r="E14"/>
  <c r="E13"/>
  <c r="E12"/>
  <c r="E11"/>
  <c r="E10"/>
  <c r="E16" s="1"/>
  <c r="D9"/>
  <c r="C9"/>
  <c r="E8"/>
  <c r="E7"/>
  <c r="E9" s="1"/>
  <c r="E6"/>
  <c r="E44" i="124"/>
  <c r="E43"/>
  <c r="D42"/>
  <c r="C42"/>
  <c r="E41"/>
  <c r="E40"/>
  <c r="E39"/>
  <c r="E38"/>
  <c r="E37"/>
  <c r="E36"/>
  <c r="E35"/>
  <c r="E42" s="1"/>
  <c r="D33"/>
  <c r="C33"/>
  <c r="E32"/>
  <c r="E31"/>
  <c r="E33" s="1"/>
  <c r="E30"/>
  <c r="E29"/>
  <c r="E28"/>
  <c r="E26"/>
  <c r="E25"/>
  <c r="D24"/>
  <c r="C24"/>
  <c r="E23"/>
  <c r="E22"/>
  <c r="E21"/>
  <c r="E20"/>
  <c r="E19"/>
  <c r="E18"/>
  <c r="E17"/>
  <c r="E16"/>
  <c r="E15"/>
  <c r="E14"/>
  <c r="E13"/>
  <c r="E12"/>
  <c r="E24" s="1"/>
  <c r="D11"/>
  <c r="C11"/>
  <c r="C34" s="1"/>
  <c r="C45" s="1"/>
  <c r="E10"/>
  <c r="E9"/>
  <c r="E8"/>
  <c r="E11" s="1"/>
  <c r="E7"/>
  <c r="E6"/>
  <c r="D288" i="123"/>
  <c r="E287"/>
  <c r="E286"/>
  <c r="E285"/>
  <c r="E284"/>
  <c r="E283"/>
  <c r="E282"/>
  <c r="E281"/>
  <c r="E280"/>
  <c r="E279"/>
  <c r="E278"/>
  <c r="E277"/>
  <c r="D276"/>
  <c r="C276"/>
  <c r="E275"/>
  <c r="E274"/>
  <c r="E273"/>
  <c r="E272"/>
  <c r="E271"/>
  <c r="E270"/>
  <c r="E269"/>
  <c r="E268"/>
  <c r="E267"/>
  <c r="D266"/>
  <c r="C266"/>
  <c r="E265"/>
  <c r="E264"/>
  <c r="E263"/>
  <c r="D262"/>
  <c r="E261"/>
  <c r="E260"/>
  <c r="E259"/>
  <c r="E258"/>
  <c r="E257"/>
  <c r="E256"/>
  <c r="E255"/>
  <c r="E254"/>
  <c r="E253"/>
  <c r="E252"/>
  <c r="E251"/>
  <c r="D250"/>
  <c r="C250"/>
  <c r="E249"/>
  <c r="E248"/>
  <c r="E247"/>
  <c r="E246"/>
  <c r="E245"/>
  <c r="E244"/>
  <c r="E243"/>
  <c r="E242"/>
  <c r="E241"/>
  <c r="E240" s="1"/>
  <c r="D240"/>
  <c r="C240"/>
  <c r="E239"/>
  <c r="E238"/>
  <c r="E237"/>
  <c r="D236"/>
  <c r="C236"/>
  <c r="E235"/>
  <c r="E234"/>
  <c r="E233"/>
  <c r="E232"/>
  <c r="E231"/>
  <c r="E230"/>
  <c r="E229"/>
  <c r="E228"/>
  <c r="E236" s="1"/>
  <c r="E226"/>
  <c r="E225"/>
  <c r="E224"/>
  <c r="E223"/>
  <c r="D222"/>
  <c r="D227" s="1"/>
  <c r="C222"/>
  <c r="E221"/>
  <c r="E220"/>
  <c r="E219"/>
  <c r="E218"/>
  <c r="E217"/>
  <c r="E216"/>
  <c r="E215"/>
  <c r="E222" s="1"/>
  <c r="D214"/>
  <c r="C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H193" s="1"/>
  <c r="E192"/>
  <c r="E190"/>
  <c r="E189"/>
  <c r="E186"/>
  <c r="E185"/>
  <c r="E184"/>
  <c r="E183"/>
  <c r="E182"/>
  <c r="E181"/>
  <c r="E180"/>
  <c r="E179"/>
  <c r="E178"/>
  <c r="E177"/>
  <c r="E176"/>
  <c r="E175"/>
  <c r="E174"/>
  <c r="E173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D154"/>
  <c r="D172" s="1"/>
  <c r="C154"/>
  <c r="E153"/>
  <c r="E152"/>
  <c r="E151"/>
  <c r="E149" s="1"/>
  <c r="E150"/>
  <c r="D149"/>
  <c r="C149"/>
  <c r="E148"/>
  <c r="E147"/>
  <c r="E146"/>
  <c r="E145"/>
  <c r="E144" s="1"/>
  <c r="D144"/>
  <c r="C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D121"/>
  <c r="C121"/>
  <c r="E120"/>
  <c r="E119"/>
  <c r="E118"/>
  <c r="E117"/>
  <c r="E116"/>
  <c r="E115"/>
  <c r="E114" s="1"/>
  <c r="D114"/>
  <c r="C114"/>
  <c r="E113"/>
  <c r="E112"/>
  <c r="E111"/>
  <c r="E110"/>
  <c r="C109"/>
  <c r="E108"/>
  <c r="E107"/>
  <c r="E106"/>
  <c r="E105"/>
  <c r="E104"/>
  <c r="E103"/>
  <c r="E102"/>
  <c r="E101"/>
  <c r="E100"/>
  <c r="E99"/>
  <c r="D99"/>
  <c r="C99"/>
  <c r="D98"/>
  <c r="D191" s="1"/>
  <c r="E97"/>
  <c r="E96"/>
  <c r="E95"/>
  <c r="E94"/>
  <c r="E93"/>
  <c r="E92"/>
  <c r="E91"/>
  <c r="E89" s="1"/>
  <c r="E90"/>
  <c r="D89"/>
  <c r="C89"/>
  <c r="E88"/>
  <c r="E87"/>
  <c r="E86"/>
  <c r="E85"/>
  <c r="E98" s="1"/>
  <c r="D85"/>
  <c r="C85"/>
  <c r="C98" s="1"/>
  <c r="D84"/>
  <c r="E83"/>
  <c r="E82"/>
  <c r="E81"/>
  <c r="E80"/>
  <c r="E79"/>
  <c r="E78"/>
  <c r="E77"/>
  <c r="E76"/>
  <c r="E75"/>
  <c r="E74"/>
  <c r="D73"/>
  <c r="C73"/>
  <c r="E72"/>
  <c r="E71"/>
  <c r="E70"/>
  <c r="E69"/>
  <c r="E68"/>
  <c r="E67"/>
  <c r="E66"/>
  <c r="E65"/>
  <c r="E64"/>
  <c r="E63"/>
  <c r="E62" s="1"/>
  <c r="D62"/>
  <c r="C62"/>
  <c r="E61"/>
  <c r="E60"/>
  <c r="E59"/>
  <c r="E58"/>
  <c r="E57"/>
  <c r="E56"/>
  <c r="E55"/>
  <c r="E54"/>
  <c r="E53"/>
  <c r="E51" s="1"/>
  <c r="E52"/>
  <c r="D51"/>
  <c r="C51"/>
  <c r="E50"/>
  <c r="E49"/>
  <c r="E47"/>
  <c r="E46"/>
  <c r="E45"/>
  <c r="E44"/>
  <c r="E43"/>
  <c r="E42"/>
  <c r="E41"/>
  <c r="E40"/>
  <c r="E39"/>
  <c r="E38"/>
  <c r="D37"/>
  <c r="C37"/>
  <c r="E36"/>
  <c r="E35"/>
  <c r="E34"/>
  <c r="E33"/>
  <c r="E32"/>
  <c r="E31"/>
  <c r="E30"/>
  <c r="E29"/>
  <c r="E28"/>
  <c r="E27"/>
  <c r="E26" s="1"/>
  <c r="D26"/>
  <c r="C26"/>
  <c r="E25"/>
  <c r="E24"/>
  <c r="E23"/>
  <c r="E22"/>
  <c r="E21"/>
  <c r="E20"/>
  <c r="E19"/>
  <c r="E18"/>
  <c r="E17"/>
  <c r="E15" s="1"/>
  <c r="E16"/>
  <c r="D15"/>
  <c r="C15"/>
  <c r="E14"/>
  <c r="E13"/>
  <c r="D12"/>
  <c r="D48" s="1"/>
  <c r="D289" s="1"/>
  <c r="C12"/>
  <c r="E11"/>
  <c r="E10"/>
  <c r="E9"/>
  <c r="E8"/>
  <c r="E7"/>
  <c r="E6"/>
  <c r="E268" i="122"/>
  <c r="E267"/>
  <c r="E266"/>
  <c r="E265"/>
  <c r="E264"/>
  <c r="E263"/>
  <c r="E262"/>
  <c r="E261"/>
  <c r="E260"/>
  <c r="E258" s="1"/>
  <c r="E259"/>
  <c r="D258"/>
  <c r="C258"/>
  <c r="E257"/>
  <c r="E256"/>
  <c r="E255"/>
  <c r="E254"/>
  <c r="E253"/>
  <c r="E252"/>
  <c r="E251"/>
  <c r="E250"/>
  <c r="E249"/>
  <c r="E248"/>
  <c r="E247"/>
  <c r="E246"/>
  <c r="E244" s="1"/>
  <c r="E245"/>
  <c r="D244"/>
  <c r="C244"/>
  <c r="E243"/>
  <c r="E242"/>
  <c r="E241"/>
  <c r="E240"/>
  <c r="E239"/>
  <c r="E238"/>
  <c r="E237"/>
  <c r="E236"/>
  <c r="E235"/>
  <c r="E234"/>
  <c r="E233"/>
  <c r="E232"/>
  <c r="D231"/>
  <c r="C231"/>
  <c r="E230"/>
  <c r="E229"/>
  <c r="E228"/>
  <c r="E227"/>
  <c r="E226"/>
  <c r="E225"/>
  <c r="E224"/>
  <c r="E223"/>
  <c r="E222"/>
  <c r="E221"/>
  <c r="E220" s="1"/>
  <c r="D220"/>
  <c r="C220"/>
  <c r="E219"/>
  <c r="E218"/>
  <c r="E217"/>
  <c r="E216"/>
  <c r="E215"/>
  <c r="E214"/>
  <c r="E213"/>
  <c r="E212"/>
  <c r="E211"/>
  <c r="E210"/>
  <c r="D209"/>
  <c r="C209"/>
  <c r="E208"/>
  <c r="D207"/>
  <c r="C207"/>
  <c r="E206"/>
  <c r="E205"/>
  <c r="E204"/>
  <c r="E203"/>
  <c r="D202"/>
  <c r="C202"/>
  <c r="E201"/>
  <c r="E200"/>
  <c r="E199"/>
  <c r="E198"/>
  <c r="H198" s="1"/>
  <c r="E197"/>
  <c r="H197" s="1"/>
  <c r="E196"/>
  <c r="E195"/>
  <c r="E194"/>
  <c r="E192"/>
  <c r="E191"/>
  <c r="E190"/>
  <c r="E189"/>
  <c r="E188"/>
  <c r="E187"/>
  <c r="E186"/>
  <c r="E185"/>
  <c r="E184"/>
  <c r="E183"/>
  <c r="E182"/>
  <c r="D181"/>
  <c r="C181"/>
  <c r="E180"/>
  <c r="E179"/>
  <c r="E178"/>
  <c r="E177"/>
  <c r="E176"/>
  <c r="E175"/>
  <c r="E174"/>
  <c r="E173"/>
  <c r="E172"/>
  <c r="E171"/>
  <c r="E170"/>
  <c r="E169"/>
  <c r="E168"/>
  <c r="E167"/>
  <c r="D166"/>
  <c r="C166"/>
  <c r="E165"/>
  <c r="E164"/>
  <c r="E163"/>
  <c r="E162"/>
  <c r="E161"/>
  <c r="E160"/>
  <c r="E159"/>
  <c r="E158"/>
  <c r="E157"/>
  <c r="E156"/>
  <c r="E155"/>
  <c r="E154"/>
  <c r="D153"/>
  <c r="C153"/>
  <c r="E152"/>
  <c r="E151"/>
  <c r="E150"/>
  <c r="E149"/>
  <c r="E148"/>
  <c r="E147"/>
  <c r="E146"/>
  <c r="E145"/>
  <c r="E144"/>
  <c r="E142" s="1"/>
  <c r="E143"/>
  <c r="D142"/>
  <c r="C142"/>
  <c r="E141"/>
  <c r="E140"/>
  <c r="E139"/>
  <c r="E138"/>
  <c r="E137"/>
  <c r="E136"/>
  <c r="E135"/>
  <c r="E134"/>
  <c r="E133"/>
  <c r="E132"/>
  <c r="D131"/>
  <c r="C131"/>
  <c r="E130"/>
  <c r="D129"/>
  <c r="C129"/>
  <c r="E128"/>
  <c r="E127"/>
  <c r="E126"/>
  <c r="E125"/>
  <c r="E124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0" s="1"/>
  <c r="E101"/>
  <c r="D100"/>
  <c r="C100"/>
  <c r="E99"/>
  <c r="E98"/>
  <c r="E97" s="1"/>
  <c r="D97"/>
  <c r="C97"/>
  <c r="E96"/>
  <c r="E95"/>
  <c r="E94"/>
  <c r="E93"/>
  <c r="E92"/>
  <c r="E91"/>
  <c r="E90"/>
  <c r="E89"/>
  <c r="E88"/>
  <c r="D87"/>
  <c r="C87"/>
  <c r="E86"/>
  <c r="E85"/>
  <c r="E84"/>
  <c r="E83"/>
  <c r="E82"/>
  <c r="E79" s="1"/>
  <c r="E81"/>
  <c r="E80"/>
  <c r="D79"/>
  <c r="C79"/>
  <c r="E78"/>
  <c r="E77"/>
  <c r="E76"/>
  <c r="E75"/>
  <c r="E74"/>
  <c r="E73"/>
  <c r="E72"/>
  <c r="E71"/>
  <c r="E70"/>
  <c r="E69"/>
  <c r="E68"/>
  <c r="D67"/>
  <c r="C67"/>
  <c r="E66"/>
  <c r="D64"/>
  <c r="C64"/>
  <c r="E63"/>
  <c r="E62"/>
  <c r="E61"/>
  <c r="E60"/>
  <c r="E59"/>
  <c r="E58"/>
  <c r="E57"/>
  <c r="E56"/>
  <c r="E55"/>
  <c r="E54"/>
  <c r="D53"/>
  <c r="C53"/>
  <c r="E52"/>
  <c r="E51"/>
  <c r="D50"/>
  <c r="C50"/>
  <c r="E49"/>
  <c r="E48"/>
  <c r="E47"/>
  <c r="E46"/>
  <c r="E45"/>
  <c r="E44"/>
  <c r="E43"/>
  <c r="E42"/>
  <c r="E41"/>
  <c r="E40"/>
  <c r="D39"/>
  <c r="C39"/>
  <c r="E38"/>
  <c r="E37"/>
  <c r="D36"/>
  <c r="D65" s="1"/>
  <c r="C36"/>
  <c r="E35"/>
  <c r="E34"/>
  <c r="E33"/>
  <c r="E32"/>
  <c r="E31"/>
  <c r="E30"/>
  <c r="E29"/>
  <c r="E28"/>
  <c r="E27"/>
  <c r="D26"/>
  <c r="C26"/>
  <c r="D24"/>
  <c r="C24"/>
  <c r="E23"/>
  <c r="E22"/>
  <c r="E21"/>
  <c r="D20"/>
  <c r="D25" s="1"/>
  <c r="C20"/>
  <c r="E19"/>
  <c r="E18"/>
  <c r="E17"/>
  <c r="E16"/>
  <c r="E15"/>
  <c r="E14"/>
  <c r="E13"/>
  <c r="E12"/>
  <c r="E11"/>
  <c r="E10"/>
  <c r="E9"/>
  <c r="E8"/>
  <c r="E7"/>
  <c r="E6"/>
  <c r="E47" i="127" l="1"/>
  <c r="C48"/>
  <c r="E37"/>
  <c r="D29"/>
  <c r="D49" s="1"/>
  <c r="C29"/>
  <c r="E12"/>
  <c r="E9"/>
  <c r="E33" i="126"/>
  <c r="C36"/>
  <c r="E29"/>
  <c r="E21"/>
  <c r="E17"/>
  <c r="E10"/>
  <c r="E27" i="125"/>
  <c r="H27" s="1"/>
  <c r="E19"/>
  <c r="E28" s="1"/>
  <c r="D28"/>
  <c r="D37" s="1"/>
  <c r="E34"/>
  <c r="H34" s="1"/>
  <c r="C28"/>
  <c r="C37" s="1"/>
  <c r="E27" i="124"/>
  <c r="E276" i="123"/>
  <c r="C288"/>
  <c r="E266"/>
  <c r="E250"/>
  <c r="C262"/>
  <c r="C227"/>
  <c r="E214"/>
  <c r="E227" s="1"/>
  <c r="E154"/>
  <c r="C172"/>
  <c r="C191" s="1"/>
  <c r="E121"/>
  <c r="C84"/>
  <c r="E73"/>
  <c r="E84" s="1"/>
  <c r="E37"/>
  <c r="C48"/>
  <c r="E12"/>
  <c r="C193" i="122"/>
  <c r="E53"/>
  <c r="E39"/>
  <c r="H39" s="1"/>
  <c r="E36"/>
  <c r="H36" s="1"/>
  <c r="E26"/>
  <c r="H26" s="1"/>
  <c r="C25"/>
  <c r="E22" i="127"/>
  <c r="E17"/>
  <c r="C24" i="126"/>
  <c r="C123" i="122"/>
  <c r="E87"/>
  <c r="E129"/>
  <c r="D193"/>
  <c r="E153"/>
  <c r="E209"/>
  <c r="D269"/>
  <c r="E20"/>
  <c r="E24"/>
  <c r="H24" s="1"/>
  <c r="E64"/>
  <c r="E166"/>
  <c r="E202"/>
  <c r="E207"/>
  <c r="E231"/>
  <c r="E269" s="1"/>
  <c r="C65"/>
  <c r="E50"/>
  <c r="E67"/>
  <c r="D123"/>
  <c r="D270" s="1"/>
  <c r="E131"/>
  <c r="E181"/>
  <c r="C269"/>
  <c r="E123"/>
  <c r="AX319" i="84"/>
  <c r="AX317"/>
  <c r="AX315"/>
  <c r="AX314"/>
  <c r="AX313"/>
  <c r="AX312"/>
  <c r="AX311"/>
  <c r="AX307"/>
  <c r="AX305"/>
  <c r="AX304"/>
  <c r="AX302"/>
  <c r="AX298"/>
  <c r="AX296"/>
  <c r="AX294"/>
  <c r="AX293"/>
  <c r="AX292"/>
  <c r="AX291"/>
  <c r="AX290"/>
  <c r="AX286"/>
  <c r="AX284"/>
  <c r="AX282"/>
  <c r="AX281"/>
  <c r="AX280"/>
  <c r="AX279"/>
  <c r="AX278"/>
  <c r="AX277"/>
  <c r="AX273"/>
  <c r="AX272"/>
  <c r="AX271"/>
  <c r="AX270"/>
  <c r="AX269"/>
  <c r="AX268"/>
  <c r="AX267"/>
  <c r="AX265"/>
  <c r="AX264"/>
  <c r="AX263"/>
  <c r="AX261"/>
  <c r="AX260"/>
  <c r="AX259"/>
  <c r="AX258"/>
  <c r="AX257"/>
  <c r="AX253"/>
  <c r="AX251"/>
  <c r="AX250"/>
  <c r="AX249"/>
  <c r="AX248"/>
  <c r="AX247"/>
  <c r="AX245"/>
  <c r="AX243"/>
  <c r="AX240"/>
  <c r="AX239"/>
  <c r="AX238"/>
  <c r="AX237"/>
  <c r="AX235"/>
  <c r="AX234"/>
  <c r="AX233"/>
  <c r="AX232"/>
  <c r="AX231"/>
  <c r="AX230"/>
  <c r="AX229"/>
  <c r="AX228"/>
  <c r="AX225"/>
  <c r="AX224"/>
  <c r="AX223"/>
  <c r="AX221"/>
  <c r="AX220"/>
  <c r="AX219"/>
  <c r="AX218"/>
  <c r="AX217"/>
  <c r="AX216"/>
  <c r="AX215"/>
  <c r="AX214"/>
  <c r="AX213"/>
  <c r="AX212"/>
  <c r="AX211"/>
  <c r="AX210"/>
  <c r="AX209"/>
  <c r="AX208"/>
  <c r="AX207"/>
  <c r="AX206"/>
  <c r="AX205"/>
  <c r="AX204"/>
  <c r="AX203"/>
  <c r="AX202"/>
  <c r="AX201"/>
  <c r="AX199"/>
  <c r="AX198"/>
  <c r="AX195"/>
  <c r="AX193"/>
  <c r="AX192"/>
  <c r="AX191"/>
  <c r="AX190"/>
  <c r="AX189"/>
  <c r="AX188"/>
  <c r="AX187"/>
  <c r="AX186"/>
  <c r="AX185"/>
  <c r="AX184"/>
  <c r="AX183"/>
  <c r="AX182"/>
  <c r="AX181"/>
  <c r="AX180"/>
  <c r="AX178"/>
  <c r="AX177"/>
  <c r="AX176"/>
  <c r="AX175"/>
  <c r="AX174"/>
  <c r="AX173"/>
  <c r="AX172"/>
  <c r="AX171"/>
  <c r="AT319"/>
  <c r="AT317"/>
  <c r="AT315"/>
  <c r="AT314"/>
  <c r="AT313"/>
  <c r="AT312"/>
  <c r="AT311"/>
  <c r="AT307"/>
  <c r="AT305"/>
  <c r="AT304"/>
  <c r="AT302"/>
  <c r="AT298"/>
  <c r="AT296"/>
  <c r="AT294"/>
  <c r="AT293"/>
  <c r="AT292"/>
  <c r="AT291"/>
  <c r="AT290"/>
  <c r="AT286"/>
  <c r="AT284"/>
  <c r="AT282"/>
  <c r="AT281"/>
  <c r="AT280"/>
  <c r="AT279"/>
  <c r="AT278"/>
  <c r="AT277"/>
  <c r="AT273"/>
  <c r="AT272"/>
  <c r="AT271"/>
  <c r="AT270"/>
  <c r="AT269"/>
  <c r="AT268"/>
  <c r="AT267"/>
  <c r="AT265"/>
  <c r="AT264"/>
  <c r="AT263"/>
  <c r="AT261"/>
  <c r="AT260"/>
  <c r="AT259"/>
  <c r="AT258"/>
  <c r="AT257"/>
  <c r="AT253"/>
  <c r="AT251"/>
  <c r="AT250"/>
  <c r="AT249"/>
  <c r="AT248"/>
  <c r="AT247"/>
  <c r="AT245"/>
  <c r="AT243"/>
  <c r="AT240"/>
  <c r="AT239"/>
  <c r="AT238"/>
  <c r="AT237"/>
  <c r="AT235"/>
  <c r="AT234"/>
  <c r="AT233"/>
  <c r="AT232"/>
  <c r="AT231"/>
  <c r="AT230"/>
  <c r="AT229"/>
  <c r="AT228"/>
  <c r="AT225"/>
  <c r="AT224"/>
  <c r="AT223"/>
  <c r="AT221"/>
  <c r="AT220"/>
  <c r="AT219"/>
  <c r="AT218"/>
  <c r="AT217"/>
  <c r="AT216"/>
  <c r="AT215"/>
  <c r="AT214"/>
  <c r="AT213"/>
  <c r="AT212"/>
  <c r="AT211"/>
  <c r="AT210"/>
  <c r="AT209"/>
  <c r="AT208"/>
  <c r="AT207"/>
  <c r="AT206"/>
  <c r="AT205"/>
  <c r="AT203"/>
  <c r="AT202"/>
  <c r="AT201"/>
  <c r="AT199"/>
  <c r="AT198"/>
  <c r="AT195"/>
  <c r="AT193"/>
  <c r="AT192"/>
  <c r="AT191"/>
  <c r="AT190"/>
  <c r="AT189"/>
  <c r="AT188"/>
  <c r="AT187"/>
  <c r="AT186"/>
  <c r="AT185"/>
  <c r="AT184"/>
  <c r="AT183"/>
  <c r="AT182"/>
  <c r="AT181"/>
  <c r="AT180"/>
  <c r="AT178"/>
  <c r="AT177"/>
  <c r="AT176"/>
  <c r="AT175"/>
  <c r="AT174"/>
  <c r="AT173"/>
  <c r="AT172"/>
  <c r="AT171"/>
  <c r="AP319"/>
  <c r="AP317"/>
  <c r="AP315"/>
  <c r="AP314"/>
  <c r="AP313"/>
  <c r="AP312"/>
  <c r="AP311"/>
  <c r="AP307"/>
  <c r="AP305"/>
  <c r="AP304"/>
  <c r="AP302"/>
  <c r="AP298"/>
  <c r="AP296"/>
  <c r="AP294"/>
  <c r="AP293"/>
  <c r="AP292"/>
  <c r="AP291"/>
  <c r="AP290"/>
  <c r="AP286"/>
  <c r="AP284"/>
  <c r="AP282"/>
  <c r="AP281"/>
  <c r="AP280"/>
  <c r="AP279"/>
  <c r="AP278"/>
  <c r="AP277"/>
  <c r="AP273"/>
  <c r="AP272"/>
  <c r="AP271"/>
  <c r="AP270"/>
  <c r="AP269"/>
  <c r="AP268"/>
  <c r="AP267"/>
  <c r="AP265"/>
  <c r="AP264"/>
  <c r="AP263"/>
  <c r="AP261"/>
  <c r="AP260"/>
  <c r="AP259"/>
  <c r="AP258"/>
  <c r="AP257"/>
  <c r="AP253"/>
  <c r="AP251"/>
  <c r="AP250"/>
  <c r="AP249"/>
  <c r="AP248"/>
  <c r="AP247"/>
  <c r="AP245"/>
  <c r="AP243"/>
  <c r="AP240"/>
  <c r="AP239"/>
  <c r="AP238"/>
  <c r="AP237"/>
  <c r="AP235"/>
  <c r="AP234"/>
  <c r="AP233"/>
  <c r="AP232"/>
  <c r="AP231"/>
  <c r="AP230"/>
  <c r="AP229"/>
  <c r="AP228"/>
  <c r="AP225"/>
  <c r="AP224"/>
  <c r="AP223"/>
  <c r="AP221"/>
  <c r="AP220"/>
  <c r="AP219"/>
  <c r="AP218"/>
  <c r="AP217"/>
  <c r="AP216"/>
  <c r="AP215"/>
  <c r="AP214"/>
  <c r="AP213"/>
  <c r="AP212"/>
  <c r="AP211"/>
  <c r="AP210"/>
  <c r="AP209"/>
  <c r="AP208"/>
  <c r="AP207"/>
  <c r="AP206"/>
  <c r="AP205"/>
  <c r="AP203"/>
  <c r="AP202"/>
  <c r="AP201"/>
  <c r="AP199"/>
  <c r="AP198"/>
  <c r="AP195"/>
  <c r="AP193"/>
  <c r="AP192"/>
  <c r="AP191"/>
  <c r="AP190"/>
  <c r="AP189"/>
  <c r="AP188"/>
  <c r="AP187"/>
  <c r="AP186"/>
  <c r="AP185"/>
  <c r="AP184"/>
  <c r="AP183"/>
  <c r="AP182"/>
  <c r="AP181"/>
  <c r="AP180"/>
  <c r="AP178"/>
  <c r="AP177"/>
  <c r="AP176"/>
  <c r="AP175"/>
  <c r="AP174"/>
  <c r="AP173"/>
  <c r="AP171"/>
  <c r="AH319"/>
  <c r="AH317"/>
  <c r="AH314"/>
  <c r="AH313"/>
  <c r="AH312"/>
  <c r="AH311"/>
  <c r="AH307"/>
  <c r="AH304"/>
  <c r="AH302"/>
  <c r="AH298"/>
  <c r="AH296"/>
  <c r="AH293"/>
  <c r="AH292"/>
  <c r="AH291"/>
  <c r="AH290"/>
  <c r="AH286"/>
  <c r="AH284"/>
  <c r="AH281"/>
  <c r="AH280"/>
  <c r="AH279"/>
  <c r="AH278"/>
  <c r="AH277"/>
  <c r="AH273"/>
  <c r="AH272"/>
  <c r="AH271"/>
  <c r="AH270"/>
  <c r="AH269"/>
  <c r="AH268"/>
  <c r="AH267"/>
  <c r="AH265"/>
  <c r="AH264"/>
  <c r="AH263"/>
  <c r="AH260"/>
  <c r="AH259"/>
  <c r="AH258"/>
  <c r="AH257"/>
  <c r="AH253"/>
  <c r="AH251"/>
  <c r="AH250"/>
  <c r="AH249"/>
  <c r="AH248"/>
  <c r="AH247"/>
  <c r="AH245"/>
  <c r="AH243"/>
  <c r="AH240"/>
  <c r="AH239"/>
  <c r="AH238"/>
  <c r="AH237"/>
  <c r="AH235"/>
  <c r="AH234"/>
  <c r="AH233"/>
  <c r="AH232"/>
  <c r="AH231"/>
  <c r="AH230"/>
  <c r="AH229"/>
  <c r="AH228"/>
  <c r="AH225"/>
  <c r="AH224"/>
  <c r="AH223"/>
  <c r="AH221"/>
  <c r="AH220"/>
  <c r="AH219"/>
  <c r="AH218"/>
  <c r="AH217"/>
  <c r="AH216"/>
  <c r="AH215"/>
  <c r="AH214"/>
  <c r="AH213"/>
  <c r="AH212"/>
  <c r="AH211"/>
  <c r="AH210"/>
  <c r="AH209"/>
  <c r="AH208"/>
  <c r="AH207"/>
  <c r="AH206"/>
  <c r="AH205"/>
  <c r="AH204"/>
  <c r="AH203"/>
  <c r="AH202"/>
  <c r="AH201"/>
  <c r="AH199"/>
  <c r="AH198"/>
  <c r="AH195"/>
  <c r="AH193"/>
  <c r="AH192"/>
  <c r="AH191"/>
  <c r="AH190"/>
  <c r="AH189"/>
  <c r="AH188"/>
  <c r="AH187"/>
  <c r="AH186"/>
  <c r="AH185"/>
  <c r="AH184"/>
  <c r="AH182"/>
  <c r="AH181"/>
  <c r="AH180"/>
  <c r="AH178"/>
  <c r="AH177"/>
  <c r="AH176"/>
  <c r="AH175"/>
  <c r="AH174"/>
  <c r="AH173"/>
  <c r="AH171"/>
  <c r="AD319"/>
  <c r="AD317"/>
  <c r="AD315"/>
  <c r="AD314"/>
  <c r="AD313"/>
  <c r="AD312"/>
  <c r="AD311"/>
  <c r="AD307"/>
  <c r="AD305"/>
  <c r="AD304"/>
  <c r="AD302"/>
  <c r="AD298"/>
  <c r="AD296"/>
  <c r="AD294"/>
  <c r="AD293"/>
  <c r="AD292"/>
  <c r="AD291"/>
  <c r="AD290"/>
  <c r="AD286"/>
  <c r="AD284"/>
  <c r="AD282"/>
  <c r="AD281"/>
  <c r="AD280"/>
  <c r="AD279"/>
  <c r="AD278"/>
  <c r="AD277"/>
  <c r="AD273"/>
  <c r="AD272"/>
  <c r="AD271"/>
  <c r="AD270"/>
  <c r="AD269"/>
  <c r="AD268"/>
  <c r="AD267"/>
  <c r="AD265"/>
  <c r="AD264"/>
  <c r="AD263"/>
  <c r="AD261"/>
  <c r="AD260"/>
  <c r="AD259"/>
  <c r="AD258"/>
  <c r="AD257"/>
  <c r="AD253"/>
  <c r="AD251"/>
  <c r="AD250"/>
  <c r="AD249"/>
  <c r="AD248"/>
  <c r="AD247"/>
  <c r="AD245"/>
  <c r="AD243"/>
  <c r="AD240"/>
  <c r="AD239"/>
  <c r="AD238"/>
  <c r="AD237"/>
  <c r="AD235"/>
  <c r="AD234"/>
  <c r="AD233"/>
  <c r="AD232"/>
  <c r="AD231"/>
  <c r="AD230"/>
  <c r="AD229"/>
  <c r="AD228"/>
  <c r="AD225"/>
  <c r="AD224"/>
  <c r="AD223"/>
  <c r="AD221"/>
  <c r="AD220"/>
  <c r="AD219"/>
  <c r="AD218"/>
  <c r="AD217"/>
  <c r="AD216"/>
  <c r="AD215"/>
  <c r="AD214"/>
  <c r="AD213"/>
  <c r="AD212"/>
  <c r="AD211"/>
  <c r="AD210"/>
  <c r="AD209"/>
  <c r="AD208"/>
  <c r="AD207"/>
  <c r="AD206"/>
  <c r="AD205"/>
  <c r="AD204"/>
  <c r="AD203"/>
  <c r="AD202"/>
  <c r="AD201"/>
  <c r="AD199"/>
  <c r="AD198"/>
  <c r="AD195"/>
  <c r="AD193"/>
  <c r="AD192"/>
  <c r="AD191"/>
  <c r="AD190"/>
  <c r="AD189"/>
  <c r="AD188"/>
  <c r="AD187"/>
  <c r="AD186"/>
  <c r="AD185"/>
  <c r="AD184"/>
  <c r="AD183"/>
  <c r="AD182"/>
  <c r="AD181"/>
  <c r="AD180"/>
  <c r="AD178"/>
  <c r="AD177"/>
  <c r="AD176"/>
  <c r="AD175"/>
  <c r="AD174"/>
  <c r="AD173"/>
  <c r="AD172"/>
  <c r="AD171"/>
  <c r="Z319"/>
  <c r="Z317"/>
  <c r="Z315"/>
  <c r="Z314"/>
  <c r="Z313"/>
  <c r="Z312"/>
  <c r="Z311"/>
  <c r="Z307"/>
  <c r="Z305"/>
  <c r="Z304"/>
  <c r="Z302"/>
  <c r="Z298"/>
  <c r="Z296"/>
  <c r="Z294"/>
  <c r="Z293"/>
  <c r="Z292"/>
  <c r="Z291"/>
  <c r="Z290"/>
  <c r="Z286"/>
  <c r="Z284"/>
  <c r="Z282"/>
  <c r="Z281"/>
  <c r="Z280"/>
  <c r="Z279"/>
  <c r="Z278"/>
  <c r="Z277"/>
  <c r="Z273"/>
  <c r="Z272"/>
  <c r="Z271"/>
  <c r="Z270"/>
  <c r="Z269"/>
  <c r="Z268"/>
  <c r="Z267"/>
  <c r="Z265"/>
  <c r="Z264"/>
  <c r="Z263"/>
  <c r="Z261"/>
  <c r="Z260"/>
  <c r="Z259"/>
  <c r="Z258"/>
  <c r="Z257"/>
  <c r="Z253"/>
  <c r="Z251"/>
  <c r="Z250"/>
  <c r="Z249"/>
  <c r="Z248"/>
  <c r="Z247"/>
  <c r="Z245"/>
  <c r="Z243"/>
  <c r="Z240"/>
  <c r="Z239"/>
  <c r="Z238"/>
  <c r="Z237"/>
  <c r="Z235"/>
  <c r="Z234"/>
  <c r="Z233"/>
  <c r="Z232"/>
  <c r="Z231"/>
  <c r="Z230"/>
  <c r="Z229"/>
  <c r="Z228"/>
  <c r="Z225"/>
  <c r="Z224"/>
  <c r="Z223"/>
  <c r="Z221"/>
  <c r="Z220"/>
  <c r="Z219"/>
  <c r="Z218"/>
  <c r="Z217"/>
  <c r="Z216"/>
  <c r="Z215"/>
  <c r="Z214"/>
  <c r="Z213"/>
  <c r="Z212"/>
  <c r="Z211"/>
  <c r="Z210"/>
  <c r="Z209"/>
  <c r="Z208"/>
  <c r="Z207"/>
  <c r="Z206"/>
  <c r="Z205"/>
  <c r="Z204"/>
  <c r="Z203"/>
  <c r="Z202"/>
  <c r="Z201"/>
  <c r="Z199"/>
  <c r="Z198"/>
  <c r="Z195"/>
  <c r="Z193"/>
  <c r="Z192"/>
  <c r="Z191"/>
  <c r="Z189"/>
  <c r="Z187"/>
  <c r="Z186"/>
  <c r="Z185"/>
  <c r="Z184"/>
  <c r="Z183"/>
  <c r="Z182"/>
  <c r="Z181"/>
  <c r="Z180"/>
  <c r="Z178"/>
  <c r="Z176"/>
  <c r="Z175"/>
  <c r="Z174"/>
  <c r="Z173"/>
  <c r="Z172"/>
  <c r="Z171"/>
  <c r="V319"/>
  <c r="V317"/>
  <c r="V315"/>
  <c r="V314"/>
  <c r="V311"/>
  <c r="V307"/>
  <c r="V305"/>
  <c r="V302"/>
  <c r="V298"/>
  <c r="V296"/>
  <c r="V294"/>
  <c r="V293"/>
  <c r="V292"/>
  <c r="V290"/>
  <c r="V286"/>
  <c r="V284"/>
  <c r="V282"/>
  <c r="V281"/>
  <c r="V280"/>
  <c r="V279"/>
  <c r="V278"/>
  <c r="V277"/>
  <c r="V273"/>
  <c r="V272"/>
  <c r="V271"/>
  <c r="V270"/>
  <c r="V269"/>
  <c r="V268"/>
  <c r="V267"/>
  <c r="V265"/>
  <c r="V264"/>
  <c r="V263"/>
  <c r="V261"/>
  <c r="V259"/>
  <c r="V258"/>
  <c r="V253"/>
  <c r="V251"/>
  <c r="V250"/>
  <c r="V249"/>
  <c r="V248"/>
  <c r="V247"/>
  <c r="V245"/>
  <c r="V243"/>
  <c r="V240"/>
  <c r="V239"/>
  <c r="V238"/>
  <c r="V237"/>
  <c r="V235"/>
  <c r="V234"/>
  <c r="V233"/>
  <c r="V232"/>
  <c r="V231"/>
  <c r="V230"/>
  <c r="V229"/>
  <c r="V228"/>
  <c r="V225"/>
  <c r="V224"/>
  <c r="V223"/>
  <c r="V221"/>
  <c r="V220"/>
  <c r="V219"/>
  <c r="V218"/>
  <c r="V217"/>
  <c r="V216"/>
  <c r="V215"/>
  <c r="V214"/>
  <c r="V213"/>
  <c r="V212"/>
  <c r="V211"/>
  <c r="V210"/>
  <c r="V209"/>
  <c r="V208"/>
  <c r="V207"/>
  <c r="V206"/>
  <c r="V205"/>
  <c r="V204"/>
  <c r="V203"/>
  <c r="V202"/>
  <c r="V201"/>
  <c r="V199"/>
  <c r="V198"/>
  <c r="V195"/>
  <c r="V193"/>
  <c r="V192"/>
  <c r="V191"/>
  <c r="V189"/>
  <c r="V187"/>
  <c r="V186"/>
  <c r="V185"/>
  <c r="V184"/>
  <c r="V183"/>
  <c r="V182"/>
  <c r="V181"/>
  <c r="V180"/>
  <c r="V178"/>
  <c r="V177"/>
  <c r="V176"/>
  <c r="V175"/>
  <c r="V174"/>
  <c r="V173"/>
  <c r="V172"/>
  <c r="V171"/>
  <c r="R319"/>
  <c r="R317"/>
  <c r="R315"/>
  <c r="R314"/>
  <c r="R311"/>
  <c r="R307"/>
  <c r="R305"/>
  <c r="R302"/>
  <c r="R298"/>
  <c r="R296"/>
  <c r="R294"/>
  <c r="R293"/>
  <c r="R292"/>
  <c r="R290"/>
  <c r="R286"/>
  <c r="R284"/>
  <c r="R282"/>
  <c r="R281"/>
  <c r="R280"/>
  <c r="R279"/>
  <c r="R278"/>
  <c r="R277"/>
  <c r="R273"/>
  <c r="R272"/>
  <c r="R271"/>
  <c r="R270"/>
  <c r="R269"/>
  <c r="R268"/>
  <c r="R267"/>
  <c r="R265"/>
  <c r="R264"/>
  <c r="R263"/>
  <c r="R261"/>
  <c r="R259"/>
  <c r="R258"/>
  <c r="R253"/>
  <c r="R251"/>
  <c r="R250"/>
  <c r="R249"/>
  <c r="R248"/>
  <c r="R247"/>
  <c r="R245"/>
  <c r="R243"/>
  <c r="R240"/>
  <c r="R239"/>
  <c r="R238"/>
  <c r="R237"/>
  <c r="R235"/>
  <c r="R234"/>
  <c r="R233"/>
  <c r="R232"/>
  <c r="R231"/>
  <c r="R230"/>
  <c r="R229"/>
  <c r="R228"/>
  <c r="R225"/>
  <c r="R224"/>
  <c r="R223"/>
  <c r="R221"/>
  <c r="R220"/>
  <c r="R219"/>
  <c r="R218"/>
  <c r="R217"/>
  <c r="R216"/>
  <c r="R215"/>
  <c r="R214"/>
  <c r="R213"/>
  <c r="R212"/>
  <c r="R211"/>
  <c r="R210"/>
  <c r="R209"/>
  <c r="R208"/>
  <c r="R207"/>
  <c r="R206"/>
  <c r="R205"/>
  <c r="R204"/>
  <c r="R203"/>
  <c r="R202"/>
  <c r="R201"/>
  <c r="R199"/>
  <c r="R198"/>
  <c r="R195"/>
  <c r="R193"/>
  <c r="R192"/>
  <c r="R191"/>
  <c r="R189"/>
  <c r="R187"/>
  <c r="R186"/>
  <c r="R185"/>
  <c r="R184"/>
  <c r="R183"/>
  <c r="R182"/>
  <c r="R181"/>
  <c r="R180"/>
  <c r="R178"/>
  <c r="R177"/>
  <c r="R176"/>
  <c r="R175"/>
  <c r="R174"/>
  <c r="R173"/>
  <c r="R172"/>
  <c r="R171"/>
  <c r="AT156"/>
  <c r="AT154"/>
  <c r="AT152"/>
  <c r="AT151"/>
  <c r="AT150"/>
  <c r="AT149"/>
  <c r="AT148"/>
  <c r="AT144"/>
  <c r="AT142"/>
  <c r="AT141"/>
  <c r="AT139"/>
  <c r="AT135"/>
  <c r="AT133"/>
  <c r="AT131"/>
  <c r="AT130"/>
  <c r="AT129"/>
  <c r="AT128"/>
  <c r="AT127"/>
  <c r="AT123"/>
  <c r="AT121"/>
  <c r="AT119"/>
  <c r="AT118"/>
  <c r="AT117"/>
  <c r="AT116"/>
  <c r="AT115"/>
  <c r="AT114"/>
  <c r="AT110"/>
  <c r="AT109"/>
  <c r="AT108"/>
  <c r="AT107"/>
  <c r="AT106"/>
  <c r="AT105"/>
  <c r="AT104"/>
  <c r="AT102"/>
  <c r="AT101"/>
  <c r="AT100"/>
  <c r="AT98"/>
  <c r="AT97"/>
  <c r="AT96"/>
  <c r="AT95"/>
  <c r="AT94"/>
  <c r="AT90"/>
  <c r="AT88"/>
  <c r="AT87"/>
  <c r="AT86"/>
  <c r="AT85"/>
  <c r="AT84"/>
  <c r="AT82"/>
  <c r="AT80"/>
  <c r="AT77"/>
  <c r="AT76"/>
  <c r="AT75"/>
  <c r="AT73"/>
  <c r="AT72"/>
  <c r="AT71"/>
  <c r="AT70"/>
  <c r="AT69"/>
  <c r="AT68"/>
  <c r="AT67"/>
  <c r="AT66"/>
  <c r="AT65"/>
  <c r="AT62"/>
  <c r="AT61"/>
  <c r="AT60"/>
  <c r="AT58"/>
  <c r="AT57"/>
  <c r="AT56"/>
  <c r="AT55"/>
  <c r="AT54"/>
  <c r="AT53"/>
  <c r="AT52"/>
  <c r="AT51"/>
  <c r="AT50"/>
  <c r="AT49"/>
  <c r="AT48"/>
  <c r="AT47"/>
  <c r="AT46"/>
  <c r="AT45"/>
  <c r="AT44"/>
  <c r="AT43"/>
  <c r="AT42"/>
  <c r="AT41"/>
  <c r="AT40"/>
  <c r="AT39"/>
  <c r="AT38"/>
  <c r="AT35"/>
  <c r="AT32"/>
  <c r="AT30"/>
  <c r="AT29"/>
  <c r="AT28"/>
  <c r="AT27"/>
  <c r="AT26"/>
  <c r="AT25"/>
  <c r="AT24"/>
  <c r="AT23"/>
  <c r="AT22"/>
  <c r="AT21"/>
  <c r="AT20"/>
  <c r="AT19"/>
  <c r="AT18"/>
  <c r="AT17"/>
  <c r="AT15"/>
  <c r="AT14"/>
  <c r="AT13"/>
  <c r="AT12"/>
  <c r="AT11"/>
  <c r="AT10"/>
  <c r="AT9"/>
  <c r="AT8"/>
  <c r="AP156"/>
  <c r="AP154"/>
  <c r="AP152"/>
  <c r="AP151"/>
  <c r="AP150"/>
  <c r="AP149"/>
  <c r="AP148"/>
  <c r="AP144"/>
  <c r="AP142"/>
  <c r="AP141"/>
  <c r="AP139"/>
  <c r="AP135"/>
  <c r="AP133"/>
  <c r="AP131"/>
  <c r="AP130"/>
  <c r="AP129"/>
  <c r="AP128"/>
  <c r="AP127"/>
  <c r="AP123"/>
  <c r="AP121"/>
  <c r="AP119"/>
  <c r="AP118"/>
  <c r="AP117"/>
  <c r="AP116"/>
  <c r="AP115"/>
  <c r="AP114"/>
  <c r="AP110"/>
  <c r="AP109"/>
  <c r="AP108"/>
  <c r="AP107"/>
  <c r="AP106"/>
  <c r="AP105"/>
  <c r="AP104"/>
  <c r="AP102"/>
  <c r="AP101"/>
  <c r="AP100"/>
  <c r="AP98"/>
  <c r="AP97"/>
  <c r="AP96"/>
  <c r="AP95"/>
  <c r="AP94"/>
  <c r="AP90"/>
  <c r="AP88"/>
  <c r="AP87"/>
  <c r="AP86"/>
  <c r="AP85"/>
  <c r="AP84"/>
  <c r="AP82"/>
  <c r="AP80"/>
  <c r="AP77"/>
  <c r="AP76"/>
  <c r="AP75"/>
  <c r="AP73"/>
  <c r="AP72"/>
  <c r="AP71"/>
  <c r="AP70"/>
  <c r="AP69"/>
  <c r="AP68"/>
  <c r="AP67"/>
  <c r="AP66"/>
  <c r="AP65"/>
  <c r="AP62"/>
  <c r="AP61"/>
  <c r="AP60"/>
  <c r="AP58"/>
  <c r="AP57"/>
  <c r="AP56"/>
  <c r="AP55"/>
  <c r="AP54"/>
  <c r="AP53"/>
  <c r="AP52"/>
  <c r="AP51"/>
  <c r="AP50"/>
  <c r="AP49"/>
  <c r="AP48"/>
  <c r="AP47"/>
  <c r="AP46"/>
  <c r="AP45"/>
  <c r="AP44"/>
  <c r="AP43"/>
  <c r="AP42"/>
  <c r="AP41"/>
  <c r="AP40"/>
  <c r="AP39"/>
  <c r="AP38"/>
  <c r="AP35"/>
  <c r="AP32"/>
  <c r="AP30"/>
  <c r="AP29"/>
  <c r="AP28"/>
  <c r="AP27"/>
  <c r="AP26"/>
  <c r="AP25"/>
  <c r="AP24"/>
  <c r="AP23"/>
  <c r="AP22"/>
  <c r="AP21"/>
  <c r="AP20"/>
  <c r="AP19"/>
  <c r="AP18"/>
  <c r="AP17"/>
  <c r="AP15"/>
  <c r="AP14"/>
  <c r="AP13"/>
  <c r="AP12"/>
  <c r="AP11"/>
  <c r="AP10"/>
  <c r="AP9"/>
  <c r="AP8"/>
  <c r="AL156"/>
  <c r="AL154"/>
  <c r="AL152"/>
  <c r="AL151"/>
  <c r="AL150"/>
  <c r="AL149"/>
  <c r="AL148"/>
  <c r="AL144"/>
  <c r="AL142"/>
  <c r="AL141"/>
  <c r="AL139"/>
  <c r="AL135"/>
  <c r="AL133"/>
  <c r="AL131"/>
  <c r="AL130"/>
  <c r="AL129"/>
  <c r="AL128"/>
  <c r="AL127"/>
  <c r="AL123"/>
  <c r="AL121"/>
  <c r="AL119"/>
  <c r="AL118"/>
  <c r="AL117"/>
  <c r="AL116"/>
  <c r="AL115"/>
  <c r="AL114"/>
  <c r="AL110"/>
  <c r="AL109"/>
  <c r="AL108"/>
  <c r="AL107"/>
  <c r="AL106"/>
  <c r="AL105"/>
  <c r="AL104"/>
  <c r="AL102"/>
  <c r="AL101"/>
  <c r="AL100"/>
  <c r="AL98"/>
  <c r="AL97"/>
  <c r="AL96"/>
  <c r="AL95"/>
  <c r="AL94"/>
  <c r="AL90"/>
  <c r="AL88"/>
  <c r="AL87"/>
  <c r="AL86"/>
  <c r="AL85"/>
  <c r="AL84"/>
  <c r="AL82"/>
  <c r="AL80"/>
  <c r="AL77"/>
  <c r="AL76"/>
  <c r="AL75"/>
  <c r="AL73"/>
  <c r="AL72"/>
  <c r="AL71"/>
  <c r="AL70"/>
  <c r="AL69"/>
  <c r="AL68"/>
  <c r="AL67"/>
  <c r="AL66"/>
  <c r="AL65"/>
  <c r="AL62"/>
  <c r="AL61"/>
  <c r="AL60"/>
  <c r="AL58"/>
  <c r="AL57"/>
  <c r="AL56"/>
  <c r="AL55"/>
  <c r="AL54"/>
  <c r="AL53"/>
  <c r="AL52"/>
  <c r="AL51"/>
  <c r="AL50"/>
  <c r="AL49"/>
  <c r="AL48"/>
  <c r="AL47"/>
  <c r="AL46"/>
  <c r="AL45"/>
  <c r="AL44"/>
  <c r="AL43"/>
  <c r="AL42"/>
  <c r="AL41"/>
  <c r="AL40"/>
  <c r="AL39"/>
  <c r="AL38"/>
  <c r="AL35"/>
  <c r="AL32"/>
  <c r="AL30"/>
  <c r="AL29"/>
  <c r="AL28"/>
  <c r="AL27"/>
  <c r="AL26"/>
  <c r="AL25"/>
  <c r="AL24"/>
  <c r="AL23"/>
  <c r="AL22"/>
  <c r="AL21"/>
  <c r="AL20"/>
  <c r="AL18"/>
  <c r="AL17"/>
  <c r="AL15"/>
  <c r="AL14"/>
  <c r="AL13"/>
  <c r="AL12"/>
  <c r="AL11"/>
  <c r="AL10"/>
  <c r="AL9"/>
  <c r="AL8"/>
  <c r="AD156"/>
  <c r="AD154"/>
  <c r="AD152"/>
  <c r="AD151"/>
  <c r="AD150"/>
  <c r="AD149"/>
  <c r="AD148"/>
  <c r="AD144"/>
  <c r="AD142"/>
  <c r="AD141"/>
  <c r="AD139"/>
  <c r="AD135"/>
  <c r="AD133"/>
  <c r="AD131"/>
  <c r="AD130"/>
  <c r="AD129"/>
  <c r="AD128"/>
  <c r="AD127"/>
  <c r="AD123"/>
  <c r="AD121"/>
  <c r="AD119"/>
  <c r="AD118"/>
  <c r="AD117"/>
  <c r="AD116"/>
  <c r="AD115"/>
  <c r="AD114"/>
  <c r="AD110"/>
  <c r="AD109"/>
  <c r="AD108"/>
  <c r="AD107"/>
  <c r="AD106"/>
  <c r="AD105"/>
  <c r="AD104"/>
  <c r="AD102"/>
  <c r="AD101"/>
  <c r="AD100"/>
  <c r="AD98"/>
  <c r="AD97"/>
  <c r="AD96"/>
  <c r="AD95"/>
  <c r="AD94"/>
  <c r="AD90"/>
  <c r="AD88"/>
  <c r="AD87"/>
  <c r="AD86"/>
  <c r="AD85"/>
  <c r="AD84"/>
  <c r="AD82"/>
  <c r="AD80"/>
  <c r="AD77"/>
  <c r="AD76"/>
  <c r="AD75"/>
  <c r="AD73"/>
  <c r="AD72"/>
  <c r="AD71"/>
  <c r="AD70"/>
  <c r="AD69"/>
  <c r="AD68"/>
  <c r="AD67"/>
  <c r="AD66"/>
  <c r="AD65"/>
  <c r="AD62"/>
  <c r="AD61"/>
  <c r="AD60"/>
  <c r="AD58"/>
  <c r="AD57"/>
  <c r="AD56"/>
  <c r="AD55"/>
  <c r="AD54"/>
  <c r="AD53"/>
  <c r="AD52"/>
  <c r="AD51"/>
  <c r="AD50"/>
  <c r="AD49"/>
  <c r="AD48"/>
  <c r="AD47"/>
  <c r="AD46"/>
  <c r="AD45"/>
  <c r="AD44"/>
  <c r="AD43"/>
  <c r="AD42"/>
  <c r="AD41"/>
  <c r="AD40"/>
  <c r="AD39"/>
  <c r="AD38"/>
  <c r="AD35"/>
  <c r="AD32"/>
  <c r="AD30"/>
  <c r="AD29"/>
  <c r="AD28"/>
  <c r="AD27"/>
  <c r="AD26"/>
  <c r="AD25"/>
  <c r="AD24"/>
  <c r="AD23"/>
  <c r="AD22"/>
  <c r="AD21"/>
  <c r="AD20"/>
  <c r="AD19"/>
  <c r="AD18"/>
  <c r="AD17"/>
  <c r="AD15"/>
  <c r="AD14"/>
  <c r="AD13"/>
  <c r="AD12"/>
  <c r="AD11"/>
  <c r="AD10"/>
  <c r="AD8"/>
  <c r="Z156"/>
  <c r="Z154"/>
  <c r="Z152"/>
  <c r="Z151"/>
  <c r="Z150"/>
  <c r="Z149"/>
  <c r="Z148"/>
  <c r="Z144"/>
  <c r="Z142"/>
  <c r="Z141"/>
  <c r="Z139"/>
  <c r="Z135"/>
  <c r="Z133"/>
  <c r="Z131"/>
  <c r="Z130"/>
  <c r="Z129"/>
  <c r="Z128"/>
  <c r="Z127"/>
  <c r="Z123"/>
  <c r="Z121"/>
  <c r="Z119"/>
  <c r="Z118"/>
  <c r="Z117"/>
  <c r="Z116"/>
  <c r="Z115"/>
  <c r="Z114"/>
  <c r="Z110"/>
  <c r="Z109"/>
  <c r="Z108"/>
  <c r="Z107"/>
  <c r="Z106"/>
  <c r="Z105"/>
  <c r="Z104"/>
  <c r="Z102"/>
  <c r="Z101"/>
  <c r="Z100"/>
  <c r="Z98"/>
  <c r="Z97"/>
  <c r="Z96"/>
  <c r="Z95"/>
  <c r="Z94"/>
  <c r="Z90"/>
  <c r="Z88"/>
  <c r="Z87"/>
  <c r="Z86"/>
  <c r="Z85"/>
  <c r="Z84"/>
  <c r="Z82"/>
  <c r="Z80"/>
  <c r="Z77"/>
  <c r="Z76"/>
  <c r="Z75"/>
  <c r="Z73"/>
  <c r="Z72"/>
  <c r="Z71"/>
  <c r="Z70"/>
  <c r="Z69"/>
  <c r="Z68"/>
  <c r="Z67"/>
  <c r="Z66"/>
  <c r="Z65"/>
  <c r="Z62"/>
  <c r="Z61"/>
  <c r="Z60"/>
  <c r="Z58"/>
  <c r="Z57"/>
  <c r="Z56"/>
  <c r="Z55"/>
  <c r="Z54"/>
  <c r="Z53"/>
  <c r="Z52"/>
  <c r="Z51"/>
  <c r="Z50"/>
  <c r="Z49"/>
  <c r="Z48"/>
  <c r="Z47"/>
  <c r="Z46"/>
  <c r="Z45"/>
  <c r="Z44"/>
  <c r="Z43"/>
  <c r="Z42"/>
  <c r="Z40"/>
  <c r="Z39"/>
  <c r="Z38"/>
  <c r="Z35"/>
  <c r="Z32"/>
  <c r="Z30"/>
  <c r="Z29"/>
  <c r="Z28"/>
  <c r="Z27"/>
  <c r="Z26"/>
  <c r="Z25"/>
  <c r="Z24"/>
  <c r="Z23"/>
  <c r="Z22"/>
  <c r="Z21"/>
  <c r="Z20"/>
  <c r="Z19"/>
  <c r="Z18"/>
  <c r="Z17"/>
  <c r="Z14"/>
  <c r="Z13"/>
  <c r="Z12"/>
  <c r="Z11"/>
  <c r="Z10"/>
  <c r="Z9"/>
  <c r="Z8"/>
  <c r="V156"/>
  <c r="V154"/>
  <c r="V152"/>
  <c r="V151"/>
  <c r="V150"/>
  <c r="V149"/>
  <c r="V148"/>
  <c r="V144"/>
  <c r="V142"/>
  <c r="V141"/>
  <c r="V139"/>
  <c r="V135"/>
  <c r="V133"/>
  <c r="V131"/>
  <c r="V130"/>
  <c r="V129"/>
  <c r="V128"/>
  <c r="V127"/>
  <c r="V123"/>
  <c r="V121"/>
  <c r="V119"/>
  <c r="V118"/>
  <c r="V117"/>
  <c r="V116"/>
  <c r="V115"/>
  <c r="V114"/>
  <c r="V110"/>
  <c r="V109"/>
  <c r="V108"/>
  <c r="V107"/>
  <c r="V106"/>
  <c r="V105"/>
  <c r="V104"/>
  <c r="V102"/>
  <c r="V101"/>
  <c r="V100"/>
  <c r="V98"/>
  <c r="V97"/>
  <c r="V96"/>
  <c r="V95"/>
  <c r="V94"/>
  <c r="V90"/>
  <c r="V88"/>
  <c r="V87"/>
  <c r="V86"/>
  <c r="V85"/>
  <c r="V84"/>
  <c r="V82"/>
  <c r="V80"/>
  <c r="V77"/>
  <c r="V76"/>
  <c r="V75"/>
  <c r="V73"/>
  <c r="V72"/>
  <c r="V71"/>
  <c r="V70"/>
  <c r="V69"/>
  <c r="V68"/>
  <c r="V67"/>
  <c r="V66"/>
  <c r="V65"/>
  <c r="V62"/>
  <c r="V61"/>
  <c r="V60"/>
  <c r="V58"/>
  <c r="V57"/>
  <c r="V56"/>
  <c r="V55"/>
  <c r="V54"/>
  <c r="V53"/>
  <c r="V52"/>
  <c r="V51"/>
  <c r="V50"/>
  <c r="V49"/>
  <c r="V48"/>
  <c r="V47"/>
  <c r="V46"/>
  <c r="V45"/>
  <c r="V44"/>
  <c r="V43"/>
  <c r="V42"/>
  <c r="V41"/>
  <c r="V40"/>
  <c r="V39"/>
  <c r="V38"/>
  <c r="V35"/>
  <c r="V32"/>
  <c r="V30"/>
  <c r="V29"/>
  <c r="V28"/>
  <c r="V27"/>
  <c r="V26"/>
  <c r="V25"/>
  <c r="V24"/>
  <c r="V23"/>
  <c r="V22"/>
  <c r="V21"/>
  <c r="V20"/>
  <c r="V19"/>
  <c r="V18"/>
  <c r="V17"/>
  <c r="V15"/>
  <c r="V14"/>
  <c r="V13"/>
  <c r="V11"/>
  <c r="V10"/>
  <c r="V9"/>
  <c r="V8"/>
  <c r="R156"/>
  <c r="R154"/>
  <c r="R152"/>
  <c r="R151"/>
  <c r="R150"/>
  <c r="R149"/>
  <c r="R148"/>
  <c r="R144"/>
  <c r="R142"/>
  <c r="R141"/>
  <c r="R139"/>
  <c r="R135"/>
  <c r="R133"/>
  <c r="R131"/>
  <c r="R130"/>
  <c r="R129"/>
  <c r="R128"/>
  <c r="R127"/>
  <c r="R123"/>
  <c r="R121"/>
  <c r="R119"/>
  <c r="R118"/>
  <c r="R117"/>
  <c r="R116"/>
  <c r="R115"/>
  <c r="R114"/>
  <c r="R110"/>
  <c r="R109"/>
  <c r="R108"/>
  <c r="R107"/>
  <c r="R106"/>
  <c r="R105"/>
  <c r="R104"/>
  <c r="R102"/>
  <c r="R101"/>
  <c r="R100"/>
  <c r="R98"/>
  <c r="R97"/>
  <c r="R96"/>
  <c r="R95"/>
  <c r="R94"/>
  <c r="R90"/>
  <c r="R88"/>
  <c r="R87"/>
  <c r="R86"/>
  <c r="R85"/>
  <c r="R84"/>
  <c r="R82"/>
  <c r="R80"/>
  <c r="R77"/>
  <c r="R76"/>
  <c r="R75"/>
  <c r="R73"/>
  <c r="R72"/>
  <c r="R71"/>
  <c r="R70"/>
  <c r="R69"/>
  <c r="R68"/>
  <c r="R67"/>
  <c r="R66"/>
  <c r="R65"/>
  <c r="R62"/>
  <c r="R61"/>
  <c r="R60"/>
  <c r="R58"/>
  <c r="R57"/>
  <c r="R56"/>
  <c r="R55"/>
  <c r="R54"/>
  <c r="R53"/>
  <c r="R52"/>
  <c r="R51"/>
  <c r="R50"/>
  <c r="R49"/>
  <c r="R48"/>
  <c r="R47"/>
  <c r="R46"/>
  <c r="R45"/>
  <c r="R44"/>
  <c r="R43"/>
  <c r="R42"/>
  <c r="R41"/>
  <c r="R40"/>
  <c r="R39"/>
  <c r="R38"/>
  <c r="R35"/>
  <c r="R32"/>
  <c r="R30"/>
  <c r="R29"/>
  <c r="R28"/>
  <c r="R26"/>
  <c r="R24"/>
  <c r="R23"/>
  <c r="R22"/>
  <c r="R20"/>
  <c r="R18"/>
  <c r="R17"/>
  <c r="R15"/>
  <c r="R14"/>
  <c r="R13"/>
  <c r="R12"/>
  <c r="R11"/>
  <c r="R10"/>
  <c r="R8"/>
  <c r="AL19"/>
  <c r="AD9"/>
  <c r="Z41"/>
  <c r="Z15"/>
  <c r="R25"/>
  <c r="R19"/>
  <c r="AH172"/>
  <c r="V257"/>
  <c r="R257"/>
  <c r="R312"/>
  <c r="R291"/>
  <c r="V312"/>
  <c r="V291"/>
  <c r="AP172"/>
  <c r="AP204"/>
  <c r="Z190"/>
  <c r="Z188"/>
  <c r="Z177"/>
  <c r="V188"/>
  <c r="R190"/>
  <c r="R188"/>
  <c r="U281" i="85"/>
  <c r="F49" i="133"/>
  <c r="H49" s="1"/>
  <c r="F46"/>
  <c r="F44"/>
  <c r="F43"/>
  <c r="F17" s="1"/>
  <c r="F39"/>
  <c r="F40" s="1"/>
  <c r="F35"/>
  <c r="F15" s="1"/>
  <c r="F31"/>
  <c r="F32" s="1"/>
  <c r="F27"/>
  <c r="F28" s="1"/>
  <c r="H28" s="1"/>
  <c r="F16"/>
  <c r="F14"/>
  <c r="F13"/>
  <c r="F10"/>
  <c r="F6" s="1"/>
  <c r="J8"/>
  <c r="I33" i="132"/>
  <c r="H33"/>
  <c r="G33"/>
  <c r="F33"/>
  <c r="E33"/>
  <c r="D29"/>
  <c r="D33" s="1"/>
  <c r="I28"/>
  <c r="I32" s="1"/>
  <c r="H28"/>
  <c r="H32" s="1"/>
  <c r="G28"/>
  <c r="G32" s="1"/>
  <c r="F28"/>
  <c r="F32" s="1"/>
  <c r="E28"/>
  <c r="E32" s="1"/>
  <c r="D28"/>
  <c r="D32" s="1"/>
  <c r="I27"/>
  <c r="I31" s="1"/>
  <c r="H27"/>
  <c r="H31" s="1"/>
  <c r="G27"/>
  <c r="G31" s="1"/>
  <c r="F27"/>
  <c r="F31" s="1"/>
  <c r="E27"/>
  <c r="E31" s="1"/>
  <c r="D27"/>
  <c r="D31" s="1"/>
  <c r="I26"/>
  <c r="I30" s="1"/>
  <c r="H26"/>
  <c r="H30" s="1"/>
  <c r="G26"/>
  <c r="G30" s="1"/>
  <c r="F26"/>
  <c r="F30" s="1"/>
  <c r="E26"/>
  <c r="E30" s="1"/>
  <c r="D26"/>
  <c r="D30" s="1"/>
  <c r="C21"/>
  <c r="I18"/>
  <c r="H18"/>
  <c r="G18"/>
  <c r="F18"/>
  <c r="E18"/>
  <c r="D18"/>
  <c r="C18"/>
  <c r="C17"/>
  <c r="C16"/>
  <c r="I15"/>
  <c r="I19" s="1"/>
  <c r="H15"/>
  <c r="H19" s="1"/>
  <c r="G15"/>
  <c r="G19" s="1"/>
  <c r="F15"/>
  <c r="F19" s="1"/>
  <c r="E15"/>
  <c r="E19" s="1"/>
  <c r="D15"/>
  <c r="D19" s="1"/>
  <c r="C14"/>
  <c r="C13"/>
  <c r="C15" s="1"/>
  <c r="C19" s="1"/>
  <c r="I11"/>
  <c r="I12" s="1"/>
  <c r="H11"/>
  <c r="G11"/>
  <c r="F11"/>
  <c r="E11"/>
  <c r="L10"/>
  <c r="C10"/>
  <c r="C9"/>
  <c r="I8"/>
  <c r="H8"/>
  <c r="H12" s="1"/>
  <c r="H20" s="1"/>
  <c r="H22" s="1"/>
  <c r="G8"/>
  <c r="F8"/>
  <c r="E8"/>
  <c r="C7"/>
  <c r="C6"/>
  <c r="K16" i="131"/>
  <c r="I16"/>
  <c r="I18" s="1"/>
  <c r="H16"/>
  <c r="H18" s="1"/>
  <c r="G16"/>
  <c r="F16"/>
  <c r="G14"/>
  <c r="J14" s="1"/>
  <c r="J16" s="1"/>
  <c r="K13"/>
  <c r="K18" s="1"/>
  <c r="J13"/>
  <c r="I13"/>
  <c r="H13"/>
  <c r="G13"/>
  <c r="F13"/>
  <c r="F18" s="1"/>
  <c r="J11"/>
  <c r="CE36" i="130"/>
  <c r="CF36" s="1"/>
  <c r="BS36"/>
  <c r="BT36" s="1"/>
  <c r="BG36"/>
  <c r="BH36" s="1"/>
  <c r="AU36"/>
  <c r="AV36" s="1"/>
  <c r="AI36"/>
  <c r="AJ36" s="1"/>
  <c r="W36"/>
  <c r="CF35"/>
  <c r="CE35"/>
  <c r="BS35"/>
  <c r="BT35" s="1"/>
  <c r="BG35"/>
  <c r="BH35" s="1"/>
  <c r="AU35"/>
  <c r="AV35" s="1"/>
  <c r="AI35"/>
  <c r="AJ35" s="1"/>
  <c r="W35"/>
  <c r="CF31"/>
  <c r="CE31"/>
  <c r="CD31"/>
  <c r="CC31"/>
  <c r="CB31"/>
  <c r="CA31"/>
  <c r="BZ31"/>
  <c r="BY31"/>
  <c r="BX31"/>
  <c r="BT31"/>
  <c r="BS31"/>
  <c r="BR31"/>
  <c r="BQ31"/>
  <c r="BP31"/>
  <c r="BO31"/>
  <c r="BN31"/>
  <c r="BM31"/>
  <c r="BL31"/>
  <c r="BF31"/>
  <c r="BE31"/>
  <c r="BD31"/>
  <c r="BC31"/>
  <c r="BB31"/>
  <c r="BA31"/>
  <c r="AZ31"/>
  <c r="AT31"/>
  <c r="AS31"/>
  <c r="AR31"/>
  <c r="AQ31"/>
  <c r="AP31"/>
  <c r="AO31"/>
  <c r="AN31"/>
  <c r="AH31"/>
  <c r="AG31"/>
  <c r="AF31"/>
  <c r="AE31"/>
  <c r="AD31"/>
  <c r="AC31"/>
  <c r="AB31"/>
  <c r="V31"/>
  <c r="U31"/>
  <c r="T31"/>
  <c r="S31"/>
  <c r="R31"/>
  <c r="Q31"/>
  <c r="P31"/>
  <c r="BG30"/>
  <c r="BH30" s="1"/>
  <c r="AU30"/>
  <c r="AV30" s="1"/>
  <c r="AI30"/>
  <c r="AJ30" s="1"/>
  <c r="X30"/>
  <c r="W30"/>
  <c r="I30"/>
  <c r="H30"/>
  <c r="G30"/>
  <c r="F30"/>
  <c r="E30"/>
  <c r="D30"/>
  <c r="C30"/>
  <c r="BG29"/>
  <c r="BH29" s="1"/>
  <c r="AU29"/>
  <c r="AV29" s="1"/>
  <c r="AI29"/>
  <c r="AJ29" s="1"/>
  <c r="W29"/>
  <c r="X29" s="1"/>
  <c r="I29"/>
  <c r="H29"/>
  <c r="G29"/>
  <c r="F29"/>
  <c r="E29"/>
  <c r="D29"/>
  <c r="C29"/>
  <c r="BG28"/>
  <c r="BH28" s="1"/>
  <c r="AU28"/>
  <c r="AV28" s="1"/>
  <c r="AI28"/>
  <c r="AJ28" s="1"/>
  <c r="W28"/>
  <c r="X28" s="1"/>
  <c r="I28"/>
  <c r="H28"/>
  <c r="G28"/>
  <c r="F28"/>
  <c r="E28"/>
  <c r="D28"/>
  <c r="C28"/>
  <c r="BG27"/>
  <c r="BH27" s="1"/>
  <c r="AU27"/>
  <c r="AV27" s="1"/>
  <c r="AI27"/>
  <c r="AJ27" s="1"/>
  <c r="W27"/>
  <c r="I27"/>
  <c r="H27"/>
  <c r="G27"/>
  <c r="F27"/>
  <c r="E27"/>
  <c r="D27"/>
  <c r="C27"/>
  <c r="BG26"/>
  <c r="AU26"/>
  <c r="AV26" s="1"/>
  <c r="AI26"/>
  <c r="AJ26" s="1"/>
  <c r="W26"/>
  <c r="X26" s="1"/>
  <c r="I26"/>
  <c r="H26"/>
  <c r="G26"/>
  <c r="F26"/>
  <c r="E26"/>
  <c r="D26"/>
  <c r="C26"/>
  <c r="CD21"/>
  <c r="CC21"/>
  <c r="CB21"/>
  <c r="CA21"/>
  <c r="BZ21"/>
  <c r="BY21"/>
  <c r="BX21"/>
  <c r="BR21"/>
  <c r="BQ21"/>
  <c r="BP21"/>
  <c r="BO21"/>
  <c r="BN21"/>
  <c r="BM21"/>
  <c r="BL21"/>
  <c r="BF21"/>
  <c r="BE21"/>
  <c r="BD21"/>
  <c r="BC21"/>
  <c r="BB21"/>
  <c r="BA21"/>
  <c r="AZ21"/>
  <c r="AT21"/>
  <c r="AS21"/>
  <c r="AR21"/>
  <c r="AQ21"/>
  <c r="AP21"/>
  <c r="AO21"/>
  <c r="AN21"/>
  <c r="AH21"/>
  <c r="AG21"/>
  <c r="AF21"/>
  <c r="AE21"/>
  <c r="AD21"/>
  <c r="AC21"/>
  <c r="AB21"/>
  <c r="V21"/>
  <c r="U21"/>
  <c r="T21"/>
  <c r="S21"/>
  <c r="R21"/>
  <c r="Q21"/>
  <c r="P21"/>
  <c r="H21"/>
  <c r="G21"/>
  <c r="D21"/>
  <c r="C21"/>
  <c r="CE20"/>
  <c r="CF20" s="1"/>
  <c r="BT20"/>
  <c r="BT21" s="1"/>
  <c r="BS20"/>
  <c r="BS21" s="1"/>
  <c r="BG20"/>
  <c r="BH20" s="1"/>
  <c r="AV20"/>
  <c r="AU20"/>
  <c r="AI20"/>
  <c r="AJ20" s="1"/>
  <c r="X20"/>
  <c r="X21" s="1"/>
  <c r="W20"/>
  <c r="J20" s="1"/>
  <c r="I20"/>
  <c r="H20"/>
  <c r="G20"/>
  <c r="F20"/>
  <c r="E20"/>
  <c r="D20"/>
  <c r="C20"/>
  <c r="K20" s="1"/>
  <c r="CE19"/>
  <c r="CF19" s="1"/>
  <c r="CF21" s="1"/>
  <c r="BT19"/>
  <c r="BS19"/>
  <c r="BG19"/>
  <c r="BH19" s="1"/>
  <c r="BH21" s="1"/>
  <c r="AV19"/>
  <c r="AV21" s="1"/>
  <c r="AU19"/>
  <c r="AU21" s="1"/>
  <c r="AI19"/>
  <c r="AJ19" s="1"/>
  <c r="AJ21" s="1"/>
  <c r="X19"/>
  <c r="W19"/>
  <c r="J19"/>
  <c r="J21" s="1"/>
  <c r="I19"/>
  <c r="I21" s="1"/>
  <c r="H19"/>
  <c r="G19"/>
  <c r="F19"/>
  <c r="F21" s="1"/>
  <c r="E19"/>
  <c r="E21" s="1"/>
  <c r="D19"/>
  <c r="C19"/>
  <c r="K19" s="1"/>
  <c r="CD17"/>
  <c r="CD22" s="1"/>
  <c r="CC17"/>
  <c r="CC22" s="1"/>
  <c r="CB17"/>
  <c r="CB22" s="1"/>
  <c r="CA17"/>
  <c r="CA22" s="1"/>
  <c r="BZ17"/>
  <c r="BZ22" s="1"/>
  <c r="BY17"/>
  <c r="BY22" s="1"/>
  <c r="BX17"/>
  <c r="BX22" s="1"/>
  <c r="BR17"/>
  <c r="BR22" s="1"/>
  <c r="BQ17"/>
  <c r="BQ22" s="1"/>
  <c r="BP17"/>
  <c r="BP22" s="1"/>
  <c r="BO17"/>
  <c r="BO22" s="1"/>
  <c r="BN17"/>
  <c r="BN22" s="1"/>
  <c r="BM17"/>
  <c r="BM22" s="1"/>
  <c r="BL17"/>
  <c r="BL22" s="1"/>
  <c r="BF17"/>
  <c r="BF22" s="1"/>
  <c r="BE17"/>
  <c r="BE22" s="1"/>
  <c r="BD17"/>
  <c r="BD22" s="1"/>
  <c r="BC17"/>
  <c r="BC22" s="1"/>
  <c r="BB17"/>
  <c r="BB22" s="1"/>
  <c r="BA17"/>
  <c r="BA22" s="1"/>
  <c r="AZ17"/>
  <c r="AZ22" s="1"/>
  <c r="AT17"/>
  <c r="AT22" s="1"/>
  <c r="AS17"/>
  <c r="AS22" s="1"/>
  <c r="AR17"/>
  <c r="AR22" s="1"/>
  <c r="AQ17"/>
  <c r="AQ22" s="1"/>
  <c r="AP17"/>
  <c r="AP22" s="1"/>
  <c r="AO17"/>
  <c r="AO22" s="1"/>
  <c r="AN17"/>
  <c r="AN22" s="1"/>
  <c r="AG17"/>
  <c r="AG22" s="1"/>
  <c r="AF17"/>
  <c r="AF22" s="1"/>
  <c r="AE17"/>
  <c r="AE22" s="1"/>
  <c r="AD17"/>
  <c r="AD22" s="1"/>
  <c r="AC17"/>
  <c r="AC22" s="1"/>
  <c r="AB17"/>
  <c r="AB22" s="1"/>
  <c r="U17"/>
  <c r="U22" s="1"/>
  <c r="T17"/>
  <c r="T22" s="1"/>
  <c r="Q17"/>
  <c r="Q22" s="1"/>
  <c r="P17"/>
  <c r="P22" s="1"/>
  <c r="CE16"/>
  <c r="CF16" s="1"/>
  <c r="BT16"/>
  <c r="BS16"/>
  <c r="BG16"/>
  <c r="BH16" s="1"/>
  <c r="AV16"/>
  <c r="AU16"/>
  <c r="AI16"/>
  <c r="AJ16" s="1"/>
  <c r="X16"/>
  <c r="W16"/>
  <c r="J16"/>
  <c r="I16"/>
  <c r="H16"/>
  <c r="G16"/>
  <c r="F16"/>
  <c r="E16"/>
  <c r="D16"/>
  <c r="C16"/>
  <c r="K16" s="1"/>
  <c r="CE15"/>
  <c r="CF15" s="1"/>
  <c r="BS15"/>
  <c r="BT15" s="1"/>
  <c r="BG15"/>
  <c r="BH15" s="1"/>
  <c r="AU15"/>
  <c r="AV15" s="1"/>
  <c r="AI15"/>
  <c r="AJ15" s="1"/>
  <c r="AH17"/>
  <c r="AH22" s="1"/>
  <c r="V17"/>
  <c r="V22" s="1"/>
  <c r="S17"/>
  <c r="S22" s="1"/>
  <c r="R17"/>
  <c r="R22" s="1"/>
  <c r="D15"/>
  <c r="I15"/>
  <c r="H15"/>
  <c r="G15"/>
  <c r="F15"/>
  <c r="C15"/>
  <c r="CF14"/>
  <c r="CE14"/>
  <c r="BS14"/>
  <c r="BT14" s="1"/>
  <c r="BH14"/>
  <c r="BG14"/>
  <c r="AU14"/>
  <c r="AV14" s="1"/>
  <c r="AJ14"/>
  <c r="AI14"/>
  <c r="W14"/>
  <c r="X14" s="1"/>
  <c r="I14"/>
  <c r="H14"/>
  <c r="G14"/>
  <c r="F14"/>
  <c r="E14"/>
  <c r="D14"/>
  <c r="C14"/>
  <c r="CF13"/>
  <c r="CE13"/>
  <c r="BS13"/>
  <c r="BT13" s="1"/>
  <c r="BH13"/>
  <c r="BG13"/>
  <c r="AU13"/>
  <c r="AV13" s="1"/>
  <c r="AJ13"/>
  <c r="AI13"/>
  <c r="W13"/>
  <c r="X13" s="1"/>
  <c r="I13"/>
  <c r="H13"/>
  <c r="G13"/>
  <c r="F13"/>
  <c r="E13"/>
  <c r="D13"/>
  <c r="C13"/>
  <c r="CE12"/>
  <c r="CF12" s="1"/>
  <c r="BT12"/>
  <c r="BS12"/>
  <c r="BG12"/>
  <c r="BH12" s="1"/>
  <c r="AV12"/>
  <c r="AU12"/>
  <c r="AI12"/>
  <c r="AJ12" s="1"/>
  <c r="X12"/>
  <c r="W12"/>
  <c r="I12"/>
  <c r="H12"/>
  <c r="G12"/>
  <c r="F12"/>
  <c r="E12"/>
  <c r="D12"/>
  <c r="C12"/>
  <c r="CE11"/>
  <c r="CF11" s="1"/>
  <c r="BT11"/>
  <c r="BS11"/>
  <c r="BG11"/>
  <c r="BH11" s="1"/>
  <c r="AV11"/>
  <c r="AU11"/>
  <c r="AI11"/>
  <c r="AJ11" s="1"/>
  <c r="X11"/>
  <c r="W11"/>
  <c r="I11"/>
  <c r="H11"/>
  <c r="G11"/>
  <c r="F11"/>
  <c r="E11"/>
  <c r="D11"/>
  <c r="C11"/>
  <c r="CF10"/>
  <c r="CE10"/>
  <c r="BS10"/>
  <c r="BS17" s="1"/>
  <c r="BS22" s="1"/>
  <c r="BS32" s="1"/>
  <c r="BH10"/>
  <c r="BG10"/>
  <c r="AU10"/>
  <c r="AV10" s="1"/>
  <c r="AJ10"/>
  <c r="AI10"/>
  <c r="W10"/>
  <c r="J10"/>
  <c r="I10"/>
  <c r="H10"/>
  <c r="G10"/>
  <c r="F10"/>
  <c r="E10"/>
  <c r="D10"/>
  <c r="C10"/>
  <c r="F66" i="128"/>
  <c r="E66"/>
  <c r="D66"/>
  <c r="C66"/>
  <c r="B66"/>
  <c r="L62"/>
  <c r="M62" s="1"/>
  <c r="L59"/>
  <c r="M59" s="1"/>
  <c r="G57"/>
  <c r="L55"/>
  <c r="M55" s="1"/>
  <c r="G49"/>
  <c r="E41"/>
  <c r="G41" s="1"/>
  <c r="E39"/>
  <c r="G39" s="1"/>
  <c r="E37"/>
  <c r="G37" s="1"/>
  <c r="E36"/>
  <c r="G36" s="1"/>
  <c r="E35"/>
  <c r="G35" s="1"/>
  <c r="J34"/>
  <c r="I34"/>
  <c r="F34"/>
  <c r="D34"/>
  <c r="C34"/>
  <c r="B34"/>
  <c r="E32"/>
  <c r="G32" s="1"/>
  <c r="E31"/>
  <c r="G31" s="1"/>
  <c r="L30"/>
  <c r="E30"/>
  <c r="G30" s="1"/>
  <c r="L29"/>
  <c r="E29"/>
  <c r="G29" s="1"/>
  <c r="J28"/>
  <c r="I28"/>
  <c r="F28"/>
  <c r="D28"/>
  <c r="C28"/>
  <c r="B28"/>
  <c r="L26"/>
  <c r="E26"/>
  <c r="G26" s="1"/>
  <c r="L25"/>
  <c r="E25"/>
  <c r="G25" s="1"/>
  <c r="J24"/>
  <c r="I24"/>
  <c r="F24"/>
  <c r="D24"/>
  <c r="C24"/>
  <c r="B24"/>
  <c r="L22"/>
  <c r="G22"/>
  <c r="G21"/>
  <c r="G20"/>
  <c r="G19"/>
  <c r="J18"/>
  <c r="I18"/>
  <c r="G17"/>
  <c r="G16"/>
  <c r="G15"/>
  <c r="G14"/>
  <c r="G13"/>
  <c r="J12"/>
  <c r="I12"/>
  <c r="F12"/>
  <c r="F10" s="1"/>
  <c r="D12"/>
  <c r="D10" s="1"/>
  <c r="C12"/>
  <c r="C10" s="1"/>
  <c r="B12"/>
  <c r="B10" s="1"/>
  <c r="L11"/>
  <c r="E11"/>
  <c r="G11" s="1"/>
  <c r="L64"/>
  <c r="M64" s="1"/>
  <c r="L60"/>
  <c r="M60" s="1"/>
  <c r="L58"/>
  <c r="M58" s="1"/>
  <c r="L54"/>
  <c r="M54" s="1"/>
  <c r="L53"/>
  <c r="M53" s="1"/>
  <c r="L50"/>
  <c r="M50" s="1"/>
  <c r="L41"/>
  <c r="L39"/>
  <c r="M39" s="1"/>
  <c r="L37"/>
  <c r="L36"/>
  <c r="L31"/>
  <c r="M31" s="1"/>
  <c r="L18"/>
  <c r="L12"/>
  <c r="E8" i="79"/>
  <c r="E24"/>
  <c r="E22"/>
  <c r="F29"/>
  <c r="D29"/>
  <c r="G26"/>
  <c r="E18"/>
  <c r="F14"/>
  <c r="G11"/>
  <c r="G12"/>
  <c r="G10"/>
  <c r="G13"/>
  <c r="BG31" i="130" l="1"/>
  <c r="J27"/>
  <c r="K27" s="1"/>
  <c r="X35"/>
  <c r="K35" s="1"/>
  <c r="J35"/>
  <c r="X36"/>
  <c r="K36" s="1"/>
  <c r="J36"/>
  <c r="J30"/>
  <c r="K30" s="1"/>
  <c r="F36" i="133"/>
  <c r="AV31" i="130"/>
  <c r="BG17"/>
  <c r="BH17"/>
  <c r="BH22" s="1"/>
  <c r="AV17"/>
  <c r="AV22" s="1"/>
  <c r="H17"/>
  <c r="H22" s="1"/>
  <c r="CE17"/>
  <c r="AI17"/>
  <c r="J12"/>
  <c r="K12" s="1"/>
  <c r="C17"/>
  <c r="C22" s="1"/>
  <c r="G17"/>
  <c r="G22" s="1"/>
  <c r="J11"/>
  <c r="I17"/>
  <c r="I22" s="1"/>
  <c r="F17"/>
  <c r="F22" s="1"/>
  <c r="D17"/>
  <c r="D22" s="1"/>
  <c r="K11"/>
  <c r="J14"/>
  <c r="K14" s="1"/>
  <c r="C31"/>
  <c r="G31"/>
  <c r="W31"/>
  <c r="E31"/>
  <c r="I31"/>
  <c r="F31"/>
  <c r="J26"/>
  <c r="D31"/>
  <c r="H31"/>
  <c r="H32" s="1"/>
  <c r="J29"/>
  <c r="K29" s="1"/>
  <c r="AJ31"/>
  <c r="X27"/>
  <c r="X31" s="1"/>
  <c r="C43" i="128"/>
  <c r="I10"/>
  <c r="I43" s="1"/>
  <c r="D43"/>
  <c r="J10"/>
  <c r="G28"/>
  <c r="G24"/>
  <c r="M29"/>
  <c r="M25"/>
  <c r="M30"/>
  <c r="J43"/>
  <c r="M26"/>
  <c r="E28"/>
  <c r="E24"/>
  <c r="G18"/>
  <c r="M18" s="1"/>
  <c r="F16" i="129"/>
  <c r="F17" s="1"/>
  <c r="G12" i="132"/>
  <c r="F12"/>
  <c r="F20" s="1"/>
  <c r="F22" s="1"/>
  <c r="C8"/>
  <c r="E12"/>
  <c r="E20" s="1"/>
  <c r="E22" s="1"/>
  <c r="C11"/>
  <c r="L9"/>
  <c r="G66" i="128"/>
  <c r="G34"/>
  <c r="M36"/>
  <c r="M22"/>
  <c r="G12"/>
  <c r="G10" s="1"/>
  <c r="F43"/>
  <c r="E12"/>
  <c r="E10" s="1"/>
  <c r="B43"/>
  <c r="G18" i="131"/>
  <c r="C49" i="127"/>
  <c r="E48"/>
  <c r="E29"/>
  <c r="E36" i="126"/>
  <c r="E24"/>
  <c r="H19" i="125"/>
  <c r="E37"/>
  <c r="H37" s="1"/>
  <c r="E34" i="124"/>
  <c r="E45" s="1"/>
  <c r="H45" s="1"/>
  <c r="H27"/>
  <c r="E262" i="123"/>
  <c r="H250"/>
  <c r="E288"/>
  <c r="E172"/>
  <c r="E191" s="1"/>
  <c r="C289"/>
  <c r="E48"/>
  <c r="E193" i="122"/>
  <c r="E65"/>
  <c r="C270"/>
  <c r="E25"/>
  <c r="U32" i="130"/>
  <c r="AO32"/>
  <c r="AO34"/>
  <c r="BB32"/>
  <c r="BB34"/>
  <c r="BO32"/>
  <c r="BO34"/>
  <c r="G24" i="132"/>
  <c r="G23"/>
  <c r="R32" i="130"/>
  <c r="AH32"/>
  <c r="AH34"/>
  <c r="T32"/>
  <c r="AD32"/>
  <c r="AD34"/>
  <c r="AN34"/>
  <c r="AN32"/>
  <c r="AR34"/>
  <c r="AR32"/>
  <c r="BA32"/>
  <c r="BA34"/>
  <c r="BE32"/>
  <c r="BE34"/>
  <c r="BN34"/>
  <c r="BN32"/>
  <c r="BR34"/>
  <c r="BR32"/>
  <c r="CA32"/>
  <c r="CA34"/>
  <c r="F24" i="132"/>
  <c r="F23"/>
  <c r="H46" i="133"/>
  <c r="J57"/>
  <c r="AJ17" i="130"/>
  <c r="AJ22" s="1"/>
  <c r="K21"/>
  <c r="L7" i="132"/>
  <c r="M11" i="128"/>
  <c r="V32" i="130"/>
  <c r="Q32"/>
  <c r="AC34"/>
  <c r="AC32"/>
  <c r="AG34"/>
  <c r="AG32"/>
  <c r="AQ32"/>
  <c r="AQ34"/>
  <c r="AZ32"/>
  <c r="AZ34"/>
  <c r="BD32"/>
  <c r="BD34"/>
  <c r="BM32"/>
  <c r="BM34"/>
  <c r="BQ32"/>
  <c r="BQ34"/>
  <c r="BZ32"/>
  <c r="BZ34"/>
  <c r="CD32"/>
  <c r="CD34"/>
  <c r="E23" i="132"/>
  <c r="E24" s="1"/>
  <c r="I24"/>
  <c r="I23"/>
  <c r="J18" i="131"/>
  <c r="G20" i="132"/>
  <c r="G22" s="1"/>
  <c r="S32" i="130"/>
  <c r="AE32"/>
  <c r="AE34"/>
  <c r="F34" s="1"/>
  <c r="AS32"/>
  <c r="AS34"/>
  <c r="BF32"/>
  <c r="BF34"/>
  <c r="BX32"/>
  <c r="BX34"/>
  <c r="CB32"/>
  <c r="CB34"/>
  <c r="P32"/>
  <c r="P34"/>
  <c r="X34" s="1"/>
  <c r="AB32"/>
  <c r="AB34"/>
  <c r="AF32"/>
  <c r="AF34"/>
  <c r="AP32"/>
  <c r="AP34"/>
  <c r="AT32"/>
  <c r="AT34"/>
  <c r="BC34"/>
  <c r="BC32"/>
  <c r="BL32"/>
  <c r="BL34"/>
  <c r="BP32"/>
  <c r="BP34"/>
  <c r="BY34"/>
  <c r="BY32"/>
  <c r="CC34"/>
  <c r="CC32"/>
  <c r="D23" i="132"/>
  <c r="C23" s="1"/>
  <c r="C24" s="1"/>
  <c r="H23"/>
  <c r="H24"/>
  <c r="M37" i="128"/>
  <c r="M41"/>
  <c r="CF17" i="130"/>
  <c r="CF22" s="1"/>
  <c r="CF32" s="1"/>
  <c r="L6" i="132"/>
  <c r="I20"/>
  <c r="I22" s="1"/>
  <c r="F18" i="133"/>
  <c r="H24" s="1"/>
  <c r="H18" s="1"/>
  <c r="H10" s="1"/>
  <c r="J54" s="1"/>
  <c r="K10" i="130"/>
  <c r="W15"/>
  <c r="J15" s="1"/>
  <c r="K15" s="1"/>
  <c r="AU17"/>
  <c r="AU22" s="1"/>
  <c r="AI21"/>
  <c r="CE21"/>
  <c r="AU31"/>
  <c r="D8" i="132"/>
  <c r="E34" i="128"/>
  <c r="E15" i="130"/>
  <c r="E17" s="1"/>
  <c r="E22" s="1"/>
  <c r="W21"/>
  <c r="AI31"/>
  <c r="D11" i="132"/>
  <c r="L35" i="128"/>
  <c r="M35" s="1"/>
  <c r="X10" i="130"/>
  <c r="BT10"/>
  <c r="BT17" s="1"/>
  <c r="BT22" s="1"/>
  <c r="BT32" s="1"/>
  <c r="J13"/>
  <c r="BG21"/>
  <c r="J28"/>
  <c r="K28" s="1"/>
  <c r="K26"/>
  <c r="BH26"/>
  <c r="BH31" s="1"/>
  <c r="E29" i="79"/>
  <c r="G28"/>
  <c r="H34" i="130" l="1"/>
  <c r="E34"/>
  <c r="G34"/>
  <c r="I34"/>
  <c r="D34"/>
  <c r="J31"/>
  <c r="G32"/>
  <c r="D32"/>
  <c r="AV32"/>
  <c r="BG22"/>
  <c r="BG32" s="1"/>
  <c r="I32"/>
  <c r="CE22"/>
  <c r="CE32" s="1"/>
  <c r="AI22"/>
  <c r="AI32" s="1"/>
  <c r="C32"/>
  <c r="F32"/>
  <c r="J17"/>
  <c r="J38" s="1"/>
  <c r="E32"/>
  <c r="K31"/>
  <c r="AU32"/>
  <c r="E43" i="128"/>
  <c r="C12" i="132"/>
  <c r="C20" s="1"/>
  <c r="G43" i="128"/>
  <c r="M12"/>
  <c r="E49" i="127"/>
  <c r="G28" i="126" s="1"/>
  <c r="H28" s="1"/>
  <c r="E289" i="123"/>
  <c r="E270" i="122"/>
  <c r="BH32" i="130"/>
  <c r="D12" i="132"/>
  <c r="D20" s="1"/>
  <c r="D22" s="1"/>
  <c r="C22" s="1"/>
  <c r="CE34" i="130"/>
  <c r="CF34" s="1"/>
  <c r="K13"/>
  <c r="K17" s="1"/>
  <c r="K22" s="1"/>
  <c r="C34"/>
  <c r="AI34"/>
  <c r="D24" i="132"/>
  <c r="H7" i="133"/>
  <c r="AJ32" i="130"/>
  <c r="X15"/>
  <c r="X17" s="1"/>
  <c r="X22" s="1"/>
  <c r="W17"/>
  <c r="W22" s="1"/>
  <c r="W32" s="1"/>
  <c r="BS34"/>
  <c r="BT34" s="1"/>
  <c r="BG34"/>
  <c r="BH34" s="1"/>
  <c r="AU34"/>
  <c r="AV34" s="1"/>
  <c r="AJ34" l="1"/>
  <c r="K34" s="1"/>
  <c r="L34" s="1"/>
  <c r="M34" s="1"/>
  <c r="J34"/>
  <c r="K32"/>
  <c r="J22"/>
  <c r="J32" s="1"/>
  <c r="H289" i="123"/>
  <c r="H270" i="122"/>
  <c r="X32" i="130"/>
  <c r="I37" i="79" l="1"/>
  <c r="I33"/>
  <c r="I29"/>
  <c r="I14"/>
  <c r="G36"/>
  <c r="G32"/>
  <c r="G25"/>
  <c r="G24"/>
  <c r="G23"/>
  <c r="G22"/>
  <c r="G19"/>
  <c r="G9"/>
  <c r="J120" i="78"/>
  <c r="J117"/>
  <c r="J114"/>
  <c r="J111"/>
  <c r="J108"/>
  <c r="J104"/>
  <c r="J106" s="1"/>
  <c r="J96"/>
  <c r="J94"/>
  <c r="J93"/>
  <c r="J92"/>
  <c r="J89"/>
  <c r="J86"/>
  <c r="J83"/>
  <c r="J80"/>
  <c r="J74"/>
  <c r="J67"/>
  <c r="J57"/>
  <c r="J56"/>
  <c r="J55"/>
  <c r="J54"/>
  <c r="J53"/>
  <c r="J52"/>
  <c r="J51"/>
  <c r="J50"/>
  <c r="J46"/>
  <c r="J47" s="1"/>
  <c r="J38"/>
  <c r="J32"/>
  <c r="J15"/>
  <c r="H9"/>
  <c r="H120"/>
  <c r="H117"/>
  <c r="H114"/>
  <c r="H111"/>
  <c r="H108"/>
  <c r="H104"/>
  <c r="H98"/>
  <c r="H96"/>
  <c r="H94"/>
  <c r="H93"/>
  <c r="H92"/>
  <c r="H89"/>
  <c r="H86"/>
  <c r="H83"/>
  <c r="H80"/>
  <c r="H74"/>
  <c r="H73"/>
  <c r="H67"/>
  <c r="H57"/>
  <c r="H56"/>
  <c r="H55"/>
  <c r="H54"/>
  <c r="H53"/>
  <c r="H52"/>
  <c r="H51"/>
  <c r="H50"/>
  <c r="H49"/>
  <c r="H46"/>
  <c r="H38"/>
  <c r="H32"/>
  <c r="H15"/>
  <c r="G119" i="77"/>
  <c r="G117"/>
  <c r="G116"/>
  <c r="G115"/>
  <c r="G114"/>
  <c r="G113"/>
  <c r="G112"/>
  <c r="G111"/>
  <c r="G110"/>
  <c r="G109"/>
  <c r="G108"/>
  <c r="G107"/>
  <c r="G106"/>
  <c r="G105"/>
  <c r="G104"/>
  <c r="G103"/>
  <c r="G101"/>
  <c r="G100"/>
  <c r="G99"/>
  <c r="G98"/>
  <c r="G97"/>
  <c r="G96"/>
  <c r="G94"/>
  <c r="G92"/>
  <c r="G91"/>
  <c r="G90"/>
  <c r="G89"/>
  <c r="G88"/>
  <c r="G87"/>
  <c r="G86"/>
  <c r="G85"/>
  <c r="G84"/>
  <c r="G83"/>
  <c r="G82"/>
  <c r="G81"/>
  <c r="G75"/>
  <c r="G74"/>
  <c r="G73"/>
  <c r="G72"/>
  <c r="G71"/>
  <c r="G70"/>
  <c r="G69"/>
  <c r="G68"/>
  <c r="G67"/>
  <c r="G66"/>
  <c r="G65"/>
  <c r="G64"/>
  <c r="G63"/>
  <c r="G62"/>
  <c r="G59"/>
  <c r="G58"/>
  <c r="G56"/>
  <c r="G55"/>
  <c r="G54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2"/>
  <c r="G31"/>
  <c r="G29"/>
  <c r="G28"/>
  <c r="G27"/>
  <c r="G26"/>
  <c r="G120"/>
  <c r="G77"/>
  <c r="G20"/>
  <c r="G21"/>
  <c r="G22"/>
  <c r="G23"/>
  <c r="G24"/>
  <c r="G19"/>
  <c r="G18"/>
  <c r="G16"/>
  <c r="G15"/>
  <c r="G14"/>
  <c r="G13"/>
  <c r="G12"/>
  <c r="G11"/>
  <c r="G10"/>
  <c r="D9"/>
  <c r="D11"/>
  <c r="F11"/>
  <c r="I123"/>
  <c r="I118"/>
  <c r="J118" s="1"/>
  <c r="I95"/>
  <c r="I76"/>
  <c r="I60"/>
  <c r="I30"/>
  <c r="I25"/>
  <c r="R23" i="75"/>
  <c r="R21"/>
  <c r="R19"/>
  <c r="R18"/>
  <c r="R13"/>
  <c r="R12"/>
  <c r="R10"/>
  <c r="R8"/>
  <c r="R7"/>
  <c r="J24" i="74" l="1"/>
  <c r="I24"/>
  <c r="J23"/>
  <c r="I23"/>
  <c r="J22"/>
  <c r="I22"/>
  <c r="J21"/>
  <c r="I21"/>
  <c r="J20"/>
  <c r="I20"/>
  <c r="J19"/>
  <c r="I19"/>
  <c r="J18"/>
  <c r="I18"/>
  <c r="J17"/>
  <c r="I17"/>
  <c r="J16"/>
  <c r="I16"/>
  <c r="J15"/>
  <c r="I15"/>
  <c r="J14"/>
  <c r="I14"/>
  <c r="J13"/>
  <c r="I13"/>
  <c r="J11"/>
  <c r="I11"/>
  <c r="J10"/>
  <c r="I10"/>
  <c r="J9"/>
  <c r="I9"/>
  <c r="J8"/>
  <c r="I8"/>
  <c r="L44" i="73"/>
  <c r="L43"/>
  <c r="L42"/>
  <c r="L41"/>
  <c r="L39"/>
  <c r="L27"/>
  <c r="L26"/>
  <c r="L25"/>
  <c r="L24"/>
  <c r="L23"/>
  <c r="L22"/>
  <c r="L21"/>
  <c r="L20"/>
  <c r="L19"/>
  <c r="L18"/>
  <c r="L17"/>
  <c r="L16"/>
  <c r="L14"/>
  <c r="L12"/>
  <c r="L10"/>
  <c r="H45"/>
  <c r="H44"/>
  <c r="H43"/>
  <c r="H41"/>
  <c r="H39"/>
  <c r="H27"/>
  <c r="H26"/>
  <c r="H25"/>
  <c r="H24"/>
  <c r="H23"/>
  <c r="H21"/>
  <c r="H20"/>
  <c r="H19"/>
  <c r="H18"/>
  <c r="H17"/>
  <c r="H16"/>
  <c r="H14"/>
  <c r="H12"/>
  <c r="H10"/>
  <c r="G12" i="72"/>
  <c r="Z35" l="1"/>
  <c r="Z34"/>
  <c r="Z33"/>
  <c r="Z32"/>
  <c r="Z31"/>
  <c r="Z30"/>
  <c r="Z29"/>
  <c r="Z28"/>
  <c r="Z27"/>
  <c r="Z25"/>
  <c r="Z24"/>
  <c r="Z23"/>
  <c r="Z22"/>
  <c r="Z21"/>
  <c r="Z20"/>
  <c r="Z19"/>
  <c r="Z18"/>
  <c r="Z17"/>
  <c r="Z13"/>
  <c r="Z11"/>
  <c r="Z10"/>
  <c r="Z9"/>
  <c r="Z8"/>
  <c r="F50"/>
  <c r="F49"/>
  <c r="F48"/>
  <c r="F35"/>
  <c r="F34"/>
  <c r="F33"/>
  <c r="F32"/>
  <c r="F31"/>
  <c r="F30"/>
  <c r="F29"/>
  <c r="F28"/>
  <c r="F27"/>
  <c r="F25"/>
  <c r="F24"/>
  <c r="F23"/>
  <c r="F22"/>
  <c r="F21"/>
  <c r="F20"/>
  <c r="F19"/>
  <c r="F18"/>
  <c r="F17"/>
  <c r="F13"/>
  <c r="F12"/>
  <c r="F11"/>
  <c r="F10"/>
  <c r="F9"/>
  <c r="F8"/>
  <c r="G9"/>
  <c r="G8"/>
  <c r="J308" i="116"/>
  <c r="U140"/>
  <c r="U139"/>
  <c r="U138"/>
  <c r="U137"/>
  <c r="U136"/>
  <c r="U151"/>
  <c r="U150"/>
  <c r="U149"/>
  <c r="U148"/>
  <c r="U147"/>
  <c r="U145"/>
  <c r="U144"/>
  <c r="J151"/>
  <c r="J150"/>
  <c r="J148"/>
  <c r="J147"/>
  <c r="J145"/>
  <c r="J144"/>
  <c r="J140"/>
  <c r="J139"/>
  <c r="J138"/>
  <c r="J137"/>
  <c r="J136"/>
  <c r="U115"/>
  <c r="U114"/>
  <c r="U113"/>
  <c r="U112"/>
  <c r="U111"/>
  <c r="U126"/>
  <c r="U125"/>
  <c r="U124"/>
  <c r="U123"/>
  <c r="U122"/>
  <c r="U121"/>
  <c r="J126"/>
  <c r="J125"/>
  <c r="J124"/>
  <c r="J123"/>
  <c r="J122"/>
  <c r="J115"/>
  <c r="J114"/>
  <c r="J113"/>
  <c r="J112"/>
  <c r="J111"/>
  <c r="U101"/>
  <c r="U99"/>
  <c r="U98"/>
  <c r="U97"/>
  <c r="U95"/>
  <c r="U94"/>
  <c r="J101"/>
  <c r="J98"/>
  <c r="J97"/>
  <c r="J95"/>
  <c r="J94"/>
  <c r="U90"/>
  <c r="U89"/>
  <c r="U88"/>
  <c r="U87"/>
  <c r="U86"/>
  <c r="J90"/>
  <c r="J89"/>
  <c r="J88"/>
  <c r="J87"/>
  <c r="J86"/>
  <c r="U76"/>
  <c r="U73"/>
  <c r="U72"/>
  <c r="U70"/>
  <c r="U69"/>
  <c r="U65"/>
  <c r="U64"/>
  <c r="U63"/>
  <c r="U62"/>
  <c r="U61"/>
  <c r="J76"/>
  <c r="J74"/>
  <c r="J73"/>
  <c r="J72"/>
  <c r="J70"/>
  <c r="J69"/>
  <c r="J65"/>
  <c r="J64"/>
  <c r="J63"/>
  <c r="J61"/>
  <c r="U51"/>
  <c r="U49"/>
  <c r="U48"/>
  <c r="U47"/>
  <c r="U45"/>
  <c r="U44"/>
  <c r="J51"/>
  <c r="J50"/>
  <c r="J49"/>
  <c r="J48"/>
  <c r="J47"/>
  <c r="J45"/>
  <c r="J44"/>
  <c r="U40"/>
  <c r="U39"/>
  <c r="U38"/>
  <c r="U37"/>
  <c r="U36"/>
  <c r="J40"/>
  <c r="J39"/>
  <c r="J38"/>
  <c r="J37"/>
  <c r="J36"/>
  <c r="U26"/>
  <c r="U25"/>
  <c r="U23"/>
  <c r="U22"/>
  <c r="U21"/>
  <c r="U20"/>
  <c r="U19"/>
  <c r="U15"/>
  <c r="U14"/>
  <c r="U13"/>
  <c r="U12"/>
  <c r="U11"/>
  <c r="J19"/>
  <c r="J26"/>
  <c r="J25"/>
  <c r="J23"/>
  <c r="J22"/>
  <c r="J20"/>
  <c r="J15"/>
  <c r="J14"/>
  <c r="J13"/>
  <c r="J12"/>
  <c r="J11"/>
  <c r="Q151"/>
  <c r="Q150"/>
  <c r="Q149"/>
  <c r="Q148"/>
  <c r="Q147"/>
  <c r="Q146"/>
  <c r="Q145"/>
  <c r="Q144"/>
  <c r="Q140"/>
  <c r="Q139"/>
  <c r="Q138"/>
  <c r="Q137"/>
  <c r="Q136"/>
  <c r="F151"/>
  <c r="F150"/>
  <c r="F148"/>
  <c r="F147"/>
  <c r="F145"/>
  <c r="F144"/>
  <c r="F140"/>
  <c r="F139"/>
  <c r="F138"/>
  <c r="F137"/>
  <c r="F136"/>
  <c r="Q126"/>
  <c r="Q125"/>
  <c r="Q124"/>
  <c r="Q123"/>
  <c r="Q122"/>
  <c r="Q121"/>
  <c r="Q115"/>
  <c r="Q114"/>
  <c r="Q113"/>
  <c r="Q112"/>
  <c r="Q111"/>
  <c r="F126"/>
  <c r="F125"/>
  <c r="F124"/>
  <c r="F123"/>
  <c r="F122"/>
  <c r="F115"/>
  <c r="F114"/>
  <c r="F113"/>
  <c r="F112"/>
  <c r="F111"/>
  <c r="F101"/>
  <c r="F98"/>
  <c r="F97"/>
  <c r="F95"/>
  <c r="F94"/>
  <c r="F90"/>
  <c r="F89"/>
  <c r="F88"/>
  <c r="F87"/>
  <c r="F86"/>
  <c r="Q101"/>
  <c r="Q99"/>
  <c r="Q98"/>
  <c r="Q97"/>
  <c r="Q95"/>
  <c r="Q94"/>
  <c r="Q90"/>
  <c r="Q89"/>
  <c r="Q88"/>
  <c r="Q87"/>
  <c r="Q86"/>
  <c r="Q76"/>
  <c r="Q73"/>
  <c r="Q72"/>
  <c r="Q70"/>
  <c r="Q69"/>
  <c r="Q65"/>
  <c r="Q64"/>
  <c r="Q63"/>
  <c r="Q62"/>
  <c r="Q61"/>
  <c r="F76"/>
  <c r="F74"/>
  <c r="F73"/>
  <c r="F72"/>
  <c r="F70"/>
  <c r="F69"/>
  <c r="F65"/>
  <c r="F64"/>
  <c r="F63"/>
  <c r="F62"/>
  <c r="F61"/>
  <c r="F51"/>
  <c r="F50"/>
  <c r="F49"/>
  <c r="F48"/>
  <c r="F47"/>
  <c r="F45"/>
  <c r="F44"/>
  <c r="F40"/>
  <c r="F39"/>
  <c r="F38"/>
  <c r="F37"/>
  <c r="F36"/>
  <c r="Q51"/>
  <c r="Q49"/>
  <c r="Q48"/>
  <c r="Q47"/>
  <c r="Q45"/>
  <c r="Q44"/>
  <c r="Q40"/>
  <c r="Q39"/>
  <c r="Q38"/>
  <c r="Q37"/>
  <c r="Q36"/>
  <c r="Q26"/>
  <c r="Q25"/>
  <c r="Q23"/>
  <c r="Q22"/>
  <c r="Q21"/>
  <c r="Q20"/>
  <c r="Q19"/>
  <c r="F26"/>
  <c r="F25"/>
  <c r="F23"/>
  <c r="F22"/>
  <c r="F21"/>
  <c r="F20"/>
  <c r="F19"/>
  <c r="Q15"/>
  <c r="Q14"/>
  <c r="Q13"/>
  <c r="Q12"/>
  <c r="Q11"/>
  <c r="F15"/>
  <c r="F14"/>
  <c r="F13"/>
  <c r="F12"/>
  <c r="F11"/>
  <c r="I85" i="70"/>
  <c r="I83"/>
  <c r="I82"/>
  <c r="I81"/>
  <c r="I80"/>
  <c r="I79"/>
  <c r="I69"/>
  <c r="I68"/>
  <c r="I67"/>
  <c r="I66"/>
  <c r="I65"/>
  <c r="I64"/>
  <c r="I61"/>
  <c r="I60"/>
  <c r="I59"/>
  <c r="I58"/>
  <c r="I57"/>
  <c r="I56"/>
  <c r="I55"/>
  <c r="I52"/>
  <c r="I51"/>
  <c r="I50"/>
  <c r="I49"/>
  <c r="I48"/>
  <c r="I47"/>
  <c r="I46"/>
  <c r="I42"/>
  <c r="I41"/>
  <c r="I40"/>
  <c r="I39"/>
  <c r="I38"/>
  <c r="I37"/>
  <c r="I34"/>
  <c r="I22"/>
  <c r="I33"/>
  <c r="I32"/>
  <c r="I31"/>
  <c r="I30"/>
  <c r="I29"/>
  <c r="I28"/>
  <c r="I27"/>
  <c r="I26"/>
  <c r="I24"/>
  <c r="I21"/>
  <c r="I20"/>
  <c r="I19"/>
  <c r="I18"/>
  <c r="I17"/>
  <c r="I16"/>
  <c r="I15"/>
  <c r="I14"/>
  <c r="I13"/>
  <c r="I12"/>
  <c r="I11"/>
  <c r="I10"/>
  <c r="I9"/>
  <c r="I25"/>
  <c r="H26"/>
  <c r="H24" s="1"/>
  <c r="G24"/>
  <c r="F24"/>
  <c r="E24"/>
  <c r="D24"/>
  <c r="C24"/>
  <c r="B24"/>
  <c r="G28" l="1"/>
  <c r="K28" s="1"/>
  <c r="F28"/>
  <c r="H9"/>
  <c r="G9"/>
  <c r="F9"/>
  <c r="E9"/>
  <c r="D9"/>
  <c r="C9"/>
  <c r="B9"/>
  <c r="H14"/>
  <c r="C14"/>
  <c r="F14" l="1"/>
  <c r="G14" s="1"/>
  <c r="K14" s="1"/>
  <c r="F15"/>
  <c r="F16"/>
  <c r="G16" s="1"/>
  <c r="K16" s="1"/>
  <c r="F17"/>
  <c r="G13"/>
  <c r="K13" s="1"/>
  <c r="F13"/>
  <c r="G15"/>
  <c r="K15" s="1"/>
  <c r="G17" l="1"/>
  <c r="K17" s="1"/>
  <c r="F12"/>
  <c r="G12" s="1"/>
  <c r="F11"/>
  <c r="N87"/>
  <c r="N85"/>
  <c r="N83"/>
  <c r="N72"/>
  <c r="N70"/>
  <c r="N61"/>
  <c r="N53"/>
  <c r="N43"/>
  <c r="N34"/>
  <c r="N22"/>
  <c r="L85"/>
  <c r="L83"/>
  <c r="L70"/>
  <c r="L61"/>
  <c r="L53"/>
  <c r="L43"/>
  <c r="L34"/>
  <c r="L22"/>
  <c r="H79"/>
  <c r="H83" s="1"/>
  <c r="H68"/>
  <c r="H66"/>
  <c r="H63"/>
  <c r="I63" s="1"/>
  <c r="H59"/>
  <c r="H57"/>
  <c r="H55"/>
  <c r="H51"/>
  <c r="H49"/>
  <c r="H46"/>
  <c r="H41"/>
  <c r="H39"/>
  <c r="H36"/>
  <c r="I36" s="1"/>
  <c r="H32"/>
  <c r="H29"/>
  <c r="H20"/>
  <c r="H18"/>
  <c r="C18"/>
  <c r="C20"/>
  <c r="C32"/>
  <c r="C36"/>
  <c r="C39"/>
  <c r="C41"/>
  <c r="C45"/>
  <c r="C49"/>
  <c r="C51"/>
  <c r="C55"/>
  <c r="C57"/>
  <c r="C59"/>
  <c r="C63"/>
  <c r="C66"/>
  <c r="C68"/>
  <c r="N38" i="69"/>
  <c r="F38"/>
  <c r="D122" i="64"/>
  <c r="E122"/>
  <c r="E120"/>
  <c r="E119"/>
  <c r="E118"/>
  <c r="D118"/>
  <c r="D60"/>
  <c r="D58" s="1"/>
  <c r="D49"/>
  <c r="D44" s="1"/>
  <c r="D184"/>
  <c r="D79" i="109"/>
  <c r="E79" i="97"/>
  <c r="D79"/>
  <c r="D120" i="66"/>
  <c r="F120" s="1"/>
  <c r="E79" i="65"/>
  <c r="D79"/>
  <c r="E239" i="64"/>
  <c r="L184"/>
  <c r="E76"/>
  <c r="K76" s="1"/>
  <c r="D76"/>
  <c r="D73"/>
  <c r="D72" s="1"/>
  <c r="D71" s="1"/>
  <c r="D131"/>
  <c r="D123" s="1"/>
  <c r="E242" i="109"/>
  <c r="F242" s="1"/>
  <c r="F241"/>
  <c r="F240"/>
  <c r="F239"/>
  <c r="E234"/>
  <c r="F234" s="1"/>
  <c r="F233"/>
  <c r="E233"/>
  <c r="E232"/>
  <c r="F232" s="1"/>
  <c r="E230"/>
  <c r="F230" s="1"/>
  <c r="F227"/>
  <c r="E227"/>
  <c r="E226"/>
  <c r="F226" s="1"/>
  <c r="F225"/>
  <c r="E225"/>
  <c r="F223"/>
  <c r="E223"/>
  <c r="F206"/>
  <c r="F205"/>
  <c r="F204"/>
  <c r="F203"/>
  <c r="F202"/>
  <c r="F201"/>
  <c r="F200"/>
  <c r="F199"/>
  <c r="F198"/>
  <c r="F197"/>
  <c r="F196"/>
  <c r="F195"/>
  <c r="E194"/>
  <c r="F194" s="1"/>
  <c r="F191"/>
  <c r="F190"/>
  <c r="F189"/>
  <c r="F188"/>
  <c r="F187"/>
  <c r="F186"/>
  <c r="F185"/>
  <c r="F184"/>
  <c r="F183"/>
  <c r="F182"/>
  <c r="F181"/>
  <c r="F180"/>
  <c r="F179"/>
  <c r="E179"/>
  <c r="E178"/>
  <c r="F178" s="1"/>
  <c r="F175"/>
  <c r="F174"/>
  <c r="F173"/>
  <c r="F172"/>
  <c r="F171"/>
  <c r="F170"/>
  <c r="F169"/>
  <c r="F168"/>
  <c r="F167"/>
  <c r="F166"/>
  <c r="E165"/>
  <c r="F165" s="1"/>
  <c r="F164"/>
  <c r="F163"/>
  <c r="F162"/>
  <c r="F161"/>
  <c r="F160"/>
  <c r="F159"/>
  <c r="E159"/>
  <c r="F158"/>
  <c r="F157"/>
  <c r="F156"/>
  <c r="F155"/>
  <c r="F154"/>
  <c r="F153"/>
  <c r="F152"/>
  <c r="F151"/>
  <c r="E150"/>
  <c r="F148"/>
  <c r="F147"/>
  <c r="E146"/>
  <c r="F146" s="1"/>
  <c r="F145"/>
  <c r="F144"/>
  <c r="F143"/>
  <c r="F142"/>
  <c r="F141"/>
  <c r="F140"/>
  <c r="F139"/>
  <c r="F138"/>
  <c r="F137"/>
  <c r="F136"/>
  <c r="F135"/>
  <c r="F134"/>
  <c r="F133"/>
  <c r="F132"/>
  <c r="E132"/>
  <c r="F131"/>
  <c r="F130"/>
  <c r="F129"/>
  <c r="F128"/>
  <c r="F127"/>
  <c r="F126"/>
  <c r="F125"/>
  <c r="F124"/>
  <c r="E123"/>
  <c r="F123" s="1"/>
  <c r="F122"/>
  <c r="F121"/>
  <c r="F120"/>
  <c r="F119"/>
  <c r="F118"/>
  <c r="F117"/>
  <c r="E116"/>
  <c r="F115"/>
  <c r="F114"/>
  <c r="F113"/>
  <c r="F112"/>
  <c r="F111"/>
  <c r="E110"/>
  <c r="F100"/>
  <c r="F99"/>
  <c r="F98"/>
  <c r="F97"/>
  <c r="F96"/>
  <c r="F95"/>
  <c r="F93"/>
  <c r="F92"/>
  <c r="F91"/>
  <c r="F90"/>
  <c r="F89"/>
  <c r="F85"/>
  <c r="F84"/>
  <c r="F83"/>
  <c r="F82"/>
  <c r="F81"/>
  <c r="F80"/>
  <c r="F78"/>
  <c r="F77"/>
  <c r="F76"/>
  <c r="F75"/>
  <c r="F74"/>
  <c r="F69"/>
  <c r="F68"/>
  <c r="F67"/>
  <c r="F66"/>
  <c r="F65"/>
  <c r="E64"/>
  <c r="F64" s="1"/>
  <c r="F63"/>
  <c r="F62"/>
  <c r="F61"/>
  <c r="F60"/>
  <c r="F59"/>
  <c r="F58"/>
  <c r="E58"/>
  <c r="E50" s="1"/>
  <c r="F57"/>
  <c r="F56"/>
  <c r="F55"/>
  <c r="F54"/>
  <c r="F53"/>
  <c r="F52"/>
  <c r="F51"/>
  <c r="E51"/>
  <c r="F49"/>
  <c r="F48"/>
  <c r="F47"/>
  <c r="F46"/>
  <c r="F45"/>
  <c r="E44"/>
  <c r="F44" s="1"/>
  <c r="F43"/>
  <c r="F42"/>
  <c r="F41"/>
  <c r="F40"/>
  <c r="F39"/>
  <c r="F38"/>
  <c r="F37"/>
  <c r="F36"/>
  <c r="F35"/>
  <c r="F34"/>
  <c r="F33"/>
  <c r="E32"/>
  <c r="F31"/>
  <c r="F30"/>
  <c r="F29"/>
  <c r="F28"/>
  <c r="F27"/>
  <c r="F26"/>
  <c r="E25"/>
  <c r="F25" s="1"/>
  <c r="F24"/>
  <c r="F23"/>
  <c r="F22"/>
  <c r="F21"/>
  <c r="F20"/>
  <c r="F19"/>
  <c r="F18"/>
  <c r="F17"/>
  <c r="F16"/>
  <c r="F15"/>
  <c r="F14"/>
  <c r="F13"/>
  <c r="F12"/>
  <c r="E12"/>
  <c r="E11"/>
  <c r="F11" s="1"/>
  <c r="K241"/>
  <c r="K240"/>
  <c r="K239"/>
  <c r="K234"/>
  <c r="K233"/>
  <c r="K232"/>
  <c r="K230"/>
  <c r="K227"/>
  <c r="K226"/>
  <c r="K225"/>
  <c r="K223"/>
  <c r="K206"/>
  <c r="K205"/>
  <c r="K204"/>
  <c r="K203"/>
  <c r="K202"/>
  <c r="K201"/>
  <c r="K200"/>
  <c r="K199"/>
  <c r="K198"/>
  <c r="K197"/>
  <c r="K196"/>
  <c r="K195"/>
  <c r="K194"/>
  <c r="K191"/>
  <c r="K190"/>
  <c r="K189"/>
  <c r="K188"/>
  <c r="K187"/>
  <c r="K186"/>
  <c r="K185"/>
  <c r="K184"/>
  <c r="K183"/>
  <c r="K182"/>
  <c r="K181"/>
  <c r="K180"/>
  <c r="K179"/>
  <c r="K178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5"/>
  <c r="K114"/>
  <c r="K113"/>
  <c r="K112"/>
  <c r="K111"/>
  <c r="K100"/>
  <c r="K99"/>
  <c r="K98"/>
  <c r="K97"/>
  <c r="K96"/>
  <c r="K95"/>
  <c r="K93"/>
  <c r="K92"/>
  <c r="K91"/>
  <c r="K90"/>
  <c r="K89"/>
  <c r="K85"/>
  <c r="K84"/>
  <c r="K83"/>
  <c r="K82"/>
  <c r="K81"/>
  <c r="K80"/>
  <c r="K78"/>
  <c r="K77"/>
  <c r="K76"/>
  <c r="K75"/>
  <c r="K74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49"/>
  <c r="K48"/>
  <c r="K47"/>
  <c r="K46"/>
  <c r="K45"/>
  <c r="K44"/>
  <c r="K43"/>
  <c r="K42"/>
  <c r="K41"/>
  <c r="K40"/>
  <c r="K39"/>
  <c r="K38"/>
  <c r="K37"/>
  <c r="K36"/>
  <c r="K35"/>
  <c r="K34"/>
  <c r="K33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E242" i="97"/>
  <c r="F242" s="1"/>
  <c r="F241"/>
  <c r="F240"/>
  <c r="F239"/>
  <c r="E234"/>
  <c r="F234" s="1"/>
  <c r="E233"/>
  <c r="F233" s="1"/>
  <c r="E230"/>
  <c r="F230" s="1"/>
  <c r="E227"/>
  <c r="F227" s="1"/>
  <c r="E226"/>
  <c r="F226" s="1"/>
  <c r="E223"/>
  <c r="F206"/>
  <c r="F205"/>
  <c r="F204"/>
  <c r="F203"/>
  <c r="F202"/>
  <c r="F201"/>
  <c r="F200"/>
  <c r="F199"/>
  <c r="F198"/>
  <c r="F197"/>
  <c r="F196"/>
  <c r="F195"/>
  <c r="E194"/>
  <c r="F194" s="1"/>
  <c r="E193"/>
  <c r="F193" s="1"/>
  <c r="F191"/>
  <c r="F190"/>
  <c r="F189"/>
  <c r="F188"/>
  <c r="F187"/>
  <c r="F186"/>
  <c r="F185"/>
  <c r="F184"/>
  <c r="F183"/>
  <c r="F182"/>
  <c r="F181"/>
  <c r="F180"/>
  <c r="E179"/>
  <c r="F179" s="1"/>
  <c r="F175"/>
  <c r="F174"/>
  <c r="F173"/>
  <c r="F172"/>
  <c r="F171"/>
  <c r="F170"/>
  <c r="F169"/>
  <c r="F168"/>
  <c r="F167"/>
  <c r="F166"/>
  <c r="E165"/>
  <c r="F165" s="1"/>
  <c r="F164"/>
  <c r="F163"/>
  <c r="F162"/>
  <c r="F161"/>
  <c r="F160"/>
  <c r="F159"/>
  <c r="E159"/>
  <c r="F158"/>
  <c r="F157"/>
  <c r="F156"/>
  <c r="F155"/>
  <c r="F154"/>
  <c r="F153"/>
  <c r="F152"/>
  <c r="F151"/>
  <c r="F150"/>
  <c r="E150"/>
  <c r="E149" s="1"/>
  <c r="F148"/>
  <c r="F147"/>
  <c r="F146"/>
  <c r="E146"/>
  <c r="F145"/>
  <c r="F144"/>
  <c r="F143"/>
  <c r="F142"/>
  <c r="F141"/>
  <c r="F140"/>
  <c r="F139"/>
  <c r="F138"/>
  <c r="F137"/>
  <c r="F136"/>
  <c r="F135"/>
  <c r="F134"/>
  <c r="F133"/>
  <c r="E132"/>
  <c r="F131"/>
  <c r="F130"/>
  <c r="F129"/>
  <c r="F128"/>
  <c r="F127"/>
  <c r="F126"/>
  <c r="F125"/>
  <c r="F124"/>
  <c r="E123"/>
  <c r="F123" s="1"/>
  <c r="F122"/>
  <c r="F121"/>
  <c r="F120"/>
  <c r="F119"/>
  <c r="F118"/>
  <c r="F117"/>
  <c r="E116"/>
  <c r="E109" s="1"/>
  <c r="F115"/>
  <c r="F114"/>
  <c r="F113"/>
  <c r="F112"/>
  <c r="F111"/>
  <c r="E110"/>
  <c r="F100"/>
  <c r="F99"/>
  <c r="F98"/>
  <c r="F97"/>
  <c r="F96"/>
  <c r="F95"/>
  <c r="F93"/>
  <c r="F92"/>
  <c r="F91"/>
  <c r="F90"/>
  <c r="F89"/>
  <c r="F85"/>
  <c r="F84"/>
  <c r="F83"/>
  <c r="F82"/>
  <c r="F81"/>
  <c r="F80"/>
  <c r="F78"/>
  <c r="F77"/>
  <c r="F76"/>
  <c r="F75"/>
  <c r="F74"/>
  <c r="F69"/>
  <c r="F68"/>
  <c r="F67"/>
  <c r="F66"/>
  <c r="F65"/>
  <c r="E64"/>
  <c r="E50" s="1"/>
  <c r="F63"/>
  <c r="F62"/>
  <c r="F61"/>
  <c r="F60"/>
  <c r="F59"/>
  <c r="F58"/>
  <c r="E58"/>
  <c r="F57"/>
  <c r="F56"/>
  <c r="F55"/>
  <c r="F54"/>
  <c r="F53"/>
  <c r="F52"/>
  <c r="F51"/>
  <c r="E51"/>
  <c r="F49"/>
  <c r="F48"/>
  <c r="F47"/>
  <c r="F46"/>
  <c r="F45"/>
  <c r="E44"/>
  <c r="F44" s="1"/>
  <c r="F43"/>
  <c r="F42"/>
  <c r="F41"/>
  <c r="F40"/>
  <c r="F39"/>
  <c r="F38"/>
  <c r="F37"/>
  <c r="F36"/>
  <c r="F35"/>
  <c r="F34"/>
  <c r="F33"/>
  <c r="F32"/>
  <c r="E32"/>
  <c r="F31"/>
  <c r="F30"/>
  <c r="F29"/>
  <c r="F28"/>
  <c r="F27"/>
  <c r="F26"/>
  <c r="E25"/>
  <c r="F24"/>
  <c r="F23"/>
  <c r="F22"/>
  <c r="F21"/>
  <c r="F20"/>
  <c r="F19"/>
  <c r="F18"/>
  <c r="F17"/>
  <c r="F16"/>
  <c r="F15"/>
  <c r="F14"/>
  <c r="F13"/>
  <c r="F12"/>
  <c r="E12"/>
  <c r="E11"/>
  <c r="E10" s="1"/>
  <c r="K241"/>
  <c r="K240"/>
  <c r="K239"/>
  <c r="K234"/>
  <c r="K230"/>
  <c r="K226"/>
  <c r="K206"/>
  <c r="K205"/>
  <c r="K204"/>
  <c r="K203"/>
  <c r="K202"/>
  <c r="K201"/>
  <c r="K200"/>
  <c r="K199"/>
  <c r="K198"/>
  <c r="K197"/>
  <c r="K196"/>
  <c r="K195"/>
  <c r="K194"/>
  <c r="K191"/>
  <c r="K190"/>
  <c r="K189"/>
  <c r="K188"/>
  <c r="K187"/>
  <c r="K186"/>
  <c r="K185"/>
  <c r="K184"/>
  <c r="K183"/>
  <c r="K182"/>
  <c r="K181"/>
  <c r="K180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8"/>
  <c r="K147"/>
  <c r="K146"/>
  <c r="K145"/>
  <c r="K144"/>
  <c r="K143"/>
  <c r="K142"/>
  <c r="K141"/>
  <c r="K140"/>
  <c r="K139"/>
  <c r="K138"/>
  <c r="K137"/>
  <c r="K136"/>
  <c r="K135"/>
  <c r="K134"/>
  <c r="K133"/>
  <c r="K131"/>
  <c r="K130"/>
  <c r="K129"/>
  <c r="K128"/>
  <c r="K127"/>
  <c r="K126"/>
  <c r="K125"/>
  <c r="K124"/>
  <c r="K123"/>
  <c r="K122"/>
  <c r="K121"/>
  <c r="K120"/>
  <c r="K119"/>
  <c r="K118"/>
  <c r="K117"/>
  <c r="K115"/>
  <c r="K114"/>
  <c r="K113"/>
  <c r="K112"/>
  <c r="K111"/>
  <c r="K100"/>
  <c r="K99"/>
  <c r="K98"/>
  <c r="K97"/>
  <c r="K96"/>
  <c r="K95"/>
  <c r="K93"/>
  <c r="K92"/>
  <c r="K91"/>
  <c r="K90"/>
  <c r="K89"/>
  <c r="K85"/>
  <c r="K84"/>
  <c r="K83"/>
  <c r="K82"/>
  <c r="K81"/>
  <c r="K80"/>
  <c r="K78"/>
  <c r="K77"/>
  <c r="K76"/>
  <c r="K75"/>
  <c r="K74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4"/>
  <c r="K23"/>
  <c r="K22"/>
  <c r="K21"/>
  <c r="K20"/>
  <c r="K19"/>
  <c r="K18"/>
  <c r="K17"/>
  <c r="K16"/>
  <c r="K15"/>
  <c r="K14"/>
  <c r="K13"/>
  <c r="K12"/>
  <c r="E242" i="67"/>
  <c r="F242" s="1"/>
  <c r="F241"/>
  <c r="F240"/>
  <c r="F239"/>
  <c r="E234"/>
  <c r="F234" s="1"/>
  <c r="E233"/>
  <c r="F233" s="1"/>
  <c r="E230"/>
  <c r="F230" s="1"/>
  <c r="E227"/>
  <c r="F227" s="1"/>
  <c r="E226"/>
  <c r="F226" s="1"/>
  <c r="E223"/>
  <c r="F223" s="1"/>
  <c r="F206"/>
  <c r="F205"/>
  <c r="F204"/>
  <c r="F203"/>
  <c r="F202"/>
  <c r="F201"/>
  <c r="F200"/>
  <c r="F199"/>
  <c r="F198"/>
  <c r="F197"/>
  <c r="F196"/>
  <c r="F195"/>
  <c r="F194"/>
  <c r="E194"/>
  <c r="E193"/>
  <c r="F193" s="1"/>
  <c r="F191"/>
  <c r="F190"/>
  <c r="F189"/>
  <c r="F188"/>
  <c r="F187"/>
  <c r="F186"/>
  <c r="F185"/>
  <c r="F184"/>
  <c r="F183"/>
  <c r="F182"/>
  <c r="F181"/>
  <c r="F180"/>
  <c r="E179"/>
  <c r="F179" s="1"/>
  <c r="F175"/>
  <c r="F174"/>
  <c r="F173"/>
  <c r="F172"/>
  <c r="F171"/>
  <c r="F170"/>
  <c r="F169"/>
  <c r="F168"/>
  <c r="F167"/>
  <c r="F166"/>
  <c r="F165"/>
  <c r="E165"/>
  <c r="F164"/>
  <c r="F163"/>
  <c r="F162"/>
  <c r="F161"/>
  <c r="F160"/>
  <c r="E159"/>
  <c r="F158"/>
  <c r="F157"/>
  <c r="F156"/>
  <c r="F155"/>
  <c r="F154"/>
  <c r="F153"/>
  <c r="F152"/>
  <c r="F151"/>
  <c r="E150"/>
  <c r="E149" s="1"/>
  <c r="F148"/>
  <c r="F147"/>
  <c r="F146"/>
  <c r="E146"/>
  <c r="F145"/>
  <c r="F144"/>
  <c r="F143"/>
  <c r="F142"/>
  <c r="F141"/>
  <c r="F140"/>
  <c r="F139"/>
  <c r="F138"/>
  <c r="F137"/>
  <c r="F136"/>
  <c r="F135"/>
  <c r="F134"/>
  <c r="F133"/>
  <c r="E132"/>
  <c r="F132" s="1"/>
  <c r="F131"/>
  <c r="F130"/>
  <c r="F129"/>
  <c r="F128"/>
  <c r="F127"/>
  <c r="F126"/>
  <c r="F125"/>
  <c r="F124"/>
  <c r="F123"/>
  <c r="E123"/>
  <c r="F122"/>
  <c r="F121"/>
  <c r="F120"/>
  <c r="F119"/>
  <c r="F118"/>
  <c r="F117"/>
  <c r="E116"/>
  <c r="F115"/>
  <c r="F114"/>
  <c r="F113"/>
  <c r="F112"/>
  <c r="F111"/>
  <c r="E110"/>
  <c r="F100"/>
  <c r="F99"/>
  <c r="F98"/>
  <c r="F97"/>
  <c r="F96"/>
  <c r="F95"/>
  <c r="F93"/>
  <c r="F92"/>
  <c r="F91"/>
  <c r="F90"/>
  <c r="F89"/>
  <c r="F85"/>
  <c r="F84"/>
  <c r="F83"/>
  <c r="F82"/>
  <c r="F81"/>
  <c r="F80"/>
  <c r="F78"/>
  <c r="F77"/>
  <c r="F76"/>
  <c r="F75"/>
  <c r="F74"/>
  <c r="F69"/>
  <c r="F68"/>
  <c r="F67"/>
  <c r="F66"/>
  <c r="F65"/>
  <c r="F64"/>
  <c r="E64"/>
  <c r="F63"/>
  <c r="F62"/>
  <c r="F61"/>
  <c r="F60"/>
  <c r="F59"/>
  <c r="E58"/>
  <c r="F57"/>
  <c r="F56"/>
  <c r="F55"/>
  <c r="F54"/>
  <c r="F53"/>
  <c r="F52"/>
  <c r="F51"/>
  <c r="E51"/>
  <c r="E50" s="1"/>
  <c r="F49"/>
  <c r="F48"/>
  <c r="F47"/>
  <c r="F46"/>
  <c r="F45"/>
  <c r="E44"/>
  <c r="F43"/>
  <c r="F42"/>
  <c r="F41"/>
  <c r="F40"/>
  <c r="F39"/>
  <c r="F38"/>
  <c r="F37"/>
  <c r="F36"/>
  <c r="F35"/>
  <c r="F34"/>
  <c r="F33"/>
  <c r="E32"/>
  <c r="F31"/>
  <c r="F30"/>
  <c r="F29"/>
  <c r="F28"/>
  <c r="F27"/>
  <c r="F26"/>
  <c r="E25"/>
  <c r="F25" s="1"/>
  <c r="F24"/>
  <c r="F23"/>
  <c r="F22"/>
  <c r="F21"/>
  <c r="F20"/>
  <c r="F19"/>
  <c r="F18"/>
  <c r="F17"/>
  <c r="F16"/>
  <c r="F15"/>
  <c r="F14"/>
  <c r="F13"/>
  <c r="F12"/>
  <c r="E12"/>
  <c r="E11" s="1"/>
  <c r="K241"/>
  <c r="K240"/>
  <c r="K239"/>
  <c r="K234"/>
  <c r="K230"/>
  <c r="K226"/>
  <c r="K206"/>
  <c r="K205"/>
  <c r="K204"/>
  <c r="K203"/>
  <c r="K202"/>
  <c r="K201"/>
  <c r="K200"/>
  <c r="K199"/>
  <c r="K198"/>
  <c r="K197"/>
  <c r="K196"/>
  <c r="K195"/>
  <c r="K194"/>
  <c r="K193"/>
  <c r="K191"/>
  <c r="K190"/>
  <c r="K189"/>
  <c r="K188"/>
  <c r="K187"/>
  <c r="K186"/>
  <c r="K185"/>
  <c r="K184"/>
  <c r="K183"/>
  <c r="K182"/>
  <c r="K181"/>
  <c r="K180"/>
  <c r="K175"/>
  <c r="K174"/>
  <c r="K173"/>
  <c r="K172"/>
  <c r="K171"/>
  <c r="K170"/>
  <c r="K169"/>
  <c r="K168"/>
  <c r="K167"/>
  <c r="K166"/>
  <c r="K165"/>
  <c r="K164"/>
  <c r="K163"/>
  <c r="K162"/>
  <c r="K161"/>
  <c r="K160"/>
  <c r="K158"/>
  <c r="K157"/>
  <c r="K156"/>
  <c r="K155"/>
  <c r="K154"/>
  <c r="K153"/>
  <c r="K152"/>
  <c r="K151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5"/>
  <c r="K114"/>
  <c r="K113"/>
  <c r="K112"/>
  <c r="K111"/>
  <c r="K100"/>
  <c r="K99"/>
  <c r="K98"/>
  <c r="K97"/>
  <c r="K96"/>
  <c r="K95"/>
  <c r="K93"/>
  <c r="K92"/>
  <c r="K91"/>
  <c r="K90"/>
  <c r="K89"/>
  <c r="K85"/>
  <c r="K84"/>
  <c r="K83"/>
  <c r="K82"/>
  <c r="K81"/>
  <c r="K80"/>
  <c r="K78"/>
  <c r="K77"/>
  <c r="K76"/>
  <c r="K75"/>
  <c r="K74"/>
  <c r="K69"/>
  <c r="K68"/>
  <c r="K67"/>
  <c r="K66"/>
  <c r="K65"/>
  <c r="K64"/>
  <c r="K63"/>
  <c r="K62"/>
  <c r="K61"/>
  <c r="K60"/>
  <c r="K59"/>
  <c r="K57"/>
  <c r="K56"/>
  <c r="K55"/>
  <c r="K54"/>
  <c r="K53"/>
  <c r="K52"/>
  <c r="K51"/>
  <c r="K49"/>
  <c r="K48"/>
  <c r="K47"/>
  <c r="K46"/>
  <c r="K45"/>
  <c r="K43"/>
  <c r="K42"/>
  <c r="K41"/>
  <c r="K40"/>
  <c r="K39"/>
  <c r="K38"/>
  <c r="K37"/>
  <c r="K36"/>
  <c r="K35"/>
  <c r="K34"/>
  <c r="K33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F242" i="66"/>
  <c r="E242"/>
  <c r="F241"/>
  <c r="F240"/>
  <c r="F239"/>
  <c r="E234"/>
  <c r="F234" s="1"/>
  <c r="E233"/>
  <c r="F233" s="1"/>
  <c r="E230"/>
  <c r="F230" s="1"/>
  <c r="E227"/>
  <c r="F227" s="1"/>
  <c r="E226"/>
  <c r="F226" s="1"/>
  <c r="E225"/>
  <c r="F225" s="1"/>
  <c r="E223"/>
  <c r="F223" s="1"/>
  <c r="F206"/>
  <c r="F205"/>
  <c r="F204"/>
  <c r="F203"/>
  <c r="F202"/>
  <c r="F201"/>
  <c r="F200"/>
  <c r="F199"/>
  <c r="F198"/>
  <c r="F197"/>
  <c r="F196"/>
  <c r="F195"/>
  <c r="E194"/>
  <c r="F194" s="1"/>
  <c r="E193"/>
  <c r="F193" s="1"/>
  <c r="F191"/>
  <c r="F190"/>
  <c r="F189"/>
  <c r="F188"/>
  <c r="F187"/>
  <c r="F186"/>
  <c r="F185"/>
  <c r="F184"/>
  <c r="F183"/>
  <c r="F182"/>
  <c r="F181"/>
  <c r="F180"/>
  <c r="E179"/>
  <c r="F179" s="1"/>
  <c r="F175"/>
  <c r="F174"/>
  <c r="F173"/>
  <c r="F172"/>
  <c r="F171"/>
  <c r="F170"/>
  <c r="F169"/>
  <c r="F168"/>
  <c r="F167"/>
  <c r="F166"/>
  <c r="E165"/>
  <c r="F165" s="1"/>
  <c r="F164"/>
  <c r="F163"/>
  <c r="F162"/>
  <c r="F161"/>
  <c r="F160"/>
  <c r="F159"/>
  <c r="E159"/>
  <c r="F158"/>
  <c r="F157"/>
  <c r="F156"/>
  <c r="F155"/>
  <c r="F154"/>
  <c r="F153"/>
  <c r="F152"/>
  <c r="F151"/>
  <c r="E150"/>
  <c r="E149" s="1"/>
  <c r="F148"/>
  <c r="F147"/>
  <c r="F146"/>
  <c r="E146"/>
  <c r="F145"/>
  <c r="F144"/>
  <c r="F143"/>
  <c r="F142"/>
  <c r="F141"/>
  <c r="F140"/>
  <c r="F139"/>
  <c r="F138"/>
  <c r="F137"/>
  <c r="F136"/>
  <c r="F135"/>
  <c r="F134"/>
  <c r="F133"/>
  <c r="E132"/>
  <c r="F132" s="1"/>
  <c r="F131"/>
  <c r="F130"/>
  <c r="F129"/>
  <c r="F128"/>
  <c r="F127"/>
  <c r="F126"/>
  <c r="F125"/>
  <c r="F124"/>
  <c r="E123"/>
  <c r="F123" s="1"/>
  <c r="F122"/>
  <c r="F121"/>
  <c r="F119"/>
  <c r="F118"/>
  <c r="F117"/>
  <c r="E116"/>
  <c r="F115"/>
  <c r="F114"/>
  <c r="F113"/>
  <c r="F112"/>
  <c r="F111"/>
  <c r="E110"/>
  <c r="F100"/>
  <c r="F99"/>
  <c r="F98"/>
  <c r="F97"/>
  <c r="F96"/>
  <c r="F95"/>
  <c r="F93"/>
  <c r="F92"/>
  <c r="F91"/>
  <c r="F90"/>
  <c r="F89"/>
  <c r="F85"/>
  <c r="F84"/>
  <c r="F83"/>
  <c r="F82"/>
  <c r="F81"/>
  <c r="F80"/>
  <c r="F78"/>
  <c r="F77"/>
  <c r="F76"/>
  <c r="F75"/>
  <c r="F74"/>
  <c r="F69"/>
  <c r="F68"/>
  <c r="F67"/>
  <c r="F66"/>
  <c r="F65"/>
  <c r="E64"/>
  <c r="F64" s="1"/>
  <c r="F63"/>
  <c r="F62"/>
  <c r="F61"/>
  <c r="F60"/>
  <c r="F59"/>
  <c r="F58"/>
  <c r="E58"/>
  <c r="F57"/>
  <c r="F56"/>
  <c r="F55"/>
  <c r="F54"/>
  <c r="F53"/>
  <c r="F52"/>
  <c r="F51"/>
  <c r="E51"/>
  <c r="E50"/>
  <c r="F49"/>
  <c r="F48"/>
  <c r="F47"/>
  <c r="F46"/>
  <c r="F45"/>
  <c r="E44"/>
  <c r="F44" s="1"/>
  <c r="F43"/>
  <c r="F42"/>
  <c r="F41"/>
  <c r="F40"/>
  <c r="F39"/>
  <c r="F38"/>
  <c r="F37"/>
  <c r="F36"/>
  <c r="F35"/>
  <c r="F34"/>
  <c r="F33"/>
  <c r="E32"/>
  <c r="F31"/>
  <c r="F30"/>
  <c r="F29"/>
  <c r="F28"/>
  <c r="F27"/>
  <c r="F26"/>
  <c r="E25"/>
  <c r="F25" s="1"/>
  <c r="F24"/>
  <c r="F23"/>
  <c r="F22"/>
  <c r="F21"/>
  <c r="F20"/>
  <c r="F19"/>
  <c r="F18"/>
  <c r="F17"/>
  <c r="F16"/>
  <c r="F15"/>
  <c r="F14"/>
  <c r="F13"/>
  <c r="F12"/>
  <c r="E12"/>
  <c r="E11"/>
  <c r="F11" s="1"/>
  <c r="K241"/>
  <c r="K240"/>
  <c r="K239"/>
  <c r="K234"/>
  <c r="K233"/>
  <c r="K230"/>
  <c r="K227"/>
  <c r="K226"/>
  <c r="K225"/>
  <c r="K223"/>
  <c r="K206"/>
  <c r="K205"/>
  <c r="K204"/>
  <c r="K203"/>
  <c r="K202"/>
  <c r="K201"/>
  <c r="K200"/>
  <c r="K199"/>
  <c r="K198"/>
  <c r="K197"/>
  <c r="K196"/>
  <c r="K195"/>
  <c r="K194"/>
  <c r="K193"/>
  <c r="K191"/>
  <c r="K190"/>
  <c r="K189"/>
  <c r="K188"/>
  <c r="K187"/>
  <c r="K186"/>
  <c r="K185"/>
  <c r="K184"/>
  <c r="K183"/>
  <c r="K182"/>
  <c r="K181"/>
  <c r="K180"/>
  <c r="K179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5"/>
  <c r="K114"/>
  <c r="K113"/>
  <c r="K112"/>
  <c r="K111"/>
  <c r="K100"/>
  <c r="K99"/>
  <c r="K98"/>
  <c r="K97"/>
  <c r="K96"/>
  <c r="K95"/>
  <c r="K93"/>
  <c r="K92"/>
  <c r="K91"/>
  <c r="K90"/>
  <c r="K89"/>
  <c r="K85"/>
  <c r="K84"/>
  <c r="K83"/>
  <c r="K82"/>
  <c r="K81"/>
  <c r="K80"/>
  <c r="K78"/>
  <c r="K77"/>
  <c r="K76"/>
  <c r="K75"/>
  <c r="K74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E242" i="65"/>
  <c r="F241"/>
  <c r="F240"/>
  <c r="F239"/>
  <c r="E233"/>
  <c r="F233" s="1"/>
  <c r="F230"/>
  <c r="E230"/>
  <c r="F226"/>
  <c r="E226"/>
  <c r="E223"/>
  <c r="F223" s="1"/>
  <c r="F206"/>
  <c r="F205"/>
  <c r="F204"/>
  <c r="F203"/>
  <c r="F202"/>
  <c r="F201"/>
  <c r="F200"/>
  <c r="F199"/>
  <c r="E194"/>
  <c r="F198"/>
  <c r="F197"/>
  <c r="F196"/>
  <c r="F195"/>
  <c r="F191"/>
  <c r="F190"/>
  <c r="F189"/>
  <c r="F188"/>
  <c r="F187"/>
  <c r="F186"/>
  <c r="F185"/>
  <c r="F184"/>
  <c r="F183"/>
  <c r="F182"/>
  <c r="F181"/>
  <c r="F180"/>
  <c r="F175"/>
  <c r="F174"/>
  <c r="F173"/>
  <c r="F172"/>
  <c r="F171"/>
  <c r="F170"/>
  <c r="F169"/>
  <c r="F168"/>
  <c r="F167"/>
  <c r="F166"/>
  <c r="E165"/>
  <c r="F165" s="1"/>
  <c r="F164"/>
  <c r="F163"/>
  <c r="F162"/>
  <c r="F161"/>
  <c r="F160"/>
  <c r="F159"/>
  <c r="E159"/>
  <c r="F158"/>
  <c r="F157"/>
  <c r="F156"/>
  <c r="F155"/>
  <c r="F154"/>
  <c r="F153"/>
  <c r="F152"/>
  <c r="F151"/>
  <c r="E150"/>
  <c r="E149" s="1"/>
  <c r="E94" s="1"/>
  <c r="F148"/>
  <c r="F147"/>
  <c r="F146"/>
  <c r="E146"/>
  <c r="F145"/>
  <c r="F144"/>
  <c r="F143"/>
  <c r="F142"/>
  <c r="F141"/>
  <c r="F140"/>
  <c r="F139"/>
  <c r="F138"/>
  <c r="F137"/>
  <c r="F136"/>
  <c r="F135"/>
  <c r="F134"/>
  <c r="F133"/>
  <c r="F132"/>
  <c r="E132"/>
  <c r="F131"/>
  <c r="F130"/>
  <c r="F129"/>
  <c r="F128"/>
  <c r="F127"/>
  <c r="F126"/>
  <c r="F125"/>
  <c r="F124"/>
  <c r="E123"/>
  <c r="F123" s="1"/>
  <c r="F122"/>
  <c r="F121"/>
  <c r="F120"/>
  <c r="F119"/>
  <c r="F118"/>
  <c r="F117"/>
  <c r="E116"/>
  <c r="F115"/>
  <c r="F114"/>
  <c r="F113"/>
  <c r="F112"/>
  <c r="F111"/>
  <c r="E110"/>
  <c r="F100"/>
  <c r="F99"/>
  <c r="F98"/>
  <c r="F97"/>
  <c r="F96"/>
  <c r="F95"/>
  <c r="F93"/>
  <c r="F92"/>
  <c r="F91"/>
  <c r="F90"/>
  <c r="F89"/>
  <c r="F85"/>
  <c r="F84"/>
  <c r="F83"/>
  <c r="F82"/>
  <c r="F81"/>
  <c r="F80"/>
  <c r="F78"/>
  <c r="F77"/>
  <c r="F76"/>
  <c r="F75"/>
  <c r="F74"/>
  <c r="F69"/>
  <c r="F68"/>
  <c r="F67"/>
  <c r="F66"/>
  <c r="F65"/>
  <c r="F64"/>
  <c r="E64"/>
  <c r="F63"/>
  <c r="F62"/>
  <c r="F61"/>
  <c r="F60"/>
  <c r="F59"/>
  <c r="F58"/>
  <c r="E58"/>
  <c r="F57"/>
  <c r="F56"/>
  <c r="F55"/>
  <c r="F54"/>
  <c r="F53"/>
  <c r="F52"/>
  <c r="F51"/>
  <c r="E51"/>
  <c r="E50" s="1"/>
  <c r="F49"/>
  <c r="F48"/>
  <c r="F47"/>
  <c r="F46"/>
  <c r="F45"/>
  <c r="F44"/>
  <c r="E44"/>
  <c r="F43"/>
  <c r="F42"/>
  <c r="F41"/>
  <c r="F40"/>
  <c r="F39"/>
  <c r="F38"/>
  <c r="F37"/>
  <c r="F36"/>
  <c r="F35"/>
  <c r="F34"/>
  <c r="F33"/>
  <c r="E32"/>
  <c r="F31"/>
  <c r="F30"/>
  <c r="F29"/>
  <c r="F28"/>
  <c r="F27"/>
  <c r="F26"/>
  <c r="E25"/>
  <c r="F24"/>
  <c r="F23"/>
  <c r="F22"/>
  <c r="F21"/>
  <c r="F20"/>
  <c r="F19"/>
  <c r="F18"/>
  <c r="F17"/>
  <c r="F16"/>
  <c r="F15"/>
  <c r="F14"/>
  <c r="F13"/>
  <c r="F12"/>
  <c r="E12"/>
  <c r="E11" s="1"/>
  <c r="K241"/>
  <c r="K240"/>
  <c r="K239"/>
  <c r="K230"/>
  <c r="K226"/>
  <c r="K206"/>
  <c r="K205"/>
  <c r="K204"/>
  <c r="K203"/>
  <c r="K202"/>
  <c r="K201"/>
  <c r="K200"/>
  <c r="K199"/>
  <c r="K198"/>
  <c r="K197"/>
  <c r="K196"/>
  <c r="K195"/>
  <c r="K191"/>
  <c r="K190"/>
  <c r="K189"/>
  <c r="K188"/>
  <c r="K187"/>
  <c r="K186"/>
  <c r="K185"/>
  <c r="K184"/>
  <c r="K183"/>
  <c r="K182"/>
  <c r="K181"/>
  <c r="K180"/>
  <c r="K175"/>
  <c r="K174"/>
  <c r="K173"/>
  <c r="K172"/>
  <c r="K171"/>
  <c r="K170"/>
  <c r="K169"/>
  <c r="K168"/>
  <c r="K167"/>
  <c r="K166"/>
  <c r="K164"/>
  <c r="K163"/>
  <c r="K162"/>
  <c r="K161"/>
  <c r="K160"/>
  <c r="K159"/>
  <c r="K158"/>
  <c r="K157"/>
  <c r="K156"/>
  <c r="K155"/>
  <c r="K154"/>
  <c r="K153"/>
  <c r="K152"/>
  <c r="K151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2"/>
  <c r="K121"/>
  <c r="K120"/>
  <c r="K119"/>
  <c r="K118"/>
  <c r="K117"/>
  <c r="K115"/>
  <c r="K114"/>
  <c r="K113"/>
  <c r="K112"/>
  <c r="K111"/>
  <c r="K100"/>
  <c r="K99"/>
  <c r="K98"/>
  <c r="K97"/>
  <c r="K96"/>
  <c r="K95"/>
  <c r="K93"/>
  <c r="K92"/>
  <c r="K91"/>
  <c r="K90"/>
  <c r="K89"/>
  <c r="K85"/>
  <c r="K84"/>
  <c r="K83"/>
  <c r="K82"/>
  <c r="K81"/>
  <c r="K80"/>
  <c r="K78"/>
  <c r="K77"/>
  <c r="K76"/>
  <c r="K75"/>
  <c r="K74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49"/>
  <c r="K48"/>
  <c r="K47"/>
  <c r="K46"/>
  <c r="K45"/>
  <c r="K44"/>
  <c r="K43"/>
  <c r="K42"/>
  <c r="K41"/>
  <c r="K40"/>
  <c r="K39"/>
  <c r="K38"/>
  <c r="K37"/>
  <c r="K36"/>
  <c r="K35"/>
  <c r="K34"/>
  <c r="K33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F241" i="64"/>
  <c r="F240"/>
  <c r="F239"/>
  <c r="F233"/>
  <c r="F226"/>
  <c r="F206"/>
  <c r="F205"/>
  <c r="F204"/>
  <c r="F203"/>
  <c r="F202"/>
  <c r="F201"/>
  <c r="F200"/>
  <c r="F198"/>
  <c r="F197"/>
  <c r="F196"/>
  <c r="F195"/>
  <c r="F191"/>
  <c r="F190"/>
  <c r="F189"/>
  <c r="F188"/>
  <c r="F187"/>
  <c r="F186"/>
  <c r="F185"/>
  <c r="F183"/>
  <c r="F182"/>
  <c r="F181"/>
  <c r="F180"/>
  <c r="F175"/>
  <c r="F174"/>
  <c r="F173"/>
  <c r="F172"/>
  <c r="F171"/>
  <c r="F170"/>
  <c r="F169"/>
  <c r="F168"/>
  <c r="F167"/>
  <c r="F166"/>
  <c r="F164"/>
  <c r="F163"/>
  <c r="F162"/>
  <c r="F161"/>
  <c r="F160"/>
  <c r="F158"/>
  <c r="F157"/>
  <c r="F156"/>
  <c r="F155"/>
  <c r="F154"/>
  <c r="F153"/>
  <c r="F152"/>
  <c r="F151"/>
  <c r="F148"/>
  <c r="F147"/>
  <c r="F145"/>
  <c r="F144"/>
  <c r="F143"/>
  <c r="F142"/>
  <c r="F141"/>
  <c r="F140"/>
  <c r="F139"/>
  <c r="F138"/>
  <c r="F137"/>
  <c r="F136"/>
  <c r="F135"/>
  <c r="F134"/>
  <c r="F133"/>
  <c r="F130"/>
  <c r="F129"/>
  <c r="F128"/>
  <c r="F127"/>
  <c r="F126"/>
  <c r="F125"/>
  <c r="F124"/>
  <c r="F121"/>
  <c r="F120"/>
  <c r="F119"/>
  <c r="F117"/>
  <c r="F115"/>
  <c r="F114"/>
  <c r="F113"/>
  <c r="F112"/>
  <c r="F111"/>
  <c r="F100"/>
  <c r="F99"/>
  <c r="F98"/>
  <c r="F97"/>
  <c r="F96"/>
  <c r="F95"/>
  <c r="F94"/>
  <c r="F93"/>
  <c r="F92"/>
  <c r="F91"/>
  <c r="F90"/>
  <c r="F89"/>
  <c r="F85"/>
  <c r="F84"/>
  <c r="F83"/>
  <c r="F82"/>
  <c r="F81"/>
  <c r="F80"/>
  <c r="F79"/>
  <c r="F78"/>
  <c r="F77"/>
  <c r="F75"/>
  <c r="F74"/>
  <c r="F69"/>
  <c r="F68"/>
  <c r="F67"/>
  <c r="F66"/>
  <c r="F65"/>
  <c r="F63"/>
  <c r="F62"/>
  <c r="F61"/>
  <c r="F60"/>
  <c r="F59"/>
  <c r="F57"/>
  <c r="F56"/>
  <c r="F55"/>
  <c r="F54"/>
  <c r="F53"/>
  <c r="F52"/>
  <c r="F48"/>
  <c r="F47"/>
  <c r="F46"/>
  <c r="F45"/>
  <c r="F43"/>
  <c r="F42"/>
  <c r="F41"/>
  <c r="F40"/>
  <c r="F39"/>
  <c r="F38"/>
  <c r="F37"/>
  <c r="F36"/>
  <c r="F35"/>
  <c r="F34"/>
  <c r="F33"/>
  <c r="F31"/>
  <c r="F30"/>
  <c r="F29"/>
  <c r="F28"/>
  <c r="F27"/>
  <c r="F26"/>
  <c r="F24"/>
  <c r="F23"/>
  <c r="F22"/>
  <c r="F21"/>
  <c r="F20"/>
  <c r="F19"/>
  <c r="F18"/>
  <c r="F17"/>
  <c r="F16"/>
  <c r="F15"/>
  <c r="F14"/>
  <c r="F13"/>
  <c r="K241"/>
  <c r="K240"/>
  <c r="K239"/>
  <c r="K233"/>
  <c r="K226"/>
  <c r="K206"/>
  <c r="K205"/>
  <c r="K204"/>
  <c r="K203"/>
  <c r="K202"/>
  <c r="K201"/>
  <c r="K200"/>
  <c r="K198"/>
  <c r="K197"/>
  <c r="K196"/>
  <c r="K195"/>
  <c r="K191"/>
  <c r="K190"/>
  <c r="K189"/>
  <c r="K188"/>
  <c r="K187"/>
  <c r="K186"/>
  <c r="K185"/>
  <c r="K183"/>
  <c r="K182"/>
  <c r="K181"/>
  <c r="K180"/>
  <c r="K175"/>
  <c r="K174"/>
  <c r="K173"/>
  <c r="K172"/>
  <c r="K171"/>
  <c r="K170"/>
  <c r="K169"/>
  <c r="K168"/>
  <c r="K167"/>
  <c r="K166"/>
  <c r="K164"/>
  <c r="K163"/>
  <c r="K162"/>
  <c r="K161"/>
  <c r="K160"/>
  <c r="K158"/>
  <c r="K157"/>
  <c r="K156"/>
  <c r="K155"/>
  <c r="K154"/>
  <c r="K153"/>
  <c r="K152"/>
  <c r="K151"/>
  <c r="K148"/>
  <c r="K147"/>
  <c r="K145"/>
  <c r="K144"/>
  <c r="K143"/>
  <c r="K142"/>
  <c r="K141"/>
  <c r="K140"/>
  <c r="K139"/>
  <c r="K138"/>
  <c r="K137"/>
  <c r="K136"/>
  <c r="K135"/>
  <c r="K134"/>
  <c r="K133"/>
  <c r="K131"/>
  <c r="K130"/>
  <c r="K129"/>
  <c r="K128"/>
  <c r="K127"/>
  <c r="K126"/>
  <c r="K125"/>
  <c r="K124"/>
  <c r="K121"/>
  <c r="K120"/>
  <c r="K119"/>
  <c r="K118"/>
  <c r="K117"/>
  <c r="K115"/>
  <c r="K114"/>
  <c r="K113"/>
  <c r="K112"/>
  <c r="K111"/>
  <c r="K100"/>
  <c r="K99"/>
  <c r="K98"/>
  <c r="K97"/>
  <c r="K96"/>
  <c r="K95"/>
  <c r="K94"/>
  <c r="K93"/>
  <c r="K92"/>
  <c r="K91"/>
  <c r="K90"/>
  <c r="K89"/>
  <c r="K85"/>
  <c r="K84"/>
  <c r="K83"/>
  <c r="K82"/>
  <c r="K81"/>
  <c r="K80"/>
  <c r="K79"/>
  <c r="K78"/>
  <c r="K77"/>
  <c r="K75"/>
  <c r="K74"/>
  <c r="K69"/>
  <c r="K68"/>
  <c r="K67"/>
  <c r="K66"/>
  <c r="K65"/>
  <c r="K63"/>
  <c r="K62"/>
  <c r="K61"/>
  <c r="K60"/>
  <c r="K59"/>
  <c r="K57"/>
  <c r="K56"/>
  <c r="K55"/>
  <c r="K54"/>
  <c r="K53"/>
  <c r="K52"/>
  <c r="K49"/>
  <c r="K48"/>
  <c r="K47"/>
  <c r="K46"/>
  <c r="K45"/>
  <c r="K43"/>
  <c r="K42"/>
  <c r="K41"/>
  <c r="K40"/>
  <c r="K39"/>
  <c r="K38"/>
  <c r="K37"/>
  <c r="K36"/>
  <c r="K35"/>
  <c r="K34"/>
  <c r="K33"/>
  <c r="K31"/>
  <c r="K30"/>
  <c r="K29"/>
  <c r="K28"/>
  <c r="K27"/>
  <c r="K26"/>
  <c r="K24"/>
  <c r="K23"/>
  <c r="K22"/>
  <c r="K21"/>
  <c r="K20"/>
  <c r="K19"/>
  <c r="K18"/>
  <c r="K17"/>
  <c r="K16"/>
  <c r="K15"/>
  <c r="K14"/>
  <c r="K13"/>
  <c r="D12"/>
  <c r="D11" s="1"/>
  <c r="D25"/>
  <c r="D32"/>
  <c r="D51"/>
  <c r="D64"/>
  <c r="D88"/>
  <c r="D87" s="1"/>
  <c r="D86" s="1"/>
  <c r="D110"/>
  <c r="D146"/>
  <c r="D132" s="1"/>
  <c r="D150"/>
  <c r="D159"/>
  <c r="D165"/>
  <c r="D224"/>
  <c r="D226"/>
  <c r="D230"/>
  <c r="D231"/>
  <c r="D233"/>
  <c r="D241"/>
  <c r="D242"/>
  <c r="K199" i="61"/>
  <c r="K184"/>
  <c r="K94"/>
  <c r="K79"/>
  <c r="F199"/>
  <c r="F184"/>
  <c r="F94"/>
  <c r="F79"/>
  <c r="G11" i="70" l="1"/>
  <c r="K11" s="1"/>
  <c r="K12"/>
  <c r="O83"/>
  <c r="H43"/>
  <c r="H61"/>
  <c r="O61" s="1"/>
  <c r="H45"/>
  <c r="I45" s="1"/>
  <c r="H85"/>
  <c r="O85" s="1"/>
  <c r="H22"/>
  <c r="O22" s="1"/>
  <c r="H70"/>
  <c r="C61"/>
  <c r="C29"/>
  <c r="C70"/>
  <c r="C43"/>
  <c r="C53"/>
  <c r="C22"/>
  <c r="F122" i="64"/>
  <c r="K122"/>
  <c r="F118"/>
  <c r="D116"/>
  <c r="D109" s="1"/>
  <c r="F49"/>
  <c r="E109" i="109"/>
  <c r="F50"/>
  <c r="K50"/>
  <c r="K242" i="97"/>
  <c r="E109" i="67"/>
  <c r="E176" s="1"/>
  <c r="E109" i="66"/>
  <c r="E231" i="65"/>
  <c r="E229" s="1"/>
  <c r="E88"/>
  <c r="F76" i="64"/>
  <c r="D223"/>
  <c r="D101"/>
  <c r="D229"/>
  <c r="F131"/>
  <c r="F146"/>
  <c r="E177" i="109"/>
  <c r="E193"/>
  <c r="E10"/>
  <c r="E149"/>
  <c r="E70" i="97"/>
  <c r="E214"/>
  <c r="K149"/>
  <c r="F149"/>
  <c r="E215"/>
  <c r="K50"/>
  <c r="F50"/>
  <c r="E176"/>
  <c r="K179"/>
  <c r="K227"/>
  <c r="F64"/>
  <c r="E178"/>
  <c r="E192"/>
  <c r="E232"/>
  <c r="E225"/>
  <c r="K193"/>
  <c r="K233"/>
  <c r="K11" i="67"/>
  <c r="F11"/>
  <c r="E10"/>
  <c r="E215"/>
  <c r="K227"/>
  <c r="K179"/>
  <c r="E178"/>
  <c r="E192"/>
  <c r="E232"/>
  <c r="E225"/>
  <c r="K233"/>
  <c r="E94" i="66"/>
  <c r="E79" s="1"/>
  <c r="E215"/>
  <c r="E10"/>
  <c r="F50"/>
  <c r="E178"/>
  <c r="E192"/>
  <c r="E232"/>
  <c r="F50" i="65"/>
  <c r="K50"/>
  <c r="E215"/>
  <c r="E10"/>
  <c r="F194"/>
  <c r="K194"/>
  <c r="E193"/>
  <c r="E227"/>
  <c r="K123"/>
  <c r="K223"/>
  <c r="E109"/>
  <c r="E179"/>
  <c r="E232"/>
  <c r="E234"/>
  <c r="K165"/>
  <c r="K233"/>
  <c r="D149" i="64"/>
  <c r="D50"/>
  <c r="D10"/>
  <c r="O70" i="70" l="1"/>
  <c r="I70"/>
  <c r="O43"/>
  <c r="I43"/>
  <c r="H34"/>
  <c r="H53"/>
  <c r="I53" s="1"/>
  <c r="C34"/>
  <c r="E176" i="109"/>
  <c r="E176" i="66"/>
  <c r="E228" i="65"/>
  <c r="E87"/>
  <c r="E73"/>
  <c r="E224"/>
  <c r="D222" i="64"/>
  <c r="E70" i="109"/>
  <c r="E214"/>
  <c r="F177"/>
  <c r="K177"/>
  <c r="F193"/>
  <c r="K193"/>
  <c r="E192"/>
  <c r="E215"/>
  <c r="E224" i="97"/>
  <c r="E73"/>
  <c r="F225"/>
  <c r="K225"/>
  <c r="E213"/>
  <c r="K178"/>
  <c r="E177"/>
  <c r="F178"/>
  <c r="F215"/>
  <c r="K215"/>
  <c r="K192"/>
  <c r="F192"/>
  <c r="K232"/>
  <c r="F232"/>
  <c r="E94"/>
  <c r="F192" i="67"/>
  <c r="K192"/>
  <c r="E70"/>
  <c r="E214"/>
  <c r="F225"/>
  <c r="K225"/>
  <c r="K178"/>
  <c r="E177"/>
  <c r="F178"/>
  <c r="K232"/>
  <c r="F232"/>
  <c r="E94"/>
  <c r="E79" s="1"/>
  <c r="E224" s="1"/>
  <c r="F232" i="66"/>
  <c r="K232"/>
  <c r="E88"/>
  <c r="E231"/>
  <c r="K178"/>
  <c r="F178"/>
  <c r="E177"/>
  <c r="F192"/>
  <c r="K192"/>
  <c r="E70"/>
  <c r="E214"/>
  <c r="F227" i="65"/>
  <c r="K227"/>
  <c r="E225"/>
  <c r="K234"/>
  <c r="F234"/>
  <c r="F179"/>
  <c r="K179"/>
  <c r="E178"/>
  <c r="E176"/>
  <c r="F232"/>
  <c r="K232"/>
  <c r="E192"/>
  <c r="K193"/>
  <c r="F193"/>
  <c r="E70"/>
  <c r="E214"/>
  <c r="D176" i="64"/>
  <c r="D215"/>
  <c r="D214"/>
  <c r="D70"/>
  <c r="O34" i="70" l="1"/>
  <c r="O53"/>
  <c r="H72"/>
  <c r="I72" s="1"/>
  <c r="C72"/>
  <c r="E73" i="67"/>
  <c r="E72" s="1"/>
  <c r="E86" i="65"/>
  <c r="E72"/>
  <c r="E222"/>
  <c r="D102" i="64"/>
  <c r="F192" i="109"/>
  <c r="K192"/>
  <c r="E213"/>
  <c r="E207"/>
  <c r="E94"/>
  <c r="E79" s="1"/>
  <c r="E73" s="1"/>
  <c r="K94" i="97"/>
  <c r="F94"/>
  <c r="E88"/>
  <c r="E231"/>
  <c r="F177"/>
  <c r="K177"/>
  <c r="E207"/>
  <c r="E222"/>
  <c r="E72"/>
  <c r="E88" i="67"/>
  <c r="E231"/>
  <c r="E222"/>
  <c r="F177"/>
  <c r="E207"/>
  <c r="K177"/>
  <c r="E213"/>
  <c r="F177" i="66"/>
  <c r="K177"/>
  <c r="E207"/>
  <c r="E229"/>
  <c r="E224"/>
  <c r="E73"/>
  <c r="E87"/>
  <c r="E213"/>
  <c r="F178" i="65"/>
  <c r="E177"/>
  <c r="K178"/>
  <c r="E213"/>
  <c r="F225"/>
  <c r="K225"/>
  <c r="F192"/>
  <c r="K192"/>
  <c r="D213" i="64"/>
  <c r="O72" i="70" l="1"/>
  <c r="H87"/>
  <c r="I87" s="1"/>
  <c r="E224" i="109"/>
  <c r="E221" i="65"/>
  <c r="E71"/>
  <c r="E222" i="109"/>
  <c r="E72"/>
  <c r="E88"/>
  <c r="E231"/>
  <c r="F207"/>
  <c r="K207"/>
  <c r="E208"/>
  <c r="E71" i="97"/>
  <c r="E221"/>
  <c r="F207"/>
  <c r="K207"/>
  <c r="E208"/>
  <c r="K88"/>
  <c r="E87"/>
  <c r="F88"/>
  <c r="F231"/>
  <c r="E229"/>
  <c r="K231"/>
  <c r="E87" i="67"/>
  <c r="E221"/>
  <c r="E71"/>
  <c r="F207"/>
  <c r="K207"/>
  <c r="E208"/>
  <c r="E229"/>
  <c r="E72" i="66"/>
  <c r="E228"/>
  <c r="E86"/>
  <c r="F207"/>
  <c r="K207"/>
  <c r="E208"/>
  <c r="E222"/>
  <c r="K177" i="65"/>
  <c r="F177"/>
  <c r="E207"/>
  <c r="O87" i="70" l="1"/>
  <c r="E220" i="65"/>
  <c r="E101"/>
  <c r="E221" i="109"/>
  <c r="E87"/>
  <c r="E71"/>
  <c r="E229"/>
  <c r="F229" i="97"/>
  <c r="K229"/>
  <c r="E228"/>
  <c r="E220"/>
  <c r="F87"/>
  <c r="K87"/>
  <c r="E86"/>
  <c r="E101" s="1"/>
  <c r="E228" i="67"/>
  <c r="E220"/>
  <c r="E86"/>
  <c r="E101" s="1"/>
  <c r="E221" i="66"/>
  <c r="E71"/>
  <c r="F207" i="65"/>
  <c r="K207"/>
  <c r="E208"/>
  <c r="E102" l="1"/>
  <c r="E228" i="109"/>
  <c r="E86"/>
  <c r="E102" i="97"/>
  <c r="K228"/>
  <c r="F228"/>
  <c r="K86"/>
  <c r="F86"/>
  <c r="E102" i="67"/>
  <c r="E220" i="66"/>
  <c r="E101"/>
  <c r="E101" i="109" l="1"/>
  <c r="E220"/>
  <c r="E102" i="66"/>
  <c r="E102" i="109" l="1"/>
  <c r="F17" i="78" l="1"/>
  <c r="I43"/>
  <c r="G43"/>
  <c r="D43"/>
  <c r="F42"/>
  <c r="H42" s="1"/>
  <c r="E42"/>
  <c r="E43" s="1"/>
  <c r="B42"/>
  <c r="G61" i="109"/>
  <c r="G141" i="64"/>
  <c r="G52"/>
  <c r="J17" i="78" l="1"/>
  <c r="H17"/>
  <c r="P17" s="1"/>
  <c r="B43"/>
  <c r="J42"/>
  <c r="J43" s="1"/>
  <c r="P42"/>
  <c r="F43"/>
  <c r="H43" s="1"/>
  <c r="U255" i="85" l="1"/>
  <c r="U272" l="1"/>
  <c r="U232"/>
  <c r="V313" i="84"/>
  <c r="R313"/>
  <c r="R9"/>
  <c r="E86" i="77"/>
  <c r="J16" i="78" l="1"/>
  <c r="H16"/>
  <c r="U11" i="85"/>
  <c r="G95" i="77" l="1"/>
  <c r="J95"/>
  <c r="U221" i="85"/>
  <c r="P16" i="78"/>
  <c r="P15"/>
  <c r="F71" i="77" l="1"/>
  <c r="D71"/>
  <c r="D10" i="70"/>
  <c r="E147" i="61"/>
  <c r="G10" i="70" l="1"/>
  <c r="AH315" i="84"/>
  <c r="AH305"/>
  <c r="AH294"/>
  <c r="AH282"/>
  <c r="AH261"/>
  <c r="AH183"/>
  <c r="AT204"/>
  <c r="V304"/>
  <c r="V260"/>
  <c r="V190"/>
  <c r="R304"/>
  <c r="R260"/>
  <c r="V12"/>
  <c r="R27"/>
  <c r="R21"/>
  <c r="H95" i="78"/>
  <c r="H10"/>
  <c r="H22" i="73"/>
  <c r="D134" i="109"/>
  <c r="D76"/>
  <c r="D134" i="67"/>
  <c r="D76"/>
  <c r="D134" i="66"/>
  <c r="D76"/>
  <c r="D134" i="65"/>
  <c r="D76"/>
  <c r="U234" i="85" l="1"/>
  <c r="U266"/>
  <c r="F100" i="116"/>
  <c r="J100"/>
  <c r="K10" i="70"/>
  <c r="C79"/>
  <c r="C83" s="1"/>
  <c r="G76" i="65"/>
  <c r="G134"/>
  <c r="G91" i="64"/>
  <c r="J40" i="73"/>
  <c r="I40"/>
  <c r="G40"/>
  <c r="K42"/>
  <c r="F42"/>
  <c r="E42"/>
  <c r="E40" s="1"/>
  <c r="D42"/>
  <c r="D40" s="1"/>
  <c r="F75" i="78"/>
  <c r="H75" s="1"/>
  <c r="E75"/>
  <c r="B75"/>
  <c r="E160" i="61"/>
  <c r="J95" i="78"/>
  <c r="B10"/>
  <c r="J10" s="1"/>
  <c r="J75" l="1"/>
  <c r="AC300" i="116"/>
  <c r="AD300" s="1"/>
  <c r="L99" i="78"/>
  <c r="C85" i="70"/>
  <c r="K40" i="73"/>
  <c r="F40"/>
  <c r="H40" s="1"/>
  <c r="P75" i="78"/>
  <c r="C87" i="70" l="1"/>
  <c r="E65"/>
  <c r="E64"/>
  <c r="E58"/>
  <c r="E48"/>
  <c r="E47"/>
  <c r="E46"/>
  <c r="E38"/>
  <c r="E37"/>
  <c r="D31"/>
  <c r="F30"/>
  <c r="F27"/>
  <c r="F26"/>
  <c r="D25"/>
  <c r="F80"/>
  <c r="U186" i="85" l="1"/>
  <c r="U206"/>
  <c r="U204"/>
  <c r="U198"/>
  <c r="U194"/>
  <c r="U190"/>
  <c r="U188"/>
  <c r="U180"/>
  <c r="U178"/>
  <c r="U170"/>
  <c r="U168"/>
  <c r="U167"/>
  <c r="U163"/>
  <c r="U158"/>
  <c r="U156"/>
  <c r="U155"/>
  <c r="U152"/>
  <c r="U150"/>
  <c r="U149"/>
  <c r="U148"/>
  <c r="U147"/>
  <c r="U146"/>
  <c r="U136"/>
  <c r="U134"/>
  <c r="U128"/>
  <c r="U124"/>
  <c r="U120"/>
  <c r="U118"/>
  <c r="U114"/>
  <c r="U254" s="1"/>
  <c r="U110"/>
  <c r="U108"/>
  <c r="U100"/>
  <c r="U98"/>
  <c r="U97"/>
  <c r="U93"/>
  <c r="U88"/>
  <c r="U86"/>
  <c r="U85"/>
  <c r="U82"/>
  <c r="U80"/>
  <c r="U79"/>
  <c r="U78"/>
  <c r="U77"/>
  <c r="U76"/>
  <c r="U66"/>
  <c r="U64"/>
  <c r="U62"/>
  <c r="U58"/>
  <c r="U56"/>
  <c r="U54"/>
  <c r="U50"/>
  <c r="U48"/>
  <c r="U46"/>
  <c r="U45"/>
  <c r="U44"/>
  <c r="U40"/>
  <c r="U38"/>
  <c r="U30"/>
  <c r="U28"/>
  <c r="U27"/>
  <c r="U26"/>
  <c r="U24"/>
  <c r="U23"/>
  <c r="U22"/>
  <c r="U18"/>
  <c r="U16"/>
  <c r="U15"/>
  <c r="U12"/>
  <c r="U10"/>
  <c r="U9"/>
  <c r="U8"/>
  <c r="U7"/>
  <c r="U6"/>
  <c r="R206"/>
  <c r="Q206"/>
  <c r="P206"/>
  <c r="O206"/>
  <c r="N206"/>
  <c r="M206"/>
  <c r="L206"/>
  <c r="K206"/>
  <c r="I206"/>
  <c r="H206"/>
  <c r="G206"/>
  <c r="F206"/>
  <c r="E206"/>
  <c r="D206"/>
  <c r="C206"/>
  <c r="R204"/>
  <c r="Q204"/>
  <c r="P204"/>
  <c r="O204"/>
  <c r="N204"/>
  <c r="M204"/>
  <c r="L204"/>
  <c r="K204"/>
  <c r="I204"/>
  <c r="H204"/>
  <c r="G204"/>
  <c r="F204"/>
  <c r="E204"/>
  <c r="D204"/>
  <c r="C204"/>
  <c r="R202"/>
  <c r="Q202"/>
  <c r="P202"/>
  <c r="O202"/>
  <c r="N202"/>
  <c r="M202"/>
  <c r="L202"/>
  <c r="K202"/>
  <c r="I202"/>
  <c r="H202"/>
  <c r="G202"/>
  <c r="F202"/>
  <c r="E202"/>
  <c r="D202"/>
  <c r="C202"/>
  <c r="R198"/>
  <c r="Q198"/>
  <c r="P198"/>
  <c r="O198"/>
  <c r="N198"/>
  <c r="M198"/>
  <c r="L198"/>
  <c r="K198"/>
  <c r="I198"/>
  <c r="H198"/>
  <c r="G198"/>
  <c r="F198"/>
  <c r="E198"/>
  <c r="D198"/>
  <c r="C198"/>
  <c r="R196"/>
  <c r="Q196"/>
  <c r="P196"/>
  <c r="O196"/>
  <c r="N196"/>
  <c r="M196"/>
  <c r="L196"/>
  <c r="K196"/>
  <c r="I196"/>
  <c r="H196"/>
  <c r="G196"/>
  <c r="F196"/>
  <c r="E196"/>
  <c r="D196"/>
  <c r="C196"/>
  <c r="R194"/>
  <c r="Q194"/>
  <c r="P194"/>
  <c r="O194"/>
  <c r="N194"/>
  <c r="M194"/>
  <c r="L194"/>
  <c r="K194"/>
  <c r="I194"/>
  <c r="H194"/>
  <c r="G194"/>
  <c r="F194"/>
  <c r="E194"/>
  <c r="D194"/>
  <c r="C194"/>
  <c r="R190"/>
  <c r="Q190"/>
  <c r="P190"/>
  <c r="O190"/>
  <c r="N190"/>
  <c r="M190"/>
  <c r="L190"/>
  <c r="K190"/>
  <c r="I190"/>
  <c r="H190"/>
  <c r="G190"/>
  <c r="F190"/>
  <c r="E190"/>
  <c r="D190"/>
  <c r="C190"/>
  <c r="R188"/>
  <c r="Q188"/>
  <c r="P188"/>
  <c r="O188"/>
  <c r="N188"/>
  <c r="M188"/>
  <c r="L188"/>
  <c r="K188"/>
  <c r="I188"/>
  <c r="H188"/>
  <c r="G188"/>
  <c r="F188"/>
  <c r="E188"/>
  <c r="D188"/>
  <c r="C188"/>
  <c r="R186"/>
  <c r="Q186"/>
  <c r="P186"/>
  <c r="O186"/>
  <c r="N186"/>
  <c r="M186"/>
  <c r="L186"/>
  <c r="K186"/>
  <c r="I186"/>
  <c r="H186"/>
  <c r="G186"/>
  <c r="F186"/>
  <c r="E186"/>
  <c r="D186"/>
  <c r="C186"/>
  <c r="R185"/>
  <c r="Q185"/>
  <c r="P185"/>
  <c r="O185"/>
  <c r="N185"/>
  <c r="M185"/>
  <c r="L185"/>
  <c r="K185"/>
  <c r="I185"/>
  <c r="H185"/>
  <c r="G185"/>
  <c r="F185"/>
  <c r="E185"/>
  <c r="D185"/>
  <c r="C185"/>
  <c r="R184"/>
  <c r="Q184"/>
  <c r="P184"/>
  <c r="O184"/>
  <c r="N184"/>
  <c r="M184"/>
  <c r="L184"/>
  <c r="K184"/>
  <c r="I184"/>
  <c r="H184"/>
  <c r="G184"/>
  <c r="F184"/>
  <c r="E184"/>
  <c r="D184"/>
  <c r="C184"/>
  <c r="R180"/>
  <c r="Q180"/>
  <c r="P180"/>
  <c r="O180"/>
  <c r="N180"/>
  <c r="M180"/>
  <c r="L180"/>
  <c r="K180"/>
  <c r="I180"/>
  <c r="H180"/>
  <c r="G180"/>
  <c r="F180"/>
  <c r="E180"/>
  <c r="D180"/>
  <c r="C180"/>
  <c r="R178"/>
  <c r="Q178"/>
  <c r="P178"/>
  <c r="O178"/>
  <c r="N178"/>
  <c r="M178"/>
  <c r="L178"/>
  <c r="K178"/>
  <c r="I178"/>
  <c r="H178"/>
  <c r="G178"/>
  <c r="F178"/>
  <c r="E178"/>
  <c r="D178"/>
  <c r="C178"/>
  <c r="R176"/>
  <c r="Q176"/>
  <c r="P176"/>
  <c r="O176"/>
  <c r="N176"/>
  <c r="M176"/>
  <c r="L176"/>
  <c r="K176"/>
  <c r="I176"/>
  <c r="H176"/>
  <c r="G176"/>
  <c r="F176"/>
  <c r="E176"/>
  <c r="D176"/>
  <c r="C176"/>
  <c r="R175"/>
  <c r="Q175"/>
  <c r="P175"/>
  <c r="O175"/>
  <c r="N175"/>
  <c r="M175"/>
  <c r="L175"/>
  <c r="K175"/>
  <c r="I175"/>
  <c r="H175"/>
  <c r="G175"/>
  <c r="F175"/>
  <c r="E175"/>
  <c r="D175"/>
  <c r="C175"/>
  <c r="R174"/>
  <c r="Q174"/>
  <c r="P174"/>
  <c r="O174"/>
  <c r="N174"/>
  <c r="M174"/>
  <c r="L174"/>
  <c r="K174"/>
  <c r="I174"/>
  <c r="H174"/>
  <c r="G174"/>
  <c r="F174"/>
  <c r="E174"/>
  <c r="D174"/>
  <c r="C174"/>
  <c r="R170"/>
  <c r="Q170"/>
  <c r="P170"/>
  <c r="O170"/>
  <c r="N170"/>
  <c r="M170"/>
  <c r="L170"/>
  <c r="K170"/>
  <c r="I170"/>
  <c r="H170"/>
  <c r="G170"/>
  <c r="F170"/>
  <c r="E170"/>
  <c r="D170"/>
  <c r="C170"/>
  <c r="R168"/>
  <c r="Q168"/>
  <c r="P168"/>
  <c r="O168"/>
  <c r="N168"/>
  <c r="M168"/>
  <c r="L168"/>
  <c r="K168"/>
  <c r="I168"/>
  <c r="H168"/>
  <c r="G168"/>
  <c r="F168"/>
  <c r="E168"/>
  <c r="D168"/>
  <c r="C168"/>
  <c r="R167"/>
  <c r="Q167"/>
  <c r="P167"/>
  <c r="O167"/>
  <c r="N167"/>
  <c r="M167"/>
  <c r="L167"/>
  <c r="K167"/>
  <c r="I167"/>
  <c r="H167"/>
  <c r="G167"/>
  <c r="F167"/>
  <c r="E167"/>
  <c r="D167"/>
  <c r="C167"/>
  <c r="R166"/>
  <c r="Q166"/>
  <c r="P166"/>
  <c r="O166"/>
  <c r="N166"/>
  <c r="M166"/>
  <c r="L166"/>
  <c r="K166"/>
  <c r="I166"/>
  <c r="H166"/>
  <c r="G166"/>
  <c r="F166"/>
  <c r="E166"/>
  <c r="D166"/>
  <c r="C166"/>
  <c r="R164"/>
  <c r="Q164"/>
  <c r="P164"/>
  <c r="O164"/>
  <c r="N164"/>
  <c r="M164"/>
  <c r="L164"/>
  <c r="K164"/>
  <c r="I164"/>
  <c r="H164"/>
  <c r="G164"/>
  <c r="F164"/>
  <c r="E164"/>
  <c r="D164"/>
  <c r="C164"/>
  <c r="R163"/>
  <c r="Q163"/>
  <c r="P163"/>
  <c r="O163"/>
  <c r="N163"/>
  <c r="M163"/>
  <c r="L163"/>
  <c r="K163"/>
  <c r="I163"/>
  <c r="H163"/>
  <c r="G163"/>
  <c r="F163"/>
  <c r="E163"/>
  <c r="D163"/>
  <c r="C163"/>
  <c r="R162"/>
  <c r="Q162"/>
  <c r="P162"/>
  <c r="O162"/>
  <c r="N162"/>
  <c r="M162"/>
  <c r="L162"/>
  <c r="K162"/>
  <c r="I162"/>
  <c r="H162"/>
  <c r="G162"/>
  <c r="F162"/>
  <c r="E162"/>
  <c r="D162"/>
  <c r="C162"/>
  <c r="R158"/>
  <c r="Q158"/>
  <c r="P158"/>
  <c r="O158"/>
  <c r="N158"/>
  <c r="M158"/>
  <c r="L158"/>
  <c r="K158"/>
  <c r="I158"/>
  <c r="H158"/>
  <c r="G158"/>
  <c r="F158"/>
  <c r="E158"/>
  <c r="D158"/>
  <c r="C158"/>
  <c r="R156"/>
  <c r="Q156"/>
  <c r="P156"/>
  <c r="O156"/>
  <c r="N156"/>
  <c r="M156"/>
  <c r="L156"/>
  <c r="K156"/>
  <c r="I156"/>
  <c r="H156"/>
  <c r="G156"/>
  <c r="F156"/>
  <c r="E156"/>
  <c r="D156"/>
  <c r="C156"/>
  <c r="R155"/>
  <c r="Q155"/>
  <c r="P155"/>
  <c r="O155"/>
  <c r="N155"/>
  <c r="M155"/>
  <c r="L155"/>
  <c r="K155"/>
  <c r="I155"/>
  <c r="H155"/>
  <c r="G155"/>
  <c r="F155"/>
  <c r="E155"/>
  <c r="D155"/>
  <c r="C155"/>
  <c r="R153"/>
  <c r="Q153"/>
  <c r="P153"/>
  <c r="O153"/>
  <c r="N153"/>
  <c r="M153"/>
  <c r="L153"/>
  <c r="K153"/>
  <c r="I153"/>
  <c r="H153"/>
  <c r="G153"/>
  <c r="F153"/>
  <c r="E153"/>
  <c r="D153"/>
  <c r="C153"/>
  <c r="R152"/>
  <c r="Q152"/>
  <c r="P152"/>
  <c r="O152"/>
  <c r="N152"/>
  <c r="M152"/>
  <c r="L152"/>
  <c r="K152"/>
  <c r="I152"/>
  <c r="H152"/>
  <c r="G152"/>
  <c r="F152"/>
  <c r="E152"/>
  <c r="D152"/>
  <c r="C152"/>
  <c r="R151"/>
  <c r="Q151"/>
  <c r="P151"/>
  <c r="O151"/>
  <c r="N151"/>
  <c r="M151"/>
  <c r="L151"/>
  <c r="K151"/>
  <c r="I151"/>
  <c r="H151"/>
  <c r="G151"/>
  <c r="F151"/>
  <c r="E151"/>
  <c r="D151"/>
  <c r="C151"/>
  <c r="R150"/>
  <c r="Q150"/>
  <c r="P150"/>
  <c r="O150"/>
  <c r="N150"/>
  <c r="M150"/>
  <c r="L150"/>
  <c r="K150"/>
  <c r="I150"/>
  <c r="H150"/>
  <c r="G150"/>
  <c r="F150"/>
  <c r="E150"/>
  <c r="D150"/>
  <c r="C150"/>
  <c r="R149"/>
  <c r="Q149"/>
  <c r="P149"/>
  <c r="O149"/>
  <c r="N149"/>
  <c r="M149"/>
  <c r="L149"/>
  <c r="K149"/>
  <c r="I149"/>
  <c r="H149"/>
  <c r="G149"/>
  <c r="F149"/>
  <c r="E149"/>
  <c r="D149"/>
  <c r="C149"/>
  <c r="R148"/>
  <c r="Q148"/>
  <c r="P148"/>
  <c r="O148"/>
  <c r="N148"/>
  <c r="M148"/>
  <c r="L148"/>
  <c r="K148"/>
  <c r="I148"/>
  <c r="H148"/>
  <c r="G148"/>
  <c r="F148"/>
  <c r="E148"/>
  <c r="D148"/>
  <c r="C148"/>
  <c r="R147"/>
  <c r="Q147"/>
  <c r="P147"/>
  <c r="O147"/>
  <c r="N147"/>
  <c r="M147"/>
  <c r="L147"/>
  <c r="K147"/>
  <c r="I147"/>
  <c r="H147"/>
  <c r="G147"/>
  <c r="F147"/>
  <c r="E147"/>
  <c r="D147"/>
  <c r="C147"/>
  <c r="R146"/>
  <c r="Q146"/>
  <c r="P146"/>
  <c r="O146"/>
  <c r="N146"/>
  <c r="M146"/>
  <c r="L146"/>
  <c r="K146"/>
  <c r="I146"/>
  <c r="H146"/>
  <c r="G146"/>
  <c r="F146"/>
  <c r="E146"/>
  <c r="D146"/>
  <c r="C146"/>
  <c r="R136"/>
  <c r="Q136"/>
  <c r="P136"/>
  <c r="P276" s="1"/>
  <c r="O136"/>
  <c r="N136"/>
  <c r="M136"/>
  <c r="L136"/>
  <c r="L276" s="1"/>
  <c r="K136"/>
  <c r="I136"/>
  <c r="H136"/>
  <c r="G136"/>
  <c r="G276" s="1"/>
  <c r="F136"/>
  <c r="E136"/>
  <c r="D136"/>
  <c r="C136"/>
  <c r="C276" s="1"/>
  <c r="R134"/>
  <c r="Q134"/>
  <c r="P134"/>
  <c r="O134"/>
  <c r="O274" s="1"/>
  <c r="N134"/>
  <c r="M134"/>
  <c r="L134"/>
  <c r="K134"/>
  <c r="K274" s="1"/>
  <c r="I134"/>
  <c r="H134"/>
  <c r="G134"/>
  <c r="F134"/>
  <c r="F274" s="1"/>
  <c r="E134"/>
  <c r="D134"/>
  <c r="C134"/>
  <c r="R132"/>
  <c r="R272" s="1"/>
  <c r="Q132"/>
  <c r="P132"/>
  <c r="O132"/>
  <c r="N132"/>
  <c r="M132"/>
  <c r="L132"/>
  <c r="K132"/>
  <c r="I132"/>
  <c r="H132"/>
  <c r="G132"/>
  <c r="F132"/>
  <c r="E132"/>
  <c r="E272" s="1"/>
  <c r="D132"/>
  <c r="C132"/>
  <c r="R128"/>
  <c r="Q128"/>
  <c r="P128"/>
  <c r="O128"/>
  <c r="N128"/>
  <c r="M128"/>
  <c r="L128"/>
  <c r="K128"/>
  <c r="I128"/>
  <c r="H128"/>
  <c r="H268" s="1"/>
  <c r="G128"/>
  <c r="F128"/>
  <c r="E128"/>
  <c r="D128"/>
  <c r="C128"/>
  <c r="R126"/>
  <c r="Q126"/>
  <c r="P126"/>
  <c r="P266" s="1"/>
  <c r="O126"/>
  <c r="N126"/>
  <c r="M126"/>
  <c r="L126"/>
  <c r="L266" s="1"/>
  <c r="K126"/>
  <c r="I126"/>
  <c r="H126"/>
  <c r="G126"/>
  <c r="G266" s="1"/>
  <c r="F126"/>
  <c r="E126"/>
  <c r="D126"/>
  <c r="C126"/>
  <c r="C266" s="1"/>
  <c r="R124"/>
  <c r="Q124"/>
  <c r="P124"/>
  <c r="O124"/>
  <c r="O264" s="1"/>
  <c r="N124"/>
  <c r="M124"/>
  <c r="L124"/>
  <c r="K124"/>
  <c r="K264" s="1"/>
  <c r="I124"/>
  <c r="H124"/>
  <c r="G124"/>
  <c r="F124"/>
  <c r="F264" s="1"/>
  <c r="E124"/>
  <c r="D124"/>
  <c r="C124"/>
  <c r="R120"/>
  <c r="R260" s="1"/>
  <c r="Q120"/>
  <c r="P120"/>
  <c r="O120"/>
  <c r="N120"/>
  <c r="M120"/>
  <c r="L120"/>
  <c r="K120"/>
  <c r="I120"/>
  <c r="H120"/>
  <c r="G120"/>
  <c r="F120"/>
  <c r="E120"/>
  <c r="E260" s="1"/>
  <c r="D120"/>
  <c r="C120"/>
  <c r="R118"/>
  <c r="Q118"/>
  <c r="P118"/>
  <c r="O118"/>
  <c r="N118"/>
  <c r="M118"/>
  <c r="L118"/>
  <c r="K118"/>
  <c r="I118"/>
  <c r="H118"/>
  <c r="H258" s="1"/>
  <c r="G118"/>
  <c r="F118"/>
  <c r="E118"/>
  <c r="D118"/>
  <c r="C118"/>
  <c r="R116"/>
  <c r="Q116"/>
  <c r="P116"/>
  <c r="P256" s="1"/>
  <c r="O116"/>
  <c r="N116"/>
  <c r="M116"/>
  <c r="L116"/>
  <c r="L256" s="1"/>
  <c r="K116"/>
  <c r="I116"/>
  <c r="H116"/>
  <c r="G116"/>
  <c r="G256" s="1"/>
  <c r="F116"/>
  <c r="E116"/>
  <c r="D116"/>
  <c r="C116"/>
  <c r="C256" s="1"/>
  <c r="R115"/>
  <c r="Q115"/>
  <c r="P115"/>
  <c r="O115"/>
  <c r="O255" s="1"/>
  <c r="N115"/>
  <c r="M115"/>
  <c r="L115"/>
  <c r="K115"/>
  <c r="K255" s="1"/>
  <c r="I115"/>
  <c r="H115"/>
  <c r="G115"/>
  <c r="F115"/>
  <c r="F255" s="1"/>
  <c r="E115"/>
  <c r="D115"/>
  <c r="C115"/>
  <c r="R114"/>
  <c r="R254" s="1"/>
  <c r="Q114"/>
  <c r="P114"/>
  <c r="O114"/>
  <c r="N114"/>
  <c r="M114"/>
  <c r="L114"/>
  <c r="K114"/>
  <c r="I114"/>
  <c r="H114"/>
  <c r="G114"/>
  <c r="F114"/>
  <c r="E114"/>
  <c r="E254" s="1"/>
  <c r="D114"/>
  <c r="C114"/>
  <c r="R110"/>
  <c r="Q110"/>
  <c r="P110"/>
  <c r="O110"/>
  <c r="N110"/>
  <c r="M110"/>
  <c r="L110"/>
  <c r="K110"/>
  <c r="I110"/>
  <c r="H110"/>
  <c r="H250" s="1"/>
  <c r="G110"/>
  <c r="F110"/>
  <c r="E110"/>
  <c r="D110"/>
  <c r="C110"/>
  <c r="R108"/>
  <c r="Q108"/>
  <c r="P108"/>
  <c r="P248" s="1"/>
  <c r="O108"/>
  <c r="N108"/>
  <c r="M108"/>
  <c r="L108"/>
  <c r="L248" s="1"/>
  <c r="K108"/>
  <c r="I108"/>
  <c r="H108"/>
  <c r="G108"/>
  <c r="G248" s="1"/>
  <c r="F108"/>
  <c r="E108"/>
  <c r="D108"/>
  <c r="C108"/>
  <c r="C248" s="1"/>
  <c r="R106"/>
  <c r="Q106"/>
  <c r="P106"/>
  <c r="O106"/>
  <c r="O246" s="1"/>
  <c r="N106"/>
  <c r="M106"/>
  <c r="L106"/>
  <c r="K106"/>
  <c r="K246" s="1"/>
  <c r="I106"/>
  <c r="H106"/>
  <c r="G106"/>
  <c r="F106"/>
  <c r="F246" s="1"/>
  <c r="E106"/>
  <c r="D106"/>
  <c r="C106"/>
  <c r="R105"/>
  <c r="R245" s="1"/>
  <c r="Q105"/>
  <c r="P105"/>
  <c r="O105"/>
  <c r="N105"/>
  <c r="M105"/>
  <c r="L105"/>
  <c r="K105"/>
  <c r="I105"/>
  <c r="H105"/>
  <c r="G105"/>
  <c r="F105"/>
  <c r="E105"/>
  <c r="E245" s="1"/>
  <c r="D105"/>
  <c r="C105"/>
  <c r="R104"/>
  <c r="Q104"/>
  <c r="P104"/>
  <c r="O104"/>
  <c r="N104"/>
  <c r="M104"/>
  <c r="L104"/>
  <c r="K104"/>
  <c r="I104"/>
  <c r="H104"/>
  <c r="G104"/>
  <c r="F104"/>
  <c r="E104"/>
  <c r="D104"/>
  <c r="C104"/>
  <c r="R100"/>
  <c r="Q100"/>
  <c r="P100"/>
  <c r="P240" s="1"/>
  <c r="O100"/>
  <c r="N100"/>
  <c r="M100"/>
  <c r="L100"/>
  <c r="L240" s="1"/>
  <c r="K100"/>
  <c r="I100"/>
  <c r="H100"/>
  <c r="G100"/>
  <c r="G240" s="1"/>
  <c r="F100"/>
  <c r="E100"/>
  <c r="D100"/>
  <c r="C100"/>
  <c r="C240" s="1"/>
  <c r="R98"/>
  <c r="Q98"/>
  <c r="P98"/>
  <c r="O98"/>
  <c r="O238" s="1"/>
  <c r="N98"/>
  <c r="M98"/>
  <c r="L98"/>
  <c r="K98"/>
  <c r="K238" s="1"/>
  <c r="I98"/>
  <c r="H98"/>
  <c r="G98"/>
  <c r="F98"/>
  <c r="F238" s="1"/>
  <c r="E98"/>
  <c r="D98"/>
  <c r="C98"/>
  <c r="R97"/>
  <c r="R237" s="1"/>
  <c r="Q97"/>
  <c r="P97"/>
  <c r="O97"/>
  <c r="N97"/>
  <c r="M97"/>
  <c r="L97"/>
  <c r="K97"/>
  <c r="I97"/>
  <c r="H97"/>
  <c r="G97"/>
  <c r="F97"/>
  <c r="E97"/>
  <c r="E237" s="1"/>
  <c r="D97"/>
  <c r="C97"/>
  <c r="R96"/>
  <c r="Q96"/>
  <c r="P96"/>
  <c r="O96"/>
  <c r="N96"/>
  <c r="M96"/>
  <c r="L96"/>
  <c r="K96"/>
  <c r="I96"/>
  <c r="H96"/>
  <c r="G96"/>
  <c r="F96"/>
  <c r="E96"/>
  <c r="D96"/>
  <c r="C96"/>
  <c r="R94"/>
  <c r="Q94"/>
  <c r="P94"/>
  <c r="P234" s="1"/>
  <c r="O94"/>
  <c r="N94"/>
  <c r="M94"/>
  <c r="L94"/>
  <c r="L234" s="1"/>
  <c r="K94"/>
  <c r="I94"/>
  <c r="H94"/>
  <c r="G94"/>
  <c r="F94"/>
  <c r="E94"/>
  <c r="D94"/>
  <c r="C94"/>
  <c r="R93"/>
  <c r="Q93"/>
  <c r="P93"/>
  <c r="O93"/>
  <c r="N93"/>
  <c r="M93"/>
  <c r="L93"/>
  <c r="K93"/>
  <c r="I93"/>
  <c r="H93"/>
  <c r="G93"/>
  <c r="F93"/>
  <c r="E93"/>
  <c r="D93"/>
  <c r="C93"/>
  <c r="R92"/>
  <c r="Q92"/>
  <c r="P92"/>
  <c r="O92"/>
  <c r="N92"/>
  <c r="M92"/>
  <c r="L92"/>
  <c r="K92"/>
  <c r="I92"/>
  <c r="H92"/>
  <c r="G92"/>
  <c r="F92"/>
  <c r="E92"/>
  <c r="D92"/>
  <c r="C92"/>
  <c r="R88"/>
  <c r="Q88"/>
  <c r="P88"/>
  <c r="O88"/>
  <c r="N88"/>
  <c r="M88"/>
  <c r="L88"/>
  <c r="K88"/>
  <c r="I88"/>
  <c r="H88"/>
  <c r="G88"/>
  <c r="F88"/>
  <c r="E88"/>
  <c r="D88"/>
  <c r="C88"/>
  <c r="R86"/>
  <c r="Q86"/>
  <c r="P86"/>
  <c r="O86"/>
  <c r="N86"/>
  <c r="M86"/>
  <c r="L86"/>
  <c r="K86"/>
  <c r="I86"/>
  <c r="H86"/>
  <c r="G86"/>
  <c r="F86"/>
  <c r="E86"/>
  <c r="D86"/>
  <c r="C86"/>
  <c r="R85"/>
  <c r="Q85"/>
  <c r="P85"/>
  <c r="O85"/>
  <c r="N85"/>
  <c r="M85"/>
  <c r="L85"/>
  <c r="K85"/>
  <c r="I85"/>
  <c r="H85"/>
  <c r="G85"/>
  <c r="F85"/>
  <c r="E85"/>
  <c r="D85"/>
  <c r="C85"/>
  <c r="R83"/>
  <c r="Q83"/>
  <c r="P83"/>
  <c r="O83"/>
  <c r="N83"/>
  <c r="M83"/>
  <c r="L83"/>
  <c r="K83"/>
  <c r="I83"/>
  <c r="H83"/>
  <c r="G83"/>
  <c r="F83"/>
  <c r="E83"/>
  <c r="D83"/>
  <c r="C83"/>
  <c r="R82"/>
  <c r="Q82"/>
  <c r="P82"/>
  <c r="O82"/>
  <c r="N82"/>
  <c r="M82"/>
  <c r="L82"/>
  <c r="K82"/>
  <c r="I82"/>
  <c r="H82"/>
  <c r="G82"/>
  <c r="F82"/>
  <c r="E82"/>
  <c r="D82"/>
  <c r="C82"/>
  <c r="R81"/>
  <c r="Q81"/>
  <c r="P81"/>
  <c r="O81"/>
  <c r="N81"/>
  <c r="M81"/>
  <c r="L81"/>
  <c r="K81"/>
  <c r="I81"/>
  <c r="H81"/>
  <c r="G81"/>
  <c r="F81"/>
  <c r="E81"/>
  <c r="D81"/>
  <c r="C81"/>
  <c r="R80"/>
  <c r="Q80"/>
  <c r="P80"/>
  <c r="O80"/>
  <c r="N80"/>
  <c r="M80"/>
  <c r="L80"/>
  <c r="K80"/>
  <c r="I80"/>
  <c r="H80"/>
  <c r="G80"/>
  <c r="F80"/>
  <c r="E80"/>
  <c r="D80"/>
  <c r="C80"/>
  <c r="R79"/>
  <c r="Q79"/>
  <c r="P79"/>
  <c r="O79"/>
  <c r="N79"/>
  <c r="M79"/>
  <c r="L79"/>
  <c r="K79"/>
  <c r="I79"/>
  <c r="H79"/>
  <c r="G79"/>
  <c r="F79"/>
  <c r="E79"/>
  <c r="D79"/>
  <c r="C79"/>
  <c r="R78"/>
  <c r="Q78"/>
  <c r="P78"/>
  <c r="O78"/>
  <c r="N78"/>
  <c r="M78"/>
  <c r="L78"/>
  <c r="K78"/>
  <c r="I78"/>
  <c r="H78"/>
  <c r="G78"/>
  <c r="F78"/>
  <c r="E78"/>
  <c r="D78"/>
  <c r="C78"/>
  <c r="R77"/>
  <c r="Q77"/>
  <c r="P77"/>
  <c r="O77"/>
  <c r="N77"/>
  <c r="M77"/>
  <c r="L77"/>
  <c r="K77"/>
  <c r="I77"/>
  <c r="H77"/>
  <c r="G77"/>
  <c r="F77"/>
  <c r="E77"/>
  <c r="D77"/>
  <c r="C77"/>
  <c r="R76"/>
  <c r="Q76"/>
  <c r="P76"/>
  <c r="O76"/>
  <c r="N76"/>
  <c r="M76"/>
  <c r="L76"/>
  <c r="K76"/>
  <c r="I76"/>
  <c r="H76"/>
  <c r="G76"/>
  <c r="F76"/>
  <c r="E76"/>
  <c r="D76"/>
  <c r="C76"/>
  <c r="R66"/>
  <c r="Q66"/>
  <c r="P66"/>
  <c r="O66"/>
  <c r="N66"/>
  <c r="M66"/>
  <c r="L66"/>
  <c r="K66"/>
  <c r="I66"/>
  <c r="H66"/>
  <c r="G66"/>
  <c r="F66"/>
  <c r="E66"/>
  <c r="D66"/>
  <c r="C66"/>
  <c r="R64"/>
  <c r="Q64"/>
  <c r="P64"/>
  <c r="O64"/>
  <c r="N64"/>
  <c r="M64"/>
  <c r="L64"/>
  <c r="K64"/>
  <c r="I64"/>
  <c r="H64"/>
  <c r="G64"/>
  <c r="F64"/>
  <c r="E64"/>
  <c r="D64"/>
  <c r="C64"/>
  <c r="R62"/>
  <c r="Q62"/>
  <c r="P62"/>
  <c r="O62"/>
  <c r="N62"/>
  <c r="M62"/>
  <c r="L62"/>
  <c r="K62"/>
  <c r="I62"/>
  <c r="H62"/>
  <c r="G62"/>
  <c r="F62"/>
  <c r="E62"/>
  <c r="D62"/>
  <c r="C62"/>
  <c r="R58"/>
  <c r="Q58"/>
  <c r="P58"/>
  <c r="O58"/>
  <c r="N58"/>
  <c r="M58"/>
  <c r="L58"/>
  <c r="K58"/>
  <c r="I58"/>
  <c r="H58"/>
  <c r="G58"/>
  <c r="F58"/>
  <c r="E58"/>
  <c r="D58"/>
  <c r="C58"/>
  <c r="R56"/>
  <c r="Q56"/>
  <c r="P56"/>
  <c r="O56"/>
  <c r="N56"/>
  <c r="M56"/>
  <c r="L56"/>
  <c r="K56"/>
  <c r="I56"/>
  <c r="H56"/>
  <c r="G56"/>
  <c r="F56"/>
  <c r="E56"/>
  <c r="D56"/>
  <c r="C56"/>
  <c r="R54"/>
  <c r="Q54"/>
  <c r="P54"/>
  <c r="O54"/>
  <c r="N54"/>
  <c r="M54"/>
  <c r="L54"/>
  <c r="K54"/>
  <c r="I54"/>
  <c r="H54"/>
  <c r="G54"/>
  <c r="F54"/>
  <c r="E54"/>
  <c r="D54"/>
  <c r="C54"/>
  <c r="R50"/>
  <c r="Q50"/>
  <c r="P50"/>
  <c r="O50"/>
  <c r="N50"/>
  <c r="M50"/>
  <c r="L50"/>
  <c r="K50"/>
  <c r="I50"/>
  <c r="H50"/>
  <c r="G50"/>
  <c r="F50"/>
  <c r="E50"/>
  <c r="D50"/>
  <c r="C50"/>
  <c r="R48"/>
  <c r="Q48"/>
  <c r="P48"/>
  <c r="O48"/>
  <c r="N48"/>
  <c r="M48"/>
  <c r="L48"/>
  <c r="K48"/>
  <c r="I48"/>
  <c r="H48"/>
  <c r="G48"/>
  <c r="F48"/>
  <c r="E48"/>
  <c r="D48"/>
  <c r="C48"/>
  <c r="R46"/>
  <c r="Q46"/>
  <c r="P46"/>
  <c r="O46"/>
  <c r="N46"/>
  <c r="M46"/>
  <c r="L46"/>
  <c r="K46"/>
  <c r="I46"/>
  <c r="H46"/>
  <c r="G46"/>
  <c r="F46"/>
  <c r="E46"/>
  <c r="D46"/>
  <c r="C46"/>
  <c r="R45"/>
  <c r="Q45"/>
  <c r="P45"/>
  <c r="O45"/>
  <c r="N45"/>
  <c r="M45"/>
  <c r="L45"/>
  <c r="K45"/>
  <c r="I45"/>
  <c r="H45"/>
  <c r="G45"/>
  <c r="F45"/>
  <c r="E45"/>
  <c r="D45"/>
  <c r="C45"/>
  <c r="R44"/>
  <c r="Q44"/>
  <c r="P44"/>
  <c r="O44"/>
  <c r="N44"/>
  <c r="M44"/>
  <c r="L44"/>
  <c r="K44"/>
  <c r="I44"/>
  <c r="H44"/>
  <c r="G44"/>
  <c r="F44"/>
  <c r="E44"/>
  <c r="D44"/>
  <c r="C44"/>
  <c r="R40"/>
  <c r="Q40"/>
  <c r="P40"/>
  <c r="O40"/>
  <c r="N40"/>
  <c r="M40"/>
  <c r="L40"/>
  <c r="K40"/>
  <c r="I40"/>
  <c r="H40"/>
  <c r="G40"/>
  <c r="F40"/>
  <c r="E40"/>
  <c r="D40"/>
  <c r="C40"/>
  <c r="R38"/>
  <c r="Q38"/>
  <c r="P38"/>
  <c r="O38"/>
  <c r="N38"/>
  <c r="M38"/>
  <c r="L38"/>
  <c r="K38"/>
  <c r="I38"/>
  <c r="H38"/>
  <c r="G38"/>
  <c r="F38"/>
  <c r="E38"/>
  <c r="D38"/>
  <c r="C38"/>
  <c r="R36"/>
  <c r="Q36"/>
  <c r="P36"/>
  <c r="O36"/>
  <c r="N36"/>
  <c r="M36"/>
  <c r="L36"/>
  <c r="K36"/>
  <c r="I36"/>
  <c r="H36"/>
  <c r="G36"/>
  <c r="F36"/>
  <c r="E36"/>
  <c r="D36"/>
  <c r="C36"/>
  <c r="R35"/>
  <c r="Q35"/>
  <c r="P35"/>
  <c r="O35"/>
  <c r="N35"/>
  <c r="M35"/>
  <c r="L35"/>
  <c r="K35"/>
  <c r="I35"/>
  <c r="H35"/>
  <c r="G35"/>
  <c r="F35"/>
  <c r="E35"/>
  <c r="D35"/>
  <c r="C35"/>
  <c r="R34"/>
  <c r="Q34"/>
  <c r="P34"/>
  <c r="O34"/>
  <c r="N34"/>
  <c r="M34"/>
  <c r="L34"/>
  <c r="K34"/>
  <c r="I34"/>
  <c r="H34"/>
  <c r="G34"/>
  <c r="F34"/>
  <c r="E34"/>
  <c r="D34"/>
  <c r="C34"/>
  <c r="R30"/>
  <c r="Q30"/>
  <c r="P30"/>
  <c r="O30"/>
  <c r="N30"/>
  <c r="M30"/>
  <c r="L30"/>
  <c r="K30"/>
  <c r="I30"/>
  <c r="H30"/>
  <c r="G30"/>
  <c r="F30"/>
  <c r="E30"/>
  <c r="D30"/>
  <c r="C30"/>
  <c r="R28"/>
  <c r="Q28"/>
  <c r="P28"/>
  <c r="O28"/>
  <c r="N28"/>
  <c r="M28"/>
  <c r="L28"/>
  <c r="K28"/>
  <c r="I28"/>
  <c r="H28"/>
  <c r="G28"/>
  <c r="F28"/>
  <c r="E28"/>
  <c r="D28"/>
  <c r="C28"/>
  <c r="R27"/>
  <c r="Q27"/>
  <c r="P27"/>
  <c r="O27"/>
  <c r="N27"/>
  <c r="M27"/>
  <c r="L27"/>
  <c r="K27"/>
  <c r="I27"/>
  <c r="H27"/>
  <c r="G27"/>
  <c r="F27"/>
  <c r="E27"/>
  <c r="D27"/>
  <c r="C27"/>
  <c r="R26"/>
  <c r="Q26"/>
  <c r="P26"/>
  <c r="O26"/>
  <c r="N26"/>
  <c r="M26"/>
  <c r="L26"/>
  <c r="K26"/>
  <c r="I26"/>
  <c r="H26"/>
  <c r="G26"/>
  <c r="F26"/>
  <c r="E26"/>
  <c r="D26"/>
  <c r="C26"/>
  <c r="R24"/>
  <c r="Q24"/>
  <c r="P24"/>
  <c r="O24"/>
  <c r="N24"/>
  <c r="M24"/>
  <c r="L24"/>
  <c r="K24"/>
  <c r="I24"/>
  <c r="H24"/>
  <c r="G24"/>
  <c r="F24"/>
  <c r="E24"/>
  <c r="D24"/>
  <c r="C24"/>
  <c r="R23"/>
  <c r="Q23"/>
  <c r="P23"/>
  <c r="O23"/>
  <c r="N23"/>
  <c r="M23"/>
  <c r="L23"/>
  <c r="K23"/>
  <c r="I23"/>
  <c r="H23"/>
  <c r="G23"/>
  <c r="F23"/>
  <c r="E23"/>
  <c r="D23"/>
  <c r="C23"/>
  <c r="R22"/>
  <c r="Q22"/>
  <c r="P22"/>
  <c r="O22"/>
  <c r="N22"/>
  <c r="M22"/>
  <c r="L22"/>
  <c r="K22"/>
  <c r="I22"/>
  <c r="H22"/>
  <c r="G22"/>
  <c r="F22"/>
  <c r="E22"/>
  <c r="D22"/>
  <c r="C22"/>
  <c r="R18"/>
  <c r="Q18"/>
  <c r="P18"/>
  <c r="O18"/>
  <c r="N18"/>
  <c r="M18"/>
  <c r="L18"/>
  <c r="K18"/>
  <c r="I18"/>
  <c r="H18"/>
  <c r="G18"/>
  <c r="F18"/>
  <c r="E18"/>
  <c r="D18"/>
  <c r="C18"/>
  <c r="R16"/>
  <c r="Q16"/>
  <c r="P16"/>
  <c r="O16"/>
  <c r="N16"/>
  <c r="M16"/>
  <c r="L16"/>
  <c r="K16"/>
  <c r="I16"/>
  <c r="H16"/>
  <c r="G16"/>
  <c r="F16"/>
  <c r="E16"/>
  <c r="D16"/>
  <c r="C16"/>
  <c r="R15"/>
  <c r="Q15"/>
  <c r="P15"/>
  <c r="O15"/>
  <c r="N15"/>
  <c r="M15"/>
  <c r="L15"/>
  <c r="K15"/>
  <c r="I15"/>
  <c r="H15"/>
  <c r="G15"/>
  <c r="F15"/>
  <c r="E15"/>
  <c r="D15"/>
  <c r="C15"/>
  <c r="R13"/>
  <c r="Q13"/>
  <c r="P13"/>
  <c r="O13"/>
  <c r="N13"/>
  <c r="M13"/>
  <c r="L13"/>
  <c r="K13"/>
  <c r="I13"/>
  <c r="H13"/>
  <c r="G13"/>
  <c r="F13"/>
  <c r="E13"/>
  <c r="D13"/>
  <c r="C13"/>
  <c r="R12"/>
  <c r="Q12"/>
  <c r="P12"/>
  <c r="O12"/>
  <c r="N12"/>
  <c r="M12"/>
  <c r="L12"/>
  <c r="K12"/>
  <c r="I12"/>
  <c r="H12"/>
  <c r="G12"/>
  <c r="F12"/>
  <c r="E12"/>
  <c r="D12"/>
  <c r="C12"/>
  <c r="R11"/>
  <c r="Q11"/>
  <c r="P11"/>
  <c r="O11"/>
  <c r="N11"/>
  <c r="M11"/>
  <c r="L11"/>
  <c r="K11"/>
  <c r="I11"/>
  <c r="H11"/>
  <c r="G11"/>
  <c r="F11"/>
  <c r="E11"/>
  <c r="D11"/>
  <c r="C11"/>
  <c r="R10"/>
  <c r="Q10"/>
  <c r="P10"/>
  <c r="O10"/>
  <c r="N10"/>
  <c r="M10"/>
  <c r="L10"/>
  <c r="K10"/>
  <c r="I10"/>
  <c r="H10"/>
  <c r="G10"/>
  <c r="F10"/>
  <c r="E10"/>
  <c r="D10"/>
  <c r="C10"/>
  <c r="R9"/>
  <c r="Q9"/>
  <c r="P9"/>
  <c r="O9"/>
  <c r="N9"/>
  <c r="M9"/>
  <c r="L9"/>
  <c r="K9"/>
  <c r="I9"/>
  <c r="H9"/>
  <c r="G9"/>
  <c r="F9"/>
  <c r="E9"/>
  <c r="D9"/>
  <c r="C9"/>
  <c r="R8"/>
  <c r="Q8"/>
  <c r="P8"/>
  <c r="O8"/>
  <c r="N8"/>
  <c r="M8"/>
  <c r="L8"/>
  <c r="K8"/>
  <c r="I8"/>
  <c r="H8"/>
  <c r="G8"/>
  <c r="F8"/>
  <c r="E8"/>
  <c r="D8"/>
  <c r="C8"/>
  <c r="R7"/>
  <c r="Q7"/>
  <c r="P7"/>
  <c r="O7"/>
  <c r="N7"/>
  <c r="M7"/>
  <c r="L7"/>
  <c r="K7"/>
  <c r="I7"/>
  <c r="H7"/>
  <c r="G7"/>
  <c r="F7"/>
  <c r="E7"/>
  <c r="D7"/>
  <c r="C7"/>
  <c r="R6"/>
  <c r="Q6"/>
  <c r="P6"/>
  <c r="O6"/>
  <c r="N6"/>
  <c r="M6"/>
  <c r="L6"/>
  <c r="K6"/>
  <c r="I6"/>
  <c r="H6"/>
  <c r="G6"/>
  <c r="F6"/>
  <c r="E6"/>
  <c r="D6"/>
  <c r="C6"/>
  <c r="AD71"/>
  <c r="U71"/>
  <c r="AK62"/>
  <c r="AK56"/>
  <c r="AK46"/>
  <c r="AK45"/>
  <c r="AK36"/>
  <c r="AJ35"/>
  <c r="AK34"/>
  <c r="AE34"/>
  <c r="AK26"/>
  <c r="AK24"/>
  <c r="AK22"/>
  <c r="AJ22"/>
  <c r="AK13"/>
  <c r="AE13"/>
  <c r="AD13"/>
  <c r="AJ11"/>
  <c r="A7"/>
  <c r="A77"/>
  <c r="A147"/>
  <c r="Q320" i="84"/>
  <c r="Q318"/>
  <c r="Q316"/>
  <c r="Q308"/>
  <c r="Q306"/>
  <c r="Q303"/>
  <c r="Q299"/>
  <c r="Q297"/>
  <c r="Q295"/>
  <c r="Q287"/>
  <c r="Q285"/>
  <c r="Q283"/>
  <c r="Q274"/>
  <c r="Q266"/>
  <c r="Q262"/>
  <c r="Q254"/>
  <c r="Q252"/>
  <c r="Q244"/>
  <c r="U320"/>
  <c r="U318"/>
  <c r="U316"/>
  <c r="U308"/>
  <c r="U306"/>
  <c r="U303"/>
  <c r="U299"/>
  <c r="U297"/>
  <c r="U295"/>
  <c r="U287"/>
  <c r="U285"/>
  <c r="U283"/>
  <c r="U274"/>
  <c r="U266"/>
  <c r="U262"/>
  <c r="U254"/>
  <c r="U252"/>
  <c r="U244"/>
  <c r="Y320"/>
  <c r="Y318"/>
  <c r="Y316"/>
  <c r="Y308"/>
  <c r="Y306"/>
  <c r="Y303"/>
  <c r="Y299"/>
  <c r="Y297"/>
  <c r="Y295"/>
  <c r="Y287"/>
  <c r="Y285"/>
  <c r="Y283"/>
  <c r="Y274"/>
  <c r="Y266"/>
  <c r="Y262"/>
  <c r="Y254"/>
  <c r="Y252"/>
  <c r="Y244"/>
  <c r="AC320"/>
  <c r="AC318"/>
  <c r="AC316"/>
  <c r="AC308"/>
  <c r="AC306"/>
  <c r="AC303"/>
  <c r="AC299"/>
  <c r="AC297"/>
  <c r="AC295"/>
  <c r="AC287"/>
  <c r="AC285"/>
  <c r="AC283"/>
  <c r="AC274"/>
  <c r="AC266"/>
  <c r="AC262"/>
  <c r="AC254"/>
  <c r="AC252"/>
  <c r="AC244"/>
  <c r="AG320"/>
  <c r="AG318"/>
  <c r="AG316"/>
  <c r="AG308"/>
  <c r="AG306"/>
  <c r="AG303"/>
  <c r="AG299"/>
  <c r="AG297"/>
  <c r="AG295"/>
  <c r="AG287"/>
  <c r="AG285"/>
  <c r="AG283"/>
  <c r="AG274"/>
  <c r="AG266"/>
  <c r="AG262"/>
  <c r="AG254"/>
  <c r="AG252"/>
  <c r="AG244"/>
  <c r="AO320"/>
  <c r="AO318"/>
  <c r="AO316"/>
  <c r="AO308"/>
  <c r="AO306"/>
  <c r="AO303"/>
  <c r="AO299"/>
  <c r="AO297"/>
  <c r="AO295"/>
  <c r="AO287"/>
  <c r="AO285"/>
  <c r="AO283"/>
  <c r="AO274"/>
  <c r="AO266"/>
  <c r="AO262"/>
  <c r="AO254"/>
  <c r="AO252"/>
  <c r="AO244"/>
  <c r="AS320"/>
  <c r="AS318"/>
  <c r="AS316"/>
  <c r="AS308"/>
  <c r="AS306"/>
  <c r="AS303"/>
  <c r="AS299"/>
  <c r="AS297"/>
  <c r="AS295"/>
  <c r="AS287"/>
  <c r="AS285"/>
  <c r="AS283"/>
  <c r="AS274"/>
  <c r="AS266"/>
  <c r="AS262"/>
  <c r="AS254"/>
  <c r="AS252"/>
  <c r="AS244"/>
  <c r="AW320"/>
  <c r="AW318"/>
  <c r="AW316"/>
  <c r="AW308"/>
  <c r="AW306"/>
  <c r="AW303"/>
  <c r="AW299"/>
  <c r="AW297"/>
  <c r="AW295"/>
  <c r="AW287"/>
  <c r="AW285"/>
  <c r="AW283"/>
  <c r="AW274"/>
  <c r="AW266"/>
  <c r="AW262"/>
  <c r="AW254"/>
  <c r="AW252"/>
  <c r="AW244"/>
  <c r="AS157"/>
  <c r="AS155"/>
  <c r="AS153"/>
  <c r="AS145"/>
  <c r="AS143"/>
  <c r="AS140"/>
  <c r="AS136"/>
  <c r="AS134"/>
  <c r="AS132"/>
  <c r="AS124"/>
  <c r="AS122"/>
  <c r="AS120"/>
  <c r="AS111"/>
  <c r="AS103"/>
  <c r="AS99"/>
  <c r="AS91"/>
  <c r="AS89"/>
  <c r="AS81"/>
  <c r="AO157"/>
  <c r="AO155"/>
  <c r="AO153"/>
  <c r="AO145"/>
  <c r="AO143"/>
  <c r="AO140"/>
  <c r="AO136"/>
  <c r="AO134"/>
  <c r="AO132"/>
  <c r="AO124"/>
  <c r="AO122"/>
  <c r="AO120"/>
  <c r="AO111"/>
  <c r="AO103"/>
  <c r="AO99"/>
  <c r="AO91"/>
  <c r="AO89"/>
  <c r="AO81"/>
  <c r="AK157"/>
  <c r="AK155"/>
  <c r="AK153"/>
  <c r="AK145"/>
  <c r="AK143"/>
  <c r="AK140"/>
  <c r="AK136"/>
  <c r="AK134"/>
  <c r="AK132"/>
  <c r="AK124"/>
  <c r="AK122"/>
  <c r="AK120"/>
  <c r="AK111"/>
  <c r="AK103"/>
  <c r="AK99"/>
  <c r="AK91"/>
  <c r="AK89"/>
  <c r="AK81"/>
  <c r="AC157"/>
  <c r="AC155"/>
  <c r="AC153"/>
  <c r="AC145"/>
  <c r="AC143"/>
  <c r="AC140"/>
  <c r="AC136"/>
  <c r="AC134"/>
  <c r="AC132"/>
  <c r="AC124"/>
  <c r="AC122"/>
  <c r="AC120"/>
  <c r="AC111"/>
  <c r="AC103"/>
  <c r="AC99"/>
  <c r="AC91"/>
  <c r="AC89"/>
  <c r="AC81"/>
  <c r="Y157"/>
  <c r="Y155"/>
  <c r="Y153"/>
  <c r="Y145"/>
  <c r="Y143"/>
  <c r="Y140"/>
  <c r="Y136"/>
  <c r="Y134"/>
  <c r="Y132"/>
  <c r="Y124"/>
  <c r="Y122"/>
  <c r="Y120"/>
  <c r="Y111"/>
  <c r="Y103"/>
  <c r="Y99"/>
  <c r="Y91"/>
  <c r="Y89"/>
  <c r="Y81"/>
  <c r="U157"/>
  <c r="U155"/>
  <c r="U153"/>
  <c r="U145"/>
  <c r="U143"/>
  <c r="U140"/>
  <c r="U136"/>
  <c r="U134"/>
  <c r="U132"/>
  <c r="U124"/>
  <c r="U122"/>
  <c r="U120"/>
  <c r="U111"/>
  <c r="U103"/>
  <c r="U99"/>
  <c r="U91"/>
  <c r="U89"/>
  <c r="U81"/>
  <c r="K319"/>
  <c r="K320" s="1"/>
  <c r="K317"/>
  <c r="K315"/>
  <c r="K314"/>
  <c r="K313"/>
  <c r="K312"/>
  <c r="K311"/>
  <c r="K307"/>
  <c r="K308" s="1"/>
  <c r="K305"/>
  <c r="K304"/>
  <c r="K302"/>
  <c r="K303" s="1"/>
  <c r="K298"/>
  <c r="K296"/>
  <c r="K297" s="1"/>
  <c r="K294"/>
  <c r="K293"/>
  <c r="K292"/>
  <c r="K291"/>
  <c r="K290"/>
  <c r="K286"/>
  <c r="K284"/>
  <c r="K285" s="1"/>
  <c r="K282"/>
  <c r="K281"/>
  <c r="K280"/>
  <c r="K279"/>
  <c r="K278"/>
  <c r="K277"/>
  <c r="K273"/>
  <c r="K272"/>
  <c r="K271"/>
  <c r="K270"/>
  <c r="K269"/>
  <c r="K268"/>
  <c r="K267"/>
  <c r="K265"/>
  <c r="K264"/>
  <c r="K263"/>
  <c r="K261"/>
  <c r="K260"/>
  <c r="K259"/>
  <c r="K258"/>
  <c r="K257"/>
  <c r="K253"/>
  <c r="K254" s="1"/>
  <c r="K251"/>
  <c r="K250"/>
  <c r="K249"/>
  <c r="K248"/>
  <c r="K247"/>
  <c r="K245"/>
  <c r="K243"/>
  <c r="K240"/>
  <c r="K239"/>
  <c r="K238"/>
  <c r="K237"/>
  <c r="K235"/>
  <c r="K234"/>
  <c r="K233"/>
  <c r="K232"/>
  <c r="K231"/>
  <c r="K230"/>
  <c r="K229"/>
  <c r="K228"/>
  <c r="K225"/>
  <c r="K224"/>
  <c r="K223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199"/>
  <c r="K198"/>
  <c r="K195"/>
  <c r="K193"/>
  <c r="K192"/>
  <c r="K191"/>
  <c r="K190"/>
  <c r="K189"/>
  <c r="K188"/>
  <c r="K187"/>
  <c r="K186"/>
  <c r="K185"/>
  <c r="K184"/>
  <c r="K183"/>
  <c r="K182"/>
  <c r="K181"/>
  <c r="K180"/>
  <c r="K178"/>
  <c r="K177"/>
  <c r="K176"/>
  <c r="K175"/>
  <c r="K174"/>
  <c r="K173"/>
  <c r="K172"/>
  <c r="K171"/>
  <c r="K156"/>
  <c r="K154"/>
  <c r="K155" s="1"/>
  <c r="K152"/>
  <c r="K151"/>
  <c r="K150"/>
  <c r="K149"/>
  <c r="K148"/>
  <c r="K144"/>
  <c r="K142"/>
  <c r="K141"/>
  <c r="K139"/>
  <c r="K135"/>
  <c r="K136" s="1"/>
  <c r="K133"/>
  <c r="K134" s="1"/>
  <c r="K131"/>
  <c r="K130"/>
  <c r="K129"/>
  <c r="K128"/>
  <c r="K127"/>
  <c r="K123"/>
  <c r="K124" s="1"/>
  <c r="K121"/>
  <c r="K119"/>
  <c r="K118"/>
  <c r="K117"/>
  <c r="K116"/>
  <c r="K115"/>
  <c r="K114"/>
  <c r="K110"/>
  <c r="K109"/>
  <c r="K108"/>
  <c r="K107"/>
  <c r="K106"/>
  <c r="K105"/>
  <c r="K104"/>
  <c r="K102"/>
  <c r="K101"/>
  <c r="K100"/>
  <c r="K98"/>
  <c r="K97"/>
  <c r="K96"/>
  <c r="K95"/>
  <c r="K94"/>
  <c r="K90"/>
  <c r="K91" s="1"/>
  <c r="K88"/>
  <c r="K87"/>
  <c r="K86"/>
  <c r="K85"/>
  <c r="K84"/>
  <c r="K82"/>
  <c r="K80"/>
  <c r="K77"/>
  <c r="K76"/>
  <c r="K75"/>
  <c r="K73"/>
  <c r="K72"/>
  <c r="K71"/>
  <c r="K70"/>
  <c r="K69"/>
  <c r="K68"/>
  <c r="K67"/>
  <c r="K66"/>
  <c r="K65"/>
  <c r="K62"/>
  <c r="K61"/>
  <c r="K60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5"/>
  <c r="K32"/>
  <c r="K30"/>
  <c r="K29"/>
  <c r="K28"/>
  <c r="K27"/>
  <c r="K26"/>
  <c r="K25"/>
  <c r="K24"/>
  <c r="K23"/>
  <c r="K22"/>
  <c r="K21"/>
  <c r="K20"/>
  <c r="K19"/>
  <c r="K18"/>
  <c r="K17"/>
  <c r="K15"/>
  <c r="K14"/>
  <c r="K13"/>
  <c r="K12"/>
  <c r="K11"/>
  <c r="K10"/>
  <c r="K9"/>
  <c r="K8"/>
  <c r="L319"/>
  <c r="L320" s="1"/>
  <c r="L317"/>
  <c r="L315"/>
  <c r="L314"/>
  <c r="L313"/>
  <c r="L312"/>
  <c r="L311"/>
  <c r="L307"/>
  <c r="L308" s="1"/>
  <c r="L305"/>
  <c r="L304"/>
  <c r="L302"/>
  <c r="L303" s="1"/>
  <c r="L298"/>
  <c r="L296"/>
  <c r="L297" s="1"/>
  <c r="L294"/>
  <c r="L293"/>
  <c r="L292"/>
  <c r="L291"/>
  <c r="L290"/>
  <c r="L286"/>
  <c r="L284"/>
  <c r="L285" s="1"/>
  <c r="L282"/>
  <c r="L281"/>
  <c r="L280"/>
  <c r="L279"/>
  <c r="L278"/>
  <c r="L277"/>
  <c r="L273"/>
  <c r="L272"/>
  <c r="L271"/>
  <c r="L270"/>
  <c r="L269"/>
  <c r="L268"/>
  <c r="L267"/>
  <c r="L265"/>
  <c r="L264"/>
  <c r="L263"/>
  <c r="L261"/>
  <c r="L260"/>
  <c r="L259"/>
  <c r="L258"/>
  <c r="L257"/>
  <c r="L253"/>
  <c r="L254" s="1"/>
  <c r="L251"/>
  <c r="L250"/>
  <c r="L249"/>
  <c r="L248"/>
  <c r="L247"/>
  <c r="L245"/>
  <c r="L243"/>
  <c r="L240"/>
  <c r="L239"/>
  <c r="L238"/>
  <c r="L237"/>
  <c r="L235"/>
  <c r="L234"/>
  <c r="L233"/>
  <c r="L232"/>
  <c r="L231"/>
  <c r="L230"/>
  <c r="L229"/>
  <c r="L228"/>
  <c r="L225"/>
  <c r="L224"/>
  <c r="L223"/>
  <c r="L221"/>
  <c r="L220"/>
  <c r="L219"/>
  <c r="L218"/>
  <c r="L217"/>
  <c r="L216"/>
  <c r="L215"/>
  <c r="L214"/>
  <c r="L213"/>
  <c r="L212"/>
  <c r="L211"/>
  <c r="L210"/>
  <c r="L209"/>
  <c r="L208"/>
  <c r="L207"/>
  <c r="L206"/>
  <c r="L205"/>
  <c r="L204"/>
  <c r="L203"/>
  <c r="L202"/>
  <c r="L201"/>
  <c r="L199"/>
  <c r="L198"/>
  <c r="L195"/>
  <c r="L193"/>
  <c r="L192"/>
  <c r="L191"/>
  <c r="L190"/>
  <c r="L189"/>
  <c r="L188"/>
  <c r="L187"/>
  <c r="L186"/>
  <c r="L185"/>
  <c r="L184"/>
  <c r="L183"/>
  <c r="L182"/>
  <c r="L181"/>
  <c r="L180"/>
  <c r="L178"/>
  <c r="L177"/>
  <c r="L176"/>
  <c r="L175"/>
  <c r="L174"/>
  <c r="L173"/>
  <c r="L172"/>
  <c r="L171"/>
  <c r="L156"/>
  <c r="L157" s="1"/>
  <c r="L154"/>
  <c r="L155" s="1"/>
  <c r="L152"/>
  <c r="L151"/>
  <c r="L150"/>
  <c r="L149"/>
  <c r="L148"/>
  <c r="L144"/>
  <c r="L145" s="1"/>
  <c r="L142"/>
  <c r="L141"/>
  <c r="L139"/>
  <c r="L135"/>
  <c r="L136" s="1"/>
  <c r="L133"/>
  <c r="L134" s="1"/>
  <c r="L131"/>
  <c r="L130"/>
  <c r="L129"/>
  <c r="L128"/>
  <c r="L127"/>
  <c r="L123"/>
  <c r="L121"/>
  <c r="L122" s="1"/>
  <c r="L119"/>
  <c r="L118"/>
  <c r="L117"/>
  <c r="L116"/>
  <c r="L115"/>
  <c r="L114"/>
  <c r="L110"/>
  <c r="L109"/>
  <c r="L108"/>
  <c r="L107"/>
  <c r="L106"/>
  <c r="L105"/>
  <c r="L104"/>
  <c r="L102"/>
  <c r="L101"/>
  <c r="L100"/>
  <c r="L98"/>
  <c r="L97"/>
  <c r="L96"/>
  <c r="L95"/>
  <c r="L94"/>
  <c r="L90"/>
  <c r="L91" s="1"/>
  <c r="L88"/>
  <c r="L87"/>
  <c r="L86"/>
  <c r="L85"/>
  <c r="L84"/>
  <c r="L82"/>
  <c r="L80"/>
  <c r="L77"/>
  <c r="L76"/>
  <c r="L75"/>
  <c r="L73"/>
  <c r="L72"/>
  <c r="L71"/>
  <c r="L70"/>
  <c r="L69"/>
  <c r="L68"/>
  <c r="L67"/>
  <c r="L66"/>
  <c r="L65"/>
  <c r="L62"/>
  <c r="L61"/>
  <c r="L60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5"/>
  <c r="L32"/>
  <c r="L30"/>
  <c r="L29"/>
  <c r="L28"/>
  <c r="L27"/>
  <c r="L26"/>
  <c r="L25"/>
  <c r="L24"/>
  <c r="L23"/>
  <c r="L22"/>
  <c r="L21"/>
  <c r="L20"/>
  <c r="L19"/>
  <c r="L18"/>
  <c r="L17"/>
  <c r="L15"/>
  <c r="L14"/>
  <c r="L13"/>
  <c r="L12"/>
  <c r="L11"/>
  <c r="L10"/>
  <c r="L9"/>
  <c r="L8"/>
  <c r="M319"/>
  <c r="M317"/>
  <c r="M315"/>
  <c r="M314"/>
  <c r="M313"/>
  <c r="M312"/>
  <c r="M311"/>
  <c r="M307"/>
  <c r="M305"/>
  <c r="M304"/>
  <c r="M302"/>
  <c r="M298"/>
  <c r="M296"/>
  <c r="M294"/>
  <c r="M293"/>
  <c r="M292"/>
  <c r="M291"/>
  <c r="M290"/>
  <c r="M286"/>
  <c r="M284"/>
  <c r="M282"/>
  <c r="M281"/>
  <c r="M280"/>
  <c r="M279"/>
  <c r="M278"/>
  <c r="M277"/>
  <c r="M273"/>
  <c r="M272"/>
  <c r="M271"/>
  <c r="M270"/>
  <c r="M269"/>
  <c r="M268"/>
  <c r="M267"/>
  <c r="M265"/>
  <c r="M264"/>
  <c r="M263"/>
  <c r="M261"/>
  <c r="M260"/>
  <c r="M259"/>
  <c r="M258"/>
  <c r="M257"/>
  <c r="M253"/>
  <c r="M251"/>
  <c r="M250"/>
  <c r="M249"/>
  <c r="M248"/>
  <c r="M247"/>
  <c r="M245"/>
  <c r="M243"/>
  <c r="M240"/>
  <c r="M239"/>
  <c r="M238"/>
  <c r="M237"/>
  <c r="M235"/>
  <c r="M234"/>
  <c r="M233"/>
  <c r="M232"/>
  <c r="M231"/>
  <c r="M230"/>
  <c r="M229"/>
  <c r="M228"/>
  <c r="M225"/>
  <c r="M224"/>
  <c r="M223"/>
  <c r="M221"/>
  <c r="M220"/>
  <c r="M219"/>
  <c r="M218"/>
  <c r="M217"/>
  <c r="M216"/>
  <c r="M215"/>
  <c r="M214"/>
  <c r="M213"/>
  <c r="M212"/>
  <c r="M211"/>
  <c r="M210"/>
  <c r="M209"/>
  <c r="M208"/>
  <c r="M207"/>
  <c r="M206"/>
  <c r="M205"/>
  <c r="M204"/>
  <c r="M203"/>
  <c r="M202"/>
  <c r="M201"/>
  <c r="M199"/>
  <c r="M198"/>
  <c r="M195"/>
  <c r="M193"/>
  <c r="M192"/>
  <c r="M191"/>
  <c r="M190"/>
  <c r="M189"/>
  <c r="M188"/>
  <c r="M187"/>
  <c r="M186"/>
  <c r="M185"/>
  <c r="M184"/>
  <c r="M183"/>
  <c r="M182"/>
  <c r="M181"/>
  <c r="M180"/>
  <c r="M178"/>
  <c r="M177"/>
  <c r="M176"/>
  <c r="M175"/>
  <c r="M174"/>
  <c r="M173"/>
  <c r="M172"/>
  <c r="M171"/>
  <c r="M156"/>
  <c r="M154"/>
  <c r="M152"/>
  <c r="M151"/>
  <c r="M150"/>
  <c r="M149"/>
  <c r="M148"/>
  <c r="M144"/>
  <c r="M142"/>
  <c r="M141"/>
  <c r="M139"/>
  <c r="M135"/>
  <c r="M133"/>
  <c r="M131"/>
  <c r="M130"/>
  <c r="M129"/>
  <c r="M128"/>
  <c r="M127"/>
  <c r="M123"/>
  <c r="M121"/>
  <c r="M119"/>
  <c r="M118"/>
  <c r="M117"/>
  <c r="M116"/>
  <c r="M115"/>
  <c r="M114"/>
  <c r="M110"/>
  <c r="M109"/>
  <c r="M108"/>
  <c r="M107"/>
  <c r="M106"/>
  <c r="M105"/>
  <c r="M104"/>
  <c r="M102"/>
  <c r="M101"/>
  <c r="M100"/>
  <c r="M98"/>
  <c r="M97"/>
  <c r="M96"/>
  <c r="M95"/>
  <c r="M94"/>
  <c r="M90"/>
  <c r="M88"/>
  <c r="M87"/>
  <c r="M86"/>
  <c r="M85"/>
  <c r="M84"/>
  <c r="M82"/>
  <c r="M80"/>
  <c r="M77"/>
  <c r="M76"/>
  <c r="M75"/>
  <c r="M73"/>
  <c r="M72"/>
  <c r="M71"/>
  <c r="M70"/>
  <c r="M69"/>
  <c r="M68"/>
  <c r="M67"/>
  <c r="M66"/>
  <c r="M65"/>
  <c r="M62"/>
  <c r="M61"/>
  <c r="M60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5"/>
  <c r="M32"/>
  <c r="M30"/>
  <c r="M29"/>
  <c r="M28"/>
  <c r="M27"/>
  <c r="M26"/>
  <c r="M25"/>
  <c r="M24"/>
  <c r="M23"/>
  <c r="M22"/>
  <c r="M21"/>
  <c r="M20"/>
  <c r="M19"/>
  <c r="M18"/>
  <c r="M17"/>
  <c r="M15"/>
  <c r="M14"/>
  <c r="M13"/>
  <c r="M12"/>
  <c r="M11"/>
  <c r="M10"/>
  <c r="M9"/>
  <c r="M8"/>
  <c r="O320"/>
  <c r="O318"/>
  <c r="O316"/>
  <c r="O308"/>
  <c r="O306"/>
  <c r="O303"/>
  <c r="O299"/>
  <c r="O297"/>
  <c r="O295"/>
  <c r="O287"/>
  <c r="O285"/>
  <c r="O283"/>
  <c r="O274"/>
  <c r="O266"/>
  <c r="O262"/>
  <c r="O254"/>
  <c r="O252"/>
  <c r="O244"/>
  <c r="O157"/>
  <c r="O155"/>
  <c r="O153"/>
  <c r="O145"/>
  <c r="O143"/>
  <c r="O140"/>
  <c r="O136"/>
  <c r="O134"/>
  <c r="O132"/>
  <c r="O124"/>
  <c r="O122"/>
  <c r="O120"/>
  <c r="O111"/>
  <c r="O103"/>
  <c r="O99"/>
  <c r="O91"/>
  <c r="O89"/>
  <c r="O81"/>
  <c r="Q157"/>
  <c r="Q155"/>
  <c r="Q153"/>
  <c r="Q145"/>
  <c r="Q143"/>
  <c r="Q140"/>
  <c r="Q136"/>
  <c r="Q134"/>
  <c r="Q132"/>
  <c r="Q124"/>
  <c r="Q122"/>
  <c r="Q120"/>
  <c r="Q111"/>
  <c r="Q103"/>
  <c r="Q99"/>
  <c r="Q91"/>
  <c r="Q89"/>
  <c r="Q81"/>
  <c r="S320"/>
  <c r="S318"/>
  <c r="S316"/>
  <c r="S308"/>
  <c r="S306"/>
  <c r="S303"/>
  <c r="S299"/>
  <c r="S297"/>
  <c r="S295"/>
  <c r="S287"/>
  <c r="S285"/>
  <c r="S283"/>
  <c r="S274"/>
  <c r="S266"/>
  <c r="S262"/>
  <c r="S254"/>
  <c r="S252"/>
  <c r="S244"/>
  <c r="S157"/>
  <c r="S155"/>
  <c r="S153"/>
  <c r="S145"/>
  <c r="S143"/>
  <c r="S140"/>
  <c r="S136"/>
  <c r="S134"/>
  <c r="S132"/>
  <c r="S124"/>
  <c r="S122"/>
  <c r="S120"/>
  <c r="S111"/>
  <c r="S103"/>
  <c r="S99"/>
  <c r="S91"/>
  <c r="S89"/>
  <c r="S81"/>
  <c r="W320"/>
  <c r="W318"/>
  <c r="W316"/>
  <c r="W308"/>
  <c r="W306"/>
  <c r="W303"/>
  <c r="W299"/>
  <c r="W297"/>
  <c r="W295"/>
  <c r="W287"/>
  <c r="W285"/>
  <c r="W283"/>
  <c r="W274"/>
  <c r="W266"/>
  <c r="W262"/>
  <c r="W254"/>
  <c r="W252"/>
  <c r="W244"/>
  <c r="W157"/>
  <c r="W155"/>
  <c r="W153"/>
  <c r="W145"/>
  <c r="W143"/>
  <c r="W140"/>
  <c r="W136"/>
  <c r="W134"/>
  <c r="W132"/>
  <c r="W124"/>
  <c r="W122"/>
  <c r="W120"/>
  <c r="W111"/>
  <c r="W103"/>
  <c r="W99"/>
  <c r="W91"/>
  <c r="W89"/>
  <c r="W81"/>
  <c r="AA320"/>
  <c r="AA318"/>
  <c r="AA316"/>
  <c r="AA308"/>
  <c r="AA306"/>
  <c r="AA303"/>
  <c r="AA299"/>
  <c r="AA297"/>
  <c r="AA295"/>
  <c r="AA287"/>
  <c r="AA285"/>
  <c r="AA283"/>
  <c r="AA274"/>
  <c r="AA266"/>
  <c r="AA262"/>
  <c r="AA254"/>
  <c r="AA252"/>
  <c r="AA244"/>
  <c r="AA157"/>
  <c r="AA155"/>
  <c r="AA153"/>
  <c r="AA145"/>
  <c r="AA143"/>
  <c r="AA140"/>
  <c r="AA136"/>
  <c r="AA134"/>
  <c r="AA132"/>
  <c r="AA124"/>
  <c r="AA122"/>
  <c r="AA120"/>
  <c r="AA111"/>
  <c r="AA103"/>
  <c r="AA99"/>
  <c r="AA91"/>
  <c r="AA89"/>
  <c r="AA81"/>
  <c r="AE320"/>
  <c r="AE318"/>
  <c r="AE316"/>
  <c r="AE308"/>
  <c r="AE306"/>
  <c r="AE303"/>
  <c r="AE299"/>
  <c r="AE297"/>
  <c r="AE295"/>
  <c r="AE287"/>
  <c r="AE285"/>
  <c r="AE283"/>
  <c r="AE274"/>
  <c r="AE266"/>
  <c r="AE262"/>
  <c r="AE254"/>
  <c r="AE252"/>
  <c r="AE244"/>
  <c r="AE156"/>
  <c r="AE157" s="1"/>
  <c r="AE154"/>
  <c r="AE155" s="1"/>
  <c r="AE152"/>
  <c r="AE151"/>
  <c r="AE150"/>
  <c r="AE149"/>
  <c r="AE148"/>
  <c r="AE144"/>
  <c r="AE145" s="1"/>
  <c r="AE142"/>
  <c r="AE141"/>
  <c r="AE139"/>
  <c r="AE140" s="1"/>
  <c r="AE135"/>
  <c r="AE136" s="1"/>
  <c r="AE133"/>
  <c r="AE134" s="1"/>
  <c r="AE131"/>
  <c r="AE130"/>
  <c r="AE129"/>
  <c r="AE128"/>
  <c r="AE127"/>
  <c r="AE123"/>
  <c r="AE124" s="1"/>
  <c r="AE121"/>
  <c r="AE122" s="1"/>
  <c r="AE119"/>
  <c r="AE118"/>
  <c r="AE117"/>
  <c r="AE116"/>
  <c r="AE115"/>
  <c r="AE114"/>
  <c r="AE110"/>
  <c r="AE109"/>
  <c r="AE108"/>
  <c r="AE107"/>
  <c r="AE106"/>
  <c r="AE105"/>
  <c r="AE104"/>
  <c r="AE102"/>
  <c r="AE101"/>
  <c r="AE100"/>
  <c r="AE98"/>
  <c r="AE97"/>
  <c r="AE96"/>
  <c r="AE95"/>
  <c r="AE94"/>
  <c r="AE90"/>
  <c r="AE91" s="1"/>
  <c r="AE88"/>
  <c r="AE87"/>
  <c r="AE86"/>
  <c r="AE85"/>
  <c r="AE84"/>
  <c r="AE82"/>
  <c r="AE80"/>
  <c r="AE77"/>
  <c r="AE76"/>
  <c r="AE75"/>
  <c r="AE73"/>
  <c r="AE72"/>
  <c r="AE71"/>
  <c r="AE70"/>
  <c r="AE69"/>
  <c r="AE68"/>
  <c r="AE67"/>
  <c r="AE66"/>
  <c r="AE65"/>
  <c r="AE62"/>
  <c r="AE61"/>
  <c r="AE60"/>
  <c r="AE58"/>
  <c r="AE57"/>
  <c r="AE56"/>
  <c r="AE55"/>
  <c r="AE54"/>
  <c r="AE53"/>
  <c r="AE52"/>
  <c r="AE51"/>
  <c r="AE50"/>
  <c r="AE49"/>
  <c r="AE48"/>
  <c r="AE47"/>
  <c r="AE46"/>
  <c r="AE45"/>
  <c r="AE44"/>
  <c r="AE43"/>
  <c r="AE42"/>
  <c r="AE41"/>
  <c r="AE40"/>
  <c r="AE39"/>
  <c r="AE38"/>
  <c r="AE35"/>
  <c r="AE32"/>
  <c r="AE30"/>
  <c r="AE29"/>
  <c r="AE28"/>
  <c r="AE27"/>
  <c r="AE26"/>
  <c r="AE25"/>
  <c r="AE24"/>
  <c r="AE23"/>
  <c r="AE22"/>
  <c r="AE21"/>
  <c r="AE20"/>
  <c r="AE19"/>
  <c r="AE18"/>
  <c r="AE17"/>
  <c r="AE15"/>
  <c r="AE14"/>
  <c r="AE13"/>
  <c r="AE12"/>
  <c r="AE11"/>
  <c r="AE10"/>
  <c r="AE9"/>
  <c r="AE8"/>
  <c r="AF156"/>
  <c r="AF157" s="1"/>
  <c r="AF154"/>
  <c r="AF155" s="1"/>
  <c r="AF152"/>
  <c r="AF151"/>
  <c r="AF150"/>
  <c r="AF149"/>
  <c r="AF148"/>
  <c r="AF144"/>
  <c r="AF145" s="1"/>
  <c r="AF142"/>
  <c r="AF141"/>
  <c r="AF139"/>
  <c r="AF140" s="1"/>
  <c r="AF135"/>
  <c r="AF136" s="1"/>
  <c r="AF133"/>
  <c r="AF134" s="1"/>
  <c r="AF131"/>
  <c r="AF130"/>
  <c r="AF129"/>
  <c r="AF128"/>
  <c r="AF127"/>
  <c r="AF123"/>
  <c r="AF124" s="1"/>
  <c r="AF121"/>
  <c r="AF122" s="1"/>
  <c r="AF119"/>
  <c r="AF118"/>
  <c r="AF117"/>
  <c r="AF116"/>
  <c r="AF115"/>
  <c r="AF114"/>
  <c r="AF110"/>
  <c r="AF109"/>
  <c r="AF108"/>
  <c r="AF107"/>
  <c r="AF106"/>
  <c r="AF105"/>
  <c r="AF104"/>
  <c r="AF102"/>
  <c r="AF101"/>
  <c r="AF100"/>
  <c r="AF98"/>
  <c r="AF97"/>
  <c r="AF96"/>
  <c r="AF95"/>
  <c r="AF94"/>
  <c r="AF90"/>
  <c r="AF91" s="1"/>
  <c r="AF88"/>
  <c r="AF87"/>
  <c r="AF86"/>
  <c r="AF85"/>
  <c r="AF84"/>
  <c r="AF82"/>
  <c r="AF80"/>
  <c r="AF77"/>
  <c r="AF76"/>
  <c r="AF75"/>
  <c r="AF73"/>
  <c r="AF72"/>
  <c r="AF71"/>
  <c r="AF70"/>
  <c r="AF69"/>
  <c r="AF68"/>
  <c r="AF67"/>
  <c r="AF66"/>
  <c r="AF65"/>
  <c r="AF62"/>
  <c r="AF61"/>
  <c r="AF60"/>
  <c r="AF58"/>
  <c r="AF57"/>
  <c r="AF56"/>
  <c r="AF55"/>
  <c r="AF54"/>
  <c r="AF53"/>
  <c r="AF52"/>
  <c r="AF51"/>
  <c r="AF50"/>
  <c r="AF49"/>
  <c r="AF48"/>
  <c r="AF47"/>
  <c r="AF46"/>
  <c r="AF45"/>
  <c r="AF44"/>
  <c r="AF43"/>
  <c r="AF42"/>
  <c r="AF41"/>
  <c r="AF40"/>
  <c r="AF39"/>
  <c r="AF38"/>
  <c r="AF35"/>
  <c r="AF32"/>
  <c r="AF30"/>
  <c r="AF29"/>
  <c r="AF28"/>
  <c r="AF27"/>
  <c r="AF26"/>
  <c r="AF25"/>
  <c r="AF24"/>
  <c r="AF23"/>
  <c r="AF22"/>
  <c r="AF21"/>
  <c r="AF20"/>
  <c r="AF19"/>
  <c r="AF18"/>
  <c r="AF17"/>
  <c r="AF15"/>
  <c r="AF14"/>
  <c r="AF13"/>
  <c r="AF12"/>
  <c r="AF11"/>
  <c r="AF10"/>
  <c r="AF9"/>
  <c r="AF8"/>
  <c r="AG156"/>
  <c r="AG154"/>
  <c r="AG152"/>
  <c r="AG151"/>
  <c r="AG150"/>
  <c r="AG149"/>
  <c r="AG148"/>
  <c r="AG144"/>
  <c r="AG142"/>
  <c r="AG141"/>
  <c r="AG139"/>
  <c r="AG135"/>
  <c r="AG133"/>
  <c r="AG131"/>
  <c r="AG130"/>
  <c r="AG129"/>
  <c r="AG128"/>
  <c r="AG127"/>
  <c r="AG123"/>
  <c r="AG121"/>
  <c r="AG119"/>
  <c r="AG118"/>
  <c r="AG117"/>
  <c r="AG116"/>
  <c r="AG115"/>
  <c r="AG114"/>
  <c r="AG110"/>
  <c r="AG109"/>
  <c r="AG108"/>
  <c r="AG107"/>
  <c r="AG106"/>
  <c r="AG105"/>
  <c r="AG104"/>
  <c r="AG102"/>
  <c r="AG101"/>
  <c r="AG100"/>
  <c r="AG98"/>
  <c r="AG97"/>
  <c r="AG96"/>
  <c r="AG95"/>
  <c r="AG94"/>
  <c r="AG90"/>
  <c r="AG88"/>
  <c r="AG87"/>
  <c r="AG86"/>
  <c r="AG85"/>
  <c r="AG84"/>
  <c r="AG82"/>
  <c r="AG80"/>
  <c r="AG77"/>
  <c r="AG76"/>
  <c r="AG75"/>
  <c r="AG73"/>
  <c r="AG72"/>
  <c r="AG71"/>
  <c r="AG70"/>
  <c r="AG69"/>
  <c r="AG68"/>
  <c r="AG67"/>
  <c r="AG66"/>
  <c r="AG65"/>
  <c r="AG62"/>
  <c r="AG61"/>
  <c r="AG60"/>
  <c r="AG58"/>
  <c r="AG57"/>
  <c r="AG56"/>
  <c r="AG55"/>
  <c r="AG54"/>
  <c r="AG53"/>
  <c r="AG52"/>
  <c r="AG51"/>
  <c r="AG50"/>
  <c r="AG49"/>
  <c r="AG48"/>
  <c r="AG47"/>
  <c r="AG46"/>
  <c r="AG45"/>
  <c r="AG44"/>
  <c r="AG43"/>
  <c r="AG42"/>
  <c r="AG41"/>
  <c r="AG40"/>
  <c r="AG39"/>
  <c r="AG38"/>
  <c r="AG35"/>
  <c r="AG32"/>
  <c r="AG30"/>
  <c r="AG29"/>
  <c r="AG28"/>
  <c r="AG27"/>
  <c r="AG26"/>
  <c r="AG25"/>
  <c r="AG24"/>
  <c r="AG23"/>
  <c r="AG22"/>
  <c r="AG21"/>
  <c r="AG20"/>
  <c r="AG19"/>
  <c r="AG18"/>
  <c r="AG17"/>
  <c r="AG15"/>
  <c r="AG14"/>
  <c r="AG13"/>
  <c r="AG12"/>
  <c r="AG11"/>
  <c r="AG10"/>
  <c r="AG9"/>
  <c r="AG8"/>
  <c r="AI319"/>
  <c r="AI320" s="1"/>
  <c r="AI317"/>
  <c r="AI318" s="1"/>
  <c r="AI315"/>
  <c r="AI314"/>
  <c r="AI313"/>
  <c r="AI312"/>
  <c r="AI311"/>
  <c r="AI307"/>
  <c r="AI308" s="1"/>
  <c r="AI305"/>
  <c r="AI304"/>
  <c r="AI302"/>
  <c r="AI303" s="1"/>
  <c r="AI298"/>
  <c r="AI299" s="1"/>
  <c r="AI296"/>
  <c r="AI297" s="1"/>
  <c r="AI294"/>
  <c r="AI293"/>
  <c r="AI292"/>
  <c r="AI291"/>
  <c r="AI290"/>
  <c r="AI286"/>
  <c r="AI287" s="1"/>
  <c r="AI284"/>
  <c r="AI285" s="1"/>
  <c r="AI282"/>
  <c r="AI281"/>
  <c r="AI280"/>
  <c r="AI279"/>
  <c r="AI278"/>
  <c r="AI277"/>
  <c r="AI273"/>
  <c r="AI274" s="1"/>
  <c r="AI272"/>
  <c r="AI271"/>
  <c r="AI270"/>
  <c r="AI269"/>
  <c r="AI268"/>
  <c r="AI267"/>
  <c r="AI265"/>
  <c r="AI264"/>
  <c r="AI263"/>
  <c r="AI261"/>
  <c r="AI260"/>
  <c r="AI259"/>
  <c r="AI258"/>
  <c r="AI257"/>
  <c r="AI253"/>
  <c r="AI254" s="1"/>
  <c r="AI251"/>
  <c r="AI250"/>
  <c r="AI249"/>
  <c r="AI248"/>
  <c r="AI247"/>
  <c r="AI245"/>
  <c r="AI243"/>
  <c r="AI240"/>
  <c r="AI239"/>
  <c r="AI238"/>
  <c r="AI237"/>
  <c r="AI235"/>
  <c r="AI234"/>
  <c r="AI233"/>
  <c r="AI232"/>
  <c r="AI231"/>
  <c r="AI230"/>
  <c r="AI229"/>
  <c r="AI228"/>
  <c r="AI225"/>
  <c r="AI224"/>
  <c r="AI223"/>
  <c r="AI221"/>
  <c r="AI220"/>
  <c r="AI219"/>
  <c r="AI218"/>
  <c r="AI217"/>
  <c r="AI216"/>
  <c r="AI215"/>
  <c r="AI214"/>
  <c r="AI213"/>
  <c r="AI212"/>
  <c r="AI211"/>
  <c r="AI210"/>
  <c r="AI209"/>
  <c r="AI208"/>
  <c r="AI207"/>
  <c r="AI206"/>
  <c r="AI205"/>
  <c r="AI204"/>
  <c r="AI203"/>
  <c r="AI202"/>
  <c r="AI201"/>
  <c r="AI199"/>
  <c r="AI198"/>
  <c r="AI195"/>
  <c r="AI193"/>
  <c r="AI192"/>
  <c r="AI191"/>
  <c r="AI190"/>
  <c r="AI189"/>
  <c r="AI188"/>
  <c r="AI187"/>
  <c r="AI186"/>
  <c r="AI185"/>
  <c r="AI184"/>
  <c r="AI183"/>
  <c r="AI182"/>
  <c r="AI181"/>
  <c r="AI180"/>
  <c r="AI178"/>
  <c r="AI177"/>
  <c r="AI176"/>
  <c r="AI175"/>
  <c r="AI174"/>
  <c r="AI173"/>
  <c r="AI172"/>
  <c r="AI171"/>
  <c r="AI157"/>
  <c r="AI155"/>
  <c r="AI153"/>
  <c r="AI145"/>
  <c r="AI143"/>
  <c r="AI140"/>
  <c r="AI136"/>
  <c r="AI134"/>
  <c r="AI132"/>
  <c r="AI124"/>
  <c r="AI122"/>
  <c r="AI120"/>
  <c r="AI111"/>
  <c r="AI103"/>
  <c r="AI99"/>
  <c r="AI91"/>
  <c r="AI89"/>
  <c r="AI81"/>
  <c r="AJ319"/>
  <c r="AJ320" s="1"/>
  <c r="AJ317"/>
  <c r="AJ318" s="1"/>
  <c r="AJ315"/>
  <c r="AJ314"/>
  <c r="AJ313"/>
  <c r="AJ312"/>
  <c r="AJ311"/>
  <c r="AJ307"/>
  <c r="AJ308" s="1"/>
  <c r="AJ305"/>
  <c r="AJ304"/>
  <c r="AJ302"/>
  <c r="AJ303" s="1"/>
  <c r="AJ298"/>
  <c r="AJ299" s="1"/>
  <c r="AJ296"/>
  <c r="AJ297" s="1"/>
  <c r="AJ294"/>
  <c r="AJ293"/>
  <c r="AJ292"/>
  <c r="AJ291"/>
  <c r="AJ290"/>
  <c r="AJ286"/>
  <c r="AJ287" s="1"/>
  <c r="AJ284"/>
  <c r="AJ285" s="1"/>
  <c r="AJ282"/>
  <c r="AJ281"/>
  <c r="AJ280"/>
  <c r="AJ279"/>
  <c r="H279" s="1"/>
  <c r="AJ278"/>
  <c r="AJ277"/>
  <c r="AJ273"/>
  <c r="AJ274" s="1"/>
  <c r="AJ272"/>
  <c r="AJ271"/>
  <c r="AJ270"/>
  <c r="AJ269"/>
  <c r="AJ268"/>
  <c r="AJ267"/>
  <c r="AJ265"/>
  <c r="AJ264"/>
  <c r="AJ263"/>
  <c r="AJ261"/>
  <c r="AJ260"/>
  <c r="AJ259"/>
  <c r="AJ258"/>
  <c r="AJ257"/>
  <c r="AJ253"/>
  <c r="AJ254" s="1"/>
  <c r="AJ251"/>
  <c r="AJ250"/>
  <c r="AJ249"/>
  <c r="AJ248"/>
  <c r="AJ247"/>
  <c r="AJ245"/>
  <c r="AJ243"/>
  <c r="AJ240"/>
  <c r="AJ239"/>
  <c r="AJ238"/>
  <c r="AJ237"/>
  <c r="AJ235"/>
  <c r="AJ234"/>
  <c r="AJ233"/>
  <c r="AJ232"/>
  <c r="AJ231"/>
  <c r="AJ230"/>
  <c r="AJ229"/>
  <c r="AJ228"/>
  <c r="AJ225"/>
  <c r="AJ224"/>
  <c r="AJ223"/>
  <c r="AJ221"/>
  <c r="AJ220"/>
  <c r="AJ219"/>
  <c r="AJ218"/>
  <c r="AJ217"/>
  <c r="AJ216"/>
  <c r="AJ215"/>
  <c r="AJ214"/>
  <c r="AJ213"/>
  <c r="AJ212"/>
  <c r="AJ211"/>
  <c r="AJ210"/>
  <c r="AJ209"/>
  <c r="AJ208"/>
  <c r="AJ207"/>
  <c r="AJ206"/>
  <c r="AJ205"/>
  <c r="AJ204"/>
  <c r="AJ203"/>
  <c r="AJ202"/>
  <c r="AJ201"/>
  <c r="AJ199"/>
  <c r="AJ198"/>
  <c r="AJ195"/>
  <c r="AJ193"/>
  <c r="AJ192"/>
  <c r="AJ191"/>
  <c r="AJ190"/>
  <c r="AJ189"/>
  <c r="AJ188"/>
  <c r="AJ187"/>
  <c r="AJ186"/>
  <c r="AJ185"/>
  <c r="AJ184"/>
  <c r="AJ183"/>
  <c r="AJ182"/>
  <c r="AJ181"/>
  <c r="AJ180"/>
  <c r="AJ178"/>
  <c r="AJ177"/>
  <c r="AJ176"/>
  <c r="AJ175"/>
  <c r="AJ174"/>
  <c r="AJ173"/>
  <c r="AJ172"/>
  <c r="AJ171"/>
  <c r="AK319"/>
  <c r="AK317"/>
  <c r="AK315"/>
  <c r="AL315" s="1"/>
  <c r="AK314"/>
  <c r="AL314" s="1"/>
  <c r="AK313"/>
  <c r="AK312"/>
  <c r="AK311"/>
  <c r="AL311" s="1"/>
  <c r="AK307"/>
  <c r="AK305"/>
  <c r="AK304"/>
  <c r="AK302"/>
  <c r="AK298"/>
  <c r="AK296"/>
  <c r="AK294"/>
  <c r="AK293"/>
  <c r="AL293" s="1"/>
  <c r="AK292"/>
  <c r="AL292" s="1"/>
  <c r="AK291"/>
  <c r="AL291" s="1"/>
  <c r="AK290"/>
  <c r="AK286"/>
  <c r="AK284"/>
  <c r="AK282"/>
  <c r="AL282" s="1"/>
  <c r="AK281"/>
  <c r="AK280"/>
  <c r="AL280" s="1"/>
  <c r="AK279"/>
  <c r="AL279" s="1"/>
  <c r="AK278"/>
  <c r="AL278" s="1"/>
  <c r="AK277"/>
  <c r="AK273"/>
  <c r="AK272"/>
  <c r="AL272" s="1"/>
  <c r="AK271"/>
  <c r="AL271" s="1"/>
  <c r="AK270"/>
  <c r="AK269"/>
  <c r="AL269" s="1"/>
  <c r="AK268"/>
  <c r="AL268" s="1"/>
  <c r="AK267"/>
  <c r="AL267" s="1"/>
  <c r="AK265"/>
  <c r="AK264"/>
  <c r="AK263"/>
  <c r="AL263" s="1"/>
  <c r="AK261"/>
  <c r="AL261" s="1"/>
  <c r="AK260"/>
  <c r="AK259"/>
  <c r="AK258"/>
  <c r="AK257"/>
  <c r="AL257" s="1"/>
  <c r="AK253"/>
  <c r="AK251"/>
  <c r="AK250"/>
  <c r="AL250" s="1"/>
  <c r="AK249"/>
  <c r="AL249" s="1"/>
  <c r="AK248"/>
  <c r="AK247"/>
  <c r="AK245"/>
  <c r="AK243"/>
  <c r="AL243" s="1"/>
  <c r="AK240"/>
  <c r="AK239"/>
  <c r="AK238"/>
  <c r="AL238" s="1"/>
  <c r="AK237"/>
  <c r="AL237" s="1"/>
  <c r="AK235"/>
  <c r="AK234"/>
  <c r="AK233"/>
  <c r="AL233" s="1"/>
  <c r="AK232"/>
  <c r="AL232" s="1"/>
  <c r="AK231"/>
  <c r="AK230"/>
  <c r="AK229"/>
  <c r="AL229" s="1"/>
  <c r="AK228"/>
  <c r="AL228" s="1"/>
  <c r="AK225"/>
  <c r="AK224"/>
  <c r="AK223"/>
  <c r="AL223" s="1"/>
  <c r="AK221"/>
  <c r="AL221" s="1"/>
  <c r="AK220"/>
  <c r="AK219"/>
  <c r="AK218"/>
  <c r="AL218" s="1"/>
  <c r="AK217"/>
  <c r="AL217" s="1"/>
  <c r="AK216"/>
  <c r="AK215"/>
  <c r="AK214"/>
  <c r="AL214" s="1"/>
  <c r="AK213"/>
  <c r="AL213" s="1"/>
  <c r="AK212"/>
  <c r="AK211"/>
  <c r="AK210"/>
  <c r="AL210" s="1"/>
  <c r="AK209"/>
  <c r="AL209" s="1"/>
  <c r="AK208"/>
  <c r="AK207"/>
  <c r="AK206"/>
  <c r="AL206" s="1"/>
  <c r="AK205"/>
  <c r="AL205" s="1"/>
  <c r="AK204"/>
  <c r="AK203"/>
  <c r="AK202"/>
  <c r="AL202" s="1"/>
  <c r="AK201"/>
  <c r="AL201" s="1"/>
  <c r="AK199"/>
  <c r="AK198"/>
  <c r="AK195"/>
  <c r="AL195" s="1"/>
  <c r="AK193"/>
  <c r="AL193" s="1"/>
  <c r="AK192"/>
  <c r="AK191"/>
  <c r="AK190"/>
  <c r="AL190" s="1"/>
  <c r="AK189"/>
  <c r="AL189" s="1"/>
  <c r="AK188"/>
  <c r="AK187"/>
  <c r="AK186"/>
  <c r="AL186" s="1"/>
  <c r="AK185"/>
  <c r="AL185" s="1"/>
  <c r="AK184"/>
  <c r="AK183"/>
  <c r="AL183" s="1"/>
  <c r="AK182"/>
  <c r="AL182" s="1"/>
  <c r="AK181"/>
  <c r="AL181" s="1"/>
  <c r="AK180"/>
  <c r="AK178"/>
  <c r="AL178" s="1"/>
  <c r="AK177"/>
  <c r="AL177" s="1"/>
  <c r="AK176"/>
  <c r="AL176" s="1"/>
  <c r="AK175"/>
  <c r="AK174"/>
  <c r="AK173"/>
  <c r="AL173" s="1"/>
  <c r="AK172"/>
  <c r="AL172" s="1"/>
  <c r="AK171"/>
  <c r="AM320"/>
  <c r="AM318"/>
  <c r="AM316"/>
  <c r="AM308"/>
  <c r="AM306"/>
  <c r="AM303"/>
  <c r="AM299"/>
  <c r="AM297"/>
  <c r="AM295"/>
  <c r="AM287"/>
  <c r="AM285"/>
  <c r="AM283"/>
  <c r="AM274"/>
  <c r="AM266"/>
  <c r="AM262"/>
  <c r="AM254"/>
  <c r="AM252"/>
  <c r="AM244"/>
  <c r="AM157"/>
  <c r="AM155"/>
  <c r="AM153"/>
  <c r="AM145"/>
  <c r="AM143"/>
  <c r="AM140"/>
  <c r="AM136"/>
  <c r="AM134"/>
  <c r="AM132"/>
  <c r="AM124"/>
  <c r="AM122"/>
  <c r="AM120"/>
  <c r="AM111"/>
  <c r="AM103"/>
  <c r="AM99"/>
  <c r="AM91"/>
  <c r="AM89"/>
  <c r="AM81"/>
  <c r="AQ320"/>
  <c r="AQ318"/>
  <c r="AQ316"/>
  <c r="AQ308"/>
  <c r="AQ306"/>
  <c r="AQ303"/>
  <c r="AQ299"/>
  <c r="AQ297"/>
  <c r="AQ295"/>
  <c r="AQ287"/>
  <c r="AQ285"/>
  <c r="AQ283"/>
  <c r="AQ274"/>
  <c r="AQ266"/>
  <c r="AQ262"/>
  <c r="AQ254"/>
  <c r="AQ252"/>
  <c r="AQ244"/>
  <c r="AQ157"/>
  <c r="AQ155"/>
  <c r="AQ153"/>
  <c r="AQ145"/>
  <c r="AQ143"/>
  <c r="AQ140"/>
  <c r="AQ136"/>
  <c r="AQ134"/>
  <c r="AQ132"/>
  <c r="AQ124"/>
  <c r="AQ122"/>
  <c r="AQ120"/>
  <c r="AQ111"/>
  <c r="AQ103"/>
  <c r="AQ99"/>
  <c r="AQ91"/>
  <c r="AQ89"/>
  <c r="AQ81"/>
  <c r="AU320"/>
  <c r="AU318"/>
  <c r="AU316"/>
  <c r="AU308"/>
  <c r="AU306"/>
  <c r="AU303"/>
  <c r="AU299"/>
  <c r="AU297"/>
  <c r="AU295"/>
  <c r="AU287"/>
  <c r="AU285"/>
  <c r="AU283"/>
  <c r="AU274"/>
  <c r="AU266"/>
  <c r="AU262"/>
  <c r="AU254"/>
  <c r="AU252"/>
  <c r="AU244"/>
  <c r="D37" i="79"/>
  <c r="D33"/>
  <c r="D21"/>
  <c r="D20"/>
  <c r="D18"/>
  <c r="D17"/>
  <c r="D8"/>
  <c r="D14" s="1"/>
  <c r="E37"/>
  <c r="E33"/>
  <c r="G21"/>
  <c r="E20"/>
  <c r="G20" s="1"/>
  <c r="G18"/>
  <c r="F37"/>
  <c r="F33"/>
  <c r="E121" i="78"/>
  <c r="E118"/>
  <c r="E115"/>
  <c r="E112"/>
  <c r="E109"/>
  <c r="E99"/>
  <c r="E90"/>
  <c r="E87"/>
  <c r="E84"/>
  <c r="E81"/>
  <c r="E78"/>
  <c r="E68"/>
  <c r="E39"/>
  <c r="E40" s="1"/>
  <c r="E35"/>
  <c r="E36" s="1"/>
  <c r="E14"/>
  <c r="E13"/>
  <c r="E12"/>
  <c r="E11"/>
  <c r="E9"/>
  <c r="F121"/>
  <c r="F118"/>
  <c r="F115"/>
  <c r="F112"/>
  <c r="F109"/>
  <c r="F99"/>
  <c r="F90"/>
  <c r="F87"/>
  <c r="F84"/>
  <c r="F81"/>
  <c r="F78"/>
  <c r="F68"/>
  <c r="F14"/>
  <c r="H14" s="1"/>
  <c r="F13"/>
  <c r="G121"/>
  <c r="G118"/>
  <c r="G115"/>
  <c r="G112"/>
  <c r="G109"/>
  <c r="G99"/>
  <c r="G90"/>
  <c r="G87"/>
  <c r="G84"/>
  <c r="G81"/>
  <c r="G78"/>
  <c r="G68"/>
  <c r="G40"/>
  <c r="G36"/>
  <c r="G30"/>
  <c r="F57" i="77"/>
  <c r="G57" s="1"/>
  <c r="D120"/>
  <c r="D102"/>
  <c r="D97"/>
  <c r="D90"/>
  <c r="D61"/>
  <c r="D76" s="1"/>
  <c r="D58"/>
  <c r="D57" s="1"/>
  <c r="U36" i="85" s="1"/>
  <c r="D53" i="77"/>
  <c r="U35" i="85" s="1"/>
  <c r="D50" i="77"/>
  <c r="D37"/>
  <c r="D33" s="1"/>
  <c r="D29"/>
  <c r="D27"/>
  <c r="D26"/>
  <c r="D17"/>
  <c r="E120"/>
  <c r="E102"/>
  <c r="E97"/>
  <c r="E76"/>
  <c r="E50"/>
  <c r="E37"/>
  <c r="F120"/>
  <c r="F102"/>
  <c r="G102" s="1"/>
  <c r="F97"/>
  <c r="F61"/>
  <c r="G61" s="1"/>
  <c r="F53"/>
  <c r="G53" s="1"/>
  <c r="F50"/>
  <c r="F37"/>
  <c r="F30"/>
  <c r="F17"/>
  <c r="G199" i="76"/>
  <c r="G184"/>
  <c r="H184" s="1"/>
  <c r="G160"/>
  <c r="G94"/>
  <c r="G79"/>
  <c r="F199"/>
  <c r="F184"/>
  <c r="F94"/>
  <c r="F79"/>
  <c r="H12" i="74"/>
  <c r="G12"/>
  <c r="F12"/>
  <c r="F25" s="1"/>
  <c r="E12"/>
  <c r="E25" s="1"/>
  <c r="D12"/>
  <c r="D25" s="1"/>
  <c r="C12"/>
  <c r="C25" s="1"/>
  <c r="E15" i="73"/>
  <c r="E13"/>
  <c r="E11"/>
  <c r="E9"/>
  <c r="F15"/>
  <c r="F13"/>
  <c r="F11"/>
  <c r="F9"/>
  <c r="G15"/>
  <c r="G13"/>
  <c r="H13" s="1"/>
  <c r="G11"/>
  <c r="H11" s="1"/>
  <c r="G9"/>
  <c r="H9" s="1"/>
  <c r="C51" i="72"/>
  <c r="C48"/>
  <c r="C26"/>
  <c r="C23"/>
  <c r="C16" s="1"/>
  <c r="C36" s="1"/>
  <c r="C14"/>
  <c r="C15" s="1"/>
  <c r="C37" s="1"/>
  <c r="D51"/>
  <c r="D26"/>
  <c r="D23"/>
  <c r="D16" s="1"/>
  <c r="D14"/>
  <c r="D15" s="1"/>
  <c r="E51"/>
  <c r="F51" s="1"/>
  <c r="E26"/>
  <c r="E16"/>
  <c r="F16" s="1"/>
  <c r="E14"/>
  <c r="F309" i="116"/>
  <c r="F308"/>
  <c r="N152"/>
  <c r="N135" s="1"/>
  <c r="N141" s="1"/>
  <c r="N120"/>
  <c r="N119"/>
  <c r="N100"/>
  <c r="N96"/>
  <c r="N75"/>
  <c r="N74"/>
  <c r="N71"/>
  <c r="N50"/>
  <c r="N46"/>
  <c r="N24"/>
  <c r="N27" s="1"/>
  <c r="N10" s="1"/>
  <c r="N16" s="1"/>
  <c r="O152"/>
  <c r="O135" s="1"/>
  <c r="O141" s="1"/>
  <c r="O100"/>
  <c r="Q71"/>
  <c r="P152"/>
  <c r="P127"/>
  <c r="P102"/>
  <c r="P77"/>
  <c r="P52"/>
  <c r="P27"/>
  <c r="C310"/>
  <c r="C149"/>
  <c r="C146"/>
  <c r="C121"/>
  <c r="C120"/>
  <c r="C119"/>
  <c r="C100"/>
  <c r="C99"/>
  <c r="C96"/>
  <c r="C75"/>
  <c r="C71"/>
  <c r="C46"/>
  <c r="C52" s="1"/>
  <c r="C35" s="1"/>
  <c r="C41" s="1"/>
  <c r="C24"/>
  <c r="C27" s="1"/>
  <c r="C10" s="1"/>
  <c r="C16" s="1"/>
  <c r="D310"/>
  <c r="F146"/>
  <c r="F121"/>
  <c r="F99"/>
  <c r="E310"/>
  <c r="E152"/>
  <c r="E127"/>
  <c r="E102"/>
  <c r="E77"/>
  <c r="E52"/>
  <c r="E27"/>
  <c r="F82" i="70"/>
  <c r="F81"/>
  <c r="M25" i="69"/>
  <c r="N25" s="1"/>
  <c r="L25"/>
  <c r="K25"/>
  <c r="M12"/>
  <c r="E26"/>
  <c r="F26" s="1"/>
  <c r="D26"/>
  <c r="C26"/>
  <c r="M25" i="68"/>
  <c r="L25"/>
  <c r="K25"/>
  <c r="E26"/>
  <c r="F26" s="1"/>
  <c r="D26"/>
  <c r="C26"/>
  <c r="C199" i="64"/>
  <c r="C184"/>
  <c r="E241" i="61"/>
  <c r="D241"/>
  <c r="E240"/>
  <c r="D240"/>
  <c r="C240"/>
  <c r="E239"/>
  <c r="D239"/>
  <c r="L72" i="70" s="1"/>
  <c r="E206" i="61"/>
  <c r="K206" s="1"/>
  <c r="D206"/>
  <c r="C206"/>
  <c r="K32" i="69" s="1"/>
  <c r="E205" i="61"/>
  <c r="D205"/>
  <c r="C205"/>
  <c r="K31" i="69" s="1"/>
  <c r="E204" i="61"/>
  <c r="K204" s="1"/>
  <c r="D204"/>
  <c r="C204"/>
  <c r="K30" i="69" s="1"/>
  <c r="E203" i="61"/>
  <c r="K203" s="1"/>
  <c r="D203"/>
  <c r="C203"/>
  <c r="K29" i="69" s="1"/>
  <c r="E202" i="61"/>
  <c r="K202" s="1"/>
  <c r="D202"/>
  <c r="C202"/>
  <c r="K28" i="69" s="1"/>
  <c r="E201" i="61"/>
  <c r="D201"/>
  <c r="C201"/>
  <c r="K27" i="69" s="1"/>
  <c r="E200" i="61"/>
  <c r="K200" s="1"/>
  <c r="D200"/>
  <c r="C200"/>
  <c r="K26" i="69" s="1"/>
  <c r="E198" i="61"/>
  <c r="K198" s="1"/>
  <c r="D198"/>
  <c r="C198"/>
  <c r="K24" i="69" s="1"/>
  <c r="E197" i="61"/>
  <c r="D197"/>
  <c r="C197"/>
  <c r="K23" i="69" s="1"/>
  <c r="E196" i="61"/>
  <c r="K196" s="1"/>
  <c r="D196"/>
  <c r="C196"/>
  <c r="K22" i="69" s="1"/>
  <c r="E195" i="61"/>
  <c r="K195" s="1"/>
  <c r="D195"/>
  <c r="C195"/>
  <c r="C194" s="1"/>
  <c r="C193" s="1"/>
  <c r="C192" s="1"/>
  <c r="E191"/>
  <c r="K191" s="1"/>
  <c r="D191"/>
  <c r="C191"/>
  <c r="K32" i="68" s="1"/>
  <c r="E190" i="61"/>
  <c r="D190"/>
  <c r="C190"/>
  <c r="K31" i="68" s="1"/>
  <c r="E189" i="61"/>
  <c r="K189" s="1"/>
  <c r="D189"/>
  <c r="C189"/>
  <c r="K30" i="68" s="1"/>
  <c r="E188" i="61"/>
  <c r="K188" s="1"/>
  <c r="D188"/>
  <c r="C188"/>
  <c r="K29" i="68" s="1"/>
  <c r="E187" i="61"/>
  <c r="K187" s="1"/>
  <c r="D187"/>
  <c r="C187"/>
  <c r="K28" i="68" s="1"/>
  <c r="E186" i="61"/>
  <c r="D186"/>
  <c r="C186"/>
  <c r="K27" i="68" s="1"/>
  <c r="E185" i="61"/>
  <c r="K185" s="1"/>
  <c r="D185"/>
  <c r="C185"/>
  <c r="K26" i="68" s="1"/>
  <c r="E183" i="61"/>
  <c r="K183" s="1"/>
  <c r="D183"/>
  <c r="C183"/>
  <c r="K24" i="68" s="1"/>
  <c r="E182" i="61"/>
  <c r="D182"/>
  <c r="C182"/>
  <c r="K23" i="68" s="1"/>
  <c r="E181" i="61"/>
  <c r="K181" s="1"/>
  <c r="D181"/>
  <c r="C181"/>
  <c r="K22" i="68" s="1"/>
  <c r="E180" i="61"/>
  <c r="D180"/>
  <c r="C180"/>
  <c r="K21" i="68" s="1"/>
  <c r="E175" i="61"/>
  <c r="D175"/>
  <c r="C175"/>
  <c r="E174"/>
  <c r="D174"/>
  <c r="C174"/>
  <c r="E173"/>
  <c r="D173"/>
  <c r="C173"/>
  <c r="E172"/>
  <c r="D172"/>
  <c r="C172"/>
  <c r="E171"/>
  <c r="D171"/>
  <c r="C171"/>
  <c r="E170"/>
  <c r="D170"/>
  <c r="C170"/>
  <c r="K14" i="69" s="1"/>
  <c r="E169" i="61"/>
  <c r="D169"/>
  <c r="C169"/>
  <c r="E168"/>
  <c r="D168"/>
  <c r="C168"/>
  <c r="E167"/>
  <c r="D167"/>
  <c r="C167"/>
  <c r="E166"/>
  <c r="K166" s="1"/>
  <c r="D166"/>
  <c r="C166"/>
  <c r="E164"/>
  <c r="D164"/>
  <c r="C164"/>
  <c r="E163"/>
  <c r="D163"/>
  <c r="C163"/>
  <c r="E162"/>
  <c r="D162"/>
  <c r="C162"/>
  <c r="E161"/>
  <c r="D161"/>
  <c r="C161"/>
  <c r="D160"/>
  <c r="Y300" i="116" s="1"/>
  <c r="C160" i="61"/>
  <c r="K12" i="69" s="1"/>
  <c r="E158" i="61"/>
  <c r="D158"/>
  <c r="C158"/>
  <c r="E157"/>
  <c r="D157"/>
  <c r="C157"/>
  <c r="E156"/>
  <c r="D156"/>
  <c r="C156"/>
  <c r="E155"/>
  <c r="D155"/>
  <c r="C155"/>
  <c r="E154"/>
  <c r="D154"/>
  <c r="C154"/>
  <c r="E153"/>
  <c r="D153"/>
  <c r="C153"/>
  <c r="E152"/>
  <c r="D152"/>
  <c r="C152"/>
  <c r="E151"/>
  <c r="D151"/>
  <c r="Y299" i="116" s="1"/>
  <c r="Z299" s="1"/>
  <c r="C151" i="61"/>
  <c r="K10" i="69" s="1"/>
  <c r="E148" i="61"/>
  <c r="D148"/>
  <c r="C148"/>
  <c r="G147" i="76"/>
  <c r="D147" i="61"/>
  <c r="C147"/>
  <c r="C146" s="1"/>
  <c r="E145"/>
  <c r="D145"/>
  <c r="C145"/>
  <c r="E144"/>
  <c r="D144"/>
  <c r="C144"/>
  <c r="E143"/>
  <c r="D143"/>
  <c r="C143"/>
  <c r="E142"/>
  <c r="D142"/>
  <c r="C142"/>
  <c r="E141"/>
  <c r="D141"/>
  <c r="C141"/>
  <c r="E140"/>
  <c r="D140"/>
  <c r="C140"/>
  <c r="E139"/>
  <c r="AC298" i="116" s="1"/>
  <c r="AD298" s="1"/>
  <c r="D139" i="61"/>
  <c r="Y298" i="116" s="1"/>
  <c r="Z298" s="1"/>
  <c r="C139" i="61"/>
  <c r="K17" i="68" s="1"/>
  <c r="E138" i="61"/>
  <c r="D138"/>
  <c r="C138"/>
  <c r="E137"/>
  <c r="D137"/>
  <c r="C137"/>
  <c r="E136"/>
  <c r="D136"/>
  <c r="C136"/>
  <c r="E135"/>
  <c r="D135"/>
  <c r="C135"/>
  <c r="E134"/>
  <c r="D134"/>
  <c r="C134"/>
  <c r="E133"/>
  <c r="D133"/>
  <c r="C133"/>
  <c r="E131"/>
  <c r="D131"/>
  <c r="C131"/>
  <c r="E130"/>
  <c r="D130"/>
  <c r="C130"/>
  <c r="E129"/>
  <c r="D129"/>
  <c r="C129"/>
  <c r="E128"/>
  <c r="D128"/>
  <c r="C128"/>
  <c r="E127"/>
  <c r="D127"/>
  <c r="C127"/>
  <c r="E126"/>
  <c r="D126"/>
  <c r="C126"/>
  <c r="E125"/>
  <c r="D125"/>
  <c r="C125"/>
  <c r="E124"/>
  <c r="D124"/>
  <c r="C124"/>
  <c r="C123" s="1"/>
  <c r="E122"/>
  <c r="D122"/>
  <c r="C122"/>
  <c r="E121"/>
  <c r="D121"/>
  <c r="C121"/>
  <c r="E120"/>
  <c r="D120"/>
  <c r="C120"/>
  <c r="E119"/>
  <c r="D119"/>
  <c r="C119"/>
  <c r="E118"/>
  <c r="D118"/>
  <c r="C118"/>
  <c r="E117"/>
  <c r="D117"/>
  <c r="Y296" i="116" s="1"/>
  <c r="Z296" s="1"/>
  <c r="C117" i="61"/>
  <c r="K14" i="68" s="1"/>
  <c r="E115" i="61"/>
  <c r="AC295" i="116" s="1"/>
  <c r="AD295" s="1"/>
  <c r="D115" i="61"/>
  <c r="Y295" i="116" s="1"/>
  <c r="Z295" s="1"/>
  <c r="C115" i="61"/>
  <c r="K12" i="68" s="1"/>
  <c r="E114" i="61"/>
  <c r="D114"/>
  <c r="C114"/>
  <c r="S328" i="84" s="1"/>
  <c r="E113" i="61"/>
  <c r="D113"/>
  <c r="C113"/>
  <c r="E112"/>
  <c r="D112"/>
  <c r="C112"/>
  <c r="C110" s="1"/>
  <c r="E111"/>
  <c r="D111"/>
  <c r="C111"/>
  <c r="K10" i="68" s="1"/>
  <c r="E100" i="61"/>
  <c r="D100"/>
  <c r="C100"/>
  <c r="C32" i="69" s="1"/>
  <c r="E99" i="61"/>
  <c r="D99"/>
  <c r="C99"/>
  <c r="C31" i="69" s="1"/>
  <c r="E98" i="61"/>
  <c r="D98"/>
  <c r="C98"/>
  <c r="C30" i="69" s="1"/>
  <c r="E97" i="61"/>
  <c r="D97"/>
  <c r="C97"/>
  <c r="C29" i="69" s="1"/>
  <c r="E96" i="61"/>
  <c r="D96"/>
  <c r="C96"/>
  <c r="C28" i="69" s="1"/>
  <c r="E95" i="61"/>
  <c r="D95"/>
  <c r="C95"/>
  <c r="C27" i="69" s="1"/>
  <c r="E93" i="61"/>
  <c r="D93"/>
  <c r="C93"/>
  <c r="C25" i="69" s="1"/>
  <c r="E92" i="61"/>
  <c r="D92"/>
  <c r="C92"/>
  <c r="C24" i="69" s="1"/>
  <c r="E91" i="61"/>
  <c r="D91"/>
  <c r="C91"/>
  <c r="C23" i="69" s="1"/>
  <c r="E90" i="61"/>
  <c r="D90"/>
  <c r="C90"/>
  <c r="C22" i="69" s="1"/>
  <c r="E89" i="61"/>
  <c r="D89"/>
  <c r="C89"/>
  <c r="C21" i="69" s="1"/>
  <c r="E85" i="61"/>
  <c r="K85" s="1"/>
  <c r="D85"/>
  <c r="C85"/>
  <c r="C32" i="68" s="1"/>
  <c r="E84" i="61"/>
  <c r="K84" s="1"/>
  <c r="D84"/>
  <c r="C84"/>
  <c r="C31" i="68" s="1"/>
  <c r="E83" i="61"/>
  <c r="D83"/>
  <c r="C83"/>
  <c r="C30" i="68" s="1"/>
  <c r="E82" i="61"/>
  <c r="K82" s="1"/>
  <c r="D82"/>
  <c r="C82"/>
  <c r="C29" i="68" s="1"/>
  <c r="E81" i="61"/>
  <c r="K81" s="1"/>
  <c r="D81"/>
  <c r="C81"/>
  <c r="C28" i="68" s="1"/>
  <c r="E80" i="61"/>
  <c r="D80"/>
  <c r="C80"/>
  <c r="C27" i="68" s="1"/>
  <c r="E78" i="61"/>
  <c r="K78" s="1"/>
  <c r="D78"/>
  <c r="C78"/>
  <c r="C25" i="68" s="1"/>
  <c r="E77" i="61"/>
  <c r="D77"/>
  <c r="D24" i="68" s="1"/>
  <c r="C77" i="61"/>
  <c r="C24" i="68" s="1"/>
  <c r="E76" i="61"/>
  <c r="D76"/>
  <c r="C76"/>
  <c r="C23" i="68" s="1"/>
  <c r="E75" i="61"/>
  <c r="D75"/>
  <c r="C75"/>
  <c r="C22" i="68" s="1"/>
  <c r="E74" i="61"/>
  <c r="D74"/>
  <c r="C74"/>
  <c r="C21" i="68" s="1"/>
  <c r="E69" i="61"/>
  <c r="D69"/>
  <c r="C69"/>
  <c r="E68"/>
  <c r="D68"/>
  <c r="C68"/>
  <c r="E67"/>
  <c r="D67"/>
  <c r="C67"/>
  <c r="E66"/>
  <c r="D66"/>
  <c r="C66"/>
  <c r="E65"/>
  <c r="D65"/>
  <c r="C65"/>
  <c r="C64" s="1"/>
  <c r="AQ325" i="84" s="1"/>
  <c r="E63" i="61"/>
  <c r="D63"/>
  <c r="C63"/>
  <c r="E62"/>
  <c r="D62"/>
  <c r="C62"/>
  <c r="E61"/>
  <c r="D61"/>
  <c r="C61"/>
  <c r="E60"/>
  <c r="D60"/>
  <c r="C60"/>
  <c r="E59"/>
  <c r="D59"/>
  <c r="C59"/>
  <c r="C58"/>
  <c r="C11" i="69" s="1"/>
  <c r="E57" i="61"/>
  <c r="D57"/>
  <c r="C57"/>
  <c r="E56"/>
  <c r="D56"/>
  <c r="C56"/>
  <c r="E55"/>
  <c r="D55"/>
  <c r="C55"/>
  <c r="E54"/>
  <c r="D54"/>
  <c r="C54"/>
  <c r="E53"/>
  <c r="D53"/>
  <c r="C53"/>
  <c r="E52"/>
  <c r="D52"/>
  <c r="C52"/>
  <c r="C51" s="1"/>
  <c r="E49"/>
  <c r="D49"/>
  <c r="C49"/>
  <c r="E48"/>
  <c r="D48"/>
  <c r="C48"/>
  <c r="E47"/>
  <c r="D47"/>
  <c r="C47"/>
  <c r="E46"/>
  <c r="D46"/>
  <c r="C46"/>
  <c r="E45"/>
  <c r="D45"/>
  <c r="C45"/>
  <c r="E43"/>
  <c r="D43"/>
  <c r="C43"/>
  <c r="E42"/>
  <c r="D42"/>
  <c r="C42"/>
  <c r="E41"/>
  <c r="D41"/>
  <c r="C41"/>
  <c r="E40"/>
  <c r="D40"/>
  <c r="C40"/>
  <c r="E39"/>
  <c r="D39"/>
  <c r="C39"/>
  <c r="E38"/>
  <c r="D38"/>
  <c r="C38"/>
  <c r="E37"/>
  <c r="D37"/>
  <c r="C37"/>
  <c r="E36"/>
  <c r="D36"/>
  <c r="C36"/>
  <c r="E35"/>
  <c r="D35"/>
  <c r="C35"/>
  <c r="E34"/>
  <c r="D34"/>
  <c r="C34"/>
  <c r="E33"/>
  <c r="D33"/>
  <c r="C33"/>
  <c r="E31"/>
  <c r="D31"/>
  <c r="C31"/>
  <c r="E30"/>
  <c r="D30"/>
  <c r="C30"/>
  <c r="E29"/>
  <c r="D29"/>
  <c r="C29"/>
  <c r="E28"/>
  <c r="D28"/>
  <c r="C28"/>
  <c r="E27"/>
  <c r="D27"/>
  <c r="C27"/>
  <c r="E26"/>
  <c r="D26"/>
  <c r="C26"/>
  <c r="C25"/>
  <c r="S325" i="84" s="1"/>
  <c r="E24" i="61"/>
  <c r="D24"/>
  <c r="C24"/>
  <c r="C10" i="68" s="1"/>
  <c r="E23" i="61"/>
  <c r="D23"/>
  <c r="C23"/>
  <c r="E22"/>
  <c r="D22"/>
  <c r="C22"/>
  <c r="E21"/>
  <c r="D21"/>
  <c r="C21"/>
  <c r="E20"/>
  <c r="D20"/>
  <c r="C20"/>
  <c r="E19"/>
  <c r="D19"/>
  <c r="C19"/>
  <c r="E18"/>
  <c r="D18"/>
  <c r="C18"/>
  <c r="E17"/>
  <c r="D17"/>
  <c r="C17"/>
  <c r="E16"/>
  <c r="D16"/>
  <c r="C16"/>
  <c r="E15"/>
  <c r="D15"/>
  <c r="C15"/>
  <c r="E14"/>
  <c r="D14"/>
  <c r="C14"/>
  <c r="E13"/>
  <c r="D13"/>
  <c r="C13"/>
  <c r="D242" i="109"/>
  <c r="D233"/>
  <c r="D232" s="1"/>
  <c r="D230"/>
  <c r="D226"/>
  <c r="D234"/>
  <c r="D194"/>
  <c r="D193" s="1"/>
  <c r="D192" s="1"/>
  <c r="D179"/>
  <c r="D178" s="1"/>
  <c r="D177" s="1"/>
  <c r="D227"/>
  <c r="D225" s="1"/>
  <c r="D165"/>
  <c r="D159"/>
  <c r="D150"/>
  <c r="F150" s="1"/>
  <c r="D146"/>
  <c r="D132"/>
  <c r="D123"/>
  <c r="D116"/>
  <c r="F116" s="1"/>
  <c r="D110"/>
  <c r="F110" s="1"/>
  <c r="D223"/>
  <c r="D64"/>
  <c r="D58"/>
  <c r="D51"/>
  <c r="D44"/>
  <c r="D32"/>
  <c r="F32" s="1"/>
  <c r="D25"/>
  <c r="D12"/>
  <c r="D11" s="1"/>
  <c r="D242" i="97"/>
  <c r="D227"/>
  <c r="D225" s="1"/>
  <c r="D223"/>
  <c r="F223" s="1"/>
  <c r="D233"/>
  <c r="D232" s="1"/>
  <c r="D234"/>
  <c r="D226"/>
  <c r="D179"/>
  <c r="D178" s="1"/>
  <c r="D177" s="1"/>
  <c r="D165"/>
  <c r="D159"/>
  <c r="D150"/>
  <c r="D146"/>
  <c r="D132"/>
  <c r="F132" s="1"/>
  <c r="D123"/>
  <c r="D116"/>
  <c r="F116" s="1"/>
  <c r="D110"/>
  <c r="F110" s="1"/>
  <c r="D230"/>
  <c r="D64"/>
  <c r="D58"/>
  <c r="D51"/>
  <c r="D44"/>
  <c r="D32"/>
  <c r="D25"/>
  <c r="F25" s="1"/>
  <c r="D12"/>
  <c r="D11" s="1"/>
  <c r="F11" s="1"/>
  <c r="D64" i="67"/>
  <c r="D58"/>
  <c r="F58" s="1"/>
  <c r="D51"/>
  <c r="D50" s="1"/>
  <c r="D44"/>
  <c r="F44" s="1"/>
  <c r="D32"/>
  <c r="F32" s="1"/>
  <c r="D25"/>
  <c r="D12"/>
  <c r="D11" s="1"/>
  <c r="D10" s="1"/>
  <c r="F10" s="1"/>
  <c r="D194"/>
  <c r="D193" s="1"/>
  <c r="D192" s="1"/>
  <c r="D179"/>
  <c r="D178"/>
  <c r="D177" s="1"/>
  <c r="D165"/>
  <c r="D159"/>
  <c r="F159" s="1"/>
  <c r="D150"/>
  <c r="F150" s="1"/>
  <c r="D146"/>
  <c r="D132"/>
  <c r="D123"/>
  <c r="D116"/>
  <c r="F116" s="1"/>
  <c r="D110"/>
  <c r="F110" s="1"/>
  <c r="D242"/>
  <c r="D233"/>
  <c r="D234"/>
  <c r="D226"/>
  <c r="D227"/>
  <c r="D225" s="1"/>
  <c r="D230"/>
  <c r="D223"/>
  <c r="D64" i="66"/>
  <c r="D58"/>
  <c r="D51"/>
  <c r="D50" s="1"/>
  <c r="D44"/>
  <c r="D32"/>
  <c r="F32" s="1"/>
  <c r="D25"/>
  <c r="D12"/>
  <c r="D11" s="1"/>
  <c r="D194"/>
  <c r="D193" s="1"/>
  <c r="D192" s="1"/>
  <c r="D207" s="1"/>
  <c r="D179"/>
  <c r="D178"/>
  <c r="D165"/>
  <c r="D159"/>
  <c r="D150"/>
  <c r="D146"/>
  <c r="D132" s="1"/>
  <c r="D123"/>
  <c r="D116"/>
  <c r="F116" s="1"/>
  <c r="D110"/>
  <c r="D242"/>
  <c r="D230"/>
  <c r="D226"/>
  <c r="D233"/>
  <c r="D234"/>
  <c r="D227"/>
  <c r="D225" s="1"/>
  <c r="D223"/>
  <c r="D194" i="65"/>
  <c r="D193" s="1"/>
  <c r="D192" s="1"/>
  <c r="D179"/>
  <c r="D178" s="1"/>
  <c r="D177" s="1"/>
  <c r="D165"/>
  <c r="D159"/>
  <c r="D150"/>
  <c r="F150" s="1"/>
  <c r="D146"/>
  <c r="D132" s="1"/>
  <c r="D123"/>
  <c r="D116"/>
  <c r="F116" s="1"/>
  <c r="D110"/>
  <c r="F110" s="1"/>
  <c r="D64"/>
  <c r="D58"/>
  <c r="D51"/>
  <c r="D50" s="1"/>
  <c r="D44"/>
  <c r="D32"/>
  <c r="F32" s="1"/>
  <c r="D25"/>
  <c r="F25" s="1"/>
  <c r="D12"/>
  <c r="D11"/>
  <c r="F11" s="1"/>
  <c r="E146" i="64"/>
  <c r="E242"/>
  <c r="E233"/>
  <c r="E231"/>
  <c r="E230"/>
  <c r="E226"/>
  <c r="E224"/>
  <c r="E223"/>
  <c r="E165"/>
  <c r="E159"/>
  <c r="E150"/>
  <c r="E132"/>
  <c r="E123"/>
  <c r="E116"/>
  <c r="E110"/>
  <c r="E88"/>
  <c r="E73"/>
  <c r="E64"/>
  <c r="E58"/>
  <c r="E51"/>
  <c r="E44"/>
  <c r="E32"/>
  <c r="E25"/>
  <c r="E12"/>
  <c r="H94" i="76" l="1"/>
  <c r="N25" i="68"/>
  <c r="H79" i="76"/>
  <c r="H199"/>
  <c r="AL171" i="84"/>
  <c r="AL175"/>
  <c r="AL180"/>
  <c r="AL184"/>
  <c r="AL188"/>
  <c r="AL192"/>
  <c r="AL199"/>
  <c r="AL204"/>
  <c r="AL208"/>
  <c r="AL212"/>
  <c r="AL216"/>
  <c r="AL220"/>
  <c r="AL225"/>
  <c r="AL231"/>
  <c r="AL235"/>
  <c r="AL240"/>
  <c r="AL248"/>
  <c r="AL260"/>
  <c r="AL265"/>
  <c r="AL270"/>
  <c r="AL277"/>
  <c r="AL281"/>
  <c r="AL290"/>
  <c r="AL304"/>
  <c r="AL312"/>
  <c r="M236" i="85"/>
  <c r="M244"/>
  <c r="M250"/>
  <c r="M258"/>
  <c r="M268"/>
  <c r="Y294" i="116"/>
  <c r="Z294" s="1"/>
  <c r="N10" i="84"/>
  <c r="N14"/>
  <c r="N19"/>
  <c r="N23"/>
  <c r="N27"/>
  <c r="N32"/>
  <c r="N40"/>
  <c r="N44"/>
  <c r="N48"/>
  <c r="N52"/>
  <c r="N56"/>
  <c r="N61"/>
  <c r="N67"/>
  <c r="N71"/>
  <c r="N76"/>
  <c r="N84"/>
  <c r="N88"/>
  <c r="N96"/>
  <c r="N101"/>
  <c r="N106"/>
  <c r="N110"/>
  <c r="N117"/>
  <c r="N130"/>
  <c r="N139"/>
  <c r="N148"/>
  <c r="N152"/>
  <c r="N172"/>
  <c r="N176"/>
  <c r="N181"/>
  <c r="N185"/>
  <c r="N189"/>
  <c r="N193"/>
  <c r="N201"/>
  <c r="N205"/>
  <c r="N209"/>
  <c r="N213"/>
  <c r="N217"/>
  <c r="N221"/>
  <c r="N228"/>
  <c r="N232"/>
  <c r="N237"/>
  <c r="N243"/>
  <c r="N249"/>
  <c r="N257"/>
  <c r="N261"/>
  <c r="N267"/>
  <c r="N271"/>
  <c r="N278"/>
  <c r="N282"/>
  <c r="L143"/>
  <c r="H259"/>
  <c r="H264"/>
  <c r="H269"/>
  <c r="N12"/>
  <c r="N17"/>
  <c r="N21"/>
  <c r="N25"/>
  <c r="N29"/>
  <c r="N38"/>
  <c r="N42"/>
  <c r="N46"/>
  <c r="N50"/>
  <c r="N54"/>
  <c r="N58"/>
  <c r="N65"/>
  <c r="N69"/>
  <c r="N73"/>
  <c r="N80"/>
  <c r="N86"/>
  <c r="N94"/>
  <c r="N98"/>
  <c r="N104"/>
  <c r="N108"/>
  <c r="N115"/>
  <c r="N119"/>
  <c r="N128"/>
  <c r="N142"/>
  <c r="N150"/>
  <c r="N174"/>
  <c r="N178"/>
  <c r="N183"/>
  <c r="N187"/>
  <c r="N191"/>
  <c r="N198"/>
  <c r="N203"/>
  <c r="N207"/>
  <c r="N211"/>
  <c r="N215"/>
  <c r="N219"/>
  <c r="N224"/>
  <c r="N230"/>
  <c r="N234"/>
  <c r="N239"/>
  <c r="N247"/>
  <c r="N251"/>
  <c r="N259"/>
  <c r="N264"/>
  <c r="N269"/>
  <c r="N273"/>
  <c r="N280"/>
  <c r="N286"/>
  <c r="N293"/>
  <c r="N302"/>
  <c r="N11"/>
  <c r="N15"/>
  <c r="N20"/>
  <c r="N24"/>
  <c r="N28"/>
  <c r="N35"/>
  <c r="N41"/>
  <c r="N45"/>
  <c r="N49"/>
  <c r="N53"/>
  <c r="N57"/>
  <c r="N62"/>
  <c r="N68"/>
  <c r="N72"/>
  <c r="N77"/>
  <c r="N85"/>
  <c r="N97"/>
  <c r="N102"/>
  <c r="N107"/>
  <c r="N114"/>
  <c r="N118"/>
  <c r="N127"/>
  <c r="N131"/>
  <c r="N149"/>
  <c r="N173"/>
  <c r="N177"/>
  <c r="N182"/>
  <c r="N186"/>
  <c r="N190"/>
  <c r="N195"/>
  <c r="N202"/>
  <c r="N206"/>
  <c r="N210"/>
  <c r="N214"/>
  <c r="N218"/>
  <c r="N223"/>
  <c r="N229"/>
  <c r="N233"/>
  <c r="N238"/>
  <c r="N245"/>
  <c r="N250"/>
  <c r="N263"/>
  <c r="N268"/>
  <c r="N272"/>
  <c r="N279"/>
  <c r="N284"/>
  <c r="N292"/>
  <c r="N298"/>
  <c r="N307"/>
  <c r="N314"/>
  <c r="AC255"/>
  <c r="G261"/>
  <c r="G278"/>
  <c r="G282"/>
  <c r="H180"/>
  <c r="H184"/>
  <c r="H188"/>
  <c r="H199"/>
  <c r="H204"/>
  <c r="H208"/>
  <c r="H216"/>
  <c r="H220"/>
  <c r="H225"/>
  <c r="H235"/>
  <c r="H240"/>
  <c r="H248"/>
  <c r="N13"/>
  <c r="N18"/>
  <c r="N22"/>
  <c r="N26"/>
  <c r="N30"/>
  <c r="N39"/>
  <c r="N43"/>
  <c r="N47"/>
  <c r="N51"/>
  <c r="N55"/>
  <c r="N60"/>
  <c r="N66"/>
  <c r="N70"/>
  <c r="N75"/>
  <c r="N82"/>
  <c r="N87"/>
  <c r="N95"/>
  <c r="N100"/>
  <c r="N105"/>
  <c r="N109"/>
  <c r="N116"/>
  <c r="N129"/>
  <c r="N135"/>
  <c r="N151"/>
  <c r="N171"/>
  <c r="N175"/>
  <c r="N180"/>
  <c r="N184"/>
  <c r="N188"/>
  <c r="N192"/>
  <c r="N199"/>
  <c r="N204"/>
  <c r="N208"/>
  <c r="N212"/>
  <c r="N216"/>
  <c r="N220"/>
  <c r="N225"/>
  <c r="N231"/>
  <c r="N235"/>
  <c r="N240"/>
  <c r="N248"/>
  <c r="N260"/>
  <c r="N265"/>
  <c r="N270"/>
  <c r="N277"/>
  <c r="N281"/>
  <c r="AF143"/>
  <c r="AF146" s="1"/>
  <c r="AH142"/>
  <c r="AH150"/>
  <c r="AM125"/>
  <c r="AM309"/>
  <c r="AH141"/>
  <c r="AA255"/>
  <c r="AA309"/>
  <c r="S125"/>
  <c r="S255"/>
  <c r="S309"/>
  <c r="R91"/>
  <c r="R120"/>
  <c r="R134"/>
  <c r="R145"/>
  <c r="O92"/>
  <c r="O146"/>
  <c r="O288"/>
  <c r="N258"/>
  <c r="H8"/>
  <c r="H12"/>
  <c r="H17"/>
  <c r="H21"/>
  <c r="H25"/>
  <c r="H29"/>
  <c r="H45"/>
  <c r="H49"/>
  <c r="H53"/>
  <c r="H57"/>
  <c r="H62"/>
  <c r="H68"/>
  <c r="H72"/>
  <c r="H77"/>
  <c r="H85"/>
  <c r="H97"/>
  <c r="H102"/>
  <c r="AM255"/>
  <c r="AH149"/>
  <c r="H116"/>
  <c r="AA125"/>
  <c r="AH95"/>
  <c r="AH100"/>
  <c r="AH105"/>
  <c r="AH109"/>
  <c r="AH116"/>
  <c r="AH129"/>
  <c r="AH151"/>
  <c r="H128"/>
  <c r="G294"/>
  <c r="V122"/>
  <c r="V136"/>
  <c r="AD122"/>
  <c r="AD136"/>
  <c r="V254"/>
  <c r="V297"/>
  <c r="V308"/>
  <c r="R266"/>
  <c r="R287"/>
  <c r="R303"/>
  <c r="R318"/>
  <c r="AH8"/>
  <c r="AH12"/>
  <c r="AH17"/>
  <c r="AH21"/>
  <c r="AH25"/>
  <c r="AH29"/>
  <c r="AH41"/>
  <c r="AH45"/>
  <c r="AH49"/>
  <c r="AH53"/>
  <c r="AH57"/>
  <c r="AH62"/>
  <c r="AH68"/>
  <c r="AH72"/>
  <c r="AH77"/>
  <c r="AH85"/>
  <c r="R89"/>
  <c r="R111"/>
  <c r="R132"/>
  <c r="R143"/>
  <c r="R157"/>
  <c r="K274"/>
  <c r="G274" s="1"/>
  <c r="N305"/>
  <c r="N313"/>
  <c r="AH20"/>
  <c r="AH40"/>
  <c r="AH56"/>
  <c r="AH76"/>
  <c r="AH96"/>
  <c r="AH101"/>
  <c r="AH106"/>
  <c r="AH110"/>
  <c r="AH117"/>
  <c r="AH130"/>
  <c r="AH148"/>
  <c r="AH152"/>
  <c r="H311"/>
  <c r="G8"/>
  <c r="G12"/>
  <c r="G17"/>
  <c r="G21"/>
  <c r="G25"/>
  <c r="G29"/>
  <c r="G41"/>
  <c r="G45"/>
  <c r="G49"/>
  <c r="G53"/>
  <c r="G57"/>
  <c r="G62"/>
  <c r="G68"/>
  <c r="G72"/>
  <c r="G77"/>
  <c r="G85"/>
  <c r="G97"/>
  <c r="G102"/>
  <c r="G107"/>
  <c r="G114"/>
  <c r="G118"/>
  <c r="G172"/>
  <c r="G176"/>
  <c r="G181"/>
  <c r="G185"/>
  <c r="G189"/>
  <c r="G193"/>
  <c r="G201"/>
  <c r="G205"/>
  <c r="G209"/>
  <c r="G213"/>
  <c r="G217"/>
  <c r="G221"/>
  <c r="G228"/>
  <c r="G232"/>
  <c r="G237"/>
  <c r="G243"/>
  <c r="G249"/>
  <c r="G271"/>
  <c r="L221" i="85"/>
  <c r="P221"/>
  <c r="R223"/>
  <c r="F225"/>
  <c r="K225"/>
  <c r="C226"/>
  <c r="G226"/>
  <c r="L226"/>
  <c r="P226"/>
  <c r="M228"/>
  <c r="E232"/>
  <c r="R232"/>
  <c r="F233"/>
  <c r="K233"/>
  <c r="O233"/>
  <c r="C234"/>
  <c r="G234"/>
  <c r="F216"/>
  <c r="G217"/>
  <c r="P217"/>
  <c r="R219"/>
  <c r="F220"/>
  <c r="C221"/>
  <c r="G221"/>
  <c r="L216"/>
  <c r="R218"/>
  <c r="F219"/>
  <c r="K219"/>
  <c r="O219"/>
  <c r="L220"/>
  <c r="R222"/>
  <c r="F223"/>
  <c r="K223"/>
  <c r="O223"/>
  <c r="L225"/>
  <c r="R228"/>
  <c r="F232"/>
  <c r="K232"/>
  <c r="O232"/>
  <c r="L233"/>
  <c r="H234"/>
  <c r="R236"/>
  <c r="F237"/>
  <c r="K237"/>
  <c r="O237"/>
  <c r="L238"/>
  <c r="P238"/>
  <c r="H240"/>
  <c r="R244"/>
  <c r="F245"/>
  <c r="K245"/>
  <c r="O245"/>
  <c r="L246"/>
  <c r="P246"/>
  <c r="H248"/>
  <c r="R250"/>
  <c r="F254"/>
  <c r="K254"/>
  <c r="O254"/>
  <c r="L255"/>
  <c r="P255"/>
  <c r="H256"/>
  <c r="R258"/>
  <c r="F260"/>
  <c r="K260"/>
  <c r="O260"/>
  <c r="L264"/>
  <c r="P264"/>
  <c r="H266"/>
  <c r="R268"/>
  <c r="F272"/>
  <c r="K272"/>
  <c r="O272"/>
  <c r="L274"/>
  <c r="P274"/>
  <c r="H276"/>
  <c r="I174" i="84"/>
  <c r="AL174"/>
  <c r="I187"/>
  <c r="AL187"/>
  <c r="I191"/>
  <c r="AL191"/>
  <c r="I198"/>
  <c r="AL198"/>
  <c r="I203"/>
  <c r="AL203"/>
  <c r="I207"/>
  <c r="AL207"/>
  <c r="I211"/>
  <c r="AL211"/>
  <c r="I215"/>
  <c r="AL215"/>
  <c r="I219"/>
  <c r="AL219"/>
  <c r="I224"/>
  <c r="AL224"/>
  <c r="I230"/>
  <c r="AL230"/>
  <c r="I234"/>
  <c r="AL234"/>
  <c r="I239"/>
  <c r="AL239"/>
  <c r="I247"/>
  <c r="AL247"/>
  <c r="I251"/>
  <c r="AL251"/>
  <c r="I259"/>
  <c r="J259" s="1"/>
  <c r="AL259"/>
  <c r="I264"/>
  <c r="J264" s="1"/>
  <c r="AL264"/>
  <c r="AK274"/>
  <c r="AL274" s="1"/>
  <c r="AL273"/>
  <c r="AK287"/>
  <c r="AL287" s="1"/>
  <c r="AL286"/>
  <c r="AK303"/>
  <c r="AL303" s="1"/>
  <c r="AL302"/>
  <c r="AG91"/>
  <c r="AH91" s="1"/>
  <c r="AH90"/>
  <c r="AG155"/>
  <c r="AH155" s="1"/>
  <c r="AH154"/>
  <c r="N8"/>
  <c r="I8"/>
  <c r="M91"/>
  <c r="N91" s="1"/>
  <c r="N90"/>
  <c r="M143"/>
  <c r="N141"/>
  <c r="M155"/>
  <c r="N155" s="1"/>
  <c r="N154"/>
  <c r="U112"/>
  <c r="V99"/>
  <c r="U158"/>
  <c r="V153"/>
  <c r="AC112"/>
  <c r="AD99"/>
  <c r="AK137"/>
  <c r="AL132"/>
  <c r="AO112"/>
  <c r="AP99"/>
  <c r="AS137"/>
  <c r="AT132"/>
  <c r="AW275"/>
  <c r="AX262"/>
  <c r="AW321"/>
  <c r="AX316"/>
  <c r="AS300"/>
  <c r="AT295"/>
  <c r="AC288"/>
  <c r="AD283"/>
  <c r="Y255"/>
  <c r="Z244"/>
  <c r="Q255"/>
  <c r="R244"/>
  <c r="AH97"/>
  <c r="AH102"/>
  <c r="AH107"/>
  <c r="AH114"/>
  <c r="AH118"/>
  <c r="AH127"/>
  <c r="AH131"/>
  <c r="H107"/>
  <c r="H114"/>
  <c r="H118"/>
  <c r="H127"/>
  <c r="H131"/>
  <c r="H258"/>
  <c r="H263"/>
  <c r="H268"/>
  <c r="H272"/>
  <c r="H304"/>
  <c r="H317"/>
  <c r="H318" s="1"/>
  <c r="G127"/>
  <c r="G131"/>
  <c r="G267"/>
  <c r="G314"/>
  <c r="H253"/>
  <c r="H254" s="1"/>
  <c r="G90"/>
  <c r="G91" s="1"/>
  <c r="Z89"/>
  <c r="Z111"/>
  <c r="Z143"/>
  <c r="Z157"/>
  <c r="AL111"/>
  <c r="AL143"/>
  <c r="AL157"/>
  <c r="AP122"/>
  <c r="AP136"/>
  <c r="AT111"/>
  <c r="AT143"/>
  <c r="AT157"/>
  <c r="AX285"/>
  <c r="AX299"/>
  <c r="AT252"/>
  <c r="AT274"/>
  <c r="AT306"/>
  <c r="AT320"/>
  <c r="AP285"/>
  <c r="AP299"/>
  <c r="AH252"/>
  <c r="AH274"/>
  <c r="AH306"/>
  <c r="AH320"/>
  <c r="AD297"/>
  <c r="AD308"/>
  <c r="Z266"/>
  <c r="Z287"/>
  <c r="Z303"/>
  <c r="Z318"/>
  <c r="AK252"/>
  <c r="AL245"/>
  <c r="I71"/>
  <c r="AH71"/>
  <c r="AG124"/>
  <c r="AH124" s="1"/>
  <c r="AH123"/>
  <c r="M124"/>
  <c r="N123"/>
  <c r="M297"/>
  <c r="N297" s="1"/>
  <c r="N296"/>
  <c r="M320"/>
  <c r="N320" s="1"/>
  <c r="N319"/>
  <c r="U125"/>
  <c r="V120"/>
  <c r="Y146"/>
  <c r="Z140"/>
  <c r="AC125"/>
  <c r="AD120"/>
  <c r="AK146"/>
  <c r="AL140"/>
  <c r="AO125"/>
  <c r="AP120"/>
  <c r="AS146"/>
  <c r="AT140"/>
  <c r="AW288"/>
  <c r="AX283"/>
  <c r="AS255"/>
  <c r="AT244"/>
  <c r="AS309"/>
  <c r="AT303"/>
  <c r="AG255"/>
  <c r="AH244"/>
  <c r="AC300"/>
  <c r="AD295"/>
  <c r="L274"/>
  <c r="H274" s="1"/>
  <c r="N291"/>
  <c r="H96"/>
  <c r="H101"/>
  <c r="H106"/>
  <c r="H110"/>
  <c r="H117"/>
  <c r="H130"/>
  <c r="L153"/>
  <c r="L158" s="1"/>
  <c r="H152"/>
  <c r="H176"/>
  <c r="H181"/>
  <c r="H185"/>
  <c r="H189"/>
  <c r="H193"/>
  <c r="H201"/>
  <c r="H205"/>
  <c r="H209"/>
  <c r="H213"/>
  <c r="H217"/>
  <c r="H221"/>
  <c r="H228"/>
  <c r="H232"/>
  <c r="H237"/>
  <c r="H243"/>
  <c r="H249"/>
  <c r="H278"/>
  <c r="H282"/>
  <c r="H290"/>
  <c r="H294"/>
  <c r="H315"/>
  <c r="G96"/>
  <c r="G101"/>
  <c r="G106"/>
  <c r="G110"/>
  <c r="G117"/>
  <c r="G130"/>
  <c r="G151"/>
  <c r="G260"/>
  <c r="G265"/>
  <c r="G270"/>
  <c r="G277"/>
  <c r="G281"/>
  <c r="G293"/>
  <c r="G302"/>
  <c r="G303" s="1"/>
  <c r="G307"/>
  <c r="G308" s="1"/>
  <c r="G313"/>
  <c r="G319"/>
  <c r="G320" s="1"/>
  <c r="H141"/>
  <c r="V91"/>
  <c r="V134"/>
  <c r="V145"/>
  <c r="Z103"/>
  <c r="Z124"/>
  <c r="Z155"/>
  <c r="AD91"/>
  <c r="AD134"/>
  <c r="AD145"/>
  <c r="AL103"/>
  <c r="AL124"/>
  <c r="AL155"/>
  <c r="AP91"/>
  <c r="AP134"/>
  <c r="AP145"/>
  <c r="AT103"/>
  <c r="AT124"/>
  <c r="AT155"/>
  <c r="AX254"/>
  <c r="AX297"/>
  <c r="AX308"/>
  <c r="AT266"/>
  <c r="AT287"/>
  <c r="AT318"/>
  <c r="AP254"/>
  <c r="AP297"/>
  <c r="AP308"/>
  <c r="AH266"/>
  <c r="AH287"/>
  <c r="AH303"/>
  <c r="AH318"/>
  <c r="AD254"/>
  <c r="AD274"/>
  <c r="AD306"/>
  <c r="AD320"/>
  <c r="Z285"/>
  <c r="Z299"/>
  <c r="V252"/>
  <c r="V274"/>
  <c r="V306"/>
  <c r="V320"/>
  <c r="R285"/>
  <c r="R299"/>
  <c r="AK285"/>
  <c r="AL285" s="1"/>
  <c r="AL284"/>
  <c r="AK299"/>
  <c r="AL299" s="1"/>
  <c r="AL298"/>
  <c r="AK308"/>
  <c r="AL308" s="1"/>
  <c r="AL307"/>
  <c r="I11"/>
  <c r="AH11"/>
  <c r="I15"/>
  <c r="AH15"/>
  <c r="I24"/>
  <c r="AH24"/>
  <c r="I28"/>
  <c r="AH28"/>
  <c r="I44"/>
  <c r="AH44"/>
  <c r="I48"/>
  <c r="AH48"/>
  <c r="I61"/>
  <c r="AH61"/>
  <c r="I67"/>
  <c r="AH67"/>
  <c r="I88"/>
  <c r="AH88"/>
  <c r="AG140"/>
  <c r="AH140" s="1"/>
  <c r="AH139"/>
  <c r="AK297"/>
  <c r="AL297" s="1"/>
  <c r="AL296"/>
  <c r="AK320"/>
  <c r="AL320" s="1"/>
  <c r="AL319"/>
  <c r="AG122"/>
  <c r="AH122" s="1"/>
  <c r="AH121"/>
  <c r="AG136"/>
  <c r="AH136" s="1"/>
  <c r="AH135"/>
  <c r="AG145"/>
  <c r="AH145" s="1"/>
  <c r="AH144"/>
  <c r="M122"/>
  <c r="N122" s="1"/>
  <c r="N121"/>
  <c r="M145"/>
  <c r="N145" s="1"/>
  <c r="N144"/>
  <c r="M254"/>
  <c r="N254" s="1"/>
  <c r="N253"/>
  <c r="M318"/>
  <c r="N317"/>
  <c r="U137"/>
  <c r="V132"/>
  <c r="AK112"/>
  <c r="AL99"/>
  <c r="AK158"/>
  <c r="AL153"/>
  <c r="AS112"/>
  <c r="AT99"/>
  <c r="AS158"/>
  <c r="AT153"/>
  <c r="AW300"/>
  <c r="AX295"/>
  <c r="AS275"/>
  <c r="AT262"/>
  <c r="AS321"/>
  <c r="AT316"/>
  <c r="AC309"/>
  <c r="AD303"/>
  <c r="U255"/>
  <c r="V244"/>
  <c r="AU275"/>
  <c r="AU321"/>
  <c r="AL305"/>
  <c r="AL313"/>
  <c r="AJ306"/>
  <c r="AJ309" s="1"/>
  <c r="AJ316"/>
  <c r="AJ321" s="1"/>
  <c r="AI92"/>
  <c r="AI146"/>
  <c r="AI252"/>
  <c r="AI306"/>
  <c r="AI309" s="1"/>
  <c r="AH10"/>
  <c r="AH14"/>
  <c r="AH19"/>
  <c r="AH23"/>
  <c r="AH27"/>
  <c r="AH32"/>
  <c r="AH39"/>
  <c r="AH43"/>
  <c r="AH47"/>
  <c r="AH51"/>
  <c r="AH55"/>
  <c r="AH60"/>
  <c r="AH66"/>
  <c r="AH70"/>
  <c r="AH75"/>
  <c r="AH82"/>
  <c r="AH87"/>
  <c r="H41"/>
  <c r="AE103"/>
  <c r="AE143"/>
  <c r="AE146" s="1"/>
  <c r="W92"/>
  <c r="W146"/>
  <c r="W288"/>
  <c r="R103"/>
  <c r="R124"/>
  <c r="R140"/>
  <c r="R155"/>
  <c r="N290"/>
  <c r="N294"/>
  <c r="N304"/>
  <c r="N312"/>
  <c r="H10"/>
  <c r="H14"/>
  <c r="H23"/>
  <c r="H27"/>
  <c r="H32"/>
  <c r="H39"/>
  <c r="H43"/>
  <c r="H47"/>
  <c r="H51"/>
  <c r="H55"/>
  <c r="H60"/>
  <c r="H66"/>
  <c r="H70"/>
  <c r="H75"/>
  <c r="H87"/>
  <c r="H151"/>
  <c r="H175"/>
  <c r="H192"/>
  <c r="H212"/>
  <c r="H231"/>
  <c r="H260"/>
  <c r="H265"/>
  <c r="H270"/>
  <c r="H302"/>
  <c r="H303" s="1"/>
  <c r="H319"/>
  <c r="H320" s="1"/>
  <c r="G10"/>
  <c r="G14"/>
  <c r="G19"/>
  <c r="G23"/>
  <c r="G27"/>
  <c r="G32"/>
  <c r="G39"/>
  <c r="G43"/>
  <c r="G47"/>
  <c r="G51"/>
  <c r="G55"/>
  <c r="G60"/>
  <c r="G66"/>
  <c r="G70"/>
  <c r="G75"/>
  <c r="G82"/>
  <c r="G87"/>
  <c r="G135"/>
  <c r="G136" s="1"/>
  <c r="G142"/>
  <c r="G150"/>
  <c r="G174"/>
  <c r="G178"/>
  <c r="G183"/>
  <c r="G187"/>
  <c r="G191"/>
  <c r="G198"/>
  <c r="G203"/>
  <c r="G207"/>
  <c r="G211"/>
  <c r="G215"/>
  <c r="G219"/>
  <c r="G224"/>
  <c r="G230"/>
  <c r="G234"/>
  <c r="G239"/>
  <c r="G247"/>
  <c r="G251"/>
  <c r="G305"/>
  <c r="H133"/>
  <c r="H134" s="1"/>
  <c r="V89"/>
  <c r="V111"/>
  <c r="V143"/>
  <c r="V157"/>
  <c r="Z99"/>
  <c r="Z122"/>
  <c r="Z136"/>
  <c r="AD89"/>
  <c r="AD111"/>
  <c r="AD143"/>
  <c r="AD157"/>
  <c r="AL122"/>
  <c r="AL136"/>
  <c r="AP111"/>
  <c r="AP143"/>
  <c r="AP157"/>
  <c r="AT122"/>
  <c r="AT136"/>
  <c r="AX252"/>
  <c r="AX274"/>
  <c r="AX306"/>
  <c r="AX320"/>
  <c r="AT285"/>
  <c r="AT299"/>
  <c r="AP252"/>
  <c r="AP274"/>
  <c r="AP306"/>
  <c r="AP320"/>
  <c r="AH285"/>
  <c r="AH299"/>
  <c r="AD252"/>
  <c r="AD266"/>
  <c r="AD287"/>
  <c r="AD318"/>
  <c r="Z254"/>
  <c r="Z297"/>
  <c r="Z308"/>
  <c r="V266"/>
  <c r="V287"/>
  <c r="V303"/>
  <c r="V318"/>
  <c r="R254"/>
  <c r="R297"/>
  <c r="R308"/>
  <c r="AK254"/>
  <c r="AL254" s="1"/>
  <c r="AL253"/>
  <c r="I294"/>
  <c r="AL294"/>
  <c r="AK318"/>
  <c r="AL318" s="1"/>
  <c r="AL317"/>
  <c r="AG134"/>
  <c r="AH134" s="1"/>
  <c r="AH133"/>
  <c r="AG157"/>
  <c r="AH157" s="1"/>
  <c r="AH156"/>
  <c r="M134"/>
  <c r="N134" s="1"/>
  <c r="N133"/>
  <c r="M157"/>
  <c r="N157" s="1"/>
  <c r="N156"/>
  <c r="U146"/>
  <c r="V140"/>
  <c r="AC146"/>
  <c r="AD140"/>
  <c r="AK125"/>
  <c r="AL120"/>
  <c r="AO146"/>
  <c r="AP140"/>
  <c r="AS125"/>
  <c r="AT120"/>
  <c r="AW255"/>
  <c r="AX244"/>
  <c r="AW309"/>
  <c r="AX303"/>
  <c r="AS288"/>
  <c r="AT283"/>
  <c r="AO255"/>
  <c r="AP244"/>
  <c r="AO309"/>
  <c r="AP303"/>
  <c r="AC275"/>
  <c r="AD262"/>
  <c r="AC321"/>
  <c r="AD316"/>
  <c r="R274"/>
  <c r="M274"/>
  <c r="AQ146"/>
  <c r="AQ288"/>
  <c r="AJ283"/>
  <c r="AJ288" s="1"/>
  <c r="AI316"/>
  <c r="AI321" s="1"/>
  <c r="AH9"/>
  <c r="AH13"/>
  <c r="AH18"/>
  <c r="AH22"/>
  <c r="AH26"/>
  <c r="AH30"/>
  <c r="AH38"/>
  <c r="AH42"/>
  <c r="AH46"/>
  <c r="AH50"/>
  <c r="AH54"/>
  <c r="AH58"/>
  <c r="AH65"/>
  <c r="AH69"/>
  <c r="AH73"/>
  <c r="AH80"/>
  <c r="AH86"/>
  <c r="AH94"/>
  <c r="AH98"/>
  <c r="AH104"/>
  <c r="AH108"/>
  <c r="AH115"/>
  <c r="AH119"/>
  <c r="AH128"/>
  <c r="AF103"/>
  <c r="AE153"/>
  <c r="G152"/>
  <c r="AE300"/>
  <c r="R99"/>
  <c r="R122"/>
  <c r="R136"/>
  <c r="R153"/>
  <c r="N311"/>
  <c r="N315"/>
  <c r="H13"/>
  <c r="H18"/>
  <c r="H22"/>
  <c r="H26"/>
  <c r="H30"/>
  <c r="H38"/>
  <c r="H42"/>
  <c r="H46"/>
  <c r="H50"/>
  <c r="H54"/>
  <c r="H58"/>
  <c r="H65"/>
  <c r="H69"/>
  <c r="H73"/>
  <c r="H80"/>
  <c r="H86"/>
  <c r="H98"/>
  <c r="H108"/>
  <c r="H115"/>
  <c r="H119"/>
  <c r="H142"/>
  <c r="H150"/>
  <c r="H174"/>
  <c r="H178"/>
  <c r="H183"/>
  <c r="H187"/>
  <c r="H191"/>
  <c r="H198"/>
  <c r="H203"/>
  <c r="H207"/>
  <c r="H211"/>
  <c r="H215"/>
  <c r="H219"/>
  <c r="H224"/>
  <c r="H230"/>
  <c r="H234"/>
  <c r="H239"/>
  <c r="H247"/>
  <c r="H251"/>
  <c r="H280"/>
  <c r="H292"/>
  <c r="H313"/>
  <c r="L318"/>
  <c r="G9"/>
  <c r="G13"/>
  <c r="G18"/>
  <c r="G22"/>
  <c r="G26"/>
  <c r="G30"/>
  <c r="G38"/>
  <c r="G42"/>
  <c r="G46"/>
  <c r="G50"/>
  <c r="G54"/>
  <c r="G58"/>
  <c r="G65"/>
  <c r="G69"/>
  <c r="G73"/>
  <c r="G80"/>
  <c r="G86"/>
  <c r="G98"/>
  <c r="G108"/>
  <c r="G115"/>
  <c r="G119"/>
  <c r="G268"/>
  <c r="G272"/>
  <c r="G284"/>
  <c r="G285" s="1"/>
  <c r="G311"/>
  <c r="G315"/>
  <c r="H90"/>
  <c r="H91" s="1"/>
  <c r="H296"/>
  <c r="H297" s="1"/>
  <c r="V103"/>
  <c r="V124"/>
  <c r="V155"/>
  <c r="Z91"/>
  <c r="Z134"/>
  <c r="Z145"/>
  <c r="AD103"/>
  <c r="AD124"/>
  <c r="AD155"/>
  <c r="AL91"/>
  <c r="AL134"/>
  <c r="AL145"/>
  <c r="AP103"/>
  <c r="AP124"/>
  <c r="AP155"/>
  <c r="AT91"/>
  <c r="AT134"/>
  <c r="AT145"/>
  <c r="AX266"/>
  <c r="AX287"/>
  <c r="AX318"/>
  <c r="AT254"/>
  <c r="AT297"/>
  <c r="AT308"/>
  <c r="AP266"/>
  <c r="AP287"/>
  <c r="AP318"/>
  <c r="AH254"/>
  <c r="AH297"/>
  <c r="AH308"/>
  <c r="AD244"/>
  <c r="AD285"/>
  <c r="AD299"/>
  <c r="Z252"/>
  <c r="Z274"/>
  <c r="Z306"/>
  <c r="Z320"/>
  <c r="V262"/>
  <c r="V285"/>
  <c r="V299"/>
  <c r="R252"/>
  <c r="R306"/>
  <c r="R320"/>
  <c r="Y158"/>
  <c r="Z153"/>
  <c r="I84"/>
  <c r="AH84"/>
  <c r="I35"/>
  <c r="AH35"/>
  <c r="H218" i="85"/>
  <c r="H222"/>
  <c r="H228"/>
  <c r="H236"/>
  <c r="H244"/>
  <c r="E218"/>
  <c r="E222"/>
  <c r="E228"/>
  <c r="E236"/>
  <c r="E244"/>
  <c r="E250"/>
  <c r="E258"/>
  <c r="E268"/>
  <c r="AT89" i="84"/>
  <c r="AL89"/>
  <c r="AP89"/>
  <c r="AQ92"/>
  <c r="I52"/>
  <c r="AH52"/>
  <c r="G246" i="85"/>
  <c r="G255"/>
  <c r="G264"/>
  <c r="G274"/>
  <c r="G225"/>
  <c r="G233"/>
  <c r="G238"/>
  <c r="D216"/>
  <c r="Q216"/>
  <c r="I217"/>
  <c r="N217"/>
  <c r="D220"/>
  <c r="Q220"/>
  <c r="I221"/>
  <c r="N221"/>
  <c r="D225"/>
  <c r="Q225"/>
  <c r="I226"/>
  <c r="N226"/>
  <c r="D233"/>
  <c r="Q233"/>
  <c r="I234"/>
  <c r="N234"/>
  <c r="D238"/>
  <c r="Q238"/>
  <c r="I240"/>
  <c r="N240"/>
  <c r="D246"/>
  <c r="Q246"/>
  <c r="I248"/>
  <c r="N248"/>
  <c r="D255"/>
  <c r="Q255"/>
  <c r="I256"/>
  <c r="N256"/>
  <c r="D264"/>
  <c r="Q264"/>
  <c r="I266"/>
  <c r="N266"/>
  <c r="D274"/>
  <c r="Q274"/>
  <c r="I276"/>
  <c r="N276"/>
  <c r="Y92" i="84"/>
  <c r="Z81"/>
  <c r="AK92"/>
  <c r="AL81"/>
  <c r="AS92"/>
  <c r="AT81"/>
  <c r="D217" i="85"/>
  <c r="Q217"/>
  <c r="I218"/>
  <c r="N218"/>
  <c r="D221"/>
  <c r="Q221"/>
  <c r="I222"/>
  <c r="N222"/>
  <c r="D226"/>
  <c r="Q226"/>
  <c r="I228"/>
  <c r="N228"/>
  <c r="D234"/>
  <c r="Q234"/>
  <c r="I236"/>
  <c r="N236"/>
  <c r="D240"/>
  <c r="Q240"/>
  <c r="I244"/>
  <c r="N244"/>
  <c r="D248"/>
  <c r="Q248"/>
  <c r="I250"/>
  <c r="N250"/>
  <c r="D256"/>
  <c r="Q256"/>
  <c r="I258"/>
  <c r="N258"/>
  <c r="D266"/>
  <c r="Q266"/>
  <c r="I268"/>
  <c r="N268"/>
  <c r="D276"/>
  <c r="Q276"/>
  <c r="H216"/>
  <c r="R217"/>
  <c r="G219"/>
  <c r="H220"/>
  <c r="R221"/>
  <c r="G223"/>
  <c r="H225"/>
  <c r="R226"/>
  <c r="G232"/>
  <c r="H233"/>
  <c r="R234"/>
  <c r="G237"/>
  <c r="H238"/>
  <c r="R240"/>
  <c r="G245"/>
  <c r="H246"/>
  <c r="R248"/>
  <c r="G254"/>
  <c r="H255"/>
  <c r="R256"/>
  <c r="G260"/>
  <c r="H264"/>
  <c r="R266"/>
  <c r="G272"/>
  <c r="H274"/>
  <c r="R276"/>
  <c r="D218"/>
  <c r="Q218"/>
  <c r="I219"/>
  <c r="N219"/>
  <c r="D222"/>
  <c r="Q222"/>
  <c r="I223"/>
  <c r="N223"/>
  <c r="D228"/>
  <c r="Q228"/>
  <c r="I232"/>
  <c r="N232"/>
  <c r="D236"/>
  <c r="Q236"/>
  <c r="I237"/>
  <c r="N237"/>
  <c r="D244"/>
  <c r="Q244"/>
  <c r="I245"/>
  <c r="N245"/>
  <c r="D250"/>
  <c r="Q250"/>
  <c r="I254"/>
  <c r="N254"/>
  <c r="D258"/>
  <c r="Q258"/>
  <c r="I260"/>
  <c r="N260"/>
  <c r="D268"/>
  <c r="Q268"/>
  <c r="I272"/>
  <c r="N272"/>
  <c r="U92" i="84"/>
  <c r="V81"/>
  <c r="AC92"/>
  <c r="AD81"/>
  <c r="AO92"/>
  <c r="AP92" s="1"/>
  <c r="AP81"/>
  <c r="I216" i="85"/>
  <c r="N216"/>
  <c r="D219"/>
  <c r="Q219"/>
  <c r="I220"/>
  <c r="N220"/>
  <c r="D223"/>
  <c r="Q223"/>
  <c r="I225"/>
  <c r="N225"/>
  <c r="D232"/>
  <c r="Q232"/>
  <c r="I233"/>
  <c r="N233"/>
  <c r="D237"/>
  <c r="Q237"/>
  <c r="I238"/>
  <c r="N238"/>
  <c r="D245"/>
  <c r="Q245"/>
  <c r="I246"/>
  <c r="N246"/>
  <c r="D254"/>
  <c r="Q254"/>
  <c r="I255"/>
  <c r="N255"/>
  <c r="D260"/>
  <c r="Q260"/>
  <c r="I264"/>
  <c r="N264"/>
  <c r="D272"/>
  <c r="Q272"/>
  <c r="I274"/>
  <c r="N274"/>
  <c r="C220"/>
  <c r="C225"/>
  <c r="C233"/>
  <c r="C238"/>
  <c r="C246"/>
  <c r="C255"/>
  <c r="C264"/>
  <c r="C274"/>
  <c r="Q92" i="84"/>
  <c r="R81"/>
  <c r="N9"/>
  <c r="I9"/>
  <c r="AG275"/>
  <c r="AH262"/>
  <c r="O218" i="85"/>
  <c r="O222"/>
  <c r="O228"/>
  <c r="O236"/>
  <c r="O244"/>
  <c r="O250"/>
  <c r="O258"/>
  <c r="O268"/>
  <c r="M217"/>
  <c r="M221"/>
  <c r="M226"/>
  <c r="M234"/>
  <c r="M240"/>
  <c r="M248"/>
  <c r="M256"/>
  <c r="M266"/>
  <c r="M276"/>
  <c r="M233"/>
  <c r="M238"/>
  <c r="M246"/>
  <c r="M255"/>
  <c r="M264"/>
  <c r="M274"/>
  <c r="AO275" i="84"/>
  <c r="AP262"/>
  <c r="AK262"/>
  <c r="AL258"/>
  <c r="P225" i="85"/>
  <c r="P233"/>
  <c r="Y275" i="84"/>
  <c r="Z262"/>
  <c r="L219" i="85"/>
  <c r="L223"/>
  <c r="L232"/>
  <c r="L237"/>
  <c r="L245"/>
  <c r="L254"/>
  <c r="L260"/>
  <c r="L272"/>
  <c r="U275" i="84"/>
  <c r="Q275"/>
  <c r="R262"/>
  <c r="C216" i="85"/>
  <c r="E45" i="73"/>
  <c r="H15"/>
  <c r="H87" i="78"/>
  <c r="H118"/>
  <c r="H84"/>
  <c r="H109"/>
  <c r="F30"/>
  <c r="H30" s="1"/>
  <c r="Z300" i="116"/>
  <c r="AC299"/>
  <c r="AD299" s="1"/>
  <c r="L68" i="78"/>
  <c r="M68" s="1"/>
  <c r="AC296" i="116"/>
  <c r="AD296" s="1"/>
  <c r="AC294"/>
  <c r="AD294" s="1"/>
  <c r="D52"/>
  <c r="D35" s="1"/>
  <c r="D41" s="1"/>
  <c r="N127"/>
  <c r="N110" s="1"/>
  <c r="N116" s="1"/>
  <c r="G25" i="74"/>
  <c r="I12"/>
  <c r="H25"/>
  <c r="J25" s="1"/>
  <c r="J12"/>
  <c r="E101" i="78"/>
  <c r="H115"/>
  <c r="H33"/>
  <c r="H78"/>
  <c r="H90"/>
  <c r="H112"/>
  <c r="H81"/>
  <c r="H99"/>
  <c r="M99"/>
  <c r="H121"/>
  <c r="M121"/>
  <c r="J13"/>
  <c r="H13"/>
  <c r="F40"/>
  <c r="H40" s="1"/>
  <c r="H39"/>
  <c r="E123"/>
  <c r="H12"/>
  <c r="J12"/>
  <c r="F36"/>
  <c r="H36" s="1"/>
  <c r="H35"/>
  <c r="G123"/>
  <c r="M123" s="1"/>
  <c r="E30"/>
  <c r="E70" s="1"/>
  <c r="H11"/>
  <c r="J11"/>
  <c r="H68"/>
  <c r="Y112" i="84"/>
  <c r="C217" i="85"/>
  <c r="AO288" i="84"/>
  <c r="AP283"/>
  <c r="AG288"/>
  <c r="AH288" s="1"/>
  <c r="AH283"/>
  <c r="M218" i="85"/>
  <c r="M222"/>
  <c r="Y288" i="84"/>
  <c r="Z283"/>
  <c r="U288"/>
  <c r="V288" s="1"/>
  <c r="V283"/>
  <c r="Q288"/>
  <c r="R283"/>
  <c r="Y125"/>
  <c r="Z125" s="1"/>
  <c r="Z120"/>
  <c r="AC137"/>
  <c r="AD132"/>
  <c r="AG132"/>
  <c r="AO137"/>
  <c r="AP132"/>
  <c r="Y137"/>
  <c r="Z132"/>
  <c r="E217" i="85"/>
  <c r="E221"/>
  <c r="E226"/>
  <c r="E234"/>
  <c r="E240"/>
  <c r="E248"/>
  <c r="E256"/>
  <c r="E266"/>
  <c r="E276"/>
  <c r="AO300" i="84"/>
  <c r="AP295"/>
  <c r="M216" i="85"/>
  <c r="M220"/>
  <c r="M225"/>
  <c r="Y300" i="84"/>
  <c r="Z295"/>
  <c r="AG300"/>
  <c r="AH295"/>
  <c r="O225" i="85"/>
  <c r="U300" i="84"/>
  <c r="V295"/>
  <c r="Q300"/>
  <c r="R295"/>
  <c r="Y309"/>
  <c r="AO158"/>
  <c r="AP153"/>
  <c r="H219" i="85"/>
  <c r="H223"/>
  <c r="H232"/>
  <c r="H237"/>
  <c r="H245"/>
  <c r="H254"/>
  <c r="H260"/>
  <c r="H272"/>
  <c r="AC158" i="84"/>
  <c r="AD153"/>
  <c r="P219" i="85"/>
  <c r="P223"/>
  <c r="P232"/>
  <c r="P237"/>
  <c r="P245"/>
  <c r="P254"/>
  <c r="P260"/>
  <c r="P272"/>
  <c r="AO321" i="84"/>
  <c r="AP316"/>
  <c r="AG321"/>
  <c r="AH316"/>
  <c r="Y321"/>
  <c r="Z316"/>
  <c r="M232" i="85"/>
  <c r="M237"/>
  <c r="M245"/>
  <c r="M254"/>
  <c r="M260"/>
  <c r="M272"/>
  <c r="U321" i="84"/>
  <c r="V316"/>
  <c r="Q321"/>
  <c r="R316"/>
  <c r="U238" i="85"/>
  <c r="U258"/>
  <c r="U274"/>
  <c r="J30" i="77"/>
  <c r="U268" i="85"/>
  <c r="U256"/>
  <c r="U218"/>
  <c r="U225"/>
  <c r="U237"/>
  <c r="U250"/>
  <c r="U217"/>
  <c r="U222"/>
  <c r="U233"/>
  <c r="U248"/>
  <c r="U264"/>
  <c r="U236"/>
  <c r="U219"/>
  <c r="U226"/>
  <c r="U216"/>
  <c r="U220"/>
  <c r="U228"/>
  <c r="U240"/>
  <c r="U260"/>
  <c r="U276"/>
  <c r="G17" i="77"/>
  <c r="F9"/>
  <c r="G9" s="1"/>
  <c r="K221" i="85"/>
  <c r="K226"/>
  <c r="K234"/>
  <c r="K240"/>
  <c r="K248"/>
  <c r="K256"/>
  <c r="K266"/>
  <c r="K276"/>
  <c r="K218"/>
  <c r="K222"/>
  <c r="K228"/>
  <c r="K236"/>
  <c r="K244"/>
  <c r="K250"/>
  <c r="K258"/>
  <c r="K268"/>
  <c r="L217"/>
  <c r="M223"/>
  <c r="P218"/>
  <c r="P222"/>
  <c r="P228"/>
  <c r="P236"/>
  <c r="P244"/>
  <c r="P250"/>
  <c r="P258"/>
  <c r="P268"/>
  <c r="H217"/>
  <c r="H221"/>
  <c r="H226"/>
  <c r="G218"/>
  <c r="G222"/>
  <c r="G228"/>
  <c r="G236"/>
  <c r="G244"/>
  <c r="G250"/>
  <c r="G258"/>
  <c r="G268"/>
  <c r="F217"/>
  <c r="F221"/>
  <c r="F226"/>
  <c r="F234"/>
  <c r="F240"/>
  <c r="F248"/>
  <c r="F256"/>
  <c r="F266"/>
  <c r="F276"/>
  <c r="F218"/>
  <c r="F222"/>
  <c r="F228"/>
  <c r="F236"/>
  <c r="F244"/>
  <c r="F250"/>
  <c r="F258"/>
  <c r="F268"/>
  <c r="E219"/>
  <c r="E223"/>
  <c r="E233"/>
  <c r="E238"/>
  <c r="E246"/>
  <c r="E255"/>
  <c r="E264"/>
  <c r="E274"/>
  <c r="C218"/>
  <c r="C222"/>
  <c r="C228"/>
  <c r="C236"/>
  <c r="C244"/>
  <c r="C250"/>
  <c r="C258"/>
  <c r="C268"/>
  <c r="C219"/>
  <c r="C223"/>
  <c r="C232"/>
  <c r="C237"/>
  <c r="C245"/>
  <c r="C254"/>
  <c r="C260"/>
  <c r="C272"/>
  <c r="H9" i="84"/>
  <c r="G216" i="85"/>
  <c r="G220"/>
  <c r="E216"/>
  <c r="E220"/>
  <c r="E225"/>
  <c r="O216"/>
  <c r="O220"/>
  <c r="K216"/>
  <c r="K220"/>
  <c r="K217"/>
  <c r="P216"/>
  <c r="P220"/>
  <c r="R216"/>
  <c r="R220"/>
  <c r="R225"/>
  <c r="R233"/>
  <c r="R238"/>
  <c r="R246"/>
  <c r="R255"/>
  <c r="R264"/>
  <c r="R274"/>
  <c r="O217"/>
  <c r="O221"/>
  <c r="O226"/>
  <c r="O234"/>
  <c r="O240"/>
  <c r="O248"/>
  <c r="O256"/>
  <c r="O266"/>
  <c r="O276"/>
  <c r="M219"/>
  <c r="L218"/>
  <c r="L222"/>
  <c r="L228"/>
  <c r="L236"/>
  <c r="L244"/>
  <c r="L250"/>
  <c r="L258"/>
  <c r="L268"/>
  <c r="G37" i="79"/>
  <c r="J37"/>
  <c r="E14"/>
  <c r="G8"/>
  <c r="G33"/>
  <c r="J33"/>
  <c r="G17"/>
  <c r="G29"/>
  <c r="J29"/>
  <c r="J14"/>
  <c r="G14"/>
  <c r="F123" i="78"/>
  <c r="H106"/>
  <c r="H47"/>
  <c r="G70"/>
  <c r="M70" s="1"/>
  <c r="U175" i="85"/>
  <c r="U245" s="1"/>
  <c r="U176"/>
  <c r="F76" i="77"/>
  <c r="F33"/>
  <c r="G33" s="1"/>
  <c r="E15" i="72"/>
  <c r="F15" s="1"/>
  <c r="F14"/>
  <c r="F26"/>
  <c r="D36"/>
  <c r="N77" i="116"/>
  <c r="N60" s="1"/>
  <c r="N66" s="1"/>
  <c r="C152"/>
  <c r="C135" s="1"/>
  <c r="C141" s="1"/>
  <c r="N52"/>
  <c r="N35" s="1"/>
  <c r="N41" s="1"/>
  <c r="C77"/>
  <c r="C60" s="1"/>
  <c r="C66" s="1"/>
  <c r="F24"/>
  <c r="Q50"/>
  <c r="D152"/>
  <c r="D135" s="1"/>
  <c r="D141" s="1"/>
  <c r="E10"/>
  <c r="E110"/>
  <c r="P60"/>
  <c r="P66" s="1"/>
  <c r="O102"/>
  <c r="O85" s="1"/>
  <c r="O91" s="1"/>
  <c r="Q96"/>
  <c r="P35"/>
  <c r="P41" s="1"/>
  <c r="P135"/>
  <c r="Q135" s="1"/>
  <c r="Q152"/>
  <c r="U120"/>
  <c r="Q120"/>
  <c r="O77"/>
  <c r="E60"/>
  <c r="J75"/>
  <c r="F75"/>
  <c r="J120"/>
  <c r="F120"/>
  <c r="F149"/>
  <c r="J149"/>
  <c r="P10"/>
  <c r="P16" s="1"/>
  <c r="P110"/>
  <c r="P116" s="1"/>
  <c r="O52"/>
  <c r="O35" s="1"/>
  <c r="O41" s="1"/>
  <c r="Q46"/>
  <c r="Q75"/>
  <c r="U75"/>
  <c r="O127"/>
  <c r="O110" s="1"/>
  <c r="O116" s="1"/>
  <c r="Q119"/>
  <c r="D27"/>
  <c r="C127"/>
  <c r="C110" s="1"/>
  <c r="C116" s="1"/>
  <c r="N102"/>
  <c r="N85" s="1"/>
  <c r="N91" s="1"/>
  <c r="E85"/>
  <c r="E91" s="1"/>
  <c r="F46"/>
  <c r="J46"/>
  <c r="D102"/>
  <c r="D85" s="1"/>
  <c r="D91" s="1"/>
  <c r="F96"/>
  <c r="E35"/>
  <c r="F52"/>
  <c r="E135"/>
  <c r="D77"/>
  <c r="D60" s="1"/>
  <c r="D66" s="1"/>
  <c r="F71"/>
  <c r="D127"/>
  <c r="D110" s="1"/>
  <c r="D116" s="1"/>
  <c r="F119"/>
  <c r="P85"/>
  <c r="O27"/>
  <c r="O10" s="1"/>
  <c r="O16" s="1"/>
  <c r="Q24"/>
  <c r="U24"/>
  <c r="Q74"/>
  <c r="U74"/>
  <c r="U100"/>
  <c r="Q100"/>
  <c r="C102"/>
  <c r="C85" s="1"/>
  <c r="C91" s="1"/>
  <c r="E116"/>
  <c r="P91"/>
  <c r="Q91" s="1"/>
  <c r="D149" i="67"/>
  <c r="F149" s="1"/>
  <c r="F50"/>
  <c r="D149" i="66"/>
  <c r="F149" s="1"/>
  <c r="F150"/>
  <c r="D109"/>
  <c r="F110"/>
  <c r="D10"/>
  <c r="F10" s="1"/>
  <c r="D10" i="65"/>
  <c r="F10" s="1"/>
  <c r="D149"/>
  <c r="F149" s="1"/>
  <c r="F242" i="64"/>
  <c r="K230"/>
  <c r="F230"/>
  <c r="F91" i="61"/>
  <c r="F223" i="64"/>
  <c r="E72"/>
  <c r="F73"/>
  <c r="F224"/>
  <c r="E222"/>
  <c r="E87"/>
  <c r="F88"/>
  <c r="F231"/>
  <c r="F64"/>
  <c r="F44"/>
  <c r="F58"/>
  <c r="F32"/>
  <c r="F25"/>
  <c r="F51"/>
  <c r="E11"/>
  <c r="F12"/>
  <c r="F165"/>
  <c r="F159"/>
  <c r="F150"/>
  <c r="F132"/>
  <c r="F123"/>
  <c r="F116"/>
  <c r="F110"/>
  <c r="D50" i="109"/>
  <c r="F24" i="61"/>
  <c r="F89"/>
  <c r="E194"/>
  <c r="G49" i="76"/>
  <c r="G66"/>
  <c r="K66" i="61"/>
  <c r="E22" i="69"/>
  <c r="K90" i="61"/>
  <c r="G140" i="76"/>
  <c r="K140" i="61"/>
  <c r="G151" i="76"/>
  <c r="G163"/>
  <c r="G241"/>
  <c r="G28"/>
  <c r="K28" i="61"/>
  <c r="G33" i="76"/>
  <c r="G46"/>
  <c r="K46" i="61"/>
  <c r="G67" i="76"/>
  <c r="K67" i="61"/>
  <c r="G75" i="76"/>
  <c r="K75" i="61"/>
  <c r="G91" i="76"/>
  <c r="K91" i="61"/>
  <c r="G96" i="76"/>
  <c r="K96" i="61"/>
  <c r="G100" i="76"/>
  <c r="K100" i="61"/>
  <c r="G119" i="76"/>
  <c r="G124"/>
  <c r="K124" i="61"/>
  <c r="G128" i="76"/>
  <c r="K128" i="61"/>
  <c r="G133" i="76"/>
  <c r="K133" i="61"/>
  <c r="G137" i="76"/>
  <c r="K137" i="61"/>
  <c r="G152" i="76"/>
  <c r="G169"/>
  <c r="G173"/>
  <c r="K173" i="61"/>
  <c r="M23" i="68"/>
  <c r="K182" i="61"/>
  <c r="F49"/>
  <c r="F90"/>
  <c r="G31" i="76"/>
  <c r="G74"/>
  <c r="E30" i="68"/>
  <c r="K83" i="61"/>
  <c r="E27" i="69"/>
  <c r="K95" i="61"/>
  <c r="G118" i="76"/>
  <c r="G127"/>
  <c r="G144"/>
  <c r="K144" i="61"/>
  <c r="E193"/>
  <c r="E192" s="1"/>
  <c r="K194"/>
  <c r="G29" i="76"/>
  <c r="G47"/>
  <c r="K47" i="61"/>
  <c r="G57" i="76"/>
  <c r="G59"/>
  <c r="K59" i="61"/>
  <c r="G63" i="76"/>
  <c r="K63" i="61"/>
  <c r="G68" i="76"/>
  <c r="E23" i="68"/>
  <c r="G92" i="76"/>
  <c r="K92" i="61"/>
  <c r="G97" i="76"/>
  <c r="K97" i="61"/>
  <c r="M12" i="68"/>
  <c r="G125" i="76"/>
  <c r="G129"/>
  <c r="G134"/>
  <c r="G142"/>
  <c r="K142" i="61"/>
  <c r="G157" i="76"/>
  <c r="K157" i="61"/>
  <c r="G161" i="76"/>
  <c r="M14" i="69"/>
  <c r="K170" i="61"/>
  <c r="G174" i="76"/>
  <c r="K174" i="61"/>
  <c r="M27" i="69"/>
  <c r="K201" i="61"/>
  <c r="M31" i="69"/>
  <c r="K205" i="61"/>
  <c r="G240" i="76"/>
  <c r="E179" i="61"/>
  <c r="G115" i="76"/>
  <c r="G27"/>
  <c r="K27" i="61"/>
  <c r="G45" i="76"/>
  <c r="K45" i="61"/>
  <c r="G61" i="76"/>
  <c r="G99"/>
  <c r="K99" i="61"/>
  <c r="G131" i="76"/>
  <c r="G136"/>
  <c r="K136" i="61"/>
  <c r="G155" i="76"/>
  <c r="G168"/>
  <c r="K168" i="61"/>
  <c r="M27" i="68"/>
  <c r="K186" i="61"/>
  <c r="M31" i="68"/>
  <c r="K190" i="61"/>
  <c r="G24" i="76"/>
  <c r="G26"/>
  <c r="G30"/>
  <c r="G60"/>
  <c r="G65"/>
  <c r="K65" i="61"/>
  <c r="G69" i="76"/>
  <c r="G89"/>
  <c r="G93"/>
  <c r="K93" i="61"/>
  <c r="G98" i="76"/>
  <c r="K98" i="61"/>
  <c r="G126" i="76"/>
  <c r="K126" i="61"/>
  <c r="G130" i="76"/>
  <c r="G135"/>
  <c r="K135" i="61"/>
  <c r="G139" i="76"/>
  <c r="G143"/>
  <c r="K143" i="61"/>
  <c r="G154" i="76"/>
  <c r="G158"/>
  <c r="G162"/>
  <c r="K162" i="61"/>
  <c r="G167" i="76"/>
  <c r="K167" i="61"/>
  <c r="G171" i="76"/>
  <c r="K171" i="61"/>
  <c r="G175" i="76"/>
  <c r="K175" i="61"/>
  <c r="M23" i="69"/>
  <c r="K197" i="61"/>
  <c r="G190" i="76"/>
  <c r="F113" i="61"/>
  <c r="G113" i="76"/>
  <c r="G36"/>
  <c r="K36" i="61"/>
  <c r="G40" i="76"/>
  <c r="G37"/>
  <c r="G41"/>
  <c r="G34"/>
  <c r="G38"/>
  <c r="G42"/>
  <c r="G35"/>
  <c r="G39"/>
  <c r="G43"/>
  <c r="G48"/>
  <c r="G55"/>
  <c r="K55" i="61"/>
  <c r="G52" i="76"/>
  <c r="K52" i="61"/>
  <c r="G56" i="76"/>
  <c r="G53"/>
  <c r="K53" i="61"/>
  <c r="G54" i="76"/>
  <c r="K54" i="61"/>
  <c r="G62" i="76"/>
  <c r="U328" i="84"/>
  <c r="G112" i="76"/>
  <c r="G122"/>
  <c r="G120"/>
  <c r="G121"/>
  <c r="G138"/>
  <c r="G141"/>
  <c r="K141" i="61"/>
  <c r="G145" i="76"/>
  <c r="G148"/>
  <c r="G153"/>
  <c r="G156"/>
  <c r="G172"/>
  <c r="G13"/>
  <c r="G17"/>
  <c r="G21"/>
  <c r="K21" i="61"/>
  <c r="G14" i="76"/>
  <c r="G18"/>
  <c r="K18" i="61"/>
  <c r="G22" i="76"/>
  <c r="K22" i="61"/>
  <c r="G15" i="76"/>
  <c r="G19"/>
  <c r="G16"/>
  <c r="G20"/>
  <c r="K20" i="61"/>
  <c r="F16" i="76"/>
  <c r="F16" i="61"/>
  <c r="F21" i="76"/>
  <c r="F21" i="61"/>
  <c r="F43" i="76"/>
  <c r="F43" i="61"/>
  <c r="F62" i="76"/>
  <c r="F62" i="61"/>
  <c r="F65" i="76"/>
  <c r="F65" i="61"/>
  <c r="F67" i="76"/>
  <c r="F67" i="61"/>
  <c r="F130" i="76"/>
  <c r="F130" i="61"/>
  <c r="F142" i="76"/>
  <c r="F142" i="61"/>
  <c r="F144" i="76"/>
  <c r="F144" i="61"/>
  <c r="F156" i="76"/>
  <c r="F156" i="61"/>
  <c r="F241" i="76"/>
  <c r="F241" i="61"/>
  <c r="F17" i="76"/>
  <c r="F17" i="61"/>
  <c r="F23" i="76"/>
  <c r="F23" i="61"/>
  <c r="F26" i="76"/>
  <c r="F26" i="61"/>
  <c r="F27" i="76"/>
  <c r="F27" i="61"/>
  <c r="F28" i="76"/>
  <c r="F28" i="61"/>
  <c r="F35" i="76"/>
  <c r="F35" i="61"/>
  <c r="F36" i="76"/>
  <c r="F36" i="61"/>
  <c r="F37" i="76"/>
  <c r="F37" i="61"/>
  <c r="F45" i="76"/>
  <c r="F45" i="61"/>
  <c r="F53" i="76"/>
  <c r="F53" i="61"/>
  <c r="F54" i="76"/>
  <c r="F54" i="61"/>
  <c r="F55" i="76"/>
  <c r="F55" i="61"/>
  <c r="F56" i="76"/>
  <c r="F56" i="61"/>
  <c r="F69" i="76"/>
  <c r="F69" i="61"/>
  <c r="F74" i="76"/>
  <c r="F74" i="61"/>
  <c r="F93" i="76"/>
  <c r="F93" i="61"/>
  <c r="F99" i="76"/>
  <c r="F99" i="61"/>
  <c r="D32" i="69"/>
  <c r="F100" i="61"/>
  <c r="L11" i="68"/>
  <c r="F114" i="61"/>
  <c r="F124" i="76"/>
  <c r="F124" i="61"/>
  <c r="F131" i="76"/>
  <c r="F131" i="61"/>
  <c r="F133" i="76"/>
  <c r="F133" i="61"/>
  <c r="F134" i="76"/>
  <c r="F134" i="61"/>
  <c r="F145" i="76"/>
  <c r="F145" i="61"/>
  <c r="F152" i="76"/>
  <c r="F152" i="61"/>
  <c r="F153" i="76"/>
  <c r="F153" i="61"/>
  <c r="F157" i="76"/>
  <c r="F157" i="61"/>
  <c r="F161" i="76"/>
  <c r="F161" i="61"/>
  <c r="F167" i="76"/>
  <c r="F167" i="61"/>
  <c r="F168" i="76"/>
  <c r="F168" i="61"/>
  <c r="F169" i="76"/>
  <c r="F169" i="61"/>
  <c r="F182" i="76"/>
  <c r="F182" i="61"/>
  <c r="F183" i="76"/>
  <c r="F183" i="61"/>
  <c r="F185" i="76"/>
  <c r="F226" s="1"/>
  <c r="F185" i="61"/>
  <c r="F239" i="76"/>
  <c r="F239" i="61"/>
  <c r="F49" i="76"/>
  <c r="F121"/>
  <c r="F121" i="61"/>
  <c r="F13" i="76"/>
  <c r="F13" i="61"/>
  <c r="F14" i="76"/>
  <c r="F14" i="61"/>
  <c r="F18" i="76"/>
  <c r="F18" i="61"/>
  <c r="F29" i="76"/>
  <c r="F29" i="61"/>
  <c r="F30" i="76"/>
  <c r="F30" i="61"/>
  <c r="F38" i="76"/>
  <c r="F38" i="61"/>
  <c r="F46" i="76"/>
  <c r="F46" i="61"/>
  <c r="F47" i="76"/>
  <c r="F47" i="61"/>
  <c r="F48" i="76"/>
  <c r="F48" i="61"/>
  <c r="F57" i="76"/>
  <c r="F57" i="61"/>
  <c r="F59" i="76"/>
  <c r="F59" i="61"/>
  <c r="F60" i="76"/>
  <c r="F60" i="61"/>
  <c r="F75" i="76"/>
  <c r="F75" i="61"/>
  <c r="F76" i="76"/>
  <c r="F76" i="61"/>
  <c r="F95" i="76"/>
  <c r="F95" i="61"/>
  <c r="F96" i="76"/>
  <c r="F96" i="61"/>
  <c r="F111" i="76"/>
  <c r="F111" i="61"/>
  <c r="F115" i="76"/>
  <c r="F115" i="61"/>
  <c r="F117" i="76"/>
  <c r="F117" i="61"/>
  <c r="F118" i="76"/>
  <c r="F118" i="61"/>
  <c r="F125" i="76"/>
  <c r="F125" i="61"/>
  <c r="F135" i="76"/>
  <c r="F135" i="61"/>
  <c r="F147" i="76"/>
  <c r="H147" s="1"/>
  <c r="F147" i="61"/>
  <c r="F154" i="76"/>
  <c r="F154" i="61"/>
  <c r="F158" i="76"/>
  <c r="F158" i="61"/>
  <c r="F162" i="76"/>
  <c r="F162" i="61"/>
  <c r="F163" i="76"/>
  <c r="F163" i="61"/>
  <c r="F170" i="76"/>
  <c r="F170" i="61"/>
  <c r="F171" i="76"/>
  <c r="F171" i="61"/>
  <c r="F172" i="76"/>
  <c r="F172" i="61"/>
  <c r="F186" i="76"/>
  <c r="F186" i="61"/>
  <c r="F187" i="76"/>
  <c r="F187" i="61"/>
  <c r="F188" i="76"/>
  <c r="F188" i="61"/>
  <c r="F189" i="76"/>
  <c r="F189" i="61"/>
  <c r="F195" i="76"/>
  <c r="F195" i="61"/>
  <c r="F196" i="76"/>
  <c r="F196" i="61"/>
  <c r="F197" i="76"/>
  <c r="F197" i="61"/>
  <c r="F198" i="76"/>
  <c r="F198" i="61"/>
  <c r="F200" i="76"/>
  <c r="F233" s="1"/>
  <c r="F200" i="61"/>
  <c r="F201" i="76"/>
  <c r="F201" i="61"/>
  <c r="F240" i="76"/>
  <c r="F240" i="61"/>
  <c r="F20" i="76"/>
  <c r="F20" i="61"/>
  <c r="F22" i="76"/>
  <c r="F22" i="61"/>
  <c r="F34" i="76"/>
  <c r="F34" i="61"/>
  <c r="F42" i="76"/>
  <c r="F42" i="61"/>
  <c r="F52" i="76"/>
  <c r="F52" i="61"/>
  <c r="F63" i="76"/>
  <c r="F63" i="61"/>
  <c r="F66" i="76"/>
  <c r="F66" i="61"/>
  <c r="F68" i="76"/>
  <c r="F68" i="61"/>
  <c r="F92" i="76"/>
  <c r="F92" i="61"/>
  <c r="F98" i="76"/>
  <c r="F98" i="61"/>
  <c r="F122" i="76"/>
  <c r="F122" i="61"/>
  <c r="F143" i="76"/>
  <c r="F143" i="61"/>
  <c r="F151" i="76"/>
  <c r="F151" i="61"/>
  <c r="F166" i="76"/>
  <c r="F166" i="61"/>
  <c r="F181" i="76"/>
  <c r="F181" i="61"/>
  <c r="F206" i="76"/>
  <c r="F206" i="61"/>
  <c r="F15" i="76"/>
  <c r="F15" i="61"/>
  <c r="F19" i="76"/>
  <c r="F19" i="61"/>
  <c r="F31" i="76"/>
  <c r="F31" i="61"/>
  <c r="F33" i="76"/>
  <c r="F33" i="61"/>
  <c r="F39" i="76"/>
  <c r="F39" i="61"/>
  <c r="F40" i="76"/>
  <c r="F40" i="61"/>
  <c r="F41" i="76"/>
  <c r="F41" i="61"/>
  <c r="F61" i="76"/>
  <c r="F61" i="61"/>
  <c r="F77" i="76"/>
  <c r="F224" s="1"/>
  <c r="F77" i="61"/>
  <c r="F78" i="76"/>
  <c r="F78" i="61"/>
  <c r="F80" i="76"/>
  <c r="F80" i="61"/>
  <c r="F81" i="76"/>
  <c r="F81" i="61"/>
  <c r="F82" i="76"/>
  <c r="F82" i="61"/>
  <c r="F83" i="76"/>
  <c r="F83" i="61"/>
  <c r="F84" i="76"/>
  <c r="F84" i="61"/>
  <c r="D32" i="68"/>
  <c r="F85" i="61"/>
  <c r="F97" i="76"/>
  <c r="F97" i="61"/>
  <c r="F112" i="76"/>
  <c r="F112" i="61"/>
  <c r="F119" i="76"/>
  <c r="F119" i="61"/>
  <c r="F120" i="76"/>
  <c r="F120" i="61"/>
  <c r="F126" i="76"/>
  <c r="F126" i="61"/>
  <c r="F127" i="76"/>
  <c r="F127" i="61"/>
  <c r="F128" i="76"/>
  <c r="F128" i="61"/>
  <c r="F129" i="76"/>
  <c r="F129" i="61"/>
  <c r="F136" i="76"/>
  <c r="F136" i="61"/>
  <c r="F137" i="76"/>
  <c r="F137" i="61"/>
  <c r="F138" i="76"/>
  <c r="F138" i="61"/>
  <c r="F139" i="76"/>
  <c r="F139" i="61"/>
  <c r="F140" i="76"/>
  <c r="F140" i="61"/>
  <c r="F141" i="76"/>
  <c r="F141" i="61"/>
  <c r="F148" i="76"/>
  <c r="F148" i="61"/>
  <c r="F155" i="76"/>
  <c r="F155" i="61"/>
  <c r="L12" i="69"/>
  <c r="F160" i="61"/>
  <c r="F164" i="76"/>
  <c r="F164" i="61"/>
  <c r="F173" i="76"/>
  <c r="F173" i="61"/>
  <c r="F174" i="76"/>
  <c r="F174" i="61"/>
  <c r="F175" i="76"/>
  <c r="F175" i="61"/>
  <c r="F180" i="76"/>
  <c r="F180" i="61"/>
  <c r="F190" i="76"/>
  <c r="F190" i="61"/>
  <c r="F191" i="76"/>
  <c r="F191" i="61"/>
  <c r="F202" i="76"/>
  <c r="F202" i="61"/>
  <c r="F203" i="76"/>
  <c r="F203" i="61"/>
  <c r="F204" i="76"/>
  <c r="F204" i="61"/>
  <c r="F205" i="76"/>
  <c r="F205" i="61"/>
  <c r="C44"/>
  <c r="C165"/>
  <c r="AU328" i="84" s="1"/>
  <c r="E64" i="61"/>
  <c r="E13" i="75" s="1"/>
  <c r="C150" i="61"/>
  <c r="AM328" i="84" s="1"/>
  <c r="C32" i="61"/>
  <c r="W325" i="84" s="1"/>
  <c r="D165" i="61"/>
  <c r="C12"/>
  <c r="C11" s="1"/>
  <c r="C116"/>
  <c r="E165"/>
  <c r="E25" i="75" s="1"/>
  <c r="I178" i="84"/>
  <c r="J178" s="1"/>
  <c r="E58" i="61"/>
  <c r="F45" i="73"/>
  <c r="E36" i="72"/>
  <c r="E37" s="1"/>
  <c r="H172" i="84"/>
  <c r="AJ244"/>
  <c r="AA325"/>
  <c r="C15" i="68"/>
  <c r="L22" i="69"/>
  <c r="L30"/>
  <c r="F100" i="76"/>
  <c r="D32" i="61"/>
  <c r="C132"/>
  <c r="C179"/>
  <c r="C178" s="1"/>
  <c r="C177" s="1"/>
  <c r="E22" i="68"/>
  <c r="E28" i="69"/>
  <c r="L26"/>
  <c r="L29"/>
  <c r="L32"/>
  <c r="D44" i="61"/>
  <c r="D10" i="75" s="1"/>
  <c r="E123" i="61"/>
  <c r="D21" i="68"/>
  <c r="D29"/>
  <c r="M17"/>
  <c r="D27" i="69"/>
  <c r="L21"/>
  <c r="L24"/>
  <c r="L28"/>
  <c r="L31"/>
  <c r="F85" i="76"/>
  <c r="G90"/>
  <c r="G205"/>
  <c r="H205" s="1"/>
  <c r="AM325" i="84"/>
  <c r="C20" i="69"/>
  <c r="C19" s="1"/>
  <c r="C18" s="1"/>
  <c r="D194" i="61"/>
  <c r="D31" i="69"/>
  <c r="D88" i="61"/>
  <c r="C159"/>
  <c r="AQ328" i="84" s="1"/>
  <c r="K20" i="68"/>
  <c r="K19" s="1"/>
  <c r="K18" s="1"/>
  <c r="E32" i="69"/>
  <c r="F32" s="1"/>
  <c r="L23"/>
  <c r="L27"/>
  <c r="J190" i="85"/>
  <c r="J202"/>
  <c r="H291" i="84"/>
  <c r="H19"/>
  <c r="F101" i="78"/>
  <c r="D109" i="67"/>
  <c r="D109" i="65"/>
  <c r="D123" i="61"/>
  <c r="D21" i="75" s="1"/>
  <c r="D110" i="61"/>
  <c r="E88"/>
  <c r="D73"/>
  <c r="E51"/>
  <c r="D12"/>
  <c r="M13" i="69"/>
  <c r="C207" i="61"/>
  <c r="O71" i="85"/>
  <c r="R141"/>
  <c r="R71"/>
  <c r="G51" i="76"/>
  <c r="C20" i="68"/>
  <c r="C19" s="1"/>
  <c r="C18" s="1"/>
  <c r="O325" i="84"/>
  <c r="C10" i="61"/>
  <c r="C9" i="68"/>
  <c r="AI325" i="84"/>
  <c r="C9" i="69"/>
  <c r="C50" i="61"/>
  <c r="W328" i="84"/>
  <c r="K13" i="68"/>
  <c r="AA328" i="84"/>
  <c r="K15" i="68"/>
  <c r="K9"/>
  <c r="O328" i="84"/>
  <c r="C109" i="61"/>
  <c r="AE328" i="84"/>
  <c r="K16" i="68"/>
  <c r="E24"/>
  <c r="F24" s="1"/>
  <c r="G77" i="76"/>
  <c r="H77" s="1"/>
  <c r="G78"/>
  <c r="H78" s="1"/>
  <c r="E25" i="68"/>
  <c r="G80" i="76"/>
  <c r="H80" s="1"/>
  <c r="E27" i="68"/>
  <c r="E28"/>
  <c r="G81" i="76"/>
  <c r="H81" s="1"/>
  <c r="G82"/>
  <c r="H82" s="1"/>
  <c r="E29" i="68"/>
  <c r="F29" s="1"/>
  <c r="G84" i="76"/>
  <c r="H84" s="1"/>
  <c r="E31" i="68"/>
  <c r="E32"/>
  <c r="F32" s="1"/>
  <c r="G85" i="76"/>
  <c r="H85" s="1"/>
  <c r="F89"/>
  <c r="D21" i="69"/>
  <c r="D22"/>
  <c r="F90" i="76"/>
  <c r="F91"/>
  <c r="F230" s="1"/>
  <c r="D23" i="69"/>
  <c r="M10" i="68"/>
  <c r="G111" i="76"/>
  <c r="M21" i="69"/>
  <c r="N21" s="1"/>
  <c r="G195" i="76"/>
  <c r="H195" s="1"/>
  <c r="G196"/>
  <c r="H196" s="1"/>
  <c r="M22" i="69"/>
  <c r="N22" s="1"/>
  <c r="G198" i="76"/>
  <c r="H198" s="1"/>
  <c r="M24" i="69"/>
  <c r="N24" s="1"/>
  <c r="G200" i="76"/>
  <c r="M26" i="69"/>
  <c r="N26" s="1"/>
  <c r="G202" i="76"/>
  <c r="H202" s="1"/>
  <c r="M28" i="69"/>
  <c r="N28" s="1"/>
  <c r="M29"/>
  <c r="N29" s="1"/>
  <c r="G203" i="76"/>
  <c r="H203" s="1"/>
  <c r="G204"/>
  <c r="H204" s="1"/>
  <c r="M30" i="69"/>
  <c r="N30" s="1"/>
  <c r="G206" i="76"/>
  <c r="H206" s="1"/>
  <c r="M32" i="69"/>
  <c r="N32" s="1"/>
  <c r="E242" i="61"/>
  <c r="G239" i="76"/>
  <c r="H239" s="1"/>
  <c r="E44" i="61"/>
  <c r="L32" i="68"/>
  <c r="E25" i="61"/>
  <c r="D51"/>
  <c r="C88"/>
  <c r="C87" s="1"/>
  <c r="C86" s="1"/>
  <c r="I71" i="85" s="1"/>
  <c r="D116" i="61"/>
  <c r="D146"/>
  <c r="D23" i="68"/>
  <c r="D27"/>
  <c r="D31"/>
  <c r="L21"/>
  <c r="L26"/>
  <c r="L30"/>
  <c r="C13" i="69"/>
  <c r="D24"/>
  <c r="E25"/>
  <c r="D29"/>
  <c r="E30"/>
  <c r="M10"/>
  <c r="K21"/>
  <c r="K20" s="1"/>
  <c r="K19" s="1"/>
  <c r="K18" s="1"/>
  <c r="K35" s="1"/>
  <c r="G95" i="76"/>
  <c r="H95" s="1"/>
  <c r="G166"/>
  <c r="H166" s="1"/>
  <c r="D10" i="68"/>
  <c r="F24" i="76"/>
  <c r="AS325" i="84"/>
  <c r="G117" i="76"/>
  <c r="M14" i="68"/>
  <c r="E159" i="61"/>
  <c r="G164" i="76"/>
  <c r="H164" s="1"/>
  <c r="M21" i="68"/>
  <c r="N21" s="1"/>
  <c r="G180" i="76"/>
  <c r="H180" s="1"/>
  <c r="G181"/>
  <c r="H181" s="1"/>
  <c r="M22" i="68"/>
  <c r="G183" i="76"/>
  <c r="H183" s="1"/>
  <c r="M24" i="68"/>
  <c r="G185" i="76"/>
  <c r="M26" i="68"/>
  <c r="N26" s="1"/>
  <c r="G187" i="76"/>
  <c r="H187" s="1"/>
  <c r="M28" i="68"/>
  <c r="M29"/>
  <c r="G188" i="76"/>
  <c r="H188" s="1"/>
  <c r="G189"/>
  <c r="H189" s="1"/>
  <c r="M30" i="68"/>
  <c r="N30" s="1"/>
  <c r="G191" i="76"/>
  <c r="H191" s="1"/>
  <c r="M32" i="68"/>
  <c r="N32" s="1"/>
  <c r="E32" i="61"/>
  <c r="L14" i="68"/>
  <c r="N14" s="1"/>
  <c r="L23"/>
  <c r="L28"/>
  <c r="AV328" i="84"/>
  <c r="E12" i="61"/>
  <c r="D25"/>
  <c r="D150"/>
  <c r="D159"/>
  <c r="D179"/>
  <c r="E10" i="68"/>
  <c r="C13"/>
  <c r="E21"/>
  <c r="F21" s="1"/>
  <c r="D28"/>
  <c r="K11"/>
  <c r="L22"/>
  <c r="L27"/>
  <c r="L31"/>
  <c r="D25" i="69"/>
  <c r="D30"/>
  <c r="E31"/>
  <c r="F31" s="1"/>
  <c r="L10"/>
  <c r="F113" i="76"/>
  <c r="G182"/>
  <c r="H182" s="1"/>
  <c r="G197"/>
  <c r="H197" s="1"/>
  <c r="D58" i="61"/>
  <c r="D64"/>
  <c r="D25" i="75"/>
  <c r="F114" i="76"/>
  <c r="T328" i="84"/>
  <c r="D19" i="75"/>
  <c r="C73" i="61"/>
  <c r="C72" s="1"/>
  <c r="C71" s="1"/>
  <c r="C11" i="68"/>
  <c r="D22"/>
  <c r="D25"/>
  <c r="D30"/>
  <c r="L10"/>
  <c r="L12"/>
  <c r="N12" s="1"/>
  <c r="L17"/>
  <c r="L24"/>
  <c r="L29"/>
  <c r="E21" i="69"/>
  <c r="F21" s="1"/>
  <c r="E24"/>
  <c r="F24" s="1"/>
  <c r="D28"/>
  <c r="E29"/>
  <c r="F29" s="1"/>
  <c r="K9"/>
  <c r="K13"/>
  <c r="L14"/>
  <c r="F160" i="76"/>
  <c r="H160" s="1"/>
  <c r="G83"/>
  <c r="H83" s="1"/>
  <c r="G170"/>
  <c r="H170" s="1"/>
  <c r="G186"/>
  <c r="H186" s="1"/>
  <c r="G201"/>
  <c r="H201" s="1"/>
  <c r="J46" i="85"/>
  <c r="J54"/>
  <c r="J56"/>
  <c r="J66"/>
  <c r="J79"/>
  <c r="J83"/>
  <c r="J88"/>
  <c r="J97"/>
  <c r="J105"/>
  <c r="J110"/>
  <c r="J120"/>
  <c r="J132"/>
  <c r="J163"/>
  <c r="J176"/>
  <c r="D242" i="61"/>
  <c r="J40" i="85"/>
  <c r="J9"/>
  <c r="J13"/>
  <c r="J15"/>
  <c r="J23"/>
  <c r="J27"/>
  <c r="J36"/>
  <c r="Q309" i="84"/>
  <c r="U309"/>
  <c r="I183"/>
  <c r="AG309"/>
  <c r="J156" i="85"/>
  <c r="J178"/>
  <c r="J151"/>
  <c r="J170"/>
  <c r="J147"/>
  <c r="J180"/>
  <c r="J188"/>
  <c r="M11" i="68"/>
  <c r="N11" s="1"/>
  <c r="E110" i="61"/>
  <c r="E19" i="75"/>
  <c r="F19" s="1"/>
  <c r="G114" i="76"/>
  <c r="H114" s="1"/>
  <c r="E146" i="61"/>
  <c r="E116"/>
  <c r="E24" i="75"/>
  <c r="E150" i="61"/>
  <c r="G23" i="76"/>
  <c r="H23" s="1"/>
  <c r="E23" i="69"/>
  <c r="F23" s="1"/>
  <c r="E73" i="61"/>
  <c r="G76" i="76"/>
  <c r="H76" s="1"/>
  <c r="E118" i="77"/>
  <c r="E121" s="1"/>
  <c r="E30"/>
  <c r="F118"/>
  <c r="G118" s="1"/>
  <c r="D118"/>
  <c r="D121" s="1"/>
  <c r="D30"/>
  <c r="U34" i="85" s="1"/>
  <c r="J30"/>
  <c r="J38"/>
  <c r="J48"/>
  <c r="J80"/>
  <c r="J85"/>
  <c r="J92"/>
  <c r="J98"/>
  <c r="J106"/>
  <c r="J114"/>
  <c r="J134"/>
  <c r="J148"/>
  <c r="J152"/>
  <c r="J158"/>
  <c r="J164"/>
  <c r="J166"/>
  <c r="J184"/>
  <c r="J194"/>
  <c r="J204"/>
  <c r="J10"/>
  <c r="J24"/>
  <c r="J7"/>
  <c r="J11"/>
  <c r="J18"/>
  <c r="J34"/>
  <c r="J44"/>
  <c r="J50"/>
  <c r="J58"/>
  <c r="J62"/>
  <c r="J77"/>
  <c r="J81"/>
  <c r="J86"/>
  <c r="J93"/>
  <c r="J100"/>
  <c r="J108"/>
  <c r="J115"/>
  <c r="J124"/>
  <c r="J136"/>
  <c r="J149"/>
  <c r="J153"/>
  <c r="J167"/>
  <c r="J174"/>
  <c r="J185"/>
  <c r="J16"/>
  <c r="J28"/>
  <c r="J8"/>
  <c r="J12"/>
  <c r="J22"/>
  <c r="J26"/>
  <c r="J35"/>
  <c r="J45"/>
  <c r="J64"/>
  <c r="J78"/>
  <c r="J82"/>
  <c r="J94"/>
  <c r="J234" s="1"/>
  <c r="J96"/>
  <c r="J236" s="1"/>
  <c r="J104"/>
  <c r="J116"/>
  <c r="J118"/>
  <c r="J126"/>
  <c r="J128"/>
  <c r="J150"/>
  <c r="J155"/>
  <c r="J162"/>
  <c r="J168"/>
  <c r="J175"/>
  <c r="J186"/>
  <c r="J196"/>
  <c r="J198"/>
  <c r="J206"/>
  <c r="A148"/>
  <c r="A78"/>
  <c r="S71"/>
  <c r="S146"/>
  <c r="S76"/>
  <c r="J146"/>
  <c r="J76"/>
  <c r="A149"/>
  <c r="A79"/>
  <c r="J6"/>
  <c r="A8"/>
  <c r="S6"/>
  <c r="I268" i="84"/>
  <c r="I272"/>
  <c r="J272" s="1"/>
  <c r="M306"/>
  <c r="I278"/>
  <c r="I282"/>
  <c r="AK316"/>
  <c r="I311"/>
  <c r="I315"/>
  <c r="I319"/>
  <c r="I317"/>
  <c r="I172"/>
  <c r="I176"/>
  <c r="I181"/>
  <c r="I185"/>
  <c r="I189"/>
  <c r="I193"/>
  <c r="I201"/>
  <c r="I205"/>
  <c r="I209"/>
  <c r="I213"/>
  <c r="I217"/>
  <c r="I221"/>
  <c r="I228"/>
  <c r="I232"/>
  <c r="I237"/>
  <c r="I243"/>
  <c r="I249"/>
  <c r="I257"/>
  <c r="I261"/>
  <c r="I267"/>
  <c r="I271"/>
  <c r="I305"/>
  <c r="I313"/>
  <c r="I312"/>
  <c r="I56"/>
  <c r="I76"/>
  <c r="I96"/>
  <c r="I101"/>
  <c r="I106"/>
  <c r="I110"/>
  <c r="I117"/>
  <c r="I130"/>
  <c r="I148"/>
  <c r="I152"/>
  <c r="AG143"/>
  <c r="I60"/>
  <c r="I66"/>
  <c r="I70"/>
  <c r="I75"/>
  <c r="I87"/>
  <c r="I129"/>
  <c r="I135"/>
  <c r="I151"/>
  <c r="I73"/>
  <c r="I80"/>
  <c r="I86"/>
  <c r="I98"/>
  <c r="I108"/>
  <c r="I115"/>
  <c r="I119"/>
  <c r="I142"/>
  <c r="I150"/>
  <c r="AG103"/>
  <c r="I45"/>
  <c r="I57"/>
  <c r="I62"/>
  <c r="I68"/>
  <c r="I72"/>
  <c r="I77"/>
  <c r="I85"/>
  <c r="I97"/>
  <c r="I102"/>
  <c r="I107"/>
  <c r="I118"/>
  <c r="I127"/>
  <c r="I131"/>
  <c r="I123"/>
  <c r="I10"/>
  <c r="I14"/>
  <c r="J14" s="1"/>
  <c r="I19"/>
  <c r="J19" s="1"/>
  <c r="I23"/>
  <c r="I27"/>
  <c r="I32"/>
  <c r="I39"/>
  <c r="I43"/>
  <c r="I12"/>
  <c r="J12" s="1"/>
  <c r="I17"/>
  <c r="I21"/>
  <c r="I25"/>
  <c r="I29"/>
  <c r="J29" s="1"/>
  <c r="I41"/>
  <c r="I20"/>
  <c r="I40"/>
  <c r="I47"/>
  <c r="I51"/>
  <c r="I55"/>
  <c r="I49"/>
  <c r="I53"/>
  <c r="Q146"/>
  <c r="I139"/>
  <c r="M140"/>
  <c r="K287"/>
  <c r="G286"/>
  <c r="G287" s="1"/>
  <c r="K145"/>
  <c r="G144"/>
  <c r="G145" s="1"/>
  <c r="K299"/>
  <c r="G298"/>
  <c r="G299" s="1"/>
  <c r="H273"/>
  <c r="AU288"/>
  <c r="AQ112"/>
  <c r="AQ158"/>
  <c r="AQ300"/>
  <c r="AM137"/>
  <c r="AM275"/>
  <c r="AM321"/>
  <c r="AK283"/>
  <c r="AJ252"/>
  <c r="AI262"/>
  <c r="AI295"/>
  <c r="AI300" s="1"/>
  <c r="AE89"/>
  <c r="I171"/>
  <c r="I175"/>
  <c r="I180"/>
  <c r="I184"/>
  <c r="J184" s="1"/>
  <c r="I188"/>
  <c r="I192"/>
  <c r="J192" s="1"/>
  <c r="I199"/>
  <c r="I204"/>
  <c r="I208"/>
  <c r="J208" s="1"/>
  <c r="I212"/>
  <c r="I216"/>
  <c r="J216" s="1"/>
  <c r="I220"/>
  <c r="I225"/>
  <c r="I231"/>
  <c r="I235"/>
  <c r="J235" s="1"/>
  <c r="I240"/>
  <c r="I260"/>
  <c r="J260" s="1"/>
  <c r="I265"/>
  <c r="J265" s="1"/>
  <c r="I270"/>
  <c r="I277"/>
  <c r="I281"/>
  <c r="H149"/>
  <c r="H173"/>
  <c r="H177"/>
  <c r="H182"/>
  <c r="H186"/>
  <c r="H190"/>
  <c r="H195"/>
  <c r="H202"/>
  <c r="H206"/>
  <c r="H210"/>
  <c r="H214"/>
  <c r="H218"/>
  <c r="H223"/>
  <c r="H229"/>
  <c r="H233"/>
  <c r="H238"/>
  <c r="H245"/>
  <c r="H250"/>
  <c r="G11"/>
  <c r="G15"/>
  <c r="G20"/>
  <c r="G24"/>
  <c r="G28"/>
  <c r="G35"/>
  <c r="G40"/>
  <c r="G44"/>
  <c r="G48"/>
  <c r="G52"/>
  <c r="G56"/>
  <c r="G61"/>
  <c r="G67"/>
  <c r="G71"/>
  <c r="G76"/>
  <c r="G84"/>
  <c r="G88"/>
  <c r="G171"/>
  <c r="G175"/>
  <c r="G180"/>
  <c r="G184"/>
  <c r="G188"/>
  <c r="G192"/>
  <c r="G199"/>
  <c r="G204"/>
  <c r="G208"/>
  <c r="G212"/>
  <c r="G216"/>
  <c r="G220"/>
  <c r="G225"/>
  <c r="G231"/>
  <c r="G235"/>
  <c r="G240"/>
  <c r="G248"/>
  <c r="G280"/>
  <c r="G292"/>
  <c r="G317"/>
  <c r="G318" s="1"/>
  <c r="I144"/>
  <c r="I304"/>
  <c r="H171"/>
  <c r="G290"/>
  <c r="M89"/>
  <c r="I82"/>
  <c r="M287"/>
  <c r="I286"/>
  <c r="L124"/>
  <c r="H123"/>
  <c r="H124" s="1"/>
  <c r="L140"/>
  <c r="H139"/>
  <c r="H140" s="1"/>
  <c r="L262"/>
  <c r="H257"/>
  <c r="L283"/>
  <c r="H277"/>
  <c r="H286"/>
  <c r="H287" s="1"/>
  <c r="L287"/>
  <c r="K157"/>
  <c r="G156"/>
  <c r="G157" s="1"/>
  <c r="K306"/>
  <c r="K309" s="1"/>
  <c r="G304"/>
  <c r="AU300"/>
  <c r="AQ125"/>
  <c r="AQ255"/>
  <c r="AQ309"/>
  <c r="AM92"/>
  <c r="AM146"/>
  <c r="AM288"/>
  <c r="AK244"/>
  <c r="AI125"/>
  <c r="AI244"/>
  <c r="I95"/>
  <c r="I100"/>
  <c r="I105"/>
  <c r="I109"/>
  <c r="I116"/>
  <c r="I121"/>
  <c r="I128"/>
  <c r="I269"/>
  <c r="I273"/>
  <c r="I280"/>
  <c r="I293"/>
  <c r="I302"/>
  <c r="H11"/>
  <c r="H15"/>
  <c r="H20"/>
  <c r="H24"/>
  <c r="H28"/>
  <c r="H35"/>
  <c r="H40"/>
  <c r="H44"/>
  <c r="H48"/>
  <c r="H52"/>
  <c r="H56"/>
  <c r="H61"/>
  <c r="H67"/>
  <c r="H71"/>
  <c r="H76"/>
  <c r="H84"/>
  <c r="H88"/>
  <c r="H261"/>
  <c r="H267"/>
  <c r="H271"/>
  <c r="H281"/>
  <c r="H293"/>
  <c r="H314"/>
  <c r="G95"/>
  <c r="G100"/>
  <c r="G105"/>
  <c r="G109"/>
  <c r="G116"/>
  <c r="G121"/>
  <c r="G122" s="1"/>
  <c r="G129"/>
  <c r="G259"/>
  <c r="G264"/>
  <c r="G269"/>
  <c r="G273"/>
  <c r="H284"/>
  <c r="H285" s="1"/>
  <c r="G148"/>
  <c r="K140"/>
  <c r="G139"/>
  <c r="G140" s="1"/>
  <c r="M99"/>
  <c r="I94"/>
  <c r="M111"/>
  <c r="I104"/>
  <c r="M244"/>
  <c r="I173"/>
  <c r="M262"/>
  <c r="I258"/>
  <c r="I263"/>
  <c r="M266"/>
  <c r="M299"/>
  <c r="I298"/>
  <c r="L299"/>
  <c r="H298"/>
  <c r="H299" s="1"/>
  <c r="K99"/>
  <c r="G94"/>
  <c r="K111"/>
  <c r="G104"/>
  <c r="K244"/>
  <c r="G173"/>
  <c r="K262"/>
  <c r="G258"/>
  <c r="G263"/>
  <c r="K266"/>
  <c r="AU255"/>
  <c r="AU309"/>
  <c r="AQ137"/>
  <c r="AQ275"/>
  <c r="AQ321"/>
  <c r="AM112"/>
  <c r="AM158"/>
  <c r="AM300"/>
  <c r="AK266"/>
  <c r="AK295"/>
  <c r="I13"/>
  <c r="I18"/>
  <c r="I22"/>
  <c r="I26"/>
  <c r="I30"/>
  <c r="I38"/>
  <c r="I42"/>
  <c r="I46"/>
  <c r="I50"/>
  <c r="I54"/>
  <c r="I58"/>
  <c r="I65"/>
  <c r="I69"/>
  <c r="I177"/>
  <c r="I182"/>
  <c r="J182" s="1"/>
  <c r="I186"/>
  <c r="I190"/>
  <c r="I195"/>
  <c r="I202"/>
  <c r="J202" s="1"/>
  <c r="I206"/>
  <c r="I210"/>
  <c r="I214"/>
  <c r="I218"/>
  <c r="J218" s="1"/>
  <c r="I223"/>
  <c r="I229"/>
  <c r="I233"/>
  <c r="I238"/>
  <c r="J238" s="1"/>
  <c r="I245"/>
  <c r="I250"/>
  <c r="I284"/>
  <c r="I292"/>
  <c r="J292" s="1"/>
  <c r="I307"/>
  <c r="I314"/>
  <c r="H95"/>
  <c r="H105"/>
  <c r="H109"/>
  <c r="H129"/>
  <c r="H305"/>
  <c r="G177"/>
  <c r="G182"/>
  <c r="G186"/>
  <c r="G190"/>
  <c r="G195"/>
  <c r="G202"/>
  <c r="G206"/>
  <c r="G210"/>
  <c r="G214"/>
  <c r="G218"/>
  <c r="G223"/>
  <c r="G229"/>
  <c r="G233"/>
  <c r="G238"/>
  <c r="G245"/>
  <c r="G250"/>
  <c r="I156"/>
  <c r="I290"/>
  <c r="H121"/>
  <c r="H122" s="1"/>
  <c r="H148"/>
  <c r="G141"/>
  <c r="G257"/>
  <c r="AJ262"/>
  <c r="AJ266"/>
  <c r="AJ295"/>
  <c r="AJ300" s="1"/>
  <c r="AI112"/>
  <c r="AI158"/>
  <c r="AI283"/>
  <c r="AI288" s="1"/>
  <c r="AG99"/>
  <c r="AG111"/>
  <c r="AG153"/>
  <c r="AF89"/>
  <c r="AF99"/>
  <c r="AF111"/>
  <c r="AF153"/>
  <c r="AF158" s="1"/>
  <c r="AE99"/>
  <c r="AE111"/>
  <c r="AE132"/>
  <c r="AE137" s="1"/>
  <c r="AE255"/>
  <c r="AE309"/>
  <c r="AA137"/>
  <c r="AA275"/>
  <c r="AA321"/>
  <c r="W112"/>
  <c r="W158"/>
  <c r="W300"/>
  <c r="S137"/>
  <c r="S275"/>
  <c r="S321"/>
  <c r="Q112"/>
  <c r="Q158"/>
  <c r="O112"/>
  <c r="O158"/>
  <c r="O300"/>
  <c r="M120"/>
  <c r="M136"/>
  <c r="N136" s="1"/>
  <c r="M153"/>
  <c r="M285"/>
  <c r="N285" s="1"/>
  <c r="M295"/>
  <c r="M303"/>
  <c r="N303" s="1"/>
  <c r="M308"/>
  <c r="N308" s="1"/>
  <c r="L89"/>
  <c r="L103"/>
  <c r="L244"/>
  <c r="L306"/>
  <c r="L309" s="1"/>
  <c r="L316"/>
  <c r="K81"/>
  <c r="K89"/>
  <c r="K120"/>
  <c r="K153"/>
  <c r="K295"/>
  <c r="K300" s="1"/>
  <c r="I149"/>
  <c r="I154"/>
  <c r="H156"/>
  <c r="H157" s="1"/>
  <c r="H307"/>
  <c r="H308" s="1"/>
  <c r="G123"/>
  <c r="G124" s="1"/>
  <c r="G253"/>
  <c r="G254" s="1"/>
  <c r="AG120"/>
  <c r="AF120"/>
  <c r="AF125" s="1"/>
  <c r="AF132"/>
  <c r="AF137" s="1"/>
  <c r="AE120"/>
  <c r="AE125" s="1"/>
  <c r="AE275"/>
  <c r="AE321"/>
  <c r="AA92"/>
  <c r="AA146"/>
  <c r="AA288"/>
  <c r="W125"/>
  <c r="W255"/>
  <c r="W309"/>
  <c r="S92"/>
  <c r="S146"/>
  <c r="S288"/>
  <c r="Q125"/>
  <c r="O125"/>
  <c r="O255"/>
  <c r="O309"/>
  <c r="M81"/>
  <c r="M252"/>
  <c r="M283"/>
  <c r="L99"/>
  <c r="L111"/>
  <c r="L295"/>
  <c r="K122"/>
  <c r="K143"/>
  <c r="K252"/>
  <c r="K283"/>
  <c r="K318"/>
  <c r="I133"/>
  <c r="I141"/>
  <c r="H82"/>
  <c r="H100"/>
  <c r="H104"/>
  <c r="H144"/>
  <c r="H145" s="1"/>
  <c r="AK306"/>
  <c r="AI137"/>
  <c r="AI266"/>
  <c r="AG81"/>
  <c r="AG89"/>
  <c r="AF81"/>
  <c r="AE81"/>
  <c r="AE288"/>
  <c r="AA112"/>
  <c r="AA158"/>
  <c r="AA300"/>
  <c r="W137"/>
  <c r="W275"/>
  <c r="W321"/>
  <c r="S112"/>
  <c r="S158"/>
  <c r="S300"/>
  <c r="Q137"/>
  <c r="O137"/>
  <c r="O275"/>
  <c r="O321"/>
  <c r="M103"/>
  <c r="M132"/>
  <c r="M316"/>
  <c r="L81"/>
  <c r="L120"/>
  <c r="L132"/>
  <c r="L137" s="1"/>
  <c r="L252"/>
  <c r="L266"/>
  <c r="K103"/>
  <c r="K132"/>
  <c r="K137" s="1"/>
  <c r="K316"/>
  <c r="I90"/>
  <c r="I114"/>
  <c r="I248"/>
  <c r="I253"/>
  <c r="I279"/>
  <c r="J279" s="1"/>
  <c r="I291"/>
  <c r="I296"/>
  <c r="H94"/>
  <c r="H135"/>
  <c r="H136" s="1"/>
  <c r="H154"/>
  <c r="H155" s="1"/>
  <c r="H312"/>
  <c r="G128"/>
  <c r="G133"/>
  <c r="G134" s="1"/>
  <c r="G149"/>
  <c r="G154"/>
  <c r="G155" s="1"/>
  <c r="G279"/>
  <c r="G291"/>
  <c r="G296"/>
  <c r="G297" s="1"/>
  <c r="G312"/>
  <c r="AE158"/>
  <c r="G101" i="78"/>
  <c r="M101" s="1"/>
  <c r="D60" i="77"/>
  <c r="D78" s="1"/>
  <c r="D123" s="1"/>
  <c r="U13" i="85" s="1"/>
  <c r="E60" i="77"/>
  <c r="E78" s="1"/>
  <c r="F58" i="76"/>
  <c r="F194"/>
  <c r="F193" s="1"/>
  <c r="F192" s="1"/>
  <c r="F146"/>
  <c r="F234"/>
  <c r="F232" s="1"/>
  <c r="G45" i="73"/>
  <c r="H42" s="1"/>
  <c r="D10" i="109"/>
  <c r="F10" s="1"/>
  <c r="D149"/>
  <c r="F149" s="1"/>
  <c r="D207"/>
  <c r="D109"/>
  <c r="D149" i="97"/>
  <c r="D50"/>
  <c r="D10"/>
  <c r="F10" s="1"/>
  <c r="D109"/>
  <c r="F109" s="1"/>
  <c r="D194"/>
  <c r="D193" s="1"/>
  <c r="D192" s="1"/>
  <c r="D207" s="1"/>
  <c r="D70" i="67"/>
  <c r="F70" s="1"/>
  <c r="D207"/>
  <c r="D232"/>
  <c r="D232" i="66"/>
  <c r="D207" i="65"/>
  <c r="E149" i="64"/>
  <c r="E109"/>
  <c r="E229"/>
  <c r="E50"/>
  <c r="F242" i="61" l="1"/>
  <c r="L87" i="70"/>
  <c r="U25" i="75"/>
  <c r="F25"/>
  <c r="G230" i="76"/>
  <c r="H230" s="1"/>
  <c r="H91"/>
  <c r="G64"/>
  <c r="H67"/>
  <c r="N28" i="68"/>
  <c r="N24"/>
  <c r="F28"/>
  <c r="F28" i="69"/>
  <c r="F223" i="76"/>
  <c r="H16"/>
  <c r="H22"/>
  <c r="H172"/>
  <c r="H145"/>
  <c r="H121"/>
  <c r="H52"/>
  <c r="H43"/>
  <c r="H38"/>
  <c r="H40"/>
  <c r="H158"/>
  <c r="H26"/>
  <c r="H155"/>
  <c r="H45"/>
  <c r="N31" i="69"/>
  <c r="H174" i="76"/>
  <c r="H134"/>
  <c r="F23" i="68"/>
  <c r="H47" i="76"/>
  <c r="H74"/>
  <c r="H169"/>
  <c r="H100"/>
  <c r="F22" i="69"/>
  <c r="G226" i="76"/>
  <c r="H226" s="1"/>
  <c r="H185"/>
  <c r="G146"/>
  <c r="H146" s="1"/>
  <c r="H148"/>
  <c r="N29" i="68"/>
  <c r="F25" i="69"/>
  <c r="F31" i="68"/>
  <c r="F25"/>
  <c r="H20" i="76"/>
  <c r="H14"/>
  <c r="H13"/>
  <c r="H138"/>
  <c r="H112"/>
  <c r="H54"/>
  <c r="H48"/>
  <c r="H42"/>
  <c r="H37"/>
  <c r="H113"/>
  <c r="N23" i="69"/>
  <c r="H171" i="76"/>
  <c r="H162"/>
  <c r="H143"/>
  <c r="H130"/>
  <c r="H98"/>
  <c r="H69"/>
  <c r="H30"/>
  <c r="N31" i="68"/>
  <c r="H168" i="76"/>
  <c r="H131"/>
  <c r="H161"/>
  <c r="H142"/>
  <c r="H92"/>
  <c r="H63"/>
  <c r="H118"/>
  <c r="F30" i="68"/>
  <c r="H173" i="76"/>
  <c r="H137"/>
  <c r="H128"/>
  <c r="H33"/>
  <c r="H163"/>
  <c r="H49"/>
  <c r="G233"/>
  <c r="H233" s="1"/>
  <c r="H200"/>
  <c r="N22" i="68"/>
  <c r="H15" i="76"/>
  <c r="H18"/>
  <c r="H17"/>
  <c r="H153"/>
  <c r="H141"/>
  <c r="H122"/>
  <c r="H56"/>
  <c r="H55"/>
  <c r="H35"/>
  <c r="H41"/>
  <c r="H36"/>
  <c r="H135"/>
  <c r="H89"/>
  <c r="H60"/>
  <c r="H136"/>
  <c r="H61"/>
  <c r="H27"/>
  <c r="H240"/>
  <c r="N27" i="69"/>
  <c r="H125" i="76"/>
  <c r="H57"/>
  <c r="H127"/>
  <c r="H119"/>
  <c r="H96"/>
  <c r="H75"/>
  <c r="H46"/>
  <c r="H241"/>
  <c r="H140"/>
  <c r="H66"/>
  <c r="U24" i="75"/>
  <c r="F30" i="69"/>
  <c r="F27" i="68"/>
  <c r="H90" i="76"/>
  <c r="F22" i="68"/>
  <c r="F227" i="76"/>
  <c r="F225" s="1"/>
  <c r="F242"/>
  <c r="H19"/>
  <c r="H21"/>
  <c r="H156"/>
  <c r="H120"/>
  <c r="H62"/>
  <c r="H53"/>
  <c r="H39"/>
  <c r="H34"/>
  <c r="H190"/>
  <c r="H175"/>
  <c r="H167"/>
  <c r="H154"/>
  <c r="H126"/>
  <c r="H93"/>
  <c r="H65"/>
  <c r="N27" i="68"/>
  <c r="H99" i="76"/>
  <c r="H157"/>
  <c r="H129"/>
  <c r="H97"/>
  <c r="H68"/>
  <c r="H59"/>
  <c r="H29"/>
  <c r="H144"/>
  <c r="F27" i="69"/>
  <c r="H31" i="76"/>
  <c r="N23" i="68"/>
  <c r="H152" i="76"/>
  <c r="H133"/>
  <c r="H124"/>
  <c r="H28"/>
  <c r="J102" i="84"/>
  <c r="J72"/>
  <c r="J10"/>
  <c r="J107"/>
  <c r="J21"/>
  <c r="J131"/>
  <c r="J17"/>
  <c r="J127"/>
  <c r="Z255"/>
  <c r="K288"/>
  <c r="J65"/>
  <c r="J46"/>
  <c r="J26"/>
  <c r="J269"/>
  <c r="J175"/>
  <c r="J51"/>
  <c r="J32"/>
  <c r="J249"/>
  <c r="J228"/>
  <c r="J209"/>
  <c r="J189"/>
  <c r="L125"/>
  <c r="J116"/>
  <c r="J199"/>
  <c r="J119"/>
  <c r="J86"/>
  <c r="J70"/>
  <c r="J152"/>
  <c r="J110"/>
  <c r="J294"/>
  <c r="J248"/>
  <c r="R137"/>
  <c r="J280"/>
  <c r="J220"/>
  <c r="J77"/>
  <c r="J57"/>
  <c r="AT255"/>
  <c r="AG112"/>
  <c r="AQ160"/>
  <c r="AQ326" s="1"/>
  <c r="L146"/>
  <c r="J180"/>
  <c r="J55"/>
  <c r="J39"/>
  <c r="J45"/>
  <c r="J232"/>
  <c r="J213"/>
  <c r="J193"/>
  <c r="J176"/>
  <c r="J315"/>
  <c r="J278"/>
  <c r="AG146"/>
  <c r="J291"/>
  <c r="J69"/>
  <c r="J50"/>
  <c r="J30"/>
  <c r="J13"/>
  <c r="J204"/>
  <c r="AJ255"/>
  <c r="J142"/>
  <c r="J98"/>
  <c r="J75"/>
  <c r="J117"/>
  <c r="J96"/>
  <c r="J268"/>
  <c r="N143"/>
  <c r="AK275"/>
  <c r="J225"/>
  <c r="J183"/>
  <c r="AD92"/>
  <c r="J114"/>
  <c r="H103"/>
  <c r="J240"/>
  <c r="J25"/>
  <c r="AH143"/>
  <c r="H143"/>
  <c r="H146" s="1"/>
  <c r="H266"/>
  <c r="J8"/>
  <c r="AH89"/>
  <c r="H306"/>
  <c r="J54"/>
  <c r="J38"/>
  <c r="J18"/>
  <c r="J188"/>
  <c r="J53"/>
  <c r="J212"/>
  <c r="J41"/>
  <c r="J311"/>
  <c r="AH146"/>
  <c r="N103"/>
  <c r="AA160"/>
  <c r="K158"/>
  <c r="L321"/>
  <c r="AJ275"/>
  <c r="AL275" s="1"/>
  <c r="H153"/>
  <c r="H158" s="1"/>
  <c r="AF112"/>
  <c r="AH112" s="1"/>
  <c r="L112"/>
  <c r="J58"/>
  <c r="J42"/>
  <c r="J22"/>
  <c r="J173"/>
  <c r="AT125"/>
  <c r="G111"/>
  <c r="J43"/>
  <c r="J313"/>
  <c r="J217"/>
  <c r="J181"/>
  <c r="G283"/>
  <c r="J149"/>
  <c r="J245"/>
  <c r="J223"/>
  <c r="J206"/>
  <c r="J186"/>
  <c r="AM160"/>
  <c r="AU323"/>
  <c r="AU329" s="1"/>
  <c r="N262"/>
  <c r="K146"/>
  <c r="G103"/>
  <c r="H283"/>
  <c r="H288" s="1"/>
  <c r="AM323"/>
  <c r="J49"/>
  <c r="J85"/>
  <c r="J62"/>
  <c r="J150"/>
  <c r="J108"/>
  <c r="J73"/>
  <c r="J87"/>
  <c r="J60"/>
  <c r="J130"/>
  <c r="J101"/>
  <c r="AD146"/>
  <c r="AT309"/>
  <c r="AX288"/>
  <c r="H316"/>
  <c r="H321" s="1"/>
  <c r="G306"/>
  <c r="G309" s="1"/>
  <c r="J304"/>
  <c r="J270"/>
  <c r="J23"/>
  <c r="J237"/>
  <c r="J201"/>
  <c r="J282"/>
  <c r="H120"/>
  <c r="H125" s="1"/>
  <c r="AC323"/>
  <c r="L300"/>
  <c r="O160"/>
  <c r="O326" s="1"/>
  <c r="R125"/>
  <c r="H132"/>
  <c r="H137" s="1"/>
  <c r="J314"/>
  <c r="J250"/>
  <c r="J229"/>
  <c r="J210"/>
  <c r="J190"/>
  <c r="J258"/>
  <c r="J97"/>
  <c r="J68"/>
  <c r="Z309"/>
  <c r="G143"/>
  <c r="G146" s="1"/>
  <c r="H295"/>
  <c r="AQ323"/>
  <c r="AQ329" s="1"/>
  <c r="J151"/>
  <c r="G316"/>
  <c r="G321" s="1"/>
  <c r="AE92"/>
  <c r="H111"/>
  <c r="G288"/>
  <c r="G132"/>
  <c r="G137" s="1"/>
  <c r="H99"/>
  <c r="K321"/>
  <c r="S160"/>
  <c r="S326" s="1"/>
  <c r="AF92"/>
  <c r="AF160" s="1"/>
  <c r="S323"/>
  <c r="S329" s="1"/>
  <c r="W160"/>
  <c r="W326" s="1"/>
  <c r="AA323"/>
  <c r="AA329" s="1"/>
  <c r="R158"/>
  <c r="G262"/>
  <c r="J290"/>
  <c r="J263"/>
  <c r="J231"/>
  <c r="J27"/>
  <c r="J118"/>
  <c r="J243"/>
  <c r="J221"/>
  <c r="J205"/>
  <c r="J185"/>
  <c r="AP288"/>
  <c r="AK309"/>
  <c r="AL309" s="1"/>
  <c r="L92"/>
  <c r="AL306"/>
  <c r="H89"/>
  <c r="G252"/>
  <c r="J233"/>
  <c r="J214"/>
  <c r="J195"/>
  <c r="J177"/>
  <c r="G120"/>
  <c r="G125" s="1"/>
  <c r="J109"/>
  <c r="AI255"/>
  <c r="J47"/>
  <c r="AH103"/>
  <c r="J115"/>
  <c r="J80"/>
  <c r="J66"/>
  <c r="J106"/>
  <c r="J172"/>
  <c r="R309"/>
  <c r="V92"/>
  <c r="V146"/>
  <c r="W323"/>
  <c r="W329" s="1"/>
  <c r="AE323"/>
  <c r="AE329" s="1"/>
  <c r="O323"/>
  <c r="O329" s="1"/>
  <c r="AV329"/>
  <c r="AS323"/>
  <c r="AT323" s="1"/>
  <c r="J90"/>
  <c r="I91"/>
  <c r="J91" s="1"/>
  <c r="I155"/>
  <c r="J155" s="1"/>
  <c r="J154"/>
  <c r="I136"/>
  <c r="J136" s="1"/>
  <c r="J135"/>
  <c r="AW323"/>
  <c r="AX323" s="1"/>
  <c r="AX255"/>
  <c r="N252"/>
  <c r="AH111"/>
  <c r="AI160"/>
  <c r="AI326" s="1"/>
  <c r="H309"/>
  <c r="G266"/>
  <c r="N299"/>
  <c r="N111"/>
  <c r="J273"/>
  <c r="J95"/>
  <c r="N287"/>
  <c r="J277"/>
  <c r="R146"/>
  <c r="J76"/>
  <c r="J305"/>
  <c r="J257"/>
  <c r="R321"/>
  <c r="AH321"/>
  <c r="AD158"/>
  <c r="Z300"/>
  <c r="Z137"/>
  <c r="R275"/>
  <c r="AD321"/>
  <c r="AP309"/>
  <c r="AT288"/>
  <c r="AP146"/>
  <c r="G89"/>
  <c r="AD255"/>
  <c r="AT300"/>
  <c r="AX275"/>
  <c r="AP112"/>
  <c r="AD112"/>
  <c r="V112"/>
  <c r="J251"/>
  <c r="J239"/>
  <c r="J230"/>
  <c r="J219"/>
  <c r="J211"/>
  <c r="J203"/>
  <c r="J191"/>
  <c r="J174"/>
  <c r="AG125"/>
  <c r="AH125" s="1"/>
  <c r="AH120"/>
  <c r="I157"/>
  <c r="J157" s="1"/>
  <c r="J156"/>
  <c r="I308"/>
  <c r="J308" s="1"/>
  <c r="J307"/>
  <c r="G99"/>
  <c r="G112" s="1"/>
  <c r="I299"/>
  <c r="J299" s="1"/>
  <c r="J298"/>
  <c r="I122"/>
  <c r="J122" s="1"/>
  <c r="J121"/>
  <c r="AK255"/>
  <c r="AL255" s="1"/>
  <c r="AL244"/>
  <c r="I287"/>
  <c r="J287" s="1"/>
  <c r="J286"/>
  <c r="I140"/>
  <c r="J140" s="1"/>
  <c r="J139"/>
  <c r="I124"/>
  <c r="J124" s="1"/>
  <c r="J123"/>
  <c r="I320"/>
  <c r="J320" s="1"/>
  <c r="J319"/>
  <c r="J104"/>
  <c r="H300"/>
  <c r="G81"/>
  <c r="G92" s="1"/>
  <c r="J281"/>
  <c r="J171"/>
  <c r="J20"/>
  <c r="J261"/>
  <c r="AH309"/>
  <c r="V300"/>
  <c r="Z275"/>
  <c r="AL262"/>
  <c r="J9"/>
  <c r="V255"/>
  <c r="AT321"/>
  <c r="AX300"/>
  <c r="AT112"/>
  <c r="AL112"/>
  <c r="N318"/>
  <c r="J88"/>
  <c r="J61"/>
  <c r="J44"/>
  <c r="J24"/>
  <c r="J11"/>
  <c r="AH255"/>
  <c r="AT146"/>
  <c r="AL146"/>
  <c r="Z146"/>
  <c r="N124"/>
  <c r="J71"/>
  <c r="I254"/>
  <c r="J254" s="1"/>
  <c r="J253"/>
  <c r="I297"/>
  <c r="J297" s="1"/>
  <c r="J296"/>
  <c r="I134"/>
  <c r="J134" s="1"/>
  <c r="J133"/>
  <c r="I145"/>
  <c r="J145" s="1"/>
  <c r="J144"/>
  <c r="M146"/>
  <c r="N140"/>
  <c r="I318"/>
  <c r="J318" s="1"/>
  <c r="J317"/>
  <c r="R112"/>
  <c r="AL266"/>
  <c r="N244"/>
  <c r="N99"/>
  <c r="J293"/>
  <c r="J105"/>
  <c r="J40"/>
  <c r="J312"/>
  <c r="J267"/>
  <c r="N306"/>
  <c r="AM329"/>
  <c r="V321"/>
  <c r="Z321"/>
  <c r="AP321"/>
  <c r="AP158"/>
  <c r="AH300"/>
  <c r="AP137"/>
  <c r="AH275"/>
  <c r="AD275"/>
  <c r="AP255"/>
  <c r="AX309"/>
  <c r="AL125"/>
  <c r="R255"/>
  <c r="AD288"/>
  <c r="AX321"/>
  <c r="AT137"/>
  <c r="AL137"/>
  <c r="V158"/>
  <c r="J247"/>
  <c r="J234"/>
  <c r="J224"/>
  <c r="J215"/>
  <c r="J207"/>
  <c r="J198"/>
  <c r="J187"/>
  <c r="I143"/>
  <c r="J141"/>
  <c r="I285"/>
  <c r="J285" s="1"/>
  <c r="J284"/>
  <c r="I303"/>
  <c r="J303" s="1"/>
  <c r="J302"/>
  <c r="I274"/>
  <c r="J274" s="1"/>
  <c r="N274"/>
  <c r="AH99"/>
  <c r="N266"/>
  <c r="J82"/>
  <c r="J129"/>
  <c r="J148"/>
  <c r="J56"/>
  <c r="J271"/>
  <c r="V309"/>
  <c r="R300"/>
  <c r="AP300"/>
  <c r="AD137"/>
  <c r="R288"/>
  <c r="Z288"/>
  <c r="Z112"/>
  <c r="V275"/>
  <c r="AP275"/>
  <c r="J52"/>
  <c r="J35"/>
  <c r="Z158"/>
  <c r="AD309"/>
  <c r="AT275"/>
  <c r="AT158"/>
  <c r="AL158"/>
  <c r="V137"/>
  <c r="J67"/>
  <c r="J48"/>
  <c r="J28"/>
  <c r="J15"/>
  <c r="AD300"/>
  <c r="AP125"/>
  <c r="AD125"/>
  <c r="V125"/>
  <c r="AL252"/>
  <c r="J84"/>
  <c r="I89"/>
  <c r="U160"/>
  <c r="N89"/>
  <c r="AT92"/>
  <c r="AA326"/>
  <c r="R92"/>
  <c r="AG92"/>
  <c r="AH81"/>
  <c r="AS160"/>
  <c r="AS326" s="1"/>
  <c r="AK160"/>
  <c r="AL92"/>
  <c r="AM326"/>
  <c r="Z92"/>
  <c r="M92"/>
  <c r="N81"/>
  <c r="O60" i="116"/>
  <c r="O66" s="1"/>
  <c r="X291" s="1"/>
  <c r="X302"/>
  <c r="H123" i="78"/>
  <c r="H139" i="76"/>
  <c r="N17" i="68"/>
  <c r="N10"/>
  <c r="H111" i="76"/>
  <c r="H151"/>
  <c r="H117"/>
  <c r="H115"/>
  <c r="F70" i="78"/>
  <c r="H70" s="1"/>
  <c r="F35" i="116"/>
  <c r="F10" i="68"/>
  <c r="H24" i="76"/>
  <c r="D10" i="116"/>
  <c r="D16" s="1"/>
  <c r="Q85"/>
  <c r="Q102"/>
  <c r="F60"/>
  <c r="I25" i="74"/>
  <c r="M25"/>
  <c r="H101" i="78"/>
  <c r="J100" i="84"/>
  <c r="I103"/>
  <c r="J94"/>
  <c r="I99"/>
  <c r="Q160"/>
  <c r="AK288"/>
  <c r="AL288" s="1"/>
  <c r="AL283"/>
  <c r="M288"/>
  <c r="N283"/>
  <c r="M125"/>
  <c r="N125" s="1"/>
  <c r="N120"/>
  <c r="AG137"/>
  <c r="AH137" s="1"/>
  <c r="AH132"/>
  <c r="I132"/>
  <c r="J128"/>
  <c r="M137"/>
  <c r="N137" s="1"/>
  <c r="N132"/>
  <c r="Y160"/>
  <c r="Z160" s="1"/>
  <c r="AK300"/>
  <c r="AL300" s="1"/>
  <c r="AL295"/>
  <c r="M300"/>
  <c r="N300" s="1"/>
  <c r="N295"/>
  <c r="AO160"/>
  <c r="AG158"/>
  <c r="AH158" s="1"/>
  <c r="AH153"/>
  <c r="J233" i="85"/>
  <c r="J260"/>
  <c r="M158" i="84"/>
  <c r="N158" s="1"/>
  <c r="N153"/>
  <c r="AC160"/>
  <c r="J258" i="85"/>
  <c r="AK321" i="84"/>
  <c r="AL321" s="1"/>
  <c r="AL316"/>
  <c r="AO323"/>
  <c r="AG323"/>
  <c r="Y323"/>
  <c r="U323"/>
  <c r="Q323"/>
  <c r="M321"/>
  <c r="N316"/>
  <c r="G30" i="77"/>
  <c r="G76"/>
  <c r="J76"/>
  <c r="F60"/>
  <c r="U246" i="85"/>
  <c r="U244"/>
  <c r="J226"/>
  <c r="J217"/>
  <c r="J246"/>
  <c r="J216"/>
  <c r="J218"/>
  <c r="J240"/>
  <c r="J222"/>
  <c r="J244"/>
  <c r="J264"/>
  <c r="J248"/>
  <c r="J221"/>
  <c r="J272"/>
  <c r="J274"/>
  <c r="J232"/>
  <c r="J237"/>
  <c r="J266"/>
  <c r="J255"/>
  <c r="J238"/>
  <c r="J245"/>
  <c r="J219"/>
  <c r="J268"/>
  <c r="J220"/>
  <c r="J250"/>
  <c r="J223"/>
  <c r="J256"/>
  <c r="J276"/>
  <c r="J254"/>
  <c r="J225"/>
  <c r="J228"/>
  <c r="S216"/>
  <c r="F121" i="77"/>
  <c r="G121" s="1"/>
  <c r="F36" i="72"/>
  <c r="D37"/>
  <c r="F37" s="1"/>
  <c r="E66" i="116"/>
  <c r="F66" s="1"/>
  <c r="E41"/>
  <c r="F41" s="1"/>
  <c r="Q41"/>
  <c r="Q116"/>
  <c r="Q35"/>
  <c r="Q110"/>
  <c r="F135"/>
  <c r="F152"/>
  <c r="P141"/>
  <c r="Q141" s="1"/>
  <c r="F116"/>
  <c r="Q16"/>
  <c r="F110"/>
  <c r="F91"/>
  <c r="E16"/>
  <c r="F85"/>
  <c r="E141"/>
  <c r="F141" s="1"/>
  <c r="F102"/>
  <c r="Q127"/>
  <c r="Q77"/>
  <c r="F27"/>
  <c r="Q10"/>
  <c r="Q27"/>
  <c r="F77"/>
  <c r="Q52"/>
  <c r="F127"/>
  <c r="D94" i="109"/>
  <c r="D176"/>
  <c r="F109"/>
  <c r="D70" i="97"/>
  <c r="F70" s="1"/>
  <c r="D94" i="67"/>
  <c r="D79" s="1"/>
  <c r="D176"/>
  <c r="F109"/>
  <c r="G58" i="76"/>
  <c r="D94" i="66"/>
  <c r="F116" i="76"/>
  <c r="D176" i="66"/>
  <c r="F109"/>
  <c r="D70"/>
  <c r="F70" s="1"/>
  <c r="D70" i="65"/>
  <c r="F70" s="1"/>
  <c r="D94"/>
  <c r="G116" i="76"/>
  <c r="H116" s="1"/>
  <c r="D176" i="65"/>
  <c r="F176" s="1"/>
  <c r="F109"/>
  <c r="F73" i="76"/>
  <c r="F72" s="1"/>
  <c r="F71" s="1"/>
  <c r="F222"/>
  <c r="F221" s="1"/>
  <c r="F222" i="64"/>
  <c r="E71"/>
  <c r="F72"/>
  <c r="E86"/>
  <c r="F87"/>
  <c r="F229"/>
  <c r="G44" i="76"/>
  <c r="G32"/>
  <c r="G25"/>
  <c r="H25" s="1"/>
  <c r="F25"/>
  <c r="F51"/>
  <c r="H51" s="1"/>
  <c r="F50" i="64"/>
  <c r="F11"/>
  <c r="G12" i="76"/>
  <c r="E10" i="64"/>
  <c r="E70" s="1"/>
  <c r="F165" i="76"/>
  <c r="F159" i="61"/>
  <c r="F159" i="76"/>
  <c r="G150"/>
  <c r="F149" i="64"/>
  <c r="E21" i="75"/>
  <c r="F21" s="1"/>
  <c r="AC328" i="84"/>
  <c r="AC329" s="1"/>
  <c r="G123" i="76"/>
  <c r="H123" s="1"/>
  <c r="F123"/>
  <c r="G110"/>
  <c r="F109" i="64"/>
  <c r="G165" i="76"/>
  <c r="H165" s="1"/>
  <c r="G231"/>
  <c r="G159"/>
  <c r="H159" s="1"/>
  <c r="G242"/>
  <c r="H242" s="1"/>
  <c r="D215" i="109"/>
  <c r="F215" s="1"/>
  <c r="M15" i="68"/>
  <c r="G88" i="76"/>
  <c r="F64" i="61"/>
  <c r="G234" i="76"/>
  <c r="G223"/>
  <c r="H223" s="1"/>
  <c r="AK325" i="84"/>
  <c r="G229" i="76"/>
  <c r="E20" i="68"/>
  <c r="E11" i="75"/>
  <c r="F51" i="61"/>
  <c r="G224" i="76"/>
  <c r="H224" s="1"/>
  <c r="E9" i="69"/>
  <c r="E72" i="61"/>
  <c r="AS328" i="84"/>
  <c r="E178" i="61"/>
  <c r="E27" i="75"/>
  <c r="K193" i="61"/>
  <c r="AT325" i="84"/>
  <c r="E87" i="61"/>
  <c r="E86" s="1"/>
  <c r="E13" i="69"/>
  <c r="E8" i="75"/>
  <c r="F58" i="61"/>
  <c r="R211" i="85"/>
  <c r="R281" s="1"/>
  <c r="K192" i="61"/>
  <c r="F25"/>
  <c r="F110" i="76"/>
  <c r="F150"/>
  <c r="F12"/>
  <c r="F11" s="1"/>
  <c r="F44"/>
  <c r="AO325" i="84"/>
  <c r="F116" i="61"/>
  <c r="G132" i="76"/>
  <c r="H132" s="1"/>
  <c r="E132" i="61"/>
  <c r="F150"/>
  <c r="AW328" i="84"/>
  <c r="F32" i="76"/>
  <c r="E11" i="61"/>
  <c r="E9" i="68" s="1"/>
  <c r="F179" i="76"/>
  <c r="F178" s="1"/>
  <c r="F177" s="1"/>
  <c r="F207" s="1"/>
  <c r="F231"/>
  <c r="F229" s="1"/>
  <c r="F228" s="1"/>
  <c r="F64"/>
  <c r="D193" i="61"/>
  <c r="F193" s="1"/>
  <c r="F194"/>
  <c r="D178"/>
  <c r="F179"/>
  <c r="D72"/>
  <c r="D14" i="75" s="1"/>
  <c r="F73" i="61"/>
  <c r="AB328" i="84"/>
  <c r="AB329" s="1"/>
  <c r="F123" i="61"/>
  <c r="F132" i="76"/>
  <c r="D87" i="61"/>
  <c r="F88"/>
  <c r="D132"/>
  <c r="D22" i="75" s="1"/>
  <c r="F146" i="61"/>
  <c r="D11"/>
  <c r="D7" i="75" s="1"/>
  <c r="F12" i="61"/>
  <c r="L9" i="68"/>
  <c r="F110" i="61"/>
  <c r="AB325" i="84"/>
  <c r="F44" i="61"/>
  <c r="D13" i="68"/>
  <c r="F32" i="61"/>
  <c r="L13" i="69"/>
  <c r="N13" s="1"/>
  <c r="F165" i="61"/>
  <c r="G227" i="76"/>
  <c r="G194"/>
  <c r="K35" i="68"/>
  <c r="E12" i="75"/>
  <c r="E11" i="69"/>
  <c r="F11" s="1"/>
  <c r="E50" i="61"/>
  <c r="H81" i="84"/>
  <c r="G179" i="76"/>
  <c r="X325" i="84"/>
  <c r="X326" s="1"/>
  <c r="D15" i="68"/>
  <c r="C149" i="61"/>
  <c r="K8" i="69"/>
  <c r="K33" s="1"/>
  <c r="D9" i="75"/>
  <c r="K11" i="69"/>
  <c r="L20"/>
  <c r="L19" s="1"/>
  <c r="L18" s="1"/>
  <c r="F88" i="76"/>
  <c r="F87" s="1"/>
  <c r="F86" s="1"/>
  <c r="E20" i="69"/>
  <c r="L15" i="68"/>
  <c r="C35"/>
  <c r="G11" i="76"/>
  <c r="H11" s="1"/>
  <c r="H262" i="84"/>
  <c r="H275" s="1"/>
  <c r="T329"/>
  <c r="M11" i="69"/>
  <c r="D208" i="65"/>
  <c r="F208" s="1"/>
  <c r="D20" i="68"/>
  <c r="D19" s="1"/>
  <c r="D18" s="1"/>
  <c r="P328" i="84"/>
  <c r="D18" i="75"/>
  <c r="AN325" i="84"/>
  <c r="D12" i="75"/>
  <c r="D11" i="69"/>
  <c r="Y325" i="84"/>
  <c r="E13" i="68"/>
  <c r="F13" s="1"/>
  <c r="E9" i="75"/>
  <c r="AJ325" i="84"/>
  <c r="D50" i="61"/>
  <c r="D11" i="75"/>
  <c r="D9" i="69"/>
  <c r="M20" i="68"/>
  <c r="M20" i="69"/>
  <c r="C176" i="61"/>
  <c r="C208" s="1"/>
  <c r="C70"/>
  <c r="C102" s="1"/>
  <c r="C101"/>
  <c r="F71" i="85"/>
  <c r="J71" s="1"/>
  <c r="AR325" i="84"/>
  <c r="D13" i="75"/>
  <c r="F13" s="1"/>
  <c r="D13" i="69"/>
  <c r="AN328" i="84"/>
  <c r="L9" i="69"/>
  <c r="D23" i="75"/>
  <c r="D149" i="61"/>
  <c r="C8" i="68"/>
  <c r="D26" i="75"/>
  <c r="D177" i="61"/>
  <c r="AR328" i="84"/>
  <c r="AR329" s="1"/>
  <c r="D24" i="75"/>
  <c r="F24" s="1"/>
  <c r="L11" i="69"/>
  <c r="T325" i="84"/>
  <c r="D8" i="75"/>
  <c r="D11" i="68"/>
  <c r="AC325" i="84"/>
  <c r="AC326" s="1"/>
  <c r="E15" i="68"/>
  <c r="F15" s="1"/>
  <c r="E10" i="75"/>
  <c r="F10" s="1"/>
  <c r="L20" i="68"/>
  <c r="L19" s="1"/>
  <c r="L18" s="1"/>
  <c r="K8"/>
  <c r="C35" i="69"/>
  <c r="X328" i="84"/>
  <c r="D20" i="75"/>
  <c r="L13" i="68"/>
  <c r="U325" i="84"/>
  <c r="E11" i="68"/>
  <c r="D20" i="69"/>
  <c r="D19" s="1"/>
  <c r="D18" s="1"/>
  <c r="C8"/>
  <c r="M85" i="70"/>
  <c r="Q328" i="84"/>
  <c r="M9" i="68"/>
  <c r="N9" s="1"/>
  <c r="E18" i="75"/>
  <c r="F18" s="1"/>
  <c r="Y328" i="84"/>
  <c r="M13" i="68"/>
  <c r="E20" i="75"/>
  <c r="AO328" i="84"/>
  <c r="E23" i="75"/>
  <c r="F23" s="1"/>
  <c r="M9" i="69"/>
  <c r="N9" s="1"/>
  <c r="E149" i="61"/>
  <c r="E215" i="64"/>
  <c r="G73" i="76"/>
  <c r="E123" i="77"/>
  <c r="S147" i="85"/>
  <c r="T71"/>
  <c r="V71" s="1"/>
  <c r="S78"/>
  <c r="S7"/>
  <c r="T76"/>
  <c r="S148"/>
  <c r="S77"/>
  <c r="A9"/>
  <c r="T6"/>
  <c r="A80"/>
  <c r="A150"/>
  <c r="M309" i="84"/>
  <c r="N309" s="1"/>
  <c r="I262"/>
  <c r="I306"/>
  <c r="I316"/>
  <c r="I266"/>
  <c r="I283"/>
  <c r="I120"/>
  <c r="I153"/>
  <c r="I111"/>
  <c r="I81"/>
  <c r="K125"/>
  <c r="AE112"/>
  <c r="K275"/>
  <c r="M255"/>
  <c r="M112"/>
  <c r="G295"/>
  <c r="G300" s="1"/>
  <c r="H244"/>
  <c r="I295"/>
  <c r="I244"/>
  <c r="G153"/>
  <c r="G158" s="1"/>
  <c r="L275"/>
  <c r="G244"/>
  <c r="AI275"/>
  <c r="AI323" s="1"/>
  <c r="K92"/>
  <c r="I252"/>
  <c r="K255"/>
  <c r="K112"/>
  <c r="M275"/>
  <c r="L255"/>
  <c r="L288"/>
  <c r="H252"/>
  <c r="M83" i="70"/>
  <c r="M70"/>
  <c r="M61"/>
  <c r="D70" i="109"/>
  <c r="F70" s="1"/>
  <c r="D214"/>
  <c r="D214" i="97"/>
  <c r="D94"/>
  <c r="D215"/>
  <c r="D176"/>
  <c r="F79"/>
  <c r="D215" i="67"/>
  <c r="F215" s="1"/>
  <c r="D231"/>
  <c r="D214"/>
  <c r="F214" s="1"/>
  <c r="D214" i="66"/>
  <c r="F214" s="1"/>
  <c r="D215"/>
  <c r="F215" s="1"/>
  <c r="E176" i="64"/>
  <c r="G72" i="76" l="1"/>
  <c r="H73"/>
  <c r="M19" i="68"/>
  <c r="N20"/>
  <c r="G193" i="76"/>
  <c r="H194"/>
  <c r="U11" i="75"/>
  <c r="F11"/>
  <c r="G50" i="76"/>
  <c r="H58"/>
  <c r="N13" i="68"/>
  <c r="F11"/>
  <c r="F8" i="75"/>
  <c r="N15" i="68"/>
  <c r="H231" i="76"/>
  <c r="H32"/>
  <c r="H64"/>
  <c r="U20" i="75"/>
  <c r="F20"/>
  <c r="M19" i="69"/>
  <c r="N20"/>
  <c r="G87" i="76"/>
  <c r="H88"/>
  <c r="N11" i="69"/>
  <c r="H110" i="76"/>
  <c r="G178"/>
  <c r="H179"/>
  <c r="H229"/>
  <c r="F12" i="75"/>
  <c r="H12" i="76"/>
  <c r="U9" i="75"/>
  <c r="F9"/>
  <c r="E19" i="69"/>
  <c r="F20"/>
  <c r="G225" i="76"/>
  <c r="H225" s="1"/>
  <c r="H227"/>
  <c r="U27" i="75"/>
  <c r="F27"/>
  <c r="E19" i="68"/>
  <c r="F20"/>
  <c r="G232" i="76"/>
  <c r="H232" s="1"/>
  <c r="H234"/>
  <c r="F13" i="69"/>
  <c r="F9"/>
  <c r="H150" i="76"/>
  <c r="H44"/>
  <c r="J266" i="84"/>
  <c r="J262"/>
  <c r="J89"/>
  <c r="J103"/>
  <c r="AH92"/>
  <c r="J143"/>
  <c r="H92"/>
  <c r="N146"/>
  <c r="J132"/>
  <c r="T326"/>
  <c r="N321"/>
  <c r="X329"/>
  <c r="Z323"/>
  <c r="V160"/>
  <c r="G255"/>
  <c r="N112"/>
  <c r="L160"/>
  <c r="AJ326"/>
  <c r="J99"/>
  <c r="AJ323"/>
  <c r="AE160"/>
  <c r="R160"/>
  <c r="AL160"/>
  <c r="AD323"/>
  <c r="AN326"/>
  <c r="AD160"/>
  <c r="I146"/>
  <c r="J146" s="1"/>
  <c r="AG160"/>
  <c r="AH160" s="1"/>
  <c r="AB326"/>
  <c r="AP160"/>
  <c r="G160"/>
  <c r="G275"/>
  <c r="H112"/>
  <c r="N92"/>
  <c r="AT160"/>
  <c r="K323"/>
  <c r="AR326"/>
  <c r="N275"/>
  <c r="AS329"/>
  <c r="J244"/>
  <c r="AW329"/>
  <c r="AH323"/>
  <c r="N255"/>
  <c r="N288"/>
  <c r="V323"/>
  <c r="J252"/>
  <c r="R323"/>
  <c r="AP323"/>
  <c r="U326"/>
  <c r="AK326"/>
  <c r="I92"/>
  <c r="J92" s="1"/>
  <c r="J81"/>
  <c r="Q60" i="116"/>
  <c r="Q66"/>
  <c r="F16"/>
  <c r="F10"/>
  <c r="I112" i="84"/>
  <c r="J111"/>
  <c r="I288"/>
  <c r="J288" s="1"/>
  <c r="J283"/>
  <c r="I125"/>
  <c r="J125" s="1"/>
  <c r="J120"/>
  <c r="M160"/>
  <c r="I137"/>
  <c r="J137" s="1"/>
  <c r="Y326"/>
  <c r="AK323"/>
  <c r="I300"/>
  <c r="J300" s="1"/>
  <c r="J295"/>
  <c r="I309"/>
  <c r="J309" s="1"/>
  <c r="J306"/>
  <c r="AO326"/>
  <c r="I158"/>
  <c r="J158" s="1"/>
  <c r="J153"/>
  <c r="AO329"/>
  <c r="Y329"/>
  <c r="U329"/>
  <c r="Q329"/>
  <c r="I321"/>
  <c r="J321" s="1"/>
  <c r="J316"/>
  <c r="G60" i="77"/>
  <c r="J60"/>
  <c r="J25"/>
  <c r="G25"/>
  <c r="F78"/>
  <c r="G78" s="1"/>
  <c r="AN329" i="84"/>
  <c r="T216" i="85"/>
  <c r="S218"/>
  <c r="S217"/>
  <c r="D27" i="75"/>
  <c r="D28" s="1"/>
  <c r="D192" i="61"/>
  <c r="F192" s="1"/>
  <c r="D73" i="109"/>
  <c r="F94"/>
  <c r="D231"/>
  <c r="D88"/>
  <c r="D208"/>
  <c r="F208" s="1"/>
  <c r="F176"/>
  <c r="D213"/>
  <c r="F213" s="1"/>
  <c r="F214"/>
  <c r="D208" i="97"/>
  <c r="F208" s="1"/>
  <c r="F176"/>
  <c r="D213"/>
  <c r="F213" s="1"/>
  <c r="F214"/>
  <c r="D88" i="67"/>
  <c r="F88" s="1"/>
  <c r="F94"/>
  <c r="F176"/>
  <c r="D208"/>
  <c r="F208" s="1"/>
  <c r="D87"/>
  <c r="D229"/>
  <c r="F231"/>
  <c r="D73"/>
  <c r="F79"/>
  <c r="D88" i="66"/>
  <c r="D79"/>
  <c r="F79" s="1"/>
  <c r="F94"/>
  <c r="F176"/>
  <c r="D208"/>
  <c r="F208" s="1"/>
  <c r="D73"/>
  <c r="D88" i="65"/>
  <c r="D199" i="64"/>
  <c r="F94" i="65"/>
  <c r="M16" i="68"/>
  <c r="F79" i="65"/>
  <c r="F101" i="76"/>
  <c r="F71" i="64"/>
  <c r="F86"/>
  <c r="E101"/>
  <c r="F220" i="76"/>
  <c r="F50"/>
  <c r="E214" i="64"/>
  <c r="F214" s="1"/>
  <c r="G10" i="76"/>
  <c r="F70" i="64"/>
  <c r="F10"/>
  <c r="P325" i="84"/>
  <c r="P326" s="1"/>
  <c r="G149" i="76"/>
  <c r="F149"/>
  <c r="F215" i="64"/>
  <c r="AF328" i="84"/>
  <c r="AF329" s="1"/>
  <c r="D109" i="61"/>
  <c r="D176" s="1"/>
  <c r="L16" i="68"/>
  <c r="L8" s="1"/>
  <c r="G109" i="76"/>
  <c r="F109"/>
  <c r="F176" i="64"/>
  <c r="Z328" i="84"/>
  <c r="E199" i="64"/>
  <c r="E194" s="1"/>
  <c r="E14" i="75"/>
  <c r="G222" i="76"/>
  <c r="E8" i="69"/>
  <c r="I211" i="85"/>
  <c r="E177" i="61"/>
  <c r="E26" i="75"/>
  <c r="E15"/>
  <c r="E71" i="61"/>
  <c r="E22" i="75"/>
  <c r="F177" i="61"/>
  <c r="F178"/>
  <c r="AG328" i="84"/>
  <c r="AG329" s="1"/>
  <c r="E109" i="61"/>
  <c r="F132"/>
  <c r="E7" i="75"/>
  <c r="F7" s="1"/>
  <c r="E10" i="61"/>
  <c r="D10"/>
  <c r="F50"/>
  <c r="F149"/>
  <c r="F10" i="76"/>
  <c r="Q325" i="84"/>
  <c r="Q326" s="1"/>
  <c r="AX328"/>
  <c r="L35" i="68"/>
  <c r="D71" i="61"/>
  <c r="F72"/>
  <c r="Z325" i="84"/>
  <c r="AD328"/>
  <c r="D9" i="68"/>
  <c r="D8" s="1"/>
  <c r="D33" s="1"/>
  <c r="F11" i="61"/>
  <c r="R325" i="84" s="1"/>
  <c r="D86" i="61"/>
  <c r="F87"/>
  <c r="D15" i="75"/>
  <c r="D16" s="1"/>
  <c r="K34" i="69"/>
  <c r="AP325" i="84"/>
  <c r="AD325"/>
  <c r="AP328"/>
  <c r="E8" i="68"/>
  <c r="P329" i="84"/>
  <c r="M8" i="69"/>
  <c r="D73" i="65"/>
  <c r="D8" i="69"/>
  <c r="D35"/>
  <c r="L35"/>
  <c r="D207" i="61"/>
  <c r="O141" i="85"/>
  <c r="S141" s="1"/>
  <c r="D35" i="68"/>
  <c r="C34" i="69"/>
  <c r="C33"/>
  <c r="K34" i="68"/>
  <c r="K33"/>
  <c r="C34"/>
  <c r="C33"/>
  <c r="L8" i="69"/>
  <c r="M8" i="68"/>
  <c r="R328" i="84"/>
  <c r="AT328"/>
  <c r="AL325"/>
  <c r="V325"/>
  <c r="T77" i="85"/>
  <c r="T147"/>
  <c r="V147" s="1"/>
  <c r="A151"/>
  <c r="T7"/>
  <c r="V7" s="1"/>
  <c r="S79"/>
  <c r="S8"/>
  <c r="T78"/>
  <c r="V6"/>
  <c r="V146"/>
  <c r="S149"/>
  <c r="T148"/>
  <c r="V148" s="1"/>
  <c r="A81"/>
  <c r="A10"/>
  <c r="V76"/>
  <c r="I275" i="84"/>
  <c r="J275" s="1"/>
  <c r="M323"/>
  <c r="L323"/>
  <c r="H255"/>
  <c r="H323" s="1"/>
  <c r="I255"/>
  <c r="K160"/>
  <c r="M53" i="70"/>
  <c r="M43"/>
  <c r="M22"/>
  <c r="D231" i="97"/>
  <c r="D229" s="1"/>
  <c r="D228" s="1"/>
  <c r="D88"/>
  <c r="D87" s="1"/>
  <c r="D86" s="1"/>
  <c r="D73"/>
  <c r="D224"/>
  <c r="D213" i="67"/>
  <c r="F213" s="1"/>
  <c r="D224"/>
  <c r="D224" i="66"/>
  <c r="D231"/>
  <c r="D213"/>
  <c r="F213" s="1"/>
  <c r="N8" i="68" l="1"/>
  <c r="M34" i="69"/>
  <c r="N8"/>
  <c r="U26" i="75"/>
  <c r="F26"/>
  <c r="U15"/>
  <c r="F15"/>
  <c r="F8" i="69"/>
  <c r="E18" i="68"/>
  <c r="F19"/>
  <c r="M18" i="69"/>
  <c r="N19"/>
  <c r="G192" i="76"/>
  <c r="H192" s="1"/>
  <c r="H193"/>
  <c r="G71"/>
  <c r="H72"/>
  <c r="E28" i="75"/>
  <c r="F28" s="1"/>
  <c r="H109" i="76"/>
  <c r="G228"/>
  <c r="H228" s="1"/>
  <c r="F9" i="68"/>
  <c r="H50" i="76"/>
  <c r="U14" i="75"/>
  <c r="F14"/>
  <c r="N16" i="68"/>
  <c r="E33"/>
  <c r="F33" s="1"/>
  <c r="F8"/>
  <c r="U22" i="75"/>
  <c r="F22"/>
  <c r="G221" i="76"/>
  <c r="H222"/>
  <c r="G70"/>
  <c r="H10"/>
  <c r="E18" i="69"/>
  <c r="E33" s="1"/>
  <c r="F33" s="1"/>
  <c r="F37" s="1"/>
  <c r="F39" s="1"/>
  <c r="F19"/>
  <c r="G177" i="76"/>
  <c r="H178"/>
  <c r="G86"/>
  <c r="H86" s="1"/>
  <c r="H87"/>
  <c r="M18" i="68"/>
  <c r="N19"/>
  <c r="H149" i="76"/>
  <c r="AL323" i="84"/>
  <c r="H160"/>
  <c r="N160"/>
  <c r="G323"/>
  <c r="J112"/>
  <c r="J255"/>
  <c r="N323"/>
  <c r="I160"/>
  <c r="F123" i="77"/>
  <c r="V216" i="85"/>
  <c r="S219"/>
  <c r="V77"/>
  <c r="V217" s="1"/>
  <c r="T217"/>
  <c r="V78"/>
  <c r="V218" s="1"/>
  <c r="T218"/>
  <c r="D229" i="109"/>
  <c r="F231"/>
  <c r="F79"/>
  <c r="D87"/>
  <c r="F88"/>
  <c r="D224"/>
  <c r="F224" s="1"/>
  <c r="D72"/>
  <c r="F73"/>
  <c r="D222"/>
  <c r="D72" i="97"/>
  <c r="F73"/>
  <c r="D222"/>
  <c r="F224"/>
  <c r="F215" i="76"/>
  <c r="D86" i="67"/>
  <c r="F86" s="1"/>
  <c r="F87"/>
  <c r="D228"/>
  <c r="F228" s="1"/>
  <c r="F229"/>
  <c r="D72"/>
  <c r="F73"/>
  <c r="D222"/>
  <c r="F224"/>
  <c r="D229" i="66"/>
  <c r="F231"/>
  <c r="D87"/>
  <c r="F88"/>
  <c r="D227" i="64"/>
  <c r="D225" s="1"/>
  <c r="D72" i="66"/>
  <c r="F73"/>
  <c r="D222"/>
  <c r="F224"/>
  <c r="D234" i="64"/>
  <c r="D232" s="1"/>
  <c r="D228" s="1"/>
  <c r="D194"/>
  <c r="D193" s="1"/>
  <c r="D192" s="1"/>
  <c r="D87" i="65"/>
  <c r="F88"/>
  <c r="G176" i="76"/>
  <c r="D72" i="65"/>
  <c r="F73"/>
  <c r="E101" i="61"/>
  <c r="F211" i="85"/>
  <c r="E16" i="75"/>
  <c r="F101" i="64"/>
  <c r="E102"/>
  <c r="F102" s="1"/>
  <c r="F70" i="76"/>
  <c r="F102" s="1"/>
  <c r="E213" i="64"/>
  <c r="F213" s="1"/>
  <c r="G214" i="76"/>
  <c r="G215"/>
  <c r="H215" s="1"/>
  <c r="F176"/>
  <c r="F208" s="1"/>
  <c r="AH328" i="84"/>
  <c r="E176" i="61"/>
  <c r="F176" s="1"/>
  <c r="E234" i="64"/>
  <c r="E232" s="1"/>
  <c r="E193"/>
  <c r="F199"/>
  <c r="E207" i="61"/>
  <c r="O211" i="85"/>
  <c r="F109" i="61"/>
  <c r="E70"/>
  <c r="F10"/>
  <c r="D70"/>
  <c r="F214" i="76"/>
  <c r="F71" i="61"/>
  <c r="F141" i="85"/>
  <c r="D101" i="61"/>
  <c r="D34" i="68"/>
  <c r="I141" i="85"/>
  <c r="I281" s="1"/>
  <c r="F86" i="61"/>
  <c r="M33" i="69"/>
  <c r="N33" s="1"/>
  <c r="D208" i="61"/>
  <c r="E34" i="69"/>
  <c r="L33" i="68"/>
  <c r="L34"/>
  <c r="D29" i="75"/>
  <c r="D30" s="1"/>
  <c r="D34" i="69"/>
  <c r="D33"/>
  <c r="L34"/>
  <c r="L33"/>
  <c r="E34" i="68"/>
  <c r="F34" s="1"/>
  <c r="M34"/>
  <c r="S9" i="85"/>
  <c r="A82"/>
  <c r="A152"/>
  <c r="A11"/>
  <c r="T79"/>
  <c r="T149"/>
  <c r="V149" s="1"/>
  <c r="T8"/>
  <c r="V8" s="1"/>
  <c r="S80"/>
  <c r="S150"/>
  <c r="I323" i="84"/>
  <c r="J323" s="1"/>
  <c r="M72" i="70"/>
  <c r="E29" i="75" l="1"/>
  <c r="F16"/>
  <c r="N18" i="68"/>
  <c r="E35"/>
  <c r="F35" s="1"/>
  <c r="H177" i="76"/>
  <c r="G207"/>
  <c r="H207" s="1"/>
  <c r="H70"/>
  <c r="G101"/>
  <c r="H101" s="1"/>
  <c r="H71"/>
  <c r="N18" i="69"/>
  <c r="E35"/>
  <c r="F35" s="1"/>
  <c r="F34"/>
  <c r="N34" i="68"/>
  <c r="H214" i="76"/>
  <c r="M33" i="68"/>
  <c r="N33" s="1"/>
  <c r="N37" i="69" s="1"/>
  <c r="N39" s="1"/>
  <c r="S211" i="85"/>
  <c r="S281" s="1"/>
  <c r="O281"/>
  <c r="J211"/>
  <c r="F281"/>
  <c r="H176" i="76"/>
  <c r="F18" i="69"/>
  <c r="M35"/>
  <c r="N35" s="1"/>
  <c r="G220" i="76"/>
  <c r="H220" s="1"/>
  <c r="H221"/>
  <c r="F18" i="68"/>
  <c r="M35"/>
  <c r="N35" s="1"/>
  <c r="M103" i="76"/>
  <c r="N34" i="69"/>
  <c r="J160" i="84"/>
  <c r="J123" i="77"/>
  <c r="G123"/>
  <c r="U223" i="85"/>
  <c r="T219"/>
  <c r="S220"/>
  <c r="D228" i="109"/>
  <c r="F228" s="1"/>
  <c r="F229"/>
  <c r="D86"/>
  <c r="F86" s="1"/>
  <c r="F87"/>
  <c r="D71"/>
  <c r="F72"/>
  <c r="D221"/>
  <c r="F222"/>
  <c r="D71" i="97"/>
  <c r="F72"/>
  <c r="D221"/>
  <c r="F222"/>
  <c r="F213" i="76"/>
  <c r="D71" i="67"/>
  <c r="F72"/>
  <c r="D221"/>
  <c r="F222"/>
  <c r="D179" i="64"/>
  <c r="D178" s="1"/>
  <c r="D177" s="1"/>
  <c r="D228" i="66"/>
  <c r="F228" s="1"/>
  <c r="F229"/>
  <c r="D86"/>
  <c r="F86" s="1"/>
  <c r="F87"/>
  <c r="D71"/>
  <c r="F72"/>
  <c r="D221"/>
  <c r="F222"/>
  <c r="D86" i="65"/>
  <c r="F86" s="1"/>
  <c r="F87"/>
  <c r="F194" i="64"/>
  <c r="G213" i="76"/>
  <c r="D71" i="65"/>
  <c r="F72"/>
  <c r="F101" i="61"/>
  <c r="D102"/>
  <c r="D38" i="69" s="1"/>
  <c r="F70" i="61"/>
  <c r="T211" i="85"/>
  <c r="F234" i="64"/>
  <c r="E192"/>
  <c r="F192" s="1"/>
  <c r="F193"/>
  <c r="E208" i="61"/>
  <c r="M38" i="69" s="1"/>
  <c r="F207" i="61"/>
  <c r="E228" i="64"/>
  <c r="F232"/>
  <c r="D221"/>
  <c r="E102" i="61"/>
  <c r="J72" s="1"/>
  <c r="J141" i="85"/>
  <c r="T141" s="1"/>
  <c r="V141" s="1"/>
  <c r="L38" i="69"/>
  <c r="T80" i="85"/>
  <c r="T9"/>
  <c r="V9" s="1"/>
  <c r="T150"/>
  <c r="V150" s="1"/>
  <c r="S10"/>
  <c r="S151"/>
  <c r="A12"/>
  <c r="A83"/>
  <c r="V79"/>
  <c r="V219" s="1"/>
  <c r="A153"/>
  <c r="S81"/>
  <c r="M87" i="70"/>
  <c r="V211" i="85" l="1"/>
  <c r="V281" s="1"/>
  <c r="T281"/>
  <c r="E30" i="75"/>
  <c r="F30" s="1"/>
  <c r="F29"/>
  <c r="G208" i="76"/>
  <c r="H208" s="1"/>
  <c r="H213"/>
  <c r="J281" i="85"/>
  <c r="G102" i="76"/>
  <c r="S221" i="85"/>
  <c r="V80"/>
  <c r="V220" s="1"/>
  <c r="T220"/>
  <c r="D101" i="109"/>
  <c r="F71"/>
  <c r="D220"/>
  <c r="F220" s="1"/>
  <c r="F221"/>
  <c r="D101" i="97"/>
  <c r="F71"/>
  <c r="F221"/>
  <c r="D220"/>
  <c r="F220" s="1"/>
  <c r="D101" i="67"/>
  <c r="F71"/>
  <c r="D220"/>
  <c r="F220" s="1"/>
  <c r="F221"/>
  <c r="F221" i="66"/>
  <c r="D220"/>
  <c r="F220" s="1"/>
  <c r="D101"/>
  <c r="F71"/>
  <c r="D101" i="65"/>
  <c r="F71"/>
  <c r="J114" i="61"/>
  <c r="J192"/>
  <c r="J149"/>
  <c r="J116"/>
  <c r="J25"/>
  <c r="J51"/>
  <c r="J70"/>
  <c r="F102"/>
  <c r="J284" i="85" s="1"/>
  <c r="J159" i="61"/>
  <c r="J176"/>
  <c r="J123"/>
  <c r="J207"/>
  <c r="J132"/>
  <c r="F208"/>
  <c r="J109"/>
  <c r="J208"/>
  <c r="J177"/>
  <c r="J110"/>
  <c r="J165"/>
  <c r="J178"/>
  <c r="J150"/>
  <c r="J193"/>
  <c r="L103"/>
  <c r="J102"/>
  <c r="F228" i="64"/>
  <c r="J64" i="61"/>
  <c r="D207" i="64"/>
  <c r="D220"/>
  <c r="J11" i="61"/>
  <c r="E38" i="69"/>
  <c r="J86" i="61"/>
  <c r="J50"/>
  <c r="J10"/>
  <c r="J87"/>
  <c r="J32"/>
  <c r="J71"/>
  <c r="J17"/>
  <c r="J58"/>
  <c r="J44"/>
  <c r="J101"/>
  <c r="T81" i="85"/>
  <c r="S11"/>
  <c r="O84"/>
  <c r="G84"/>
  <c r="P84"/>
  <c r="L84"/>
  <c r="H84"/>
  <c r="D84"/>
  <c r="U84"/>
  <c r="Q84"/>
  <c r="M84"/>
  <c r="I84"/>
  <c r="E84"/>
  <c r="A85"/>
  <c r="R84"/>
  <c r="N84"/>
  <c r="F84"/>
  <c r="T10"/>
  <c r="S152"/>
  <c r="T151"/>
  <c r="O154"/>
  <c r="G154"/>
  <c r="P154"/>
  <c r="L154"/>
  <c r="H154"/>
  <c r="D154"/>
  <c r="U154"/>
  <c r="Q154"/>
  <c r="M154"/>
  <c r="I154"/>
  <c r="E154"/>
  <c r="A155"/>
  <c r="R154"/>
  <c r="N154"/>
  <c r="F154"/>
  <c r="A13"/>
  <c r="S82"/>
  <c r="N103" i="76" l="1"/>
  <c r="H102"/>
  <c r="Q224" i="85"/>
  <c r="N224"/>
  <c r="I224"/>
  <c r="D224"/>
  <c r="R224"/>
  <c r="U224"/>
  <c r="H224"/>
  <c r="G224"/>
  <c r="F224"/>
  <c r="E224"/>
  <c r="O224"/>
  <c r="L224"/>
  <c r="P224"/>
  <c r="M224"/>
  <c r="S222"/>
  <c r="V81"/>
  <c r="T221"/>
  <c r="F101" i="109"/>
  <c r="D102"/>
  <c r="F102" s="1"/>
  <c r="D102" i="97"/>
  <c r="F102" s="1"/>
  <c r="F101"/>
  <c r="D102" i="67"/>
  <c r="F102" s="1"/>
  <c r="F101"/>
  <c r="F101" i="66"/>
  <c r="D102"/>
  <c r="F102" s="1"/>
  <c r="D102" i="65"/>
  <c r="F102" s="1"/>
  <c r="F101"/>
  <c r="D208" i="64"/>
  <c r="T82" i="85"/>
  <c r="A15"/>
  <c r="R14"/>
  <c r="N14"/>
  <c r="F14"/>
  <c r="O14"/>
  <c r="G14"/>
  <c r="P14"/>
  <c r="L14"/>
  <c r="H14"/>
  <c r="D14"/>
  <c r="U14"/>
  <c r="Q14"/>
  <c r="M14"/>
  <c r="I14"/>
  <c r="E14"/>
  <c r="A156"/>
  <c r="S153"/>
  <c r="S154" s="1"/>
  <c r="K154"/>
  <c r="T11"/>
  <c r="V11" s="1"/>
  <c r="T152"/>
  <c r="V152" s="1"/>
  <c r="J84"/>
  <c r="C84"/>
  <c r="J154"/>
  <c r="C154"/>
  <c r="V151"/>
  <c r="S12"/>
  <c r="V10"/>
  <c r="A86"/>
  <c r="S83"/>
  <c r="K84"/>
  <c r="C224" l="1"/>
  <c r="J224"/>
  <c r="S223"/>
  <c r="K224"/>
  <c r="V221"/>
  <c r="V82"/>
  <c r="V222" s="1"/>
  <c r="T222"/>
  <c r="T83"/>
  <c r="S155"/>
  <c r="J14"/>
  <c r="C14"/>
  <c r="N87"/>
  <c r="A88"/>
  <c r="G87"/>
  <c r="C87"/>
  <c r="H87"/>
  <c r="D87"/>
  <c r="M87"/>
  <c r="A16"/>
  <c r="F87"/>
  <c r="I87"/>
  <c r="S84"/>
  <c r="S224" s="1"/>
  <c r="T12"/>
  <c r="R157"/>
  <c r="N157"/>
  <c r="F157"/>
  <c r="A158"/>
  <c r="K157"/>
  <c r="G157"/>
  <c r="C157"/>
  <c r="L157"/>
  <c r="H157"/>
  <c r="D157"/>
  <c r="Q157"/>
  <c r="M157"/>
  <c r="I157"/>
  <c r="S13"/>
  <c r="K14"/>
  <c r="E87"/>
  <c r="U87"/>
  <c r="P87"/>
  <c r="O87"/>
  <c r="S85"/>
  <c r="K87"/>
  <c r="R87"/>
  <c r="Q87"/>
  <c r="L87"/>
  <c r="T153"/>
  <c r="E157"/>
  <c r="U157"/>
  <c r="P157"/>
  <c r="O157"/>
  <c r="D227" l="1"/>
  <c r="N227"/>
  <c r="Q227"/>
  <c r="G227"/>
  <c r="I227"/>
  <c r="E227"/>
  <c r="U227"/>
  <c r="H227"/>
  <c r="F227"/>
  <c r="C227"/>
  <c r="L227"/>
  <c r="P227"/>
  <c r="R227"/>
  <c r="O227"/>
  <c r="M227"/>
  <c r="K227"/>
  <c r="S225"/>
  <c r="V83"/>
  <c r="T223"/>
  <c r="T13"/>
  <c r="V13" s="1"/>
  <c r="T84"/>
  <c r="T85"/>
  <c r="S15"/>
  <c r="V153"/>
  <c r="V154" s="1"/>
  <c r="T154"/>
  <c r="A162"/>
  <c r="U159"/>
  <c r="Q159"/>
  <c r="M159"/>
  <c r="M160" s="1"/>
  <c r="I159"/>
  <c r="E159"/>
  <c r="E160" s="1"/>
  <c r="R159"/>
  <c r="R160" s="1"/>
  <c r="N159"/>
  <c r="F159"/>
  <c r="F160" s="1"/>
  <c r="O159"/>
  <c r="O160" s="1"/>
  <c r="G159"/>
  <c r="G160" s="1"/>
  <c r="P159"/>
  <c r="P160" s="1"/>
  <c r="L159"/>
  <c r="L160" s="1"/>
  <c r="H159"/>
  <c r="H160" s="1"/>
  <c r="D159"/>
  <c r="A92"/>
  <c r="U89"/>
  <c r="U90" s="1"/>
  <c r="Q89"/>
  <c r="Q90" s="1"/>
  <c r="M89"/>
  <c r="I89"/>
  <c r="I90" s="1"/>
  <c r="E89"/>
  <c r="R89"/>
  <c r="N89"/>
  <c r="N90" s="1"/>
  <c r="F89"/>
  <c r="O89"/>
  <c r="G89"/>
  <c r="P89"/>
  <c r="L89"/>
  <c r="H89"/>
  <c r="D89"/>
  <c r="D90" s="1"/>
  <c r="J157"/>
  <c r="J87"/>
  <c r="V12"/>
  <c r="Q17"/>
  <c r="M17"/>
  <c r="I17"/>
  <c r="N17"/>
  <c r="F17"/>
  <c r="A18"/>
  <c r="K17"/>
  <c r="G17"/>
  <c r="C17"/>
  <c r="U17"/>
  <c r="P17"/>
  <c r="L17"/>
  <c r="H17"/>
  <c r="D17"/>
  <c r="T155"/>
  <c r="S156"/>
  <c r="S14"/>
  <c r="E17"/>
  <c r="O17"/>
  <c r="R17"/>
  <c r="S86"/>
  <c r="U160" l="1"/>
  <c r="U230" s="1"/>
  <c r="U229"/>
  <c r="N160"/>
  <c r="N230" s="1"/>
  <c r="N229"/>
  <c r="Q160"/>
  <c r="Q230" s="1"/>
  <c r="Q229"/>
  <c r="I160"/>
  <c r="I230" s="1"/>
  <c r="I229"/>
  <c r="D160"/>
  <c r="D230" s="1"/>
  <c r="D229"/>
  <c r="H90"/>
  <c r="H230" s="1"/>
  <c r="H229"/>
  <c r="G90"/>
  <c r="G230" s="1"/>
  <c r="G229"/>
  <c r="F90"/>
  <c r="F230" s="1"/>
  <c r="F229"/>
  <c r="E90"/>
  <c r="E230" s="1"/>
  <c r="E229"/>
  <c r="J227"/>
  <c r="P90"/>
  <c r="P230" s="1"/>
  <c r="P229"/>
  <c r="R90"/>
  <c r="R230" s="1"/>
  <c r="R229"/>
  <c r="O90"/>
  <c r="O230" s="1"/>
  <c r="O229"/>
  <c r="M90"/>
  <c r="M230" s="1"/>
  <c r="M229"/>
  <c r="L90"/>
  <c r="L230" s="1"/>
  <c r="L229"/>
  <c r="T225"/>
  <c r="V223"/>
  <c r="T224"/>
  <c r="V84"/>
  <c r="V224" s="1"/>
  <c r="T86"/>
  <c r="T87" s="1"/>
  <c r="S226"/>
  <c r="V14"/>
  <c r="T14"/>
  <c r="T156"/>
  <c r="V156" s="1"/>
  <c r="S157"/>
  <c r="V155"/>
  <c r="K159"/>
  <c r="K160" s="1"/>
  <c r="S158"/>
  <c r="V85"/>
  <c r="P19"/>
  <c r="P20" s="1"/>
  <c r="A22"/>
  <c r="U19"/>
  <c r="U20" s="1"/>
  <c r="Q19"/>
  <c r="Q20" s="1"/>
  <c r="M19"/>
  <c r="M20" s="1"/>
  <c r="I19"/>
  <c r="I20" s="1"/>
  <c r="E19"/>
  <c r="E20" s="1"/>
  <c r="R19"/>
  <c r="R20" s="1"/>
  <c r="N19"/>
  <c r="N20" s="1"/>
  <c r="O19"/>
  <c r="O20" s="1"/>
  <c r="G19"/>
  <c r="G20" s="1"/>
  <c r="F19"/>
  <c r="F20" s="1"/>
  <c r="H19"/>
  <c r="H20" s="1"/>
  <c r="L19"/>
  <c r="L20" s="1"/>
  <c r="D19"/>
  <c r="D20" s="1"/>
  <c r="K89"/>
  <c r="S88"/>
  <c r="J17"/>
  <c r="J159"/>
  <c r="J160" s="1"/>
  <c r="C159"/>
  <c r="C160" s="1"/>
  <c r="A163"/>
  <c r="T15"/>
  <c r="J89"/>
  <c r="C89"/>
  <c r="A93"/>
  <c r="S16"/>
  <c r="S87"/>
  <c r="C90" l="1"/>
  <c r="C230" s="1"/>
  <c r="C229"/>
  <c r="J90"/>
  <c r="J230" s="1"/>
  <c r="J229"/>
  <c r="V225"/>
  <c r="S228"/>
  <c r="S227"/>
  <c r="V86"/>
  <c r="V226" s="1"/>
  <c r="T226"/>
  <c r="K90"/>
  <c r="K230" s="1"/>
  <c r="K229"/>
  <c r="T16"/>
  <c r="V16" s="1"/>
  <c r="T157"/>
  <c r="T227" s="1"/>
  <c r="S162"/>
  <c r="C19"/>
  <c r="C20" s="1"/>
  <c r="J19"/>
  <c r="J20" s="1"/>
  <c r="A94"/>
  <c r="A23"/>
  <c r="S159"/>
  <c r="S160" s="1"/>
  <c r="T158"/>
  <c r="S17"/>
  <c r="S92"/>
  <c r="V15"/>
  <c r="S89"/>
  <c r="T88"/>
  <c r="K19"/>
  <c r="K20" s="1"/>
  <c r="S18"/>
  <c r="A164"/>
  <c r="V157"/>
  <c r="T228" l="1"/>
  <c r="S232"/>
  <c r="V87"/>
  <c r="V227" s="1"/>
  <c r="S90"/>
  <c r="S230" s="1"/>
  <c r="S229"/>
  <c r="T17"/>
  <c r="D165"/>
  <c r="T18"/>
  <c r="S19"/>
  <c r="S20" s="1"/>
  <c r="T162"/>
  <c r="V158"/>
  <c r="V159" s="1"/>
  <c r="V160" s="1"/>
  <c r="T159"/>
  <c r="T160" s="1"/>
  <c r="S22"/>
  <c r="S163"/>
  <c r="V88"/>
  <c r="T89"/>
  <c r="V17"/>
  <c r="A96"/>
  <c r="R95"/>
  <c r="N95"/>
  <c r="F95"/>
  <c r="O95"/>
  <c r="G95"/>
  <c r="P95"/>
  <c r="L95"/>
  <c r="H95"/>
  <c r="D95"/>
  <c r="U95"/>
  <c r="Q95"/>
  <c r="M95"/>
  <c r="I95"/>
  <c r="E95"/>
  <c r="S93"/>
  <c r="R165"/>
  <c r="N165"/>
  <c r="F165"/>
  <c r="O165"/>
  <c r="K165"/>
  <c r="G165"/>
  <c r="A166"/>
  <c r="P165"/>
  <c r="L165"/>
  <c r="H165"/>
  <c r="U165"/>
  <c r="Q165"/>
  <c r="Q235" s="1"/>
  <c r="M165"/>
  <c r="I165"/>
  <c r="E165"/>
  <c r="T92"/>
  <c r="A24"/>
  <c r="C95"/>
  <c r="I235" l="1"/>
  <c r="F235"/>
  <c r="N235"/>
  <c r="D235"/>
  <c r="H235"/>
  <c r="U235"/>
  <c r="G235"/>
  <c r="E235"/>
  <c r="O235"/>
  <c r="L235"/>
  <c r="P235"/>
  <c r="R235"/>
  <c r="T232"/>
  <c r="M235"/>
  <c r="S233"/>
  <c r="V228"/>
  <c r="T90"/>
  <c r="T230" s="1"/>
  <c r="T229"/>
  <c r="V89"/>
  <c r="V229" s="1"/>
  <c r="T93"/>
  <c r="V92"/>
  <c r="J165"/>
  <c r="C165"/>
  <c r="C235" s="1"/>
  <c r="S94"/>
  <c r="K95"/>
  <c r="K235" s="1"/>
  <c r="V162"/>
  <c r="A167"/>
  <c r="T22"/>
  <c r="U25"/>
  <c r="Q25"/>
  <c r="M25"/>
  <c r="I25"/>
  <c r="E25"/>
  <c r="R25"/>
  <c r="N25"/>
  <c r="F25"/>
  <c r="O25"/>
  <c r="K25"/>
  <c r="G25"/>
  <c r="C25"/>
  <c r="A26"/>
  <c r="P25"/>
  <c r="L25"/>
  <c r="H25"/>
  <c r="D25"/>
  <c r="S23"/>
  <c r="S164"/>
  <c r="T164" s="1"/>
  <c r="V164" s="1"/>
  <c r="J95"/>
  <c r="A97"/>
  <c r="T19"/>
  <c r="T20" s="1"/>
  <c r="V18"/>
  <c r="V19" s="1"/>
  <c r="V20" s="1"/>
  <c r="T163"/>
  <c r="V163" s="1"/>
  <c r="J235" l="1"/>
  <c r="V232"/>
  <c r="S234"/>
  <c r="V93"/>
  <c r="V233" s="1"/>
  <c r="T233"/>
  <c r="V90"/>
  <c r="V230" s="1"/>
  <c r="T23"/>
  <c r="V23" s="1"/>
  <c r="S96"/>
  <c r="A98"/>
  <c r="A168"/>
  <c r="T94"/>
  <c r="T234" s="1"/>
  <c r="S95"/>
  <c r="S24"/>
  <c r="S25" s="1"/>
  <c r="J25"/>
  <c r="A27"/>
  <c r="V22"/>
  <c r="S166"/>
  <c r="T165"/>
  <c r="S165"/>
  <c r="V165"/>
  <c r="S236" l="1"/>
  <c r="S235"/>
  <c r="S97"/>
  <c r="S26"/>
  <c r="V94"/>
  <c r="V234" s="1"/>
  <c r="T95"/>
  <c r="T235" s="1"/>
  <c r="S167"/>
  <c r="T96"/>
  <c r="T166"/>
  <c r="A28"/>
  <c r="U169"/>
  <c r="Q169"/>
  <c r="M169"/>
  <c r="I169"/>
  <c r="E169"/>
  <c r="R169"/>
  <c r="N169"/>
  <c r="F169"/>
  <c r="A170"/>
  <c r="O169"/>
  <c r="G169"/>
  <c r="C169"/>
  <c r="P169"/>
  <c r="L169"/>
  <c r="H169"/>
  <c r="D169"/>
  <c r="U99"/>
  <c r="Q99"/>
  <c r="M99"/>
  <c r="I99"/>
  <c r="E99"/>
  <c r="R99"/>
  <c r="R239" s="1"/>
  <c r="A100"/>
  <c r="O99"/>
  <c r="G99"/>
  <c r="P99"/>
  <c r="H99"/>
  <c r="L99"/>
  <c r="D99"/>
  <c r="N99"/>
  <c r="F99"/>
  <c r="T24"/>
  <c r="F239" l="1"/>
  <c r="D239"/>
  <c r="O239"/>
  <c r="N239"/>
  <c r="I239"/>
  <c r="Q239"/>
  <c r="M239"/>
  <c r="U239"/>
  <c r="H239"/>
  <c r="G239"/>
  <c r="E239"/>
  <c r="L239"/>
  <c r="P239"/>
  <c r="T236"/>
  <c r="S237"/>
  <c r="V95"/>
  <c r="V235" s="1"/>
  <c r="T97"/>
  <c r="S98"/>
  <c r="S168"/>
  <c r="K169"/>
  <c r="V96"/>
  <c r="V24"/>
  <c r="V25" s="1"/>
  <c r="T25"/>
  <c r="J99"/>
  <c r="C99"/>
  <c r="C239" s="1"/>
  <c r="O101"/>
  <c r="G101"/>
  <c r="P101"/>
  <c r="L101"/>
  <c r="H101"/>
  <c r="H102" s="1"/>
  <c r="D101"/>
  <c r="D102" s="1"/>
  <c r="A104"/>
  <c r="U101"/>
  <c r="U102" s="1"/>
  <c r="Q101"/>
  <c r="Q102" s="1"/>
  <c r="M101"/>
  <c r="I101"/>
  <c r="I102" s="1"/>
  <c r="E101"/>
  <c r="R101"/>
  <c r="N101"/>
  <c r="N102" s="1"/>
  <c r="F101"/>
  <c r="V166"/>
  <c r="K99"/>
  <c r="S27"/>
  <c r="P171"/>
  <c r="P172" s="1"/>
  <c r="L171"/>
  <c r="L172" s="1"/>
  <c r="H171"/>
  <c r="H172" s="1"/>
  <c r="D171"/>
  <c r="A174"/>
  <c r="U171"/>
  <c r="Q171"/>
  <c r="M171"/>
  <c r="M172" s="1"/>
  <c r="I171"/>
  <c r="E171"/>
  <c r="E172" s="1"/>
  <c r="R171"/>
  <c r="R172" s="1"/>
  <c r="N171"/>
  <c r="F171"/>
  <c r="F172" s="1"/>
  <c r="O171"/>
  <c r="O172" s="1"/>
  <c r="G171"/>
  <c r="G172" s="1"/>
  <c r="T26"/>
  <c r="J169"/>
  <c r="P29"/>
  <c r="L29"/>
  <c r="H29"/>
  <c r="D29"/>
  <c r="U29"/>
  <c r="Q29"/>
  <c r="M29"/>
  <c r="I29"/>
  <c r="E29"/>
  <c r="R29"/>
  <c r="N29"/>
  <c r="F29"/>
  <c r="A30"/>
  <c r="O29"/>
  <c r="K29"/>
  <c r="G29"/>
  <c r="T167"/>
  <c r="V167" s="1"/>
  <c r="H242" l="1"/>
  <c r="H241"/>
  <c r="U172"/>
  <c r="U242" s="1"/>
  <c r="U241"/>
  <c r="N172"/>
  <c r="N242" s="1"/>
  <c r="N241"/>
  <c r="Q172"/>
  <c r="Q242" s="1"/>
  <c r="Q241"/>
  <c r="I172"/>
  <c r="I242" s="1"/>
  <c r="I241"/>
  <c r="D172"/>
  <c r="D242" s="1"/>
  <c r="D241"/>
  <c r="G102"/>
  <c r="G242" s="1"/>
  <c r="G241"/>
  <c r="F102"/>
  <c r="F242" s="1"/>
  <c r="F241"/>
  <c r="E102"/>
  <c r="E242" s="1"/>
  <c r="E241"/>
  <c r="J239"/>
  <c r="K239"/>
  <c r="P102"/>
  <c r="P242" s="1"/>
  <c r="P241"/>
  <c r="R102"/>
  <c r="R242" s="1"/>
  <c r="R241"/>
  <c r="O102"/>
  <c r="O242" s="1"/>
  <c r="O241"/>
  <c r="M102"/>
  <c r="M242" s="1"/>
  <c r="M241"/>
  <c r="L102"/>
  <c r="L242" s="1"/>
  <c r="L241"/>
  <c r="V236"/>
  <c r="V97"/>
  <c r="V237" s="1"/>
  <c r="T237"/>
  <c r="S99"/>
  <c r="S238"/>
  <c r="T98"/>
  <c r="J29"/>
  <c r="C29"/>
  <c r="O31"/>
  <c r="O32" s="1"/>
  <c r="G31"/>
  <c r="G32" s="1"/>
  <c r="P31"/>
  <c r="P32" s="1"/>
  <c r="L31"/>
  <c r="L32" s="1"/>
  <c r="H31"/>
  <c r="D31"/>
  <c r="D32" s="1"/>
  <c r="A34"/>
  <c r="U31"/>
  <c r="U32" s="1"/>
  <c r="Q31"/>
  <c r="M31"/>
  <c r="I31"/>
  <c r="I32" s="1"/>
  <c r="E31"/>
  <c r="E32" s="1"/>
  <c r="R31"/>
  <c r="R32" s="1"/>
  <c r="N31"/>
  <c r="N32" s="1"/>
  <c r="F31"/>
  <c r="F32" s="1"/>
  <c r="K101"/>
  <c r="S100"/>
  <c r="J171"/>
  <c r="J172" s="1"/>
  <c r="C171"/>
  <c r="C172" s="1"/>
  <c r="A175"/>
  <c r="Q32"/>
  <c r="V26"/>
  <c r="C101"/>
  <c r="J101"/>
  <c r="S28"/>
  <c r="M32"/>
  <c r="H32"/>
  <c r="K171"/>
  <c r="K172" s="1"/>
  <c r="S170"/>
  <c r="A105"/>
  <c r="T168"/>
  <c r="V168" s="1"/>
  <c r="V169" s="1"/>
  <c r="S169"/>
  <c r="T27"/>
  <c r="V27" s="1"/>
  <c r="C102" l="1"/>
  <c r="C242" s="1"/>
  <c r="C241"/>
  <c r="J102"/>
  <c r="J242" s="1"/>
  <c r="J241"/>
  <c r="S240"/>
  <c r="S239"/>
  <c r="K102"/>
  <c r="K242" s="1"/>
  <c r="K241"/>
  <c r="V98"/>
  <c r="V238" s="1"/>
  <c r="T238"/>
  <c r="T99"/>
  <c r="A106"/>
  <c r="S174"/>
  <c r="K31"/>
  <c r="K32" s="1"/>
  <c r="S30"/>
  <c r="S101"/>
  <c r="T100"/>
  <c r="S104"/>
  <c r="T28"/>
  <c r="V28" s="1"/>
  <c r="V29" s="1"/>
  <c r="S29"/>
  <c r="A176"/>
  <c r="C31"/>
  <c r="C32" s="1"/>
  <c r="J31"/>
  <c r="J32" s="1"/>
  <c r="T169"/>
  <c r="T170"/>
  <c r="S171"/>
  <c r="S172" s="1"/>
  <c r="A35"/>
  <c r="V99" l="1"/>
  <c r="V239" s="1"/>
  <c r="T240"/>
  <c r="S244"/>
  <c r="T239"/>
  <c r="S102"/>
  <c r="S242" s="1"/>
  <c r="S241"/>
  <c r="S34"/>
  <c r="A178"/>
  <c r="P177"/>
  <c r="L177"/>
  <c r="H177"/>
  <c r="D177"/>
  <c r="U177"/>
  <c r="Q177"/>
  <c r="M177"/>
  <c r="I177"/>
  <c r="E177"/>
  <c r="R177"/>
  <c r="N177"/>
  <c r="F177"/>
  <c r="O177"/>
  <c r="S176"/>
  <c r="G177"/>
  <c r="T104"/>
  <c r="T101"/>
  <c r="V100"/>
  <c r="T174"/>
  <c r="S175"/>
  <c r="T29"/>
  <c r="A36"/>
  <c r="T171"/>
  <c r="T172" s="1"/>
  <c r="V170"/>
  <c r="V171" s="1"/>
  <c r="V172" s="1"/>
  <c r="S31"/>
  <c r="S32" s="1"/>
  <c r="T30"/>
  <c r="O107"/>
  <c r="G107"/>
  <c r="C107"/>
  <c r="A108"/>
  <c r="P107"/>
  <c r="L107"/>
  <c r="H107"/>
  <c r="H247" s="1"/>
  <c r="D107"/>
  <c r="U107"/>
  <c r="Q107"/>
  <c r="M107"/>
  <c r="I107"/>
  <c r="E107"/>
  <c r="R107"/>
  <c r="N107"/>
  <c r="F107"/>
  <c r="F247" s="1"/>
  <c r="C177"/>
  <c r="S105"/>
  <c r="S245" s="1"/>
  <c r="M247" l="1"/>
  <c r="G247"/>
  <c r="Q247"/>
  <c r="N247"/>
  <c r="I247"/>
  <c r="D247"/>
  <c r="C247"/>
  <c r="U247"/>
  <c r="E247"/>
  <c r="V240"/>
  <c r="P247"/>
  <c r="R247"/>
  <c r="O247"/>
  <c r="L247"/>
  <c r="T244"/>
  <c r="T102"/>
  <c r="T242" s="1"/>
  <c r="T241"/>
  <c r="V101"/>
  <c r="V241" s="1"/>
  <c r="T105"/>
  <c r="V174"/>
  <c r="S106"/>
  <c r="S246" s="1"/>
  <c r="K107"/>
  <c r="T34"/>
  <c r="T175"/>
  <c r="V175" s="1"/>
  <c r="U109"/>
  <c r="Q109"/>
  <c r="M109"/>
  <c r="I109"/>
  <c r="E109"/>
  <c r="R109"/>
  <c r="N109"/>
  <c r="F109"/>
  <c r="A110"/>
  <c r="O109"/>
  <c r="G109"/>
  <c r="P109"/>
  <c r="L109"/>
  <c r="H109"/>
  <c r="D109"/>
  <c r="R179"/>
  <c r="N179"/>
  <c r="F179"/>
  <c r="A180"/>
  <c r="O179"/>
  <c r="G179"/>
  <c r="P179"/>
  <c r="L179"/>
  <c r="H179"/>
  <c r="D179"/>
  <c r="U179"/>
  <c r="Q179"/>
  <c r="M179"/>
  <c r="I179"/>
  <c r="E179"/>
  <c r="S35"/>
  <c r="K177"/>
  <c r="J177"/>
  <c r="T31"/>
  <c r="T32" s="1"/>
  <c r="V30"/>
  <c r="V31" s="1"/>
  <c r="V32" s="1"/>
  <c r="O37"/>
  <c r="G37"/>
  <c r="A38"/>
  <c r="P37"/>
  <c r="L37"/>
  <c r="H37"/>
  <c r="D37"/>
  <c r="U37"/>
  <c r="Q37"/>
  <c r="M37"/>
  <c r="I37"/>
  <c r="E37"/>
  <c r="R37"/>
  <c r="N37"/>
  <c r="F37"/>
  <c r="V104"/>
  <c r="J107"/>
  <c r="S177"/>
  <c r="Q249" l="1"/>
  <c r="I249"/>
  <c r="D249"/>
  <c r="N249"/>
  <c r="O249"/>
  <c r="M249"/>
  <c r="U249"/>
  <c r="P249"/>
  <c r="H249"/>
  <c r="G249"/>
  <c r="F249"/>
  <c r="J247"/>
  <c r="E249"/>
  <c r="K247"/>
  <c r="R249"/>
  <c r="V244"/>
  <c r="L249"/>
  <c r="V105"/>
  <c r="V245" s="1"/>
  <c r="T245"/>
  <c r="V102"/>
  <c r="V242" s="1"/>
  <c r="T176"/>
  <c r="V176" s="1"/>
  <c r="V177" s="1"/>
  <c r="S36"/>
  <c r="S37" s="1"/>
  <c r="J179"/>
  <c r="C179"/>
  <c r="A184"/>
  <c r="U181"/>
  <c r="Q181"/>
  <c r="M181"/>
  <c r="M182" s="1"/>
  <c r="I181"/>
  <c r="E181"/>
  <c r="E182" s="1"/>
  <c r="R181"/>
  <c r="R182" s="1"/>
  <c r="N181"/>
  <c r="F181"/>
  <c r="F182" s="1"/>
  <c r="O181"/>
  <c r="O182" s="1"/>
  <c r="G181"/>
  <c r="G182" s="1"/>
  <c r="P181"/>
  <c r="P182" s="1"/>
  <c r="L181"/>
  <c r="L182" s="1"/>
  <c r="H181"/>
  <c r="H182" s="1"/>
  <c r="D181"/>
  <c r="T106"/>
  <c r="S107"/>
  <c r="S247" s="1"/>
  <c r="K37"/>
  <c r="K179"/>
  <c r="S178"/>
  <c r="K109"/>
  <c r="S108"/>
  <c r="V34"/>
  <c r="J37"/>
  <c r="C37"/>
  <c r="J109"/>
  <c r="C109"/>
  <c r="P111"/>
  <c r="L111"/>
  <c r="H111"/>
  <c r="D111"/>
  <c r="D112" s="1"/>
  <c r="A114"/>
  <c r="U111"/>
  <c r="U112" s="1"/>
  <c r="Q111"/>
  <c r="Q112" s="1"/>
  <c r="M111"/>
  <c r="I111"/>
  <c r="I112" s="1"/>
  <c r="E111"/>
  <c r="R111"/>
  <c r="N111"/>
  <c r="N112" s="1"/>
  <c r="F111"/>
  <c r="O111"/>
  <c r="G111"/>
  <c r="U39"/>
  <c r="Q39"/>
  <c r="M39"/>
  <c r="I39"/>
  <c r="E39"/>
  <c r="R39"/>
  <c r="N39"/>
  <c r="F39"/>
  <c r="A40"/>
  <c r="O39"/>
  <c r="G39"/>
  <c r="P39"/>
  <c r="L39"/>
  <c r="H39"/>
  <c r="D39"/>
  <c r="T35"/>
  <c r="V35" s="1"/>
  <c r="C249" l="1"/>
  <c r="U182"/>
  <c r="U252" s="1"/>
  <c r="U251"/>
  <c r="N182"/>
  <c r="N252" s="1"/>
  <c r="N251"/>
  <c r="Q182"/>
  <c r="Q252" s="1"/>
  <c r="Q251"/>
  <c r="I182"/>
  <c r="I252" s="1"/>
  <c r="I251"/>
  <c r="D182"/>
  <c r="D252" s="1"/>
  <c r="D251"/>
  <c r="H112"/>
  <c r="H252" s="1"/>
  <c r="H251"/>
  <c r="G112"/>
  <c r="G252" s="1"/>
  <c r="G251"/>
  <c r="F112"/>
  <c r="F252" s="1"/>
  <c r="F251"/>
  <c r="E112"/>
  <c r="E252" s="1"/>
  <c r="E251"/>
  <c r="J249"/>
  <c r="P112"/>
  <c r="P252" s="1"/>
  <c r="P251"/>
  <c r="R112"/>
  <c r="R252" s="1"/>
  <c r="R251"/>
  <c r="O112"/>
  <c r="O252" s="1"/>
  <c r="O251"/>
  <c r="T246"/>
  <c r="M112"/>
  <c r="M252" s="1"/>
  <c r="M251"/>
  <c r="S248"/>
  <c r="L112"/>
  <c r="L252" s="1"/>
  <c r="L251"/>
  <c r="K249"/>
  <c r="T177"/>
  <c r="K39"/>
  <c r="S38"/>
  <c r="J111"/>
  <c r="C111"/>
  <c r="A115"/>
  <c r="K181"/>
  <c r="K182" s="1"/>
  <c r="S180"/>
  <c r="S109"/>
  <c r="T108"/>
  <c r="V106"/>
  <c r="V246" s="1"/>
  <c r="T107"/>
  <c r="J39"/>
  <c r="C39"/>
  <c r="P41"/>
  <c r="P42" s="1"/>
  <c r="L41"/>
  <c r="L42" s="1"/>
  <c r="H41"/>
  <c r="H42" s="1"/>
  <c r="D41"/>
  <c r="D42" s="1"/>
  <c r="A44"/>
  <c r="U41"/>
  <c r="U42" s="1"/>
  <c r="Q41"/>
  <c r="Q42" s="1"/>
  <c r="M41"/>
  <c r="M42" s="1"/>
  <c r="I41"/>
  <c r="I42" s="1"/>
  <c r="E41"/>
  <c r="E42" s="1"/>
  <c r="R41"/>
  <c r="R42" s="1"/>
  <c r="N41"/>
  <c r="N42" s="1"/>
  <c r="F41"/>
  <c r="F42" s="1"/>
  <c r="O41"/>
  <c r="O42" s="1"/>
  <c r="G41"/>
  <c r="G42" s="1"/>
  <c r="S179"/>
  <c r="T178"/>
  <c r="T36"/>
  <c r="V36" s="1"/>
  <c r="V37" s="1"/>
  <c r="K111"/>
  <c r="S110"/>
  <c r="J181"/>
  <c r="J182" s="1"/>
  <c r="C181"/>
  <c r="C182" s="1"/>
  <c r="A185"/>
  <c r="J112" l="1"/>
  <c r="J252" s="1"/>
  <c r="J251"/>
  <c r="C112"/>
  <c r="C252" s="1"/>
  <c r="C251"/>
  <c r="T248"/>
  <c r="S249"/>
  <c r="T247"/>
  <c r="S250"/>
  <c r="K112"/>
  <c r="K252" s="1"/>
  <c r="K251"/>
  <c r="J41"/>
  <c r="J42" s="1"/>
  <c r="C41"/>
  <c r="C42" s="1"/>
  <c r="A186"/>
  <c r="S184"/>
  <c r="T110"/>
  <c r="S111"/>
  <c r="V178"/>
  <c r="V179" s="1"/>
  <c r="T179"/>
  <c r="K41"/>
  <c r="K42" s="1"/>
  <c r="S40"/>
  <c r="A116"/>
  <c r="A45"/>
  <c r="V107"/>
  <c r="V247" s="1"/>
  <c r="S181"/>
  <c r="S182" s="1"/>
  <c r="T180"/>
  <c r="S114"/>
  <c r="V108"/>
  <c r="T109"/>
  <c r="S39"/>
  <c r="T38"/>
  <c r="T37"/>
  <c r="S254" l="1"/>
  <c r="T249"/>
  <c r="V248"/>
  <c r="T250"/>
  <c r="S112"/>
  <c r="S252" s="1"/>
  <c r="S251"/>
  <c r="V109"/>
  <c r="V249" s="1"/>
  <c r="O187"/>
  <c r="G187"/>
  <c r="A188"/>
  <c r="P187"/>
  <c r="L187"/>
  <c r="H187"/>
  <c r="D187"/>
  <c r="U187"/>
  <c r="Q187"/>
  <c r="M187"/>
  <c r="I187"/>
  <c r="E187"/>
  <c r="R187"/>
  <c r="N187"/>
  <c r="F187"/>
  <c r="V38"/>
  <c r="V39" s="1"/>
  <c r="T39"/>
  <c r="V180"/>
  <c r="V181" s="1"/>
  <c r="V182" s="1"/>
  <c r="T181"/>
  <c r="T182" s="1"/>
  <c r="A46"/>
  <c r="S45"/>
  <c r="S115"/>
  <c r="S185"/>
  <c r="T184"/>
  <c r="T40"/>
  <c r="S41"/>
  <c r="S42" s="1"/>
  <c r="T114"/>
  <c r="S44"/>
  <c r="R117"/>
  <c r="R257" s="1"/>
  <c r="N117"/>
  <c r="F117"/>
  <c r="F257" s="1"/>
  <c r="O117"/>
  <c r="O257" s="1"/>
  <c r="G117"/>
  <c r="C117"/>
  <c r="A118"/>
  <c r="P117"/>
  <c r="L117"/>
  <c r="H117"/>
  <c r="H257" s="1"/>
  <c r="D117"/>
  <c r="U117"/>
  <c r="Q117"/>
  <c r="M117"/>
  <c r="I117"/>
  <c r="E117"/>
  <c r="E257" s="1"/>
  <c r="T111"/>
  <c r="V110"/>
  <c r="V250" s="1"/>
  <c r="I257" l="1"/>
  <c r="D257"/>
  <c r="N257"/>
  <c r="G257"/>
  <c r="Q257"/>
  <c r="P257"/>
  <c r="M257"/>
  <c r="L257"/>
  <c r="U257"/>
  <c r="S255"/>
  <c r="T254"/>
  <c r="T112"/>
  <c r="T252" s="1"/>
  <c r="T251"/>
  <c r="V111"/>
  <c r="V251" s="1"/>
  <c r="S116"/>
  <c r="K117"/>
  <c r="S186"/>
  <c r="K187"/>
  <c r="V114"/>
  <c r="V184"/>
  <c r="T185"/>
  <c r="V185" s="1"/>
  <c r="T115"/>
  <c r="T41"/>
  <c r="T42" s="1"/>
  <c r="V40"/>
  <c r="V41" s="1"/>
  <c r="V42" s="1"/>
  <c r="R47"/>
  <c r="N47"/>
  <c r="F47"/>
  <c r="O47"/>
  <c r="G47"/>
  <c r="C47"/>
  <c r="A48"/>
  <c r="P47"/>
  <c r="L47"/>
  <c r="H47"/>
  <c r="D47"/>
  <c r="U47"/>
  <c r="Q47"/>
  <c r="M47"/>
  <c r="I47"/>
  <c r="E47"/>
  <c r="J187"/>
  <c r="C187"/>
  <c r="C257" s="1"/>
  <c r="J117"/>
  <c r="K47"/>
  <c r="P119"/>
  <c r="L119"/>
  <c r="H119"/>
  <c r="D119"/>
  <c r="U119"/>
  <c r="Q119"/>
  <c r="M119"/>
  <c r="I119"/>
  <c r="E119"/>
  <c r="R119"/>
  <c r="N119"/>
  <c r="F119"/>
  <c r="A120"/>
  <c r="O119"/>
  <c r="G119"/>
  <c r="T44"/>
  <c r="U189"/>
  <c r="Q189"/>
  <c r="M189"/>
  <c r="I189"/>
  <c r="I259" s="1"/>
  <c r="E189"/>
  <c r="R189"/>
  <c r="N189"/>
  <c r="N259" s="1"/>
  <c r="F189"/>
  <c r="A190"/>
  <c r="O189"/>
  <c r="G189"/>
  <c r="P189"/>
  <c r="L189"/>
  <c r="H189"/>
  <c r="D189"/>
  <c r="Q259" l="1"/>
  <c r="D259"/>
  <c r="U259"/>
  <c r="H259"/>
  <c r="G259"/>
  <c r="F259"/>
  <c r="E259"/>
  <c r="J257"/>
  <c r="L259"/>
  <c r="V254"/>
  <c r="P259"/>
  <c r="S256"/>
  <c r="R259"/>
  <c r="O259"/>
  <c r="M259"/>
  <c r="K257"/>
  <c r="V115"/>
  <c r="V255" s="1"/>
  <c r="T255"/>
  <c r="V112"/>
  <c r="V252" s="1"/>
  <c r="J189"/>
  <c r="C189"/>
  <c r="P191"/>
  <c r="P192" s="1"/>
  <c r="L191"/>
  <c r="L192" s="1"/>
  <c r="H191"/>
  <c r="H192" s="1"/>
  <c r="D191"/>
  <c r="A194"/>
  <c r="U191"/>
  <c r="Q191"/>
  <c r="M191"/>
  <c r="M192" s="1"/>
  <c r="I191"/>
  <c r="E191"/>
  <c r="E192" s="1"/>
  <c r="R191"/>
  <c r="R192" s="1"/>
  <c r="N191"/>
  <c r="F191"/>
  <c r="F192" s="1"/>
  <c r="O191"/>
  <c r="O192" s="1"/>
  <c r="G191"/>
  <c r="G192" s="1"/>
  <c r="T45"/>
  <c r="V45" s="1"/>
  <c r="J119"/>
  <c r="C119"/>
  <c r="O121"/>
  <c r="G121"/>
  <c r="P121"/>
  <c r="L121"/>
  <c r="H121"/>
  <c r="D121"/>
  <c r="D122" s="1"/>
  <c r="A124"/>
  <c r="U121"/>
  <c r="U122" s="1"/>
  <c r="Q121"/>
  <c r="Q122" s="1"/>
  <c r="M121"/>
  <c r="I121"/>
  <c r="I122" s="1"/>
  <c r="E121"/>
  <c r="R121"/>
  <c r="N121"/>
  <c r="N122" s="1"/>
  <c r="F121"/>
  <c r="T116"/>
  <c r="S117"/>
  <c r="J47"/>
  <c r="K189"/>
  <c r="S188"/>
  <c r="P49"/>
  <c r="L49"/>
  <c r="H49"/>
  <c r="D49"/>
  <c r="U49"/>
  <c r="Q49"/>
  <c r="M49"/>
  <c r="I49"/>
  <c r="E49"/>
  <c r="R49"/>
  <c r="N49"/>
  <c r="F49"/>
  <c r="A50"/>
  <c r="O49"/>
  <c r="G49"/>
  <c r="V44"/>
  <c r="K119"/>
  <c r="S118"/>
  <c r="T186"/>
  <c r="S187"/>
  <c r="S46"/>
  <c r="U192" l="1"/>
  <c r="U262" s="1"/>
  <c r="U261"/>
  <c r="N192"/>
  <c r="N262" s="1"/>
  <c r="N261"/>
  <c r="Q192"/>
  <c r="Q262" s="1"/>
  <c r="Q261"/>
  <c r="I192"/>
  <c r="I262" s="1"/>
  <c r="I261"/>
  <c r="D192"/>
  <c r="D262" s="1"/>
  <c r="D261"/>
  <c r="H122"/>
  <c r="H262" s="1"/>
  <c r="H261"/>
  <c r="G122"/>
  <c r="G262" s="1"/>
  <c r="G261"/>
  <c r="F122"/>
  <c r="F262" s="1"/>
  <c r="F261"/>
  <c r="E122"/>
  <c r="E262" s="1"/>
  <c r="E261"/>
  <c r="J259"/>
  <c r="C259"/>
  <c r="K259"/>
  <c r="P122"/>
  <c r="P262" s="1"/>
  <c r="P261"/>
  <c r="R122"/>
  <c r="R262" s="1"/>
  <c r="R261"/>
  <c r="O122"/>
  <c r="O262" s="1"/>
  <c r="O261"/>
  <c r="S258"/>
  <c r="M122"/>
  <c r="M262" s="1"/>
  <c r="M261"/>
  <c r="S257"/>
  <c r="L122"/>
  <c r="L262" s="1"/>
  <c r="L261"/>
  <c r="V116"/>
  <c r="T256"/>
  <c r="T117"/>
  <c r="J49"/>
  <c r="C49"/>
  <c r="O51"/>
  <c r="O52" s="1"/>
  <c r="G51"/>
  <c r="G52" s="1"/>
  <c r="P51"/>
  <c r="P52" s="1"/>
  <c r="L51"/>
  <c r="L52" s="1"/>
  <c r="H51"/>
  <c r="H52" s="1"/>
  <c r="D51"/>
  <c r="D52" s="1"/>
  <c r="A54"/>
  <c r="U51"/>
  <c r="U52" s="1"/>
  <c r="Q51"/>
  <c r="Q52" s="1"/>
  <c r="M51"/>
  <c r="M52" s="1"/>
  <c r="I51"/>
  <c r="I52" s="1"/>
  <c r="E51"/>
  <c r="E52" s="1"/>
  <c r="R51"/>
  <c r="R52" s="1"/>
  <c r="N51"/>
  <c r="N52" s="1"/>
  <c r="F51"/>
  <c r="F52" s="1"/>
  <c r="P125"/>
  <c r="L125"/>
  <c r="H125"/>
  <c r="D125"/>
  <c r="U125"/>
  <c r="Q125"/>
  <c r="M125"/>
  <c r="I125"/>
  <c r="E125"/>
  <c r="R125"/>
  <c r="N125"/>
  <c r="F125"/>
  <c r="A126"/>
  <c r="O125"/>
  <c r="G125"/>
  <c r="K191"/>
  <c r="K192" s="1"/>
  <c r="S190"/>
  <c r="K49"/>
  <c r="S48"/>
  <c r="T46"/>
  <c r="S47"/>
  <c r="T118"/>
  <c r="S119"/>
  <c r="K121"/>
  <c r="S120"/>
  <c r="V186"/>
  <c r="V187" s="1"/>
  <c r="T187"/>
  <c r="J191"/>
  <c r="J192" s="1"/>
  <c r="C191"/>
  <c r="C192" s="1"/>
  <c r="U195"/>
  <c r="Q195"/>
  <c r="M195"/>
  <c r="I195"/>
  <c r="E195"/>
  <c r="R195"/>
  <c r="N195"/>
  <c r="N265" s="1"/>
  <c r="F195"/>
  <c r="A196"/>
  <c r="O195"/>
  <c r="G195"/>
  <c r="P195"/>
  <c r="L195"/>
  <c r="H195"/>
  <c r="D195"/>
  <c r="D265" s="1"/>
  <c r="S189"/>
  <c r="T188"/>
  <c r="C121"/>
  <c r="J121"/>
  <c r="F265" l="1"/>
  <c r="Q265"/>
  <c r="I265"/>
  <c r="O265"/>
  <c r="M265"/>
  <c r="U265"/>
  <c r="H265"/>
  <c r="G265"/>
  <c r="E265"/>
  <c r="J122"/>
  <c r="J262" s="1"/>
  <c r="J261"/>
  <c r="C122"/>
  <c r="C262" s="1"/>
  <c r="C261"/>
  <c r="P265"/>
  <c r="R265"/>
  <c r="L265"/>
  <c r="V256"/>
  <c r="S260"/>
  <c r="S259"/>
  <c r="T257"/>
  <c r="T258"/>
  <c r="K122"/>
  <c r="K262" s="1"/>
  <c r="K261"/>
  <c r="V117"/>
  <c r="V257" s="1"/>
  <c r="K195"/>
  <c r="S194"/>
  <c r="P55"/>
  <c r="L55"/>
  <c r="H55"/>
  <c r="D55"/>
  <c r="U55"/>
  <c r="Q55"/>
  <c r="M55"/>
  <c r="I55"/>
  <c r="E55"/>
  <c r="R55"/>
  <c r="N55"/>
  <c r="F55"/>
  <c r="A56"/>
  <c r="O55"/>
  <c r="G55"/>
  <c r="V188"/>
  <c r="V189" s="1"/>
  <c r="T189"/>
  <c r="S121"/>
  <c r="T120"/>
  <c r="T119"/>
  <c r="V118"/>
  <c r="J125"/>
  <c r="C125"/>
  <c r="O127"/>
  <c r="G127"/>
  <c r="A128"/>
  <c r="P127"/>
  <c r="L127"/>
  <c r="H127"/>
  <c r="D127"/>
  <c r="U127"/>
  <c r="Q127"/>
  <c r="M127"/>
  <c r="I127"/>
  <c r="E127"/>
  <c r="R127"/>
  <c r="N127"/>
  <c r="F127"/>
  <c r="K51"/>
  <c r="K52" s="1"/>
  <c r="S50"/>
  <c r="J195"/>
  <c r="C195"/>
  <c r="A198"/>
  <c r="P197"/>
  <c r="L197"/>
  <c r="H197"/>
  <c r="D197"/>
  <c r="U197"/>
  <c r="Q197"/>
  <c r="M197"/>
  <c r="I197"/>
  <c r="E197"/>
  <c r="R197"/>
  <c r="N197"/>
  <c r="F197"/>
  <c r="O197"/>
  <c r="G197"/>
  <c r="T48"/>
  <c r="S49"/>
  <c r="V46"/>
  <c r="V47" s="1"/>
  <c r="T47"/>
  <c r="T190"/>
  <c r="S191"/>
  <c r="S192" s="1"/>
  <c r="K125"/>
  <c r="S124"/>
  <c r="C51"/>
  <c r="C52" s="1"/>
  <c r="J51"/>
  <c r="J52" s="1"/>
  <c r="Q267" l="1"/>
  <c r="N267"/>
  <c r="I267"/>
  <c r="D267"/>
  <c r="U267"/>
  <c r="H267"/>
  <c r="G267"/>
  <c r="F267"/>
  <c r="E267"/>
  <c r="J265"/>
  <c r="C265"/>
  <c r="L267"/>
  <c r="K265"/>
  <c r="P267"/>
  <c r="R267"/>
  <c r="T259"/>
  <c r="O267"/>
  <c r="M267"/>
  <c r="S264"/>
  <c r="V258"/>
  <c r="T260"/>
  <c r="S122"/>
  <c r="S262" s="1"/>
  <c r="S261"/>
  <c r="V119"/>
  <c r="V259" s="1"/>
  <c r="S126"/>
  <c r="K127"/>
  <c r="K55"/>
  <c r="S54"/>
  <c r="K197"/>
  <c r="S196"/>
  <c r="A132"/>
  <c r="U129"/>
  <c r="U130" s="1"/>
  <c r="Q129"/>
  <c r="Q130" s="1"/>
  <c r="M129"/>
  <c r="I129"/>
  <c r="I130" s="1"/>
  <c r="E129"/>
  <c r="R129"/>
  <c r="N129"/>
  <c r="N130" s="1"/>
  <c r="F129"/>
  <c r="O129"/>
  <c r="G129"/>
  <c r="P129"/>
  <c r="L129"/>
  <c r="H129"/>
  <c r="D129"/>
  <c r="D130" s="1"/>
  <c r="C197"/>
  <c r="J197"/>
  <c r="R199"/>
  <c r="R200" s="1"/>
  <c r="N199"/>
  <c r="F199"/>
  <c r="F200" s="1"/>
  <c r="O199"/>
  <c r="O200" s="1"/>
  <c r="G199"/>
  <c r="G200" s="1"/>
  <c r="P199"/>
  <c r="P200" s="1"/>
  <c r="L199"/>
  <c r="L200" s="1"/>
  <c r="H199"/>
  <c r="H200" s="1"/>
  <c r="D199"/>
  <c r="A202"/>
  <c r="U199"/>
  <c r="Q199"/>
  <c r="M199"/>
  <c r="M200" s="1"/>
  <c r="I199"/>
  <c r="E199"/>
  <c r="E200" s="1"/>
  <c r="S51"/>
  <c r="S52" s="1"/>
  <c r="T50"/>
  <c r="S195"/>
  <c r="T194"/>
  <c r="T124"/>
  <c r="S125"/>
  <c r="T191"/>
  <c r="T192" s="1"/>
  <c r="V190"/>
  <c r="V191" s="1"/>
  <c r="V192" s="1"/>
  <c r="T49"/>
  <c r="V48"/>
  <c r="V49" s="1"/>
  <c r="C127"/>
  <c r="J127"/>
  <c r="T121"/>
  <c r="V120"/>
  <c r="J55"/>
  <c r="C55"/>
  <c r="O57"/>
  <c r="G57"/>
  <c r="A58"/>
  <c r="P57"/>
  <c r="L57"/>
  <c r="H57"/>
  <c r="D57"/>
  <c r="U57"/>
  <c r="Q57"/>
  <c r="M57"/>
  <c r="I57"/>
  <c r="E57"/>
  <c r="R57"/>
  <c r="N57"/>
  <c r="F57"/>
  <c r="U200" l="1"/>
  <c r="U270" s="1"/>
  <c r="U269"/>
  <c r="N200"/>
  <c r="N270" s="1"/>
  <c r="N269"/>
  <c r="Q200"/>
  <c r="Q270" s="1"/>
  <c r="Q269"/>
  <c r="I200"/>
  <c r="I270" s="1"/>
  <c r="I269"/>
  <c r="D200"/>
  <c r="D270" s="1"/>
  <c r="D269"/>
  <c r="H130"/>
  <c r="H270" s="1"/>
  <c r="H269"/>
  <c r="J267"/>
  <c r="G130"/>
  <c r="G270" s="1"/>
  <c r="G269"/>
  <c r="F130"/>
  <c r="F270" s="1"/>
  <c r="F269"/>
  <c r="E130"/>
  <c r="E270" s="1"/>
  <c r="E269"/>
  <c r="C267"/>
  <c r="P130"/>
  <c r="P270" s="1"/>
  <c r="P269"/>
  <c r="R130"/>
  <c r="R270" s="1"/>
  <c r="R269"/>
  <c r="S265"/>
  <c r="O130"/>
  <c r="O270" s="1"/>
  <c r="O269"/>
  <c r="V260"/>
  <c r="S266"/>
  <c r="M130"/>
  <c r="M270" s="1"/>
  <c r="M269"/>
  <c r="L130"/>
  <c r="L270" s="1"/>
  <c r="L269"/>
  <c r="K267"/>
  <c r="T264"/>
  <c r="T122"/>
  <c r="T262" s="1"/>
  <c r="T261"/>
  <c r="V121"/>
  <c r="V261" s="1"/>
  <c r="O203"/>
  <c r="G203"/>
  <c r="A204"/>
  <c r="P203"/>
  <c r="L203"/>
  <c r="H203"/>
  <c r="D203"/>
  <c r="U203"/>
  <c r="Q203"/>
  <c r="M203"/>
  <c r="I203"/>
  <c r="E203"/>
  <c r="R203"/>
  <c r="N203"/>
  <c r="F203"/>
  <c r="S56"/>
  <c r="K57"/>
  <c r="K199"/>
  <c r="K200" s="1"/>
  <c r="S198"/>
  <c r="S197"/>
  <c r="T196"/>
  <c r="T125"/>
  <c r="V124"/>
  <c r="J129"/>
  <c r="C129"/>
  <c r="R133"/>
  <c r="N133"/>
  <c r="F133"/>
  <c r="O133"/>
  <c r="O273" s="1"/>
  <c r="G133"/>
  <c r="G273" s="1"/>
  <c r="A134"/>
  <c r="P133"/>
  <c r="P273" s="1"/>
  <c r="L133"/>
  <c r="L273" s="1"/>
  <c r="H133"/>
  <c r="H273" s="1"/>
  <c r="D133"/>
  <c r="U133"/>
  <c r="Q133"/>
  <c r="M133"/>
  <c r="M273" s="1"/>
  <c r="I133"/>
  <c r="E133"/>
  <c r="A62"/>
  <c r="U59"/>
  <c r="U60" s="1"/>
  <c r="Q59"/>
  <c r="Q60" s="1"/>
  <c r="M59"/>
  <c r="M60" s="1"/>
  <c r="I59"/>
  <c r="I60" s="1"/>
  <c r="E59"/>
  <c r="E60" s="1"/>
  <c r="R59"/>
  <c r="R60" s="1"/>
  <c r="N59"/>
  <c r="N60" s="1"/>
  <c r="F59"/>
  <c r="F60" s="1"/>
  <c r="O59"/>
  <c r="O60" s="1"/>
  <c r="G59"/>
  <c r="G60" s="1"/>
  <c r="P59"/>
  <c r="P60" s="1"/>
  <c r="L59"/>
  <c r="L60" s="1"/>
  <c r="H59"/>
  <c r="H60" s="1"/>
  <c r="D59"/>
  <c r="D60" s="1"/>
  <c r="K129"/>
  <c r="S128"/>
  <c r="S127"/>
  <c r="T126"/>
  <c r="C57"/>
  <c r="J57"/>
  <c r="V194"/>
  <c r="V195" s="1"/>
  <c r="T195"/>
  <c r="T51"/>
  <c r="T52" s="1"/>
  <c r="V50"/>
  <c r="V51" s="1"/>
  <c r="V52" s="1"/>
  <c r="J199"/>
  <c r="J200" s="1"/>
  <c r="C199"/>
  <c r="C200" s="1"/>
  <c r="T54"/>
  <c r="S55"/>
  <c r="I273" l="1"/>
  <c r="D273"/>
  <c r="Q273"/>
  <c r="N273"/>
  <c r="E273"/>
  <c r="U273"/>
  <c r="F273"/>
  <c r="J130"/>
  <c r="J270" s="1"/>
  <c r="J269"/>
  <c r="C130"/>
  <c r="C270" s="1"/>
  <c r="C269"/>
  <c r="R273"/>
  <c r="T265"/>
  <c r="S268"/>
  <c r="S267"/>
  <c r="T266"/>
  <c r="V264"/>
  <c r="K130"/>
  <c r="K270" s="1"/>
  <c r="K269"/>
  <c r="V122"/>
  <c r="V262" s="1"/>
  <c r="V125"/>
  <c r="V265" s="1"/>
  <c r="S129"/>
  <c r="T128"/>
  <c r="P135"/>
  <c r="L135"/>
  <c r="H135"/>
  <c r="D135"/>
  <c r="U135"/>
  <c r="Q135"/>
  <c r="M135"/>
  <c r="I135"/>
  <c r="E135"/>
  <c r="R135"/>
  <c r="N135"/>
  <c r="F135"/>
  <c r="A136"/>
  <c r="O135"/>
  <c r="G135"/>
  <c r="S132"/>
  <c r="K133"/>
  <c r="S57"/>
  <c r="T56"/>
  <c r="S202"/>
  <c r="K203"/>
  <c r="K59"/>
  <c r="K60" s="1"/>
  <c r="S58"/>
  <c r="T127"/>
  <c r="V126"/>
  <c r="J59"/>
  <c r="J60" s="1"/>
  <c r="C59"/>
  <c r="C60" s="1"/>
  <c r="R63"/>
  <c r="N63"/>
  <c r="F63"/>
  <c r="O63"/>
  <c r="G63"/>
  <c r="A64"/>
  <c r="P63"/>
  <c r="L63"/>
  <c r="H63"/>
  <c r="D63"/>
  <c r="U63"/>
  <c r="Q63"/>
  <c r="M63"/>
  <c r="I63"/>
  <c r="E63"/>
  <c r="T197"/>
  <c r="V196"/>
  <c r="V197" s="1"/>
  <c r="S199"/>
  <c r="S200" s="1"/>
  <c r="T198"/>
  <c r="U205"/>
  <c r="U275" s="1"/>
  <c r="Q205"/>
  <c r="M205"/>
  <c r="I205"/>
  <c r="I275" s="1"/>
  <c r="E205"/>
  <c r="R205"/>
  <c r="N205"/>
  <c r="F205"/>
  <c r="A206"/>
  <c r="O205"/>
  <c r="G205"/>
  <c r="P205"/>
  <c r="L205"/>
  <c r="H205"/>
  <c r="D205"/>
  <c r="T55"/>
  <c r="V54"/>
  <c r="V55" s="1"/>
  <c r="J133"/>
  <c r="C133"/>
  <c r="C203"/>
  <c r="J203"/>
  <c r="D275" l="1"/>
  <c r="N275"/>
  <c r="Q275"/>
  <c r="E275"/>
  <c r="F275"/>
  <c r="M275"/>
  <c r="O275"/>
  <c r="R275"/>
  <c r="H275"/>
  <c r="G275"/>
  <c r="J273"/>
  <c r="C273"/>
  <c r="L275"/>
  <c r="P275"/>
  <c r="T267"/>
  <c r="T268"/>
  <c r="S272"/>
  <c r="K273"/>
  <c r="V266"/>
  <c r="S130"/>
  <c r="S270" s="1"/>
  <c r="S269"/>
  <c r="V127"/>
  <c r="V267" s="1"/>
  <c r="V128"/>
  <c r="T129"/>
  <c r="K205"/>
  <c r="S204"/>
  <c r="T57"/>
  <c r="V56"/>
  <c r="V57" s="1"/>
  <c r="J135"/>
  <c r="C135"/>
  <c r="O137"/>
  <c r="G137"/>
  <c r="P137"/>
  <c r="L137"/>
  <c r="H137"/>
  <c r="D137"/>
  <c r="D138" s="1"/>
  <c r="D140" s="1"/>
  <c r="D142" s="1"/>
  <c r="U137"/>
  <c r="U138" s="1"/>
  <c r="U140" s="1"/>
  <c r="U142" s="1"/>
  <c r="Q137"/>
  <c r="Q138" s="1"/>
  <c r="Q140" s="1"/>
  <c r="Q142" s="1"/>
  <c r="M137"/>
  <c r="I137"/>
  <c r="I138" s="1"/>
  <c r="I140" s="1"/>
  <c r="I142" s="1"/>
  <c r="E137"/>
  <c r="R137"/>
  <c r="N137"/>
  <c r="N138" s="1"/>
  <c r="N140" s="1"/>
  <c r="N142" s="1"/>
  <c r="F137"/>
  <c r="V198"/>
  <c r="V199" s="1"/>
  <c r="V200" s="1"/>
  <c r="T199"/>
  <c r="T200" s="1"/>
  <c r="J63"/>
  <c r="C63"/>
  <c r="S203"/>
  <c r="T202"/>
  <c r="S133"/>
  <c r="T132"/>
  <c r="S62"/>
  <c r="K63"/>
  <c r="J205"/>
  <c r="C205"/>
  <c r="P207"/>
  <c r="P208" s="1"/>
  <c r="P210" s="1"/>
  <c r="P212" s="1"/>
  <c r="L207"/>
  <c r="L208" s="1"/>
  <c r="L210" s="1"/>
  <c r="L212" s="1"/>
  <c r="H207"/>
  <c r="H208" s="1"/>
  <c r="H210" s="1"/>
  <c r="H212" s="1"/>
  <c r="D207"/>
  <c r="U207"/>
  <c r="Q207"/>
  <c r="M207"/>
  <c r="M208" s="1"/>
  <c r="M210" s="1"/>
  <c r="M212" s="1"/>
  <c r="I207"/>
  <c r="E207"/>
  <c r="E208" s="1"/>
  <c r="E210" s="1"/>
  <c r="E212" s="1"/>
  <c r="R207"/>
  <c r="R208" s="1"/>
  <c r="R210" s="1"/>
  <c r="R212" s="1"/>
  <c r="N207"/>
  <c r="F207"/>
  <c r="F208" s="1"/>
  <c r="F210" s="1"/>
  <c r="F212" s="1"/>
  <c r="O207"/>
  <c r="O208" s="1"/>
  <c r="O210" s="1"/>
  <c r="O212" s="1"/>
  <c r="G207"/>
  <c r="G208" s="1"/>
  <c r="G210" s="1"/>
  <c r="G212" s="1"/>
  <c r="P65"/>
  <c r="L65"/>
  <c r="H65"/>
  <c r="D65"/>
  <c r="U65"/>
  <c r="Q65"/>
  <c r="M65"/>
  <c r="I65"/>
  <c r="E65"/>
  <c r="R65"/>
  <c r="N65"/>
  <c r="F65"/>
  <c r="A66"/>
  <c r="O65"/>
  <c r="G65"/>
  <c r="S59"/>
  <c r="S60" s="1"/>
  <c r="T58"/>
  <c r="K135"/>
  <c r="S134"/>
  <c r="U208" l="1"/>
  <c r="U277"/>
  <c r="N208"/>
  <c r="N277"/>
  <c r="Q208"/>
  <c r="Q277"/>
  <c r="I208"/>
  <c r="I277"/>
  <c r="D208"/>
  <c r="D277"/>
  <c r="H138"/>
  <c r="H277"/>
  <c r="G138"/>
  <c r="G277"/>
  <c r="F138"/>
  <c r="F277"/>
  <c r="E138"/>
  <c r="E277"/>
  <c r="J275"/>
  <c r="C275"/>
  <c r="S274"/>
  <c r="P138"/>
  <c r="P277"/>
  <c r="R138"/>
  <c r="R277"/>
  <c r="O138"/>
  <c r="O277"/>
  <c r="M138"/>
  <c r="M277"/>
  <c r="L138"/>
  <c r="L277"/>
  <c r="S273"/>
  <c r="V268"/>
  <c r="K275"/>
  <c r="T272"/>
  <c r="T130"/>
  <c r="T270" s="1"/>
  <c r="T269"/>
  <c r="V129"/>
  <c r="V269" s="1"/>
  <c r="C137"/>
  <c r="J137"/>
  <c r="T134"/>
  <c r="S135"/>
  <c r="J65"/>
  <c r="C65"/>
  <c r="O67"/>
  <c r="O68" s="1"/>
  <c r="O70" s="1"/>
  <c r="O72" s="1"/>
  <c r="G67"/>
  <c r="G68" s="1"/>
  <c r="G70" s="1"/>
  <c r="G72" s="1"/>
  <c r="P67"/>
  <c r="P68" s="1"/>
  <c r="P70" s="1"/>
  <c r="P72" s="1"/>
  <c r="L67"/>
  <c r="L68" s="1"/>
  <c r="L70" s="1"/>
  <c r="L72" s="1"/>
  <c r="H67"/>
  <c r="H68" s="1"/>
  <c r="H70" s="1"/>
  <c r="H72" s="1"/>
  <c r="D67"/>
  <c r="D68" s="1"/>
  <c r="D70" s="1"/>
  <c r="D72" s="1"/>
  <c r="U67"/>
  <c r="U68" s="1"/>
  <c r="U70" s="1"/>
  <c r="U72" s="1"/>
  <c r="Q67"/>
  <c r="Q68" s="1"/>
  <c r="Q70" s="1"/>
  <c r="Q72" s="1"/>
  <c r="M67"/>
  <c r="M68" s="1"/>
  <c r="M70" s="1"/>
  <c r="M72" s="1"/>
  <c r="I67"/>
  <c r="I68" s="1"/>
  <c r="I70" s="1"/>
  <c r="I72" s="1"/>
  <c r="E67"/>
  <c r="E68" s="1"/>
  <c r="E70" s="1"/>
  <c r="E72" s="1"/>
  <c r="R67"/>
  <c r="R68" s="1"/>
  <c r="R70" s="1"/>
  <c r="R72" s="1"/>
  <c r="N67"/>
  <c r="N68" s="1"/>
  <c r="N70" s="1"/>
  <c r="N72" s="1"/>
  <c r="F67"/>
  <c r="F68" s="1"/>
  <c r="F70" s="1"/>
  <c r="F72" s="1"/>
  <c r="S63"/>
  <c r="T62"/>
  <c r="V132"/>
  <c r="T133"/>
  <c r="K207"/>
  <c r="K208" s="1"/>
  <c r="K210" s="1"/>
  <c r="K212" s="1"/>
  <c r="S206"/>
  <c r="K137"/>
  <c r="S136"/>
  <c r="S205"/>
  <c r="T204"/>
  <c r="J207"/>
  <c r="J208" s="1"/>
  <c r="C207"/>
  <c r="C208" s="1"/>
  <c r="C210" s="1"/>
  <c r="C212" s="1"/>
  <c r="V58"/>
  <c r="V59" s="1"/>
  <c r="V60" s="1"/>
  <c r="T59"/>
  <c r="T60" s="1"/>
  <c r="K65"/>
  <c r="S64"/>
  <c r="T203"/>
  <c r="V202"/>
  <c r="Z151" s="1"/>
  <c r="U210" l="1"/>
  <c r="U278"/>
  <c r="N210"/>
  <c r="N278"/>
  <c r="Q210"/>
  <c r="Q278"/>
  <c r="I210"/>
  <c r="I278"/>
  <c r="D210"/>
  <c r="D278"/>
  <c r="H140"/>
  <c r="H278"/>
  <c r="G140"/>
  <c r="G278"/>
  <c r="F140"/>
  <c r="F278"/>
  <c r="E140"/>
  <c r="E278"/>
  <c r="C138"/>
  <c r="C277"/>
  <c r="J138"/>
  <c r="J278" s="1"/>
  <c r="J277"/>
  <c r="P140"/>
  <c r="P278"/>
  <c r="R140"/>
  <c r="R278"/>
  <c r="O140"/>
  <c r="O278"/>
  <c r="S276"/>
  <c r="M140"/>
  <c r="M278"/>
  <c r="T273"/>
  <c r="S275"/>
  <c r="T274"/>
  <c r="L140"/>
  <c r="L278"/>
  <c r="K138"/>
  <c r="K277"/>
  <c r="Z81"/>
  <c r="V272"/>
  <c r="V130"/>
  <c r="V270" s="1"/>
  <c r="S137"/>
  <c r="T136"/>
  <c r="C67"/>
  <c r="C68" s="1"/>
  <c r="C70" s="1"/>
  <c r="C72" s="1"/>
  <c r="J67"/>
  <c r="J68" s="1"/>
  <c r="T135"/>
  <c r="V134"/>
  <c r="J210"/>
  <c r="J212" s="1"/>
  <c r="V62"/>
  <c r="T63"/>
  <c r="K67"/>
  <c r="K68" s="1"/>
  <c r="K70" s="1"/>
  <c r="K72" s="1"/>
  <c r="S66"/>
  <c r="V203"/>
  <c r="T64"/>
  <c r="S65"/>
  <c r="V204"/>
  <c r="V205" s="1"/>
  <c r="T205"/>
  <c r="T206"/>
  <c r="S207"/>
  <c r="S208" s="1"/>
  <c r="V133"/>
  <c r="U212" l="1"/>
  <c r="U282" s="1"/>
  <c r="U280"/>
  <c r="N212"/>
  <c r="N282" s="1"/>
  <c r="N280"/>
  <c r="Q212"/>
  <c r="Q282" s="1"/>
  <c r="Q280"/>
  <c r="I212"/>
  <c r="I282" s="1"/>
  <c r="I280"/>
  <c r="D212"/>
  <c r="D282" s="1"/>
  <c r="D280"/>
  <c r="H142"/>
  <c r="H282" s="1"/>
  <c r="H280"/>
  <c r="G142"/>
  <c r="G282" s="1"/>
  <c r="G280"/>
  <c r="F142"/>
  <c r="F282" s="1"/>
  <c r="F280"/>
  <c r="E142"/>
  <c r="E282" s="1"/>
  <c r="E280"/>
  <c r="J140"/>
  <c r="J280" s="1"/>
  <c r="C140"/>
  <c r="C278"/>
  <c r="V273"/>
  <c r="P142"/>
  <c r="P282" s="1"/>
  <c r="P280"/>
  <c r="R142"/>
  <c r="R282" s="1"/>
  <c r="R280"/>
  <c r="O142"/>
  <c r="O282" s="1"/>
  <c r="O280"/>
  <c r="M142"/>
  <c r="M282" s="1"/>
  <c r="M280"/>
  <c r="L142"/>
  <c r="L282" s="1"/>
  <c r="L280"/>
  <c r="T275"/>
  <c r="T276"/>
  <c r="V274"/>
  <c r="K140"/>
  <c r="K278"/>
  <c r="S138"/>
  <c r="S278" s="1"/>
  <c r="S277"/>
  <c r="V135"/>
  <c r="V275" s="1"/>
  <c r="V63"/>
  <c r="Z11"/>
  <c r="T207"/>
  <c r="T208" s="1"/>
  <c r="T210" s="1"/>
  <c r="T212" s="1"/>
  <c r="V206"/>
  <c r="V207" s="1"/>
  <c r="V208" s="1"/>
  <c r="V210" s="1"/>
  <c r="V212" s="1"/>
  <c r="T65"/>
  <c r="V64"/>
  <c r="V65" s="1"/>
  <c r="J70"/>
  <c r="J72" s="1"/>
  <c r="S210"/>
  <c r="S212" s="1"/>
  <c r="S67"/>
  <c r="S68" s="1"/>
  <c r="T66"/>
  <c r="T137"/>
  <c r="V136"/>
  <c r="V276" l="1"/>
  <c r="J142"/>
  <c r="J282" s="1"/>
  <c r="C142"/>
  <c r="C282" s="1"/>
  <c r="C280"/>
  <c r="S140"/>
  <c r="S280" s="1"/>
  <c r="T138"/>
  <c r="T277"/>
  <c r="K142"/>
  <c r="K282" s="1"/>
  <c r="K280"/>
  <c r="V137"/>
  <c r="V277" s="1"/>
  <c r="T67"/>
  <c r="T68" s="1"/>
  <c r="T70" s="1"/>
  <c r="T72" s="1"/>
  <c r="V66"/>
  <c r="V67" s="1"/>
  <c r="V68" s="1"/>
  <c r="V70" s="1"/>
  <c r="V72" s="1"/>
  <c r="S70"/>
  <c r="S72" s="1"/>
  <c r="S142" l="1"/>
  <c r="S282" s="1"/>
  <c r="T140"/>
  <c r="T278"/>
  <c r="V138"/>
  <c r="V278" s="1"/>
  <c r="D241" i="76"/>
  <c r="D239"/>
  <c r="T142" i="85" l="1"/>
  <c r="T282" s="1"/>
  <c r="T280"/>
  <c r="V140"/>
  <c r="V280" s="1"/>
  <c r="V142" l="1"/>
  <c r="V282" s="1"/>
  <c r="D76" i="76"/>
  <c r="D161"/>
  <c r="J35" i="78" l="1"/>
  <c r="J39"/>
  <c r="D13" i="73"/>
  <c r="F34" i="91" l="1"/>
  <c r="F33"/>
  <c r="F106"/>
  <c r="F104"/>
  <c r="F108" l="1"/>
  <c r="F48" l="1"/>
  <c r="F10"/>
  <c r="F46" l="1"/>
  <c r="F85"/>
  <c r="F112"/>
  <c r="F115"/>
  <c r="F117"/>
  <c r="B14" i="78"/>
  <c r="J14" s="1"/>
  <c r="I99" l="1"/>
  <c r="D99"/>
  <c r="B99"/>
  <c r="J98"/>
  <c r="P92"/>
  <c r="P93"/>
  <c r="P94"/>
  <c r="P95"/>
  <c r="P96"/>
  <c r="P52"/>
  <c r="P53"/>
  <c r="P54"/>
  <c r="P55"/>
  <c r="P56"/>
  <c r="P57"/>
  <c r="P67"/>
  <c r="P51"/>
  <c r="P50"/>
  <c r="B49"/>
  <c r="J49" s="1"/>
  <c r="I78"/>
  <c r="D78"/>
  <c r="I40"/>
  <c r="D40"/>
  <c r="B40"/>
  <c r="P39"/>
  <c r="P14"/>
  <c r="I87"/>
  <c r="D87"/>
  <c r="B87"/>
  <c r="P86"/>
  <c r="J73"/>
  <c r="P73"/>
  <c r="H93" i="91"/>
  <c r="J40" i="78" l="1"/>
  <c r="B78"/>
  <c r="J9" l="1"/>
  <c r="F90" i="91"/>
  <c r="H98"/>
  <c r="I98" s="1"/>
  <c r="F100"/>
  <c r="H100" s="1"/>
  <c r="I100" s="1"/>
  <c r="F102"/>
  <c r="H104"/>
  <c r="I104" s="1"/>
  <c r="H106"/>
  <c r="I106" s="1"/>
  <c r="H108"/>
  <c r="I108" s="1"/>
  <c r="H110"/>
  <c r="I110" s="1"/>
  <c r="H112"/>
  <c r="I112" s="1"/>
  <c r="H115"/>
  <c r="I115" s="1"/>
  <c r="H117"/>
  <c r="I117" s="1"/>
  <c r="H102" l="1"/>
  <c r="I102" s="1"/>
  <c r="B119" i="116" l="1"/>
  <c r="J119" s="1"/>
  <c r="M119" l="1"/>
  <c r="U119" s="1"/>
  <c r="M146"/>
  <c r="U146" s="1"/>
  <c r="T152"/>
  <c r="T135" s="1"/>
  <c r="T141" s="1"/>
  <c r="S152"/>
  <c r="S135" s="1"/>
  <c r="S141" s="1"/>
  <c r="M152"/>
  <c r="M135" s="1"/>
  <c r="R152"/>
  <c r="R135" s="1"/>
  <c r="R141" s="1"/>
  <c r="G152"/>
  <c r="G135" s="1"/>
  <c r="G141" s="1"/>
  <c r="B146"/>
  <c r="I152"/>
  <c r="I135" s="1"/>
  <c r="I141" s="1"/>
  <c r="H152"/>
  <c r="H135" s="1"/>
  <c r="H141" s="1"/>
  <c r="T127"/>
  <c r="T110" s="1"/>
  <c r="T116" s="1"/>
  <c r="S127"/>
  <c r="S110" s="1"/>
  <c r="S116" s="1"/>
  <c r="R127"/>
  <c r="R110" s="1"/>
  <c r="R116" s="1"/>
  <c r="B121"/>
  <c r="J121" s="1"/>
  <c r="I127"/>
  <c r="I110" s="1"/>
  <c r="I116" s="1"/>
  <c r="H127"/>
  <c r="H110" s="1"/>
  <c r="H116" s="1"/>
  <c r="G127"/>
  <c r="G110" s="1"/>
  <c r="G116" s="1"/>
  <c r="M96"/>
  <c r="U96" s="1"/>
  <c r="T102"/>
  <c r="T85" s="1"/>
  <c r="T91" s="1"/>
  <c r="S102"/>
  <c r="S85" s="1"/>
  <c r="S91" s="1"/>
  <c r="R102"/>
  <c r="R85" s="1"/>
  <c r="R91" s="1"/>
  <c r="B99"/>
  <c r="J99" s="1"/>
  <c r="B96"/>
  <c r="J96" s="1"/>
  <c r="I102"/>
  <c r="I85" s="1"/>
  <c r="I91" s="1"/>
  <c r="H102"/>
  <c r="H85" s="1"/>
  <c r="H91" s="1"/>
  <c r="G102"/>
  <c r="G85" s="1"/>
  <c r="G91" s="1"/>
  <c r="M71"/>
  <c r="T77"/>
  <c r="T60" s="1"/>
  <c r="T66" s="1"/>
  <c r="S77"/>
  <c r="S60" s="1"/>
  <c r="S66" s="1"/>
  <c r="R77"/>
  <c r="R60" s="1"/>
  <c r="R66" s="1"/>
  <c r="B21"/>
  <c r="J21" s="1"/>
  <c r="B62"/>
  <c r="J62" s="1"/>
  <c r="B71"/>
  <c r="I77"/>
  <c r="I60" s="1"/>
  <c r="I66" s="1"/>
  <c r="H77"/>
  <c r="H60" s="1"/>
  <c r="H66" s="1"/>
  <c r="G77"/>
  <c r="G60" s="1"/>
  <c r="G66" s="1"/>
  <c r="M50"/>
  <c r="U50" s="1"/>
  <c r="M46"/>
  <c r="T52"/>
  <c r="T35" s="1"/>
  <c r="T41" s="1"/>
  <c r="S52"/>
  <c r="S35" s="1"/>
  <c r="S41" s="1"/>
  <c r="R52"/>
  <c r="R35" s="1"/>
  <c r="R41" s="1"/>
  <c r="I52"/>
  <c r="I35" s="1"/>
  <c r="H52"/>
  <c r="H35" s="1"/>
  <c r="G52"/>
  <c r="G35" s="1"/>
  <c r="B52"/>
  <c r="B35" s="1"/>
  <c r="F310"/>
  <c r="M141" l="1"/>
  <c r="M102"/>
  <c r="M85" s="1"/>
  <c r="M91" s="1"/>
  <c r="M127"/>
  <c r="M110" s="1"/>
  <c r="M116" s="1"/>
  <c r="M52"/>
  <c r="M35" s="1"/>
  <c r="M41" s="1"/>
  <c r="U46"/>
  <c r="U52" s="1"/>
  <c r="U35" s="1"/>
  <c r="U41" s="1"/>
  <c r="B77"/>
  <c r="B60" s="1"/>
  <c r="B66" s="1"/>
  <c r="J71"/>
  <c r="M77"/>
  <c r="M60" s="1"/>
  <c r="M66" s="1"/>
  <c r="U71"/>
  <c r="U77" s="1"/>
  <c r="U60" s="1"/>
  <c r="U66" s="1"/>
  <c r="B152"/>
  <c r="B135" s="1"/>
  <c r="B141" s="1"/>
  <c r="J146"/>
  <c r="J152" s="1"/>
  <c r="J135" s="1"/>
  <c r="J141" s="1"/>
  <c r="B102"/>
  <c r="B85" s="1"/>
  <c r="B91" s="1"/>
  <c r="B127"/>
  <c r="B110" s="1"/>
  <c r="B116" s="1"/>
  <c r="U152"/>
  <c r="U135" s="1"/>
  <c r="U141" s="1"/>
  <c r="U127"/>
  <c r="U110" s="1"/>
  <c r="U116" s="1"/>
  <c r="J127"/>
  <c r="J110" s="1"/>
  <c r="J116" s="1"/>
  <c r="U102"/>
  <c r="U85" s="1"/>
  <c r="U91" s="1"/>
  <c r="J102"/>
  <c r="J85" s="1"/>
  <c r="J91" s="1"/>
  <c r="J77" l="1"/>
  <c r="J60" s="1"/>
  <c r="J66" s="1"/>
  <c r="I41"/>
  <c r="H41"/>
  <c r="G41"/>
  <c r="B41"/>
  <c r="J52" l="1"/>
  <c r="J35" s="1"/>
  <c r="J41" s="1"/>
  <c r="B24" l="1"/>
  <c r="J24" s="1"/>
  <c r="I27"/>
  <c r="I10" s="1"/>
  <c r="I16" s="1"/>
  <c r="H27"/>
  <c r="G27"/>
  <c r="G10" s="1"/>
  <c r="G16" s="1"/>
  <c r="H10"/>
  <c r="H16" s="1"/>
  <c r="I310"/>
  <c r="H310"/>
  <c r="G310"/>
  <c r="B310"/>
  <c r="J310"/>
  <c r="T27"/>
  <c r="T10" s="1"/>
  <c r="T16" s="1"/>
  <c r="S27"/>
  <c r="S10" s="1"/>
  <c r="S16" s="1"/>
  <c r="R27"/>
  <c r="R10" s="1"/>
  <c r="R16" s="1"/>
  <c r="M27"/>
  <c r="M10" s="1"/>
  <c r="W285" l="1"/>
  <c r="U10"/>
  <c r="M16"/>
  <c r="B27"/>
  <c r="B10" s="1"/>
  <c r="B16" s="1"/>
  <c r="U27"/>
  <c r="U16" l="1"/>
  <c r="J27"/>
  <c r="J10" s="1"/>
  <c r="J16" s="1"/>
  <c r="H119" i="91" l="1"/>
  <c r="I119" s="1"/>
  <c r="H87" l="1"/>
  <c r="I87" s="1"/>
  <c r="F93" l="1"/>
  <c r="F78" l="1"/>
  <c r="F56"/>
  <c r="F55"/>
  <c r="H37"/>
  <c r="I37" s="1"/>
  <c r="F54" l="1"/>
  <c r="F50" s="1"/>
  <c r="D23" i="89" l="1"/>
  <c r="D21"/>
  <c r="I20"/>
  <c r="F36" i="90" l="1"/>
  <c r="E36"/>
  <c r="D36"/>
  <c r="F35"/>
  <c r="E35"/>
  <c r="D35"/>
  <c r="F34"/>
  <c r="E34"/>
  <c r="D34"/>
  <c r="F33"/>
  <c r="E33"/>
  <c r="D33"/>
  <c r="F32"/>
  <c r="E32"/>
  <c r="D32"/>
  <c r="F31"/>
  <c r="E31"/>
  <c r="D31"/>
  <c r="F30"/>
  <c r="E30"/>
  <c r="D30"/>
  <c r="F29"/>
  <c r="E29"/>
  <c r="D29"/>
  <c r="F28"/>
  <c r="E28"/>
  <c r="D28"/>
  <c r="F26"/>
  <c r="E26"/>
  <c r="D26"/>
  <c r="F25"/>
  <c r="E25"/>
  <c r="D25"/>
  <c r="F24"/>
  <c r="E24"/>
  <c r="D24"/>
  <c r="F23"/>
  <c r="E23"/>
  <c r="D23"/>
  <c r="F22"/>
  <c r="E22"/>
  <c r="D22"/>
  <c r="F21"/>
  <c r="E21"/>
  <c r="D21"/>
  <c r="F20"/>
  <c r="E20"/>
  <c r="D20"/>
  <c r="F19"/>
  <c r="E19"/>
  <c r="D19"/>
  <c r="F18"/>
  <c r="E18"/>
  <c r="D18"/>
  <c r="F14"/>
  <c r="E14"/>
  <c r="D14"/>
  <c r="F12"/>
  <c r="E12"/>
  <c r="D12"/>
  <c r="F11"/>
  <c r="E11"/>
  <c r="D11"/>
  <c r="C12" i="76"/>
  <c r="C11" s="1"/>
  <c r="C25"/>
  <c r="C32"/>
  <c r="C44"/>
  <c r="C51"/>
  <c r="C58"/>
  <c r="C64"/>
  <c r="C73"/>
  <c r="C72" s="1"/>
  <c r="C71" s="1"/>
  <c r="C88"/>
  <c r="C87" s="1"/>
  <c r="C86" s="1"/>
  <c r="C110"/>
  <c r="C116"/>
  <c r="C123"/>
  <c r="C146"/>
  <c r="C132" s="1"/>
  <c r="C150"/>
  <c r="C159"/>
  <c r="C165"/>
  <c r="C179"/>
  <c r="C178" s="1"/>
  <c r="C177" s="1"/>
  <c r="C194"/>
  <c r="C193" s="1"/>
  <c r="C192" s="1"/>
  <c r="C223"/>
  <c r="C224"/>
  <c r="C226"/>
  <c r="C227"/>
  <c r="C225" s="1"/>
  <c r="C230"/>
  <c r="C231"/>
  <c r="C233"/>
  <c r="C234"/>
  <c r="C242"/>
  <c r="J16" i="72"/>
  <c r="J36" s="1"/>
  <c r="J26"/>
  <c r="C229" i="76" l="1"/>
  <c r="C232"/>
  <c r="E17" i="90"/>
  <c r="D17"/>
  <c r="D27"/>
  <c r="F27"/>
  <c r="E27"/>
  <c r="E37" s="1"/>
  <c r="F17"/>
  <c r="C149" i="76"/>
  <c r="C109"/>
  <c r="C222"/>
  <c r="C221" s="1"/>
  <c r="C50"/>
  <c r="C10"/>
  <c r="C207"/>
  <c r="C101"/>
  <c r="F37" i="90" l="1"/>
  <c r="C228" i="76"/>
  <c r="C220" s="1"/>
  <c r="D37" i="90"/>
  <c r="C215" i="76"/>
  <c r="C176"/>
  <c r="C208" s="1"/>
  <c r="C214"/>
  <c r="C70"/>
  <c r="C102" s="1"/>
  <c r="J245" l="1"/>
  <c r="J103"/>
  <c r="C213"/>
  <c r="J244"/>
  <c r="AC5" i="75" l="1"/>
  <c r="AA5"/>
  <c r="Z5"/>
  <c r="AE9"/>
  <c r="F16" i="91" l="1"/>
  <c r="D179" i="76" l="1"/>
  <c r="D178" s="1"/>
  <c r="H82" i="91"/>
  <c r="I82" s="1"/>
  <c r="F81"/>
  <c r="F77"/>
  <c r="H79"/>
  <c r="I79" s="1"/>
  <c r="H57"/>
  <c r="I57" s="1"/>
  <c r="H59"/>
  <c r="I59" s="1"/>
  <c r="F44"/>
  <c r="F39"/>
  <c r="H40"/>
  <c r="I40" s="1"/>
  <c r="H95" l="1"/>
  <c r="I95" s="1"/>
  <c r="E29" i="70" l="1"/>
  <c r="B32"/>
  <c r="J11" i="72" l="1"/>
  <c r="P13" i="78" l="1"/>
  <c r="P10" l="1"/>
  <c r="P49"/>
  <c r="P11"/>
  <c r="P12"/>
  <c r="P9"/>
  <c r="J78" l="1"/>
  <c r="D19" i="89" l="1"/>
  <c r="D18"/>
  <c r="D8"/>
  <c r="D10"/>
  <c r="J8"/>
  <c r="J12" s="1"/>
  <c r="D14"/>
  <c r="J19"/>
  <c r="J18"/>
  <c r="K19"/>
  <c r="K18"/>
  <c r="K17"/>
  <c r="K20" s="1"/>
  <c r="J20"/>
  <c r="J16"/>
  <c r="I16"/>
  <c r="K15"/>
  <c r="K14"/>
  <c r="K16" s="1"/>
  <c r="K13"/>
  <c r="K9" l="1"/>
  <c r="K10"/>
  <c r="K11"/>
  <c r="K12"/>
  <c r="K8"/>
  <c r="I12"/>
  <c r="L9"/>
  <c r="L10"/>
  <c r="L11"/>
  <c r="L13"/>
  <c r="L14"/>
  <c r="L15"/>
  <c r="L17"/>
  <c r="L18"/>
  <c r="L19"/>
  <c r="L8"/>
  <c r="V26" i="72"/>
  <c r="V16"/>
  <c r="W26"/>
  <c r="W16"/>
  <c r="N26"/>
  <c r="N16"/>
  <c r="O26"/>
  <c r="O16"/>
  <c r="P26"/>
  <c r="P16"/>
  <c r="Q26"/>
  <c r="Q16"/>
  <c r="R26"/>
  <c r="R16"/>
  <c r="S26"/>
  <c r="S16"/>
  <c r="T26"/>
  <c r="T16"/>
  <c r="U26"/>
  <c r="U16"/>
  <c r="I68" i="78"/>
  <c r="D68"/>
  <c r="B68"/>
  <c r="V36" i="72" l="1"/>
  <c r="O36"/>
  <c r="W36"/>
  <c r="N36"/>
  <c r="U36"/>
  <c r="Q36"/>
  <c r="S36"/>
  <c r="T36"/>
  <c r="R36"/>
  <c r="P36"/>
  <c r="D9" i="90" l="1"/>
  <c r="G65" i="70" l="1"/>
  <c r="K65" s="1"/>
  <c r="G69"/>
  <c r="F68"/>
  <c r="E68"/>
  <c r="D68"/>
  <c r="B68"/>
  <c r="G67"/>
  <c r="F66"/>
  <c r="E66"/>
  <c r="D66"/>
  <c r="B66"/>
  <c r="F63"/>
  <c r="D63"/>
  <c r="D70" s="1"/>
  <c r="B57"/>
  <c r="G60"/>
  <c r="K60" s="1"/>
  <c r="F59"/>
  <c r="E59"/>
  <c r="D59"/>
  <c r="B59"/>
  <c r="F57"/>
  <c r="D57"/>
  <c r="G56"/>
  <c r="F55"/>
  <c r="E55"/>
  <c r="D55"/>
  <c r="B55"/>
  <c r="F45"/>
  <c r="D45"/>
  <c r="G47"/>
  <c r="K47" s="1"/>
  <c r="G46"/>
  <c r="K46" s="1"/>
  <c r="G52"/>
  <c r="K52" s="1"/>
  <c r="F51"/>
  <c r="E51"/>
  <c r="D51"/>
  <c r="B51"/>
  <c r="G50"/>
  <c r="F49"/>
  <c r="E49"/>
  <c r="D49"/>
  <c r="B49"/>
  <c r="G38"/>
  <c r="K38" s="1"/>
  <c r="G37"/>
  <c r="K37" s="1"/>
  <c r="F36"/>
  <c r="D36"/>
  <c r="G42"/>
  <c r="K42" s="1"/>
  <c r="F41"/>
  <c r="E41"/>
  <c r="D41"/>
  <c r="B41"/>
  <c r="G40"/>
  <c r="F39"/>
  <c r="E39"/>
  <c r="D39"/>
  <c r="B39"/>
  <c r="G39" l="1"/>
  <c r="K39" s="1"/>
  <c r="K40"/>
  <c r="G55"/>
  <c r="K55" s="1"/>
  <c r="K56"/>
  <c r="G68"/>
  <c r="K68" s="1"/>
  <c r="K69"/>
  <c r="G66"/>
  <c r="K66" s="1"/>
  <c r="K67"/>
  <c r="G49"/>
  <c r="K49" s="1"/>
  <c r="K50"/>
  <c r="F70"/>
  <c r="E63"/>
  <c r="E70" s="1"/>
  <c r="G64"/>
  <c r="K64" s="1"/>
  <c r="B63"/>
  <c r="B70" s="1"/>
  <c r="G59"/>
  <c r="B45"/>
  <c r="E45"/>
  <c r="G48"/>
  <c r="G51"/>
  <c r="K51" s="1"/>
  <c r="E36"/>
  <c r="G36"/>
  <c r="K36" s="1"/>
  <c r="B36"/>
  <c r="G41"/>
  <c r="K41" s="1"/>
  <c r="G45" l="1"/>
  <c r="K45" s="1"/>
  <c r="K48"/>
  <c r="G63"/>
  <c r="K63" s="1"/>
  <c r="G58"/>
  <c r="K58" s="1"/>
  <c r="E57"/>
  <c r="H8" i="72" l="1"/>
  <c r="I8" s="1"/>
  <c r="G70" i="70"/>
  <c r="K70" s="1"/>
  <c r="G57"/>
  <c r="K57" s="1"/>
  <c r="I233" i="109"/>
  <c r="H233"/>
  <c r="G233"/>
  <c r="H85" i="91"/>
  <c r="F84"/>
  <c r="H78"/>
  <c r="P38" i="78"/>
  <c r="P46"/>
  <c r="P74"/>
  <c r="P98"/>
  <c r="F31" i="91"/>
  <c r="H46"/>
  <c r="I46" s="1"/>
  <c r="J87" i="78"/>
  <c r="J121"/>
  <c r="J90"/>
  <c r="J81"/>
  <c r="J68"/>
  <c r="J99"/>
  <c r="I30"/>
  <c r="D30"/>
  <c r="B30"/>
  <c r="H48" i="91"/>
  <c r="I48" s="1"/>
  <c r="H42"/>
  <c r="I42" s="1"/>
  <c r="H35"/>
  <c r="I35" s="1"/>
  <c r="H34"/>
  <c r="I34" s="1"/>
  <c r="H33"/>
  <c r="I33" s="1"/>
  <c r="H28"/>
  <c r="I28" s="1"/>
  <c r="H25"/>
  <c r="I25" s="1"/>
  <c r="H22"/>
  <c r="I22" s="1"/>
  <c r="H20"/>
  <c r="I20" s="1"/>
  <c r="H18"/>
  <c r="I18" s="1"/>
  <c r="H16"/>
  <c r="I16" s="1"/>
  <c r="H14"/>
  <c r="I14" s="1"/>
  <c r="H12"/>
  <c r="I12" s="1"/>
  <c r="H10"/>
  <c r="I10" s="1"/>
  <c r="H64"/>
  <c r="H67"/>
  <c r="H70"/>
  <c r="I70" s="1"/>
  <c r="H91"/>
  <c r="I91" s="1"/>
  <c r="F75"/>
  <c r="H55"/>
  <c r="A217" i="85"/>
  <c r="C14" i="90"/>
  <c r="C18"/>
  <c r="C19"/>
  <c r="C20"/>
  <c r="C21"/>
  <c r="C22"/>
  <c r="C23"/>
  <c r="C24"/>
  <c r="C25"/>
  <c r="C26"/>
  <c r="C28"/>
  <c r="C29"/>
  <c r="C30"/>
  <c r="C31"/>
  <c r="C32"/>
  <c r="C33"/>
  <c r="C34"/>
  <c r="C35"/>
  <c r="C36"/>
  <c r="F7" i="91"/>
  <c r="F74"/>
  <c r="E8" i="89"/>
  <c r="F8" s="1"/>
  <c r="D9"/>
  <c r="E9" s="1"/>
  <c r="E10"/>
  <c r="F10" s="1"/>
  <c r="D11"/>
  <c r="E11" s="1"/>
  <c r="C12"/>
  <c r="L12" s="1"/>
  <c r="D13"/>
  <c r="E13"/>
  <c r="M13" s="1"/>
  <c r="E14"/>
  <c r="D15"/>
  <c r="E15" s="1"/>
  <c r="C16"/>
  <c r="L16" s="1"/>
  <c r="D17"/>
  <c r="E17" s="1"/>
  <c r="F17" s="1"/>
  <c r="E19"/>
  <c r="C20"/>
  <c r="L20" s="1"/>
  <c r="H13" i="88"/>
  <c r="H14"/>
  <c r="H15"/>
  <c r="H16"/>
  <c r="H17"/>
  <c r="H18"/>
  <c r="C19"/>
  <c r="H19" s="1"/>
  <c r="D19"/>
  <c r="E19"/>
  <c r="F19"/>
  <c r="G19"/>
  <c r="A9" i="84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J30" i="78"/>
  <c r="J36"/>
  <c r="B36"/>
  <c r="D36"/>
  <c r="I36"/>
  <c r="B81"/>
  <c r="D81"/>
  <c r="I81"/>
  <c r="J84"/>
  <c r="B84"/>
  <c r="D84"/>
  <c r="I84"/>
  <c r="B90"/>
  <c r="D90"/>
  <c r="I90"/>
  <c r="J109"/>
  <c r="B109"/>
  <c r="D109"/>
  <c r="I109"/>
  <c r="J112"/>
  <c r="B112"/>
  <c r="D112"/>
  <c r="I112"/>
  <c r="J115"/>
  <c r="B115"/>
  <c r="D115"/>
  <c r="I115"/>
  <c r="J118"/>
  <c r="B118"/>
  <c r="D118"/>
  <c r="I118"/>
  <c r="B121"/>
  <c r="D121"/>
  <c r="I121"/>
  <c r="D12" i="76"/>
  <c r="D11" s="1"/>
  <c r="D25"/>
  <c r="D32"/>
  <c r="D44"/>
  <c r="D51"/>
  <c r="D50" s="1"/>
  <c r="D58"/>
  <c r="D64"/>
  <c r="D224"/>
  <c r="E79"/>
  <c r="D88"/>
  <c r="D87" s="1"/>
  <c r="D86" s="1"/>
  <c r="E94"/>
  <c r="D230"/>
  <c r="D110"/>
  <c r="D116"/>
  <c r="D123"/>
  <c r="D146"/>
  <c r="D132" s="1"/>
  <c r="D150"/>
  <c r="D149" s="1"/>
  <c r="D159"/>
  <c r="D165"/>
  <c r="D177"/>
  <c r="D227"/>
  <c r="D225" s="1"/>
  <c r="E184"/>
  <c r="D234"/>
  <c r="E199"/>
  <c r="D223"/>
  <c r="D222" s="1"/>
  <c r="D226"/>
  <c r="D233"/>
  <c r="D232" s="1"/>
  <c r="D242"/>
  <c r="AE4" i="75"/>
  <c r="AE5"/>
  <c r="AE6"/>
  <c r="S7"/>
  <c r="U7" s="1"/>
  <c r="AE7"/>
  <c r="S8"/>
  <c r="U8" s="1"/>
  <c r="AE8"/>
  <c r="S9"/>
  <c r="AE10"/>
  <c r="S10"/>
  <c r="U10" s="1"/>
  <c r="Z11"/>
  <c r="AA11"/>
  <c r="AB11"/>
  <c r="AC11"/>
  <c r="AD11"/>
  <c r="S11"/>
  <c r="S12"/>
  <c r="U12" s="1"/>
  <c r="S13"/>
  <c r="U13" s="1"/>
  <c r="S14"/>
  <c r="S15"/>
  <c r="G16"/>
  <c r="H16"/>
  <c r="I16"/>
  <c r="J16"/>
  <c r="K16"/>
  <c r="L16"/>
  <c r="M16"/>
  <c r="N16"/>
  <c r="O16"/>
  <c r="P16"/>
  <c r="Q16"/>
  <c r="R16"/>
  <c r="S18"/>
  <c r="U18" s="1"/>
  <c r="S19"/>
  <c r="U19" s="1"/>
  <c r="S20"/>
  <c r="S21"/>
  <c r="U21" s="1"/>
  <c r="S22"/>
  <c r="S23"/>
  <c r="U23" s="1"/>
  <c r="S24"/>
  <c r="S25"/>
  <c r="S26"/>
  <c r="S27"/>
  <c r="G28"/>
  <c r="H28"/>
  <c r="I28"/>
  <c r="J28"/>
  <c r="K28"/>
  <c r="L28"/>
  <c r="M28"/>
  <c r="N28"/>
  <c r="O28"/>
  <c r="P28"/>
  <c r="Q28"/>
  <c r="Q29" s="1"/>
  <c r="R28"/>
  <c r="D9" i="73"/>
  <c r="I9"/>
  <c r="J9"/>
  <c r="K9"/>
  <c r="L9"/>
  <c r="D11"/>
  <c r="I11"/>
  <c r="J11"/>
  <c r="K11"/>
  <c r="L11"/>
  <c r="I13"/>
  <c r="J13"/>
  <c r="K13"/>
  <c r="L13"/>
  <c r="D15"/>
  <c r="I15"/>
  <c r="J15"/>
  <c r="K15"/>
  <c r="L15"/>
  <c r="L40"/>
  <c r="I10" i="72"/>
  <c r="K11"/>
  <c r="L11" s="1"/>
  <c r="M11" s="1"/>
  <c r="N11" s="1"/>
  <c r="O11" s="1"/>
  <c r="P11" s="1"/>
  <c r="Q11" s="1"/>
  <c r="R11" s="1"/>
  <c r="S11" s="1"/>
  <c r="T11" s="1"/>
  <c r="U11" s="1"/>
  <c r="V11" s="1"/>
  <c r="W11" s="1"/>
  <c r="X11" s="1"/>
  <c r="Y11" s="1"/>
  <c r="G16"/>
  <c r="H16"/>
  <c r="I16"/>
  <c r="K16"/>
  <c r="L16"/>
  <c r="M16"/>
  <c r="X16"/>
  <c r="X36" s="1"/>
  <c r="Y16"/>
  <c r="G26"/>
  <c r="H26"/>
  <c r="H36" s="1"/>
  <c r="I26"/>
  <c r="K26"/>
  <c r="L26"/>
  <c r="M26"/>
  <c r="X26"/>
  <c r="Y26"/>
  <c r="I36"/>
  <c r="D18" i="70"/>
  <c r="F18"/>
  <c r="B20"/>
  <c r="D20"/>
  <c r="E20"/>
  <c r="F20"/>
  <c r="G21"/>
  <c r="D32"/>
  <c r="E32"/>
  <c r="F32"/>
  <c r="G33"/>
  <c r="D43"/>
  <c r="F43"/>
  <c r="B53"/>
  <c r="D53"/>
  <c r="F53"/>
  <c r="D61"/>
  <c r="F61"/>
  <c r="D79"/>
  <c r="D83" s="1"/>
  <c r="D85" s="1"/>
  <c r="E79"/>
  <c r="E83" s="1"/>
  <c r="E85" s="1"/>
  <c r="O25" i="69"/>
  <c r="P25"/>
  <c r="Q25"/>
  <c r="G26"/>
  <c r="H26"/>
  <c r="I26"/>
  <c r="O25" i="68"/>
  <c r="P25"/>
  <c r="Q25"/>
  <c r="G26"/>
  <c r="H26"/>
  <c r="I26"/>
  <c r="H233" i="97"/>
  <c r="H233" i="67"/>
  <c r="H146" i="66"/>
  <c r="H233"/>
  <c r="I233"/>
  <c r="H233" i="65"/>
  <c r="I233"/>
  <c r="H230" i="66"/>
  <c r="I230"/>
  <c r="I194" i="67"/>
  <c r="I193" s="1"/>
  <c r="I192" s="1"/>
  <c r="I234"/>
  <c r="I234" i="97"/>
  <c r="G230" i="67"/>
  <c r="I194" i="66"/>
  <c r="I193" s="1"/>
  <c r="I192" s="1"/>
  <c r="G230" i="97"/>
  <c r="I194" i="65"/>
  <c r="I193" s="1"/>
  <c r="I192" s="1"/>
  <c r="G230" i="66"/>
  <c r="H194" i="67"/>
  <c r="H193" s="1"/>
  <c r="H192" s="1"/>
  <c r="H234"/>
  <c r="H232" s="1"/>
  <c r="H234" i="66"/>
  <c r="C233" i="64"/>
  <c r="G233"/>
  <c r="G233" i="65"/>
  <c r="G194"/>
  <c r="G193" s="1"/>
  <c r="G192" s="1"/>
  <c r="G233" i="97"/>
  <c r="G194"/>
  <c r="G193" s="1"/>
  <c r="G192" s="1"/>
  <c r="G233" i="67"/>
  <c r="H194" i="65"/>
  <c r="H193" s="1"/>
  <c r="H192" s="1"/>
  <c r="G233" i="66"/>
  <c r="H234" i="97"/>
  <c r="G194" i="66"/>
  <c r="G193" s="1"/>
  <c r="G192" s="1"/>
  <c r="G234" i="67"/>
  <c r="G234" i="97"/>
  <c r="F73" i="91"/>
  <c r="F62" s="1"/>
  <c r="H74"/>
  <c r="I74" s="1"/>
  <c r="I101" i="78"/>
  <c r="B18" i="70"/>
  <c r="G19"/>
  <c r="K19" s="1"/>
  <c r="E18"/>
  <c r="E22" s="1"/>
  <c r="G194" i="67"/>
  <c r="G193" s="1"/>
  <c r="G192" s="1"/>
  <c r="I234" i="65"/>
  <c r="I233" i="97"/>
  <c r="C233"/>
  <c r="G234" i="65"/>
  <c r="G234" i="66"/>
  <c r="AE11" i="75"/>
  <c r="D194" i="76"/>
  <c r="D193" s="1"/>
  <c r="D192" s="1"/>
  <c r="D73"/>
  <c r="D72" s="1"/>
  <c r="D71" s="1"/>
  <c r="D231"/>
  <c r="D229" s="1"/>
  <c r="C9" i="90"/>
  <c r="A38" i="84" l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36"/>
  <c r="A37" s="1"/>
  <c r="I70" i="78"/>
  <c r="D70"/>
  <c r="B70"/>
  <c r="J70"/>
  <c r="M29" i="75"/>
  <c r="O29"/>
  <c r="G18" i="70"/>
  <c r="K18" s="1"/>
  <c r="G20"/>
  <c r="K20" s="1"/>
  <c r="K21"/>
  <c r="G32"/>
  <c r="K32" s="1"/>
  <c r="K33"/>
  <c r="G29" i="75"/>
  <c r="G30" s="1"/>
  <c r="P29"/>
  <c r="S16"/>
  <c r="U16" s="1"/>
  <c r="R29"/>
  <c r="N29"/>
  <c r="K29"/>
  <c r="J29"/>
  <c r="S28"/>
  <c r="U28" s="1"/>
  <c r="J45" i="73"/>
  <c r="L66" i="77"/>
  <c r="H146" i="67"/>
  <c r="G24" i="61"/>
  <c r="K24" s="1"/>
  <c r="I232" i="97"/>
  <c r="F9" i="90"/>
  <c r="E9"/>
  <c r="K13" i="72"/>
  <c r="L13" s="1"/>
  <c r="M13" s="1"/>
  <c r="N13" s="1"/>
  <c r="O13" s="1"/>
  <c r="P13" s="1"/>
  <c r="Q13" s="1"/>
  <c r="R13" s="1"/>
  <c r="S13" s="1"/>
  <c r="T13" s="1"/>
  <c r="U13" s="1"/>
  <c r="V13" s="1"/>
  <c r="W13" s="1"/>
  <c r="X13" s="1"/>
  <c r="Y13" s="1"/>
  <c r="J13"/>
  <c r="K10"/>
  <c r="L10" s="1"/>
  <c r="M10" s="1"/>
  <c r="N10" s="1"/>
  <c r="O10" s="1"/>
  <c r="P10" s="1"/>
  <c r="Q10" s="1"/>
  <c r="R10" s="1"/>
  <c r="S10" s="1"/>
  <c r="T10" s="1"/>
  <c r="U10" s="1"/>
  <c r="V10" s="1"/>
  <c r="W10" s="1"/>
  <c r="X10" s="1"/>
  <c r="Y10" s="1"/>
  <c r="J10"/>
  <c r="I151" i="61"/>
  <c r="G146" i="66"/>
  <c r="G132" s="1"/>
  <c r="L29" i="75"/>
  <c r="H29"/>
  <c r="I29"/>
  <c r="D109" i="76"/>
  <c r="G206" i="61"/>
  <c r="I204"/>
  <c r="H203"/>
  <c r="G202"/>
  <c r="I89"/>
  <c r="H146" i="97"/>
  <c r="I24" i="61"/>
  <c r="H36" i="91"/>
  <c r="I36" s="1"/>
  <c r="I78"/>
  <c r="H75"/>
  <c r="I75" s="1"/>
  <c r="F5"/>
  <c r="I226" i="67"/>
  <c r="G226" i="109"/>
  <c r="I226"/>
  <c r="I226" i="97"/>
  <c r="H226" i="67"/>
  <c r="G146"/>
  <c r="D221" i="76"/>
  <c r="D228"/>
  <c r="B101" i="78"/>
  <c r="H56" i="91"/>
  <c r="I146" i="97"/>
  <c r="F22" i="70"/>
  <c r="D10" i="76"/>
  <c r="D70" s="1"/>
  <c r="G115" i="61"/>
  <c r="K115" s="1"/>
  <c r="M36" i="72"/>
  <c r="D207" i="76"/>
  <c r="G198" i="61"/>
  <c r="I196"/>
  <c r="H195"/>
  <c r="I93"/>
  <c r="H123" i="66"/>
  <c r="I198" i="61"/>
  <c r="H197"/>
  <c r="G196"/>
  <c r="I206"/>
  <c r="H205"/>
  <c r="G204"/>
  <c r="I202"/>
  <c r="H201"/>
  <c r="G200"/>
  <c r="I197"/>
  <c r="H196"/>
  <c r="G195"/>
  <c r="I160"/>
  <c r="H117"/>
  <c r="C230" i="97"/>
  <c r="G91" i="61"/>
  <c r="I57"/>
  <c r="M19" i="89"/>
  <c r="F19"/>
  <c r="M17"/>
  <c r="D20"/>
  <c r="E18"/>
  <c r="M14"/>
  <c r="F14"/>
  <c r="M15"/>
  <c r="F15"/>
  <c r="D16"/>
  <c r="F13"/>
  <c r="E16"/>
  <c r="M16" s="1"/>
  <c r="M11"/>
  <c r="F11"/>
  <c r="M10"/>
  <c r="M9"/>
  <c r="F9"/>
  <c r="M8"/>
  <c r="E12"/>
  <c r="M12" s="1"/>
  <c r="D12"/>
  <c r="A218" i="85"/>
  <c r="A219" s="1"/>
  <c r="H233" i="64"/>
  <c r="H200" i="61"/>
  <c r="H240"/>
  <c r="G160"/>
  <c r="K160" s="1"/>
  <c r="H139"/>
  <c r="I115"/>
  <c r="I111"/>
  <c r="G57"/>
  <c r="K57" s="1"/>
  <c r="I205"/>
  <c r="H204"/>
  <c r="G203"/>
  <c r="I201"/>
  <c r="H90"/>
  <c r="I96"/>
  <c r="H97"/>
  <c r="I233" i="64"/>
  <c r="I200" i="61"/>
  <c r="I240"/>
  <c r="I139"/>
  <c r="H57"/>
  <c r="H198"/>
  <c r="G197"/>
  <c r="I195"/>
  <c r="H96"/>
  <c r="I92"/>
  <c r="H93"/>
  <c r="I95"/>
  <c r="G97"/>
  <c r="H206"/>
  <c r="G205"/>
  <c r="I203"/>
  <c r="H202"/>
  <c r="G201"/>
  <c r="G90"/>
  <c r="H89"/>
  <c r="H92"/>
  <c r="G93"/>
  <c r="H95"/>
  <c r="G96"/>
  <c r="H99"/>
  <c r="G240"/>
  <c r="K240" s="1"/>
  <c r="G139"/>
  <c r="K139" s="1"/>
  <c r="H115"/>
  <c r="H111"/>
  <c r="G89"/>
  <c r="K89" s="1"/>
  <c r="I90"/>
  <c r="H91"/>
  <c r="G92"/>
  <c r="I97"/>
  <c r="H98"/>
  <c r="K45" i="73"/>
  <c r="I45"/>
  <c r="L36" i="72"/>
  <c r="Y36"/>
  <c r="K36"/>
  <c r="G36"/>
  <c r="Z26"/>
  <c r="B123" i="78"/>
  <c r="D123"/>
  <c r="I123"/>
  <c r="D101"/>
  <c r="J123"/>
  <c r="J101"/>
  <c r="P35"/>
  <c r="D215" i="76"/>
  <c r="D101"/>
  <c r="D45" i="73"/>
  <c r="L45"/>
  <c r="Z16" i="72"/>
  <c r="C27" i="90"/>
  <c r="C17"/>
  <c r="E34" i="70"/>
  <c r="B61"/>
  <c r="G12" i="66"/>
  <c r="G11" s="1"/>
  <c r="G242"/>
  <c r="K242" s="1"/>
  <c r="H242" i="67"/>
  <c r="C233"/>
  <c r="G165"/>
  <c r="I150"/>
  <c r="I242"/>
  <c r="I242" i="66"/>
  <c r="H223"/>
  <c r="C230" i="67"/>
  <c r="H159"/>
  <c r="G232" i="66"/>
  <c r="G232" i="65"/>
  <c r="G150" i="67"/>
  <c r="K150" s="1"/>
  <c r="G150" i="66"/>
  <c r="K150" s="1"/>
  <c r="G123"/>
  <c r="G111" i="61"/>
  <c r="K111" s="1"/>
  <c r="H58" i="66"/>
  <c r="I223" i="109"/>
  <c r="G44" i="66"/>
  <c r="G231" i="64"/>
  <c r="K231" s="1"/>
  <c r="H230" i="65"/>
  <c r="G230"/>
  <c r="I231" i="64"/>
  <c r="H24" i="61"/>
  <c r="G159" i="66"/>
  <c r="G151" i="61"/>
  <c r="K151" s="1"/>
  <c r="H150" i="67"/>
  <c r="G58" i="66"/>
  <c r="I32"/>
  <c r="I223" i="67"/>
  <c r="I12"/>
  <c r="I11" s="1"/>
  <c r="H51"/>
  <c r="H51" i="66"/>
  <c r="I12"/>
  <c r="I11" s="1"/>
  <c r="H159"/>
  <c r="H226" i="109"/>
  <c r="G159" i="67"/>
  <c r="K159" s="1"/>
  <c r="B43" i="70"/>
  <c r="I100" i="61"/>
  <c r="I44" i="66"/>
  <c r="H160" i="61"/>
  <c r="G98"/>
  <c r="I99"/>
  <c r="G100"/>
  <c r="I123" i="67"/>
  <c r="H64" i="66"/>
  <c r="H230" i="97"/>
  <c r="I146" i="67"/>
  <c r="H64"/>
  <c r="G230" i="109"/>
  <c r="H230" i="67"/>
  <c r="I58"/>
  <c r="H170" i="61"/>
  <c r="I230" i="67"/>
  <c r="G232"/>
  <c r="G242" i="109"/>
  <c r="K242" s="1"/>
  <c r="C233" i="66"/>
  <c r="G232" i="97"/>
  <c r="G242" i="67"/>
  <c r="K242" s="1"/>
  <c r="G146" i="97"/>
  <c r="I110" i="109"/>
  <c r="H159"/>
  <c r="G234"/>
  <c r="G232" s="1"/>
  <c r="I230" i="97"/>
  <c r="H12" i="66"/>
  <c r="H11" s="1"/>
  <c r="I232" i="65"/>
  <c r="H234"/>
  <c r="H232" s="1"/>
  <c r="I230" i="109"/>
  <c r="I234"/>
  <c r="I232" s="1"/>
  <c r="I242"/>
  <c r="H165" i="67"/>
  <c r="H230" i="109"/>
  <c r="H234"/>
  <c r="H232" s="1"/>
  <c r="H242"/>
  <c r="I146"/>
  <c r="I194"/>
  <c r="I193" s="1"/>
  <c r="I192" s="1"/>
  <c r="H110"/>
  <c r="H194"/>
  <c r="H193" s="1"/>
  <c r="H192" s="1"/>
  <c r="G194"/>
  <c r="G193" s="1"/>
  <c r="G192" s="1"/>
  <c r="I234" i="66"/>
  <c r="I232" s="1"/>
  <c r="I233" i="67"/>
  <c r="I194" i="97"/>
  <c r="I193" s="1"/>
  <c r="I192" s="1"/>
  <c r="H194"/>
  <c r="H193" s="1"/>
  <c r="H192" s="1"/>
  <c r="H232" i="66"/>
  <c r="H194"/>
  <c r="H193" s="1"/>
  <c r="H232" i="97"/>
  <c r="E53" i="70"/>
  <c r="H230" i="64"/>
  <c r="I146" i="66"/>
  <c r="E61" i="70"/>
  <c r="I159" i="66"/>
  <c r="A74" i="84" l="1"/>
  <c r="A75"/>
  <c r="A76" s="1"/>
  <c r="A77" s="1"/>
  <c r="A78" s="1"/>
  <c r="A79" s="1"/>
  <c r="A80" s="1"/>
  <c r="H30" i="75"/>
  <c r="I30" s="1"/>
  <c r="J30" s="1"/>
  <c r="K30" s="1"/>
  <c r="L30" s="1"/>
  <c r="M30" s="1"/>
  <c r="N30" s="1"/>
  <c r="O30" s="1"/>
  <c r="P30" s="1"/>
  <c r="Q30" s="1"/>
  <c r="R30" s="1"/>
  <c r="G24" i="69"/>
  <c r="O17" i="68"/>
  <c r="G22" i="69"/>
  <c r="O31"/>
  <c r="O23"/>
  <c r="O24"/>
  <c r="G28"/>
  <c r="O29"/>
  <c r="O12" i="68"/>
  <c r="G10"/>
  <c r="G21" i="69"/>
  <c r="G25"/>
  <c r="O22"/>
  <c r="O28"/>
  <c r="O12"/>
  <c r="G23"/>
  <c r="S29" i="75"/>
  <c r="Q12" i="68"/>
  <c r="Q29" i="69"/>
  <c r="Q21"/>
  <c r="Q17" i="68"/>
  <c r="Q10"/>
  <c r="Q23" i="69"/>
  <c r="Q30"/>
  <c r="Q10"/>
  <c r="I22"/>
  <c r="I21"/>
  <c r="Q27"/>
  <c r="Q28"/>
  <c r="I28"/>
  <c r="Q12"/>
  <c r="Q24"/>
  <c r="I29"/>
  <c r="Q31"/>
  <c r="Q32"/>
  <c r="I10" i="68"/>
  <c r="H25" i="69"/>
  <c r="P30"/>
  <c r="P26"/>
  <c r="D233" i="61"/>
  <c r="H29" i="69"/>
  <c r="P14" i="68"/>
  <c r="P21" i="69"/>
  <c r="P10" i="68"/>
  <c r="H31" i="69"/>
  <c r="H24"/>
  <c r="P28"/>
  <c r="P29"/>
  <c r="P12" i="68"/>
  <c r="P32" i="69"/>
  <c r="P24"/>
  <c r="P17" i="68"/>
  <c r="P27" i="69"/>
  <c r="D220" i="76"/>
  <c r="D214"/>
  <c r="K244" s="1"/>
  <c r="K245"/>
  <c r="D176"/>
  <c r="D208" s="1"/>
  <c r="E57"/>
  <c r="E240"/>
  <c r="G231" i="61"/>
  <c r="I230" i="64"/>
  <c r="I229" s="1"/>
  <c r="H233" i="61"/>
  <c r="I110" i="67"/>
  <c r="G226" i="97"/>
  <c r="G226" i="67"/>
  <c r="H226" i="66"/>
  <c r="G226"/>
  <c r="H110" i="67"/>
  <c r="H110" i="66"/>
  <c r="I110"/>
  <c r="C242" i="67"/>
  <c r="C242" i="66"/>
  <c r="C146" i="97"/>
  <c r="C146" i="67"/>
  <c r="H132"/>
  <c r="H58"/>
  <c r="H50" s="1"/>
  <c r="G149"/>
  <c r="K149" s="1"/>
  <c r="H242" i="66"/>
  <c r="I64"/>
  <c r="H64" i="109"/>
  <c r="G110" i="97"/>
  <c r="H110"/>
  <c r="K110" s="1"/>
  <c r="G123" i="67"/>
  <c r="G25" i="66"/>
  <c r="H116"/>
  <c r="I223"/>
  <c r="H146" i="109"/>
  <c r="H132" s="1"/>
  <c r="G170" i="61"/>
  <c r="I170"/>
  <c r="M18" i="89"/>
  <c r="E20"/>
  <c r="M20" s="1"/>
  <c r="F18"/>
  <c r="F20" s="1"/>
  <c r="F16"/>
  <c r="F12"/>
  <c r="A220" i="85"/>
  <c r="A221" s="1"/>
  <c r="G99" i="61"/>
  <c r="C230" i="64"/>
  <c r="G95" i="61"/>
  <c r="G117"/>
  <c r="K117" s="1"/>
  <c r="P12" i="69"/>
  <c r="I32"/>
  <c r="H100" i="61"/>
  <c r="H151"/>
  <c r="I98"/>
  <c r="I117"/>
  <c r="I88" i="64"/>
  <c r="I87" s="1"/>
  <c r="I86" s="1"/>
  <c r="I91" i="61"/>
  <c r="P14" i="69"/>
  <c r="Z36" i="72"/>
  <c r="C37" i="90"/>
  <c r="D102" i="76"/>
  <c r="I132" i="67"/>
  <c r="G132"/>
  <c r="H123"/>
  <c r="H51" i="109"/>
  <c r="I25"/>
  <c r="H51" i="97"/>
  <c r="G227" i="109"/>
  <c r="G225" s="1"/>
  <c r="I51" i="67"/>
  <c r="I32"/>
  <c r="I123" i="66"/>
  <c r="H25" i="67"/>
  <c r="H50" i="66"/>
  <c r="G88" i="64"/>
  <c r="K88" s="1"/>
  <c r="H123" i="109"/>
  <c r="H22" i="69"/>
  <c r="I25" i="97"/>
  <c r="H25"/>
  <c r="K25" s="1"/>
  <c r="H25" i="109"/>
  <c r="H223" i="67"/>
  <c r="C12" i="66"/>
  <c r="C11" s="1"/>
  <c r="I44" i="67"/>
  <c r="G12"/>
  <c r="G11" s="1"/>
  <c r="I64"/>
  <c r="I223" i="97"/>
  <c r="I51" i="66"/>
  <c r="H116" i="109"/>
  <c r="I226" i="66"/>
  <c r="H21" i="69"/>
  <c r="I230" i="65"/>
  <c r="E43" i="70"/>
  <c r="G230" i="64"/>
  <c r="G32" i="69"/>
  <c r="H88" i="64"/>
  <c r="H87" s="1"/>
  <c r="H86" s="1"/>
  <c r="H231"/>
  <c r="H229" s="1"/>
  <c r="G44" i="67"/>
  <c r="K44" s="1"/>
  <c r="I165" i="109"/>
  <c r="G30" i="69"/>
  <c r="I27"/>
  <c r="I12" i="109"/>
  <c r="I11" s="1"/>
  <c r="C194" i="67"/>
  <c r="H150" i="66"/>
  <c r="G165"/>
  <c r="G149" s="1"/>
  <c r="K149" s="1"/>
  <c r="I242" i="97"/>
  <c r="H165" i="66"/>
  <c r="G32" i="67"/>
  <c r="K32" s="1"/>
  <c r="G132" i="97"/>
  <c r="I64" i="109"/>
  <c r="H226" i="97"/>
  <c r="H58" i="109"/>
  <c r="C234" i="67"/>
  <c r="H12"/>
  <c r="H11" s="1"/>
  <c r="I150" i="109"/>
  <c r="I44"/>
  <c r="H44" i="66"/>
  <c r="H30" i="69"/>
  <c r="G150" i="109"/>
  <c r="K150" s="1"/>
  <c r="H223" i="97"/>
  <c r="K223" s="1"/>
  <c r="G194" i="61"/>
  <c r="I51" i="109"/>
  <c r="H132" i="66"/>
  <c r="I159" i="109"/>
  <c r="H150"/>
  <c r="H44"/>
  <c r="I132"/>
  <c r="G123"/>
  <c r="H165"/>
  <c r="C234" i="66"/>
  <c r="C232" s="1"/>
  <c r="G159" i="109"/>
  <c r="I123"/>
  <c r="G165"/>
  <c r="I123" i="97"/>
  <c r="G64" i="66"/>
  <c r="O10" i="68"/>
  <c r="I58" i="97"/>
  <c r="G123"/>
  <c r="I12"/>
  <c r="I11" s="1"/>
  <c r="G51"/>
  <c r="H64"/>
  <c r="H12"/>
  <c r="H11" s="1"/>
  <c r="K11" s="1"/>
  <c r="H44"/>
  <c r="H44" i="67"/>
  <c r="I159" i="97"/>
  <c r="H28" i="69"/>
  <c r="H123" i="97"/>
  <c r="G242"/>
  <c r="H116"/>
  <c r="K116" s="1"/>
  <c r="G64"/>
  <c r="I64"/>
  <c r="G58" i="67"/>
  <c r="K58" s="1"/>
  <c r="H132" i="97"/>
  <c r="K132" s="1"/>
  <c r="H165"/>
  <c r="G58"/>
  <c r="H150"/>
  <c r="G12"/>
  <c r="G11" s="1"/>
  <c r="I165"/>
  <c r="H159"/>
  <c r="G44"/>
  <c r="I44"/>
  <c r="I132"/>
  <c r="H242"/>
  <c r="I58" i="109"/>
  <c r="H231" i="61"/>
  <c r="C194" i="66"/>
  <c r="C193" s="1"/>
  <c r="C192" s="1"/>
  <c r="O30" i="69"/>
  <c r="I31"/>
  <c r="O27"/>
  <c r="C123" i="67"/>
  <c r="O32" i="69"/>
  <c r="H149" i="67"/>
  <c r="C230" i="66"/>
  <c r="O21" i="69"/>
  <c r="G234" i="61"/>
  <c r="H27" i="69"/>
  <c r="C146" i="66"/>
  <c r="C132" s="1"/>
  <c r="O26" i="69"/>
  <c r="G233" i="61"/>
  <c r="C234" i="109"/>
  <c r="C194"/>
  <c r="C233"/>
  <c r="C242"/>
  <c r="C226"/>
  <c r="C230"/>
  <c r="I132" i="66"/>
  <c r="H230" i="61"/>
  <c r="H23" i="69"/>
  <c r="H88" i="61"/>
  <c r="G29" i="69"/>
  <c r="E203" i="76"/>
  <c r="I24" i="69"/>
  <c r="Q22"/>
  <c r="I234" i="61"/>
  <c r="I194"/>
  <c r="I193" s="1"/>
  <c r="I192" s="1"/>
  <c r="I231"/>
  <c r="P23" i="69"/>
  <c r="P31"/>
  <c r="H194" i="61"/>
  <c r="H193" s="1"/>
  <c r="H192" s="1"/>
  <c r="P22" i="69"/>
  <c r="H234" i="61"/>
  <c r="H232" s="1"/>
  <c r="Q26" i="69"/>
  <c r="I233" i="61"/>
  <c r="G61" i="70"/>
  <c r="K61" s="1"/>
  <c r="C234" i="97"/>
  <c r="C194"/>
  <c r="I25" i="69"/>
  <c r="G53" i="70"/>
  <c r="K53" s="1"/>
  <c r="H192" i="66"/>
  <c r="I232" i="67"/>
  <c r="S30" i="75" l="1"/>
  <c r="U30" s="1"/>
  <c r="U29"/>
  <c r="O14" i="69"/>
  <c r="G31"/>
  <c r="G193" i="61"/>
  <c r="G88"/>
  <c r="K88" s="1"/>
  <c r="G87" i="64"/>
  <c r="K87" s="1"/>
  <c r="G229"/>
  <c r="K229" s="1"/>
  <c r="K103" i="76"/>
  <c r="I30" i="69"/>
  <c r="Q14"/>
  <c r="I23"/>
  <c r="Q14" i="68"/>
  <c r="D234" i="61"/>
  <c r="H32" i="69"/>
  <c r="D230" i="61"/>
  <c r="D231"/>
  <c r="P10" i="69"/>
  <c r="E99" i="76"/>
  <c r="E139"/>
  <c r="D213"/>
  <c r="E202"/>
  <c r="J8" i="72"/>
  <c r="K8" s="1"/>
  <c r="L8" s="1"/>
  <c r="M8" s="1"/>
  <c r="N8" s="1"/>
  <c r="O8" s="1"/>
  <c r="P8" s="1"/>
  <c r="Q8" s="1"/>
  <c r="R8" s="1"/>
  <c r="S8" s="1"/>
  <c r="T8" s="1"/>
  <c r="U8" s="1"/>
  <c r="V8" s="1"/>
  <c r="W8" s="1"/>
  <c r="X8" s="1"/>
  <c r="Y8" s="1"/>
  <c r="C150" i="67"/>
  <c r="G227"/>
  <c r="G225" s="1"/>
  <c r="G179"/>
  <c r="G178" s="1"/>
  <c r="G177" s="1"/>
  <c r="G207" s="1"/>
  <c r="G227" i="97"/>
  <c r="G225" s="1"/>
  <c r="G179"/>
  <c r="G178" s="1"/>
  <c r="G177" s="1"/>
  <c r="G207" s="1"/>
  <c r="I110"/>
  <c r="G159"/>
  <c r="G150"/>
  <c r="C159" i="66"/>
  <c r="I150" i="97"/>
  <c r="I149" s="1"/>
  <c r="H109" i="66"/>
  <c r="G116"/>
  <c r="K116" s="1"/>
  <c r="G147" i="61"/>
  <c r="K147" s="1"/>
  <c r="G51" i="109"/>
  <c r="G58"/>
  <c r="G64"/>
  <c r="G12"/>
  <c r="G11" s="1"/>
  <c r="G165" i="97"/>
  <c r="G44" i="109"/>
  <c r="H58" i="97"/>
  <c r="H50" s="1"/>
  <c r="I51"/>
  <c r="I50" s="1"/>
  <c r="C123" i="66"/>
  <c r="I147" i="61"/>
  <c r="H147"/>
  <c r="G146" i="109"/>
  <c r="G132" s="1"/>
  <c r="A222" i="85"/>
  <c r="I165" i="66"/>
  <c r="E72" i="70"/>
  <c r="E87" s="1"/>
  <c r="H87" i="61"/>
  <c r="H86" s="1"/>
  <c r="I50" i="67"/>
  <c r="G179" i="109"/>
  <c r="G178" s="1"/>
  <c r="G177" s="1"/>
  <c r="G207" s="1"/>
  <c r="E198" i="76"/>
  <c r="C193" i="67"/>
  <c r="C192" s="1"/>
  <c r="O14" i="68"/>
  <c r="H109" i="109"/>
  <c r="G223" i="66"/>
  <c r="C88" i="64"/>
  <c r="I88" i="61"/>
  <c r="I87" s="1"/>
  <c r="I86" s="1"/>
  <c r="I25" i="66"/>
  <c r="I10" s="1"/>
  <c r="H25"/>
  <c r="E90" i="76"/>
  <c r="H10" i="68"/>
  <c r="O10" i="69"/>
  <c r="C231" i="64"/>
  <c r="C229" s="1"/>
  <c r="G64" i="67"/>
  <c r="I230" i="61"/>
  <c r="I229" s="1"/>
  <c r="G87"/>
  <c r="K87" s="1"/>
  <c r="C12" i="67"/>
  <c r="I149" i="109"/>
  <c r="I58" i="66"/>
  <c r="I50" s="1"/>
  <c r="G51"/>
  <c r="G50" s="1"/>
  <c r="G51" i="67"/>
  <c r="H227" i="66"/>
  <c r="H225" s="1"/>
  <c r="H179"/>
  <c r="H178" s="1"/>
  <c r="H177" s="1"/>
  <c r="H207" s="1"/>
  <c r="I150"/>
  <c r="H149"/>
  <c r="H215" s="1"/>
  <c r="I159" i="67"/>
  <c r="I165"/>
  <c r="C150" i="109"/>
  <c r="H50"/>
  <c r="E89" i="76"/>
  <c r="G223" i="67"/>
  <c r="K223" s="1"/>
  <c r="G43" i="70"/>
  <c r="K43" s="1"/>
  <c r="G27" i="69"/>
  <c r="G20" s="1"/>
  <c r="G19" s="1"/>
  <c r="G18" s="1"/>
  <c r="G230" i="61"/>
  <c r="G229" s="1"/>
  <c r="C165" i="109"/>
  <c r="E160" i="76"/>
  <c r="I50" i="109"/>
  <c r="G223" i="97"/>
  <c r="I227" i="66"/>
  <c r="I225" s="1"/>
  <c r="I179"/>
  <c r="I178" s="1"/>
  <c r="I177" s="1"/>
  <c r="I207" s="1"/>
  <c r="H149" i="109"/>
  <c r="H32" i="66"/>
  <c r="I116"/>
  <c r="I109" s="1"/>
  <c r="H223" i="109"/>
  <c r="H229" i="61"/>
  <c r="H228" s="1"/>
  <c r="G149" i="109"/>
  <c r="K149" s="1"/>
  <c r="C232" i="67"/>
  <c r="C223" i="97"/>
  <c r="C123" i="109"/>
  <c r="C44" i="66"/>
  <c r="H32" i="67"/>
  <c r="H10" s="1"/>
  <c r="H70" s="1"/>
  <c r="C132"/>
  <c r="C159" i="109"/>
  <c r="C132" i="97"/>
  <c r="I32"/>
  <c r="I10" s="1"/>
  <c r="C44"/>
  <c r="C64"/>
  <c r="C123"/>
  <c r="C58" i="67"/>
  <c r="H149" i="97"/>
  <c r="H109"/>
  <c r="K109" s="1"/>
  <c r="E115" i="76"/>
  <c r="C242" i="97"/>
  <c r="E96" i="76"/>
  <c r="C64" i="66"/>
  <c r="C165" i="97"/>
  <c r="I32" i="109"/>
  <c r="I10" s="1"/>
  <c r="E111" i="76"/>
  <c r="C12" i="97"/>
  <c r="C11" s="1"/>
  <c r="G50"/>
  <c r="O20" i="69"/>
  <c r="O19" s="1"/>
  <c r="O18" s="1"/>
  <c r="E206" i="76"/>
  <c r="E201"/>
  <c r="E204"/>
  <c r="H94" i="67"/>
  <c r="H215"/>
  <c r="I232" i="61"/>
  <c r="G232"/>
  <c r="E195" i="76"/>
  <c r="C193" i="109"/>
  <c r="C232"/>
  <c r="C232" i="97"/>
  <c r="E197" i="76"/>
  <c r="C193" i="97"/>
  <c r="C233" i="61"/>
  <c r="E200" i="76"/>
  <c r="E233" s="1"/>
  <c r="P20" i="69"/>
  <c r="P19" s="1"/>
  <c r="P18" s="1"/>
  <c r="Q20"/>
  <c r="Q19" s="1"/>
  <c r="Q18" s="1"/>
  <c r="E93" i="76"/>
  <c r="E205"/>
  <c r="E97"/>
  <c r="E196"/>
  <c r="C234" i="61"/>
  <c r="E92" i="76"/>
  <c r="C231" i="61"/>
  <c r="H20" i="69"/>
  <c r="H19" s="1"/>
  <c r="H18" s="1"/>
  <c r="D232" i="61" l="1"/>
  <c r="G192"/>
  <c r="G86" i="64"/>
  <c r="K86" s="1"/>
  <c r="G86" i="61"/>
  <c r="K86" s="1"/>
  <c r="I20" i="69"/>
  <c r="I19" s="1"/>
  <c r="I18" s="1"/>
  <c r="I35" s="1"/>
  <c r="E233" i="61"/>
  <c r="E234"/>
  <c r="K234" s="1"/>
  <c r="E231"/>
  <c r="K231" s="1"/>
  <c r="D229"/>
  <c r="C226" i="97"/>
  <c r="E95" i="76"/>
  <c r="E100"/>
  <c r="C226" i="67"/>
  <c r="E91" i="76"/>
  <c r="C226" i="66"/>
  <c r="C159" i="97"/>
  <c r="G149"/>
  <c r="G215" s="1"/>
  <c r="C110"/>
  <c r="C44" i="109"/>
  <c r="C64"/>
  <c r="C150" i="97"/>
  <c r="C58"/>
  <c r="C58" i="109"/>
  <c r="C51"/>
  <c r="G50"/>
  <c r="C51" i="97"/>
  <c r="I149" i="66"/>
  <c r="I94" s="1"/>
  <c r="C146" i="109"/>
  <c r="C230" i="61"/>
  <c r="H12" i="109"/>
  <c r="H11" s="1"/>
  <c r="G110"/>
  <c r="K110" s="1"/>
  <c r="A223" i="85"/>
  <c r="C227" i="66"/>
  <c r="E170" i="76"/>
  <c r="E98"/>
  <c r="G228" i="61"/>
  <c r="H10" i="66"/>
  <c r="H214" s="1"/>
  <c r="H213" s="1"/>
  <c r="H176"/>
  <c r="H208" s="1"/>
  <c r="G50" i="67"/>
  <c r="C25" i="66"/>
  <c r="C87" i="64"/>
  <c r="H94" i="66"/>
  <c r="H88" s="1"/>
  <c r="H87" s="1"/>
  <c r="H86" s="1"/>
  <c r="E117" i="76"/>
  <c r="C223" i="66"/>
  <c r="C44" i="67"/>
  <c r="I70" i="66"/>
  <c r="I94" i="109"/>
  <c r="I116"/>
  <c r="I109" s="1"/>
  <c r="I176" s="1"/>
  <c r="I116" i="97"/>
  <c r="I109" s="1"/>
  <c r="C11" i="67"/>
  <c r="H94" i="109"/>
  <c r="H88" s="1"/>
  <c r="H87" s="1"/>
  <c r="H86" s="1"/>
  <c r="H227" i="67"/>
  <c r="H225" s="1"/>
  <c r="H179"/>
  <c r="H178" s="1"/>
  <c r="H177" s="1"/>
  <c r="H207" s="1"/>
  <c r="C149" i="109"/>
  <c r="C64" i="67"/>
  <c r="E151" i="76"/>
  <c r="H176" i="109"/>
  <c r="E24" i="76"/>
  <c r="I228" i="61"/>
  <c r="I215" i="109"/>
  <c r="H215"/>
  <c r="C150" i="66"/>
  <c r="H116" i="67"/>
  <c r="H109" s="1"/>
  <c r="G94" i="66"/>
  <c r="G215"/>
  <c r="K215" s="1"/>
  <c r="C51" i="67"/>
  <c r="I25"/>
  <c r="I10" s="1"/>
  <c r="I70" s="1"/>
  <c r="C51" i="66"/>
  <c r="C58"/>
  <c r="I116" i="67"/>
  <c r="I109" s="1"/>
  <c r="C165" i="66"/>
  <c r="C165" i="67"/>
  <c r="I215" i="97"/>
  <c r="I149" i="67"/>
  <c r="C159"/>
  <c r="G227" i="66"/>
  <c r="G225" s="1"/>
  <c r="G179"/>
  <c r="G178" s="1"/>
  <c r="G177" s="1"/>
  <c r="G207" s="1"/>
  <c r="C223" i="67"/>
  <c r="H215" i="97"/>
  <c r="I227" i="67"/>
  <c r="I225" s="1"/>
  <c r="I179"/>
  <c r="I178" s="1"/>
  <c r="I177" s="1"/>
  <c r="I207" s="1"/>
  <c r="H179" i="97"/>
  <c r="H178" s="1"/>
  <c r="H177" s="1"/>
  <c r="H207" s="1"/>
  <c r="H227"/>
  <c r="H225" s="1"/>
  <c r="I179" i="109"/>
  <c r="I178" s="1"/>
  <c r="I177" s="1"/>
  <c r="I207" s="1"/>
  <c r="I227"/>
  <c r="I225" s="1"/>
  <c r="G25" i="67"/>
  <c r="G10" s="1"/>
  <c r="K10" s="1"/>
  <c r="H179" i="109"/>
  <c r="H178" s="1"/>
  <c r="H177" s="1"/>
  <c r="H207" s="1"/>
  <c r="H227"/>
  <c r="H225" s="1"/>
  <c r="G32" i="97"/>
  <c r="I179"/>
  <c r="I178" s="1"/>
  <c r="I177" s="1"/>
  <c r="I207" s="1"/>
  <c r="I227"/>
  <c r="I225" s="1"/>
  <c r="G25"/>
  <c r="G32" i="66"/>
  <c r="H32" i="97"/>
  <c r="H10" s="1"/>
  <c r="C32" i="67"/>
  <c r="G116" i="97"/>
  <c r="G109" s="1"/>
  <c r="H32" i="109"/>
  <c r="G116"/>
  <c r="K116" s="1"/>
  <c r="G116" i="67"/>
  <c r="K116" s="1"/>
  <c r="E231" i="76"/>
  <c r="P35" i="69"/>
  <c r="I70" i="109"/>
  <c r="G110" i="67"/>
  <c r="H176" i="97"/>
  <c r="K176" s="1"/>
  <c r="G110" i="66"/>
  <c r="H94" i="97"/>
  <c r="I94"/>
  <c r="I70"/>
  <c r="G35" i="69"/>
  <c r="O35"/>
  <c r="H231" i="67"/>
  <c r="H229" s="1"/>
  <c r="H228" s="1"/>
  <c r="H88"/>
  <c r="H87" s="1"/>
  <c r="H86" s="1"/>
  <c r="C192" i="109"/>
  <c r="C192" i="97"/>
  <c r="H35" i="69"/>
  <c r="C232" i="61"/>
  <c r="I214" i="66"/>
  <c r="E194" i="76"/>
  <c r="E193" s="1"/>
  <c r="E192" s="1"/>
  <c r="E234"/>
  <c r="E232" s="1"/>
  <c r="G88" i="66" l="1"/>
  <c r="K94"/>
  <c r="G109"/>
  <c r="K109" s="1"/>
  <c r="K110"/>
  <c r="G10"/>
  <c r="K32"/>
  <c r="G94" i="67"/>
  <c r="K94" s="1"/>
  <c r="K50"/>
  <c r="H214" i="97"/>
  <c r="K214" s="1"/>
  <c r="K10"/>
  <c r="F231" i="61"/>
  <c r="K233"/>
  <c r="F233"/>
  <c r="F234"/>
  <c r="D228"/>
  <c r="G94" i="109"/>
  <c r="K94" s="1"/>
  <c r="Q35" i="69"/>
  <c r="E232" i="61"/>
  <c r="K232" s="1"/>
  <c r="E230"/>
  <c r="E230" i="76"/>
  <c r="E229" s="1"/>
  <c r="E228" s="1"/>
  <c r="E88"/>
  <c r="E87" s="1"/>
  <c r="E86" s="1"/>
  <c r="C229" i="61"/>
  <c r="E147" i="76"/>
  <c r="G176" i="97"/>
  <c r="G208" s="1"/>
  <c r="G94"/>
  <c r="C86" i="64"/>
  <c r="C116" i="66"/>
  <c r="C149" i="97"/>
  <c r="C50" i="109"/>
  <c r="C50" i="97"/>
  <c r="I176" i="66"/>
  <c r="I208" s="1"/>
  <c r="G215" i="109"/>
  <c r="K215" s="1"/>
  <c r="I215" i="66"/>
  <c r="I213" s="1"/>
  <c r="C132" i="109"/>
  <c r="C179" i="66"/>
  <c r="H10" i="109"/>
  <c r="H214" s="1"/>
  <c r="H213" s="1"/>
  <c r="G25"/>
  <c r="C12"/>
  <c r="G32"/>
  <c r="K32" s="1"/>
  <c r="G223"/>
  <c r="G109"/>
  <c r="C110"/>
  <c r="A225" i="85"/>
  <c r="I88" i="109"/>
  <c r="I87" s="1"/>
  <c r="I86" s="1"/>
  <c r="H224" i="66"/>
  <c r="H222" s="1"/>
  <c r="H221" s="1"/>
  <c r="H70"/>
  <c r="H231"/>
  <c r="H229" s="1"/>
  <c r="H228" s="1"/>
  <c r="G231"/>
  <c r="G215" i="67"/>
  <c r="K215" s="1"/>
  <c r="G70"/>
  <c r="K70" s="1"/>
  <c r="H73"/>
  <c r="H72" s="1"/>
  <c r="H71" s="1"/>
  <c r="H101" s="1"/>
  <c r="H102" s="1"/>
  <c r="H231" i="109"/>
  <c r="H229" s="1"/>
  <c r="H228" s="1"/>
  <c r="I231"/>
  <c r="I229" s="1"/>
  <c r="I228" s="1"/>
  <c r="I214"/>
  <c r="I213" s="1"/>
  <c r="K79" i="97"/>
  <c r="I208" i="109"/>
  <c r="H208" i="97"/>
  <c r="K208" s="1"/>
  <c r="I73"/>
  <c r="I72" s="1"/>
  <c r="I71" s="1"/>
  <c r="H208" i="109"/>
  <c r="I176" i="97"/>
  <c r="I208" s="1"/>
  <c r="I214"/>
  <c r="I213" s="1"/>
  <c r="I214" i="67"/>
  <c r="C50" i="66"/>
  <c r="C50" i="67"/>
  <c r="C32" i="97"/>
  <c r="H176" i="67"/>
  <c r="H208" s="1"/>
  <c r="H214"/>
  <c r="H213" s="1"/>
  <c r="C149" i="66"/>
  <c r="C94" s="1"/>
  <c r="C231" s="1"/>
  <c r="C149" i="67"/>
  <c r="C94" s="1"/>
  <c r="I94"/>
  <c r="I215"/>
  <c r="I176"/>
  <c r="I208" s="1"/>
  <c r="I231" i="66"/>
  <c r="I229" s="1"/>
  <c r="I228" s="1"/>
  <c r="I88"/>
  <c r="I87" s="1"/>
  <c r="I86" s="1"/>
  <c r="H70" i="97"/>
  <c r="K70" s="1"/>
  <c r="G10"/>
  <c r="I224" i="67"/>
  <c r="I222" s="1"/>
  <c r="I221" s="1"/>
  <c r="C25" i="109"/>
  <c r="C25" i="97"/>
  <c r="C179" i="109"/>
  <c r="C227"/>
  <c r="C25" i="67"/>
  <c r="C179" i="97"/>
  <c r="C227"/>
  <c r="C227" i="67"/>
  <c r="C179"/>
  <c r="C225" i="66"/>
  <c r="C32"/>
  <c r="G109" i="67"/>
  <c r="C116"/>
  <c r="C116" i="109"/>
  <c r="C116" i="97"/>
  <c r="H88"/>
  <c r="H87" s="1"/>
  <c r="H86" s="1"/>
  <c r="H231"/>
  <c r="H229" s="1"/>
  <c r="H228" s="1"/>
  <c r="I231"/>
  <c r="I229" s="1"/>
  <c r="I228" s="1"/>
  <c r="I88"/>
  <c r="I87" s="1"/>
  <c r="I86" s="1"/>
  <c r="C110" i="66"/>
  <c r="C110" i="67"/>
  <c r="I73" i="66"/>
  <c r="I72" s="1"/>
  <c r="I71" s="1"/>
  <c r="I224"/>
  <c r="I222" s="1"/>
  <c r="I221" s="1"/>
  <c r="C27" i="75"/>
  <c r="G87" i="66" l="1"/>
  <c r="K88"/>
  <c r="G229"/>
  <c r="K231"/>
  <c r="G176"/>
  <c r="G214"/>
  <c r="G213" s="1"/>
  <c r="K213" s="1"/>
  <c r="K79"/>
  <c r="G70"/>
  <c r="K70" s="1"/>
  <c r="K10"/>
  <c r="G231" i="67"/>
  <c r="G88"/>
  <c r="H213" i="97"/>
  <c r="K213" s="1"/>
  <c r="G176" i="109"/>
  <c r="K109"/>
  <c r="E229" i="61"/>
  <c r="K230"/>
  <c r="F230"/>
  <c r="F232"/>
  <c r="G231" i="109"/>
  <c r="K231" s="1"/>
  <c r="G88"/>
  <c r="K88" s="1"/>
  <c r="H224" i="97"/>
  <c r="C94" i="109"/>
  <c r="C94" i="97"/>
  <c r="C231" s="1"/>
  <c r="G10" i="109"/>
  <c r="C228" i="61"/>
  <c r="C15" i="75"/>
  <c r="G231" i="97"/>
  <c r="G229" s="1"/>
  <c r="G228" s="1"/>
  <c r="G88"/>
  <c r="G87" s="1"/>
  <c r="G86" s="1"/>
  <c r="C215" i="109"/>
  <c r="H73"/>
  <c r="H72" s="1"/>
  <c r="H71" s="1"/>
  <c r="H101" s="1"/>
  <c r="C215" i="97"/>
  <c r="C32" i="109"/>
  <c r="C178" i="66"/>
  <c r="H70" i="109"/>
  <c r="H73" i="66"/>
  <c r="H72" s="1"/>
  <c r="H71" s="1"/>
  <c r="H101" s="1"/>
  <c r="H102" s="1"/>
  <c r="H220"/>
  <c r="C11" i="109"/>
  <c r="C223"/>
  <c r="A226" i="85"/>
  <c r="I73" i="109"/>
  <c r="I72" s="1"/>
  <c r="I71" s="1"/>
  <c r="I101" s="1"/>
  <c r="I102" s="1"/>
  <c r="I224"/>
  <c r="I222" s="1"/>
  <c r="I221" s="1"/>
  <c r="I220" s="1"/>
  <c r="H224" i="67"/>
  <c r="H222" s="1"/>
  <c r="H221" s="1"/>
  <c r="H220" s="1"/>
  <c r="I73"/>
  <c r="I72" s="1"/>
  <c r="I71" s="1"/>
  <c r="C88" i="66"/>
  <c r="C87" s="1"/>
  <c r="I213" i="67"/>
  <c r="I220" i="66"/>
  <c r="C215" i="67"/>
  <c r="H73" i="97"/>
  <c r="I224"/>
  <c r="I222" s="1"/>
  <c r="I221" s="1"/>
  <c r="I220" s="1"/>
  <c r="C215" i="66"/>
  <c r="I101"/>
  <c r="I102" s="1"/>
  <c r="C10"/>
  <c r="I231" i="67"/>
  <c r="I229" s="1"/>
  <c r="I228" s="1"/>
  <c r="I220" s="1"/>
  <c r="I88"/>
  <c r="I87" s="1"/>
  <c r="I86" s="1"/>
  <c r="G214" i="97"/>
  <c r="G213" s="1"/>
  <c r="G70"/>
  <c r="G214" i="67"/>
  <c r="G213" s="1"/>
  <c r="C225" i="97"/>
  <c r="C10" i="67"/>
  <c r="C225"/>
  <c r="G176"/>
  <c r="G208" s="1"/>
  <c r="C225" i="109"/>
  <c r="C10" i="97"/>
  <c r="C178" i="67"/>
  <c r="C178" i="97"/>
  <c r="C178" i="109"/>
  <c r="C109" i="97"/>
  <c r="C109" i="109"/>
  <c r="C109" i="67"/>
  <c r="C79" s="1"/>
  <c r="I101" i="97"/>
  <c r="I102" s="1"/>
  <c r="C109" i="66"/>
  <c r="C79" s="1"/>
  <c r="C224" s="1"/>
  <c r="G73" i="67"/>
  <c r="G72" s="1"/>
  <c r="G71" s="1"/>
  <c r="G224"/>
  <c r="G222" s="1"/>
  <c r="G221" s="1"/>
  <c r="C229" i="66"/>
  <c r="V27" i="75"/>
  <c r="G86" i="66" l="1"/>
  <c r="K86" s="1"/>
  <c r="K87"/>
  <c r="G228"/>
  <c r="K228" s="1"/>
  <c r="K229"/>
  <c r="K214"/>
  <c r="G208"/>
  <c r="K208" s="1"/>
  <c r="K176"/>
  <c r="G224"/>
  <c r="K224" s="1"/>
  <c r="G73"/>
  <c r="K73" s="1"/>
  <c r="G87" i="67"/>
  <c r="K88"/>
  <c r="G229"/>
  <c r="K231"/>
  <c r="K224" i="97"/>
  <c r="G87" i="109"/>
  <c r="K87" s="1"/>
  <c r="G208"/>
  <c r="K208" s="1"/>
  <c r="K176"/>
  <c r="G70"/>
  <c r="K70" s="1"/>
  <c r="K10"/>
  <c r="K229" i="61"/>
  <c r="F229"/>
  <c r="E228"/>
  <c r="G229" i="109"/>
  <c r="K229" s="1"/>
  <c r="H72" i="97"/>
  <c r="H222"/>
  <c r="K222" s="1"/>
  <c r="C231" i="109"/>
  <c r="C229" s="1"/>
  <c r="C88"/>
  <c r="C87" s="1"/>
  <c r="C86" s="1"/>
  <c r="C79" i="97"/>
  <c r="C88"/>
  <c r="G214" i="109"/>
  <c r="V15" i="75"/>
  <c r="H224" i="109"/>
  <c r="H222" s="1"/>
  <c r="H221" s="1"/>
  <c r="H220" s="1"/>
  <c r="H102"/>
  <c r="C73" i="66"/>
  <c r="C72" s="1"/>
  <c r="C10" i="109"/>
  <c r="A228" i="85"/>
  <c r="I101" i="67"/>
  <c r="I102" s="1"/>
  <c r="C70" i="66"/>
  <c r="C214"/>
  <c r="C231" i="67"/>
  <c r="C88"/>
  <c r="G73" i="97"/>
  <c r="G72" s="1"/>
  <c r="G71" s="1"/>
  <c r="G101" s="1"/>
  <c r="G102" s="1"/>
  <c r="G224"/>
  <c r="G222" s="1"/>
  <c r="G221" s="1"/>
  <c r="G220" s="1"/>
  <c r="C177" i="109"/>
  <c r="C177" i="67"/>
  <c r="C177" i="97"/>
  <c r="C70"/>
  <c r="C207" i="66"/>
  <c r="C70" i="67"/>
  <c r="C176" i="97"/>
  <c r="C214"/>
  <c r="C176" i="109"/>
  <c r="C176" i="66"/>
  <c r="C176" i="67"/>
  <c r="C214"/>
  <c r="C229" i="97"/>
  <c r="C87"/>
  <c r="C73" i="67"/>
  <c r="C224"/>
  <c r="C228" i="66"/>
  <c r="C222"/>
  <c r="C86"/>
  <c r="G72" l="1"/>
  <c r="G71" s="1"/>
  <c r="G222"/>
  <c r="G221" s="1"/>
  <c r="G86" i="67"/>
  <c r="K87"/>
  <c r="G228"/>
  <c r="K229"/>
  <c r="K73" i="97"/>
  <c r="K72"/>
  <c r="G86" i="109"/>
  <c r="K86" s="1"/>
  <c r="G73"/>
  <c r="K79"/>
  <c r="G213"/>
  <c r="K213" s="1"/>
  <c r="K214"/>
  <c r="K228" i="61"/>
  <c r="F228"/>
  <c r="G228" i="109"/>
  <c r="K228" s="1"/>
  <c r="H71" i="97"/>
  <c r="K71" s="1"/>
  <c r="H221"/>
  <c r="K221" s="1"/>
  <c r="C70" i="109"/>
  <c r="C79"/>
  <c r="C224" s="1"/>
  <c r="C228"/>
  <c r="G224"/>
  <c r="C214"/>
  <c r="C213" s="1"/>
  <c r="A232" i="85"/>
  <c r="C213" i="66"/>
  <c r="C87" i="67"/>
  <c r="C229"/>
  <c r="C73" i="97"/>
  <c r="C224"/>
  <c r="C207"/>
  <c r="C207" i="67"/>
  <c r="C208" s="1"/>
  <c r="C207" i="109"/>
  <c r="C213" i="97"/>
  <c r="C72" i="67"/>
  <c r="C213"/>
  <c r="C86" i="97"/>
  <c r="C228"/>
  <c r="C208" i="66"/>
  <c r="C222" i="67"/>
  <c r="C221" i="66"/>
  <c r="C71"/>
  <c r="K222" l="1"/>
  <c r="K72"/>
  <c r="G220"/>
  <c r="K220" s="1"/>
  <c r="K221"/>
  <c r="G101"/>
  <c r="K71"/>
  <c r="K86" i="67"/>
  <c r="G101"/>
  <c r="G102" s="1"/>
  <c r="K228"/>
  <c r="G220"/>
  <c r="G72" i="109"/>
  <c r="K73"/>
  <c r="G222"/>
  <c r="K224"/>
  <c r="H220" i="97"/>
  <c r="K220" s="1"/>
  <c r="H101"/>
  <c r="K101" s="1"/>
  <c r="A233" i="85"/>
  <c r="C73" i="109"/>
  <c r="C222"/>
  <c r="C208" i="97"/>
  <c r="C208" i="109"/>
  <c r="C228" i="67"/>
  <c r="C86"/>
  <c r="C72" i="97"/>
  <c r="C222"/>
  <c r="C71" i="67"/>
  <c r="C221"/>
  <c r="C101" i="66"/>
  <c r="C220"/>
  <c r="G102" l="1"/>
  <c r="K102" s="1"/>
  <c r="K101"/>
  <c r="G221" i="109"/>
  <c r="K222"/>
  <c r="G71"/>
  <c r="K72"/>
  <c r="H102" i="97"/>
  <c r="K102" s="1"/>
  <c r="A234" i="85"/>
  <c r="C72" i="109"/>
  <c r="C71" s="1"/>
  <c r="C101" s="1"/>
  <c r="C221"/>
  <c r="A236" i="85"/>
  <c r="C71" i="97"/>
  <c r="C221"/>
  <c r="C220" i="67"/>
  <c r="C101"/>
  <c r="C102" i="66"/>
  <c r="K221" i="109" l="1"/>
  <c r="G220"/>
  <c r="K220" s="1"/>
  <c r="G101"/>
  <c r="K71"/>
  <c r="A237" i="85"/>
  <c r="A238" s="1"/>
  <c r="C220" i="109"/>
  <c r="C101" i="97"/>
  <c r="C220"/>
  <c r="C102" i="109"/>
  <c r="C102" i="67"/>
  <c r="G102" i="109" l="1"/>
  <c r="K102" s="1"/>
  <c r="K101"/>
  <c r="A240" i="85"/>
  <c r="C102" i="97"/>
  <c r="A244" i="85" l="1"/>
  <c r="A245" l="1"/>
  <c r="A246" l="1"/>
  <c r="A248" l="1"/>
  <c r="A250" s="1"/>
  <c r="A254" s="1"/>
  <c r="A255" l="1"/>
  <c r="A256" l="1"/>
  <c r="A258" l="1"/>
  <c r="A260" s="1"/>
  <c r="A264" l="1"/>
  <c r="A266" l="1"/>
  <c r="A268" l="1"/>
  <c r="A272" l="1"/>
  <c r="A274" l="1"/>
  <c r="A276" l="1"/>
  <c r="A82" i="84" l="1"/>
  <c r="A83" s="1"/>
  <c r="A84" s="1"/>
  <c r="A85" l="1"/>
  <c r="A86" l="1"/>
  <c r="A87" l="1"/>
  <c r="A88" l="1"/>
  <c r="A90" l="1"/>
  <c r="A94" l="1"/>
  <c r="A95" l="1"/>
  <c r="A96" l="1"/>
  <c r="A97" l="1"/>
  <c r="A98" l="1"/>
  <c r="A100" l="1"/>
  <c r="A101" l="1"/>
  <c r="A102" l="1"/>
  <c r="A104" l="1"/>
  <c r="A105" l="1"/>
  <c r="A106" l="1"/>
  <c r="A107" l="1"/>
  <c r="A108" l="1"/>
  <c r="A109" l="1"/>
  <c r="A110" l="1"/>
  <c r="A114" l="1"/>
  <c r="A115" l="1"/>
  <c r="A116" l="1"/>
  <c r="A117" l="1"/>
  <c r="A118" s="1"/>
  <c r="A119" l="1"/>
  <c r="A121" l="1"/>
  <c r="A123" l="1"/>
  <c r="A127" l="1"/>
  <c r="A128" l="1"/>
  <c r="A129" s="1"/>
  <c r="A130" l="1"/>
  <c r="A131" l="1"/>
  <c r="A133" l="1"/>
  <c r="A135" l="1"/>
  <c r="A139" l="1"/>
  <c r="A141" l="1"/>
  <c r="A142" l="1"/>
  <c r="A144" l="1"/>
  <c r="A148" l="1"/>
  <c r="A149" l="1"/>
  <c r="A150" l="1"/>
  <c r="A151" l="1"/>
  <c r="A152" l="1"/>
  <c r="A154" l="1"/>
  <c r="A156" l="1"/>
  <c r="G81" i="70" l="1"/>
  <c r="K81" s="1"/>
  <c r="B22" l="1"/>
  <c r="D22"/>
  <c r="G80"/>
  <c r="K80" s="1"/>
  <c r="G82"/>
  <c r="K82" s="1"/>
  <c r="I242" i="64"/>
  <c r="G22" i="70" l="1"/>
  <c r="K22" s="1"/>
  <c r="K9"/>
  <c r="H242" i="64"/>
  <c r="C239"/>
  <c r="C239" i="61" s="1"/>
  <c r="G242" i="64"/>
  <c r="K242" s="1"/>
  <c r="F79" i="70"/>
  <c r="F83" s="1"/>
  <c r="B79"/>
  <c r="B83" s="1"/>
  <c r="B85" s="1"/>
  <c r="G79"/>
  <c r="C13" i="90"/>
  <c r="C241" i="64"/>
  <c r="C241" i="61" s="1"/>
  <c r="C242" l="1"/>
  <c r="G83" i="70"/>
  <c r="K83" s="1"/>
  <c r="K79"/>
  <c r="F85"/>
  <c r="H12" i="72"/>
  <c r="D13" i="90"/>
  <c r="G85" i="70"/>
  <c r="K85" s="1"/>
  <c r="C242" i="64"/>
  <c r="I12" i="72" l="1"/>
  <c r="E13" i="90"/>
  <c r="I51" i="64"/>
  <c r="H226"/>
  <c r="G146"/>
  <c r="K146" s="1"/>
  <c r="H146"/>
  <c r="I226"/>
  <c r="G226"/>
  <c r="I146"/>
  <c r="G132" l="1"/>
  <c r="H12"/>
  <c r="H11" s="1"/>
  <c r="G51"/>
  <c r="K51" s="1"/>
  <c r="G165"/>
  <c r="K165" s="1"/>
  <c r="I44"/>
  <c r="I132"/>
  <c r="H44"/>
  <c r="G58"/>
  <c r="K58" s="1"/>
  <c r="I165"/>
  <c r="C226"/>
  <c r="I123"/>
  <c r="H159"/>
  <c r="G150"/>
  <c r="K150" s="1"/>
  <c r="G159"/>
  <c r="K159" s="1"/>
  <c r="H51"/>
  <c r="G44"/>
  <c r="K44" s="1"/>
  <c r="G12"/>
  <c r="K12" s="1"/>
  <c r="C146"/>
  <c r="G123"/>
  <c r="J12" i="72"/>
  <c r="F13" i="90"/>
  <c r="H123" i="64"/>
  <c r="H132"/>
  <c r="H58"/>
  <c r="I12"/>
  <c r="I11" s="1"/>
  <c r="H32"/>
  <c r="G32"/>
  <c r="K32" s="1"/>
  <c r="H64"/>
  <c r="I159"/>
  <c r="I58"/>
  <c r="H150"/>
  <c r="G64"/>
  <c r="I64"/>
  <c r="H165"/>
  <c r="I150"/>
  <c r="K132" l="1"/>
  <c r="K123"/>
  <c r="K64"/>
  <c r="G11"/>
  <c r="K11" s="1"/>
  <c r="I32"/>
  <c r="G50"/>
  <c r="I50"/>
  <c r="H149"/>
  <c r="H50"/>
  <c r="G149"/>
  <c r="K149" s="1"/>
  <c r="C64"/>
  <c r="I223"/>
  <c r="H224"/>
  <c r="H73"/>
  <c r="H72" s="1"/>
  <c r="H71" s="1"/>
  <c r="H101" s="1"/>
  <c r="C51"/>
  <c r="H110"/>
  <c r="G73"/>
  <c r="K73" s="1"/>
  <c r="G223"/>
  <c r="K223" s="1"/>
  <c r="I224"/>
  <c r="I73"/>
  <c r="I72" s="1"/>
  <c r="I71" s="1"/>
  <c r="I101" s="1"/>
  <c r="C44"/>
  <c r="G110"/>
  <c r="K110" s="1"/>
  <c r="C165"/>
  <c r="I116"/>
  <c r="G25"/>
  <c r="H116"/>
  <c r="H25"/>
  <c r="G116"/>
  <c r="I110"/>
  <c r="C32"/>
  <c r="K12" i="72"/>
  <c r="L12" s="1"/>
  <c r="M12" s="1"/>
  <c r="N12" s="1"/>
  <c r="O12" s="1"/>
  <c r="P12" s="1"/>
  <c r="Q12" s="1"/>
  <c r="R12" s="1"/>
  <c r="S12" s="1"/>
  <c r="T12" s="1"/>
  <c r="U12" s="1"/>
  <c r="V12" s="1"/>
  <c r="W12" s="1"/>
  <c r="X12" s="1"/>
  <c r="Y12" s="1"/>
  <c r="C12" i="64"/>
  <c r="C159"/>
  <c r="I25"/>
  <c r="H223"/>
  <c r="G224"/>
  <c r="K224" s="1"/>
  <c r="I149"/>
  <c r="C132"/>
  <c r="C123"/>
  <c r="C150"/>
  <c r="C58"/>
  <c r="K116" l="1"/>
  <c r="K50"/>
  <c r="H10"/>
  <c r="K25"/>
  <c r="Z12" i="72"/>
  <c r="G72" i="64"/>
  <c r="K72" s="1"/>
  <c r="G10"/>
  <c r="I10"/>
  <c r="I70" s="1"/>
  <c r="I102" s="1"/>
  <c r="G215"/>
  <c r="I215"/>
  <c r="H222"/>
  <c r="H109"/>
  <c r="I109"/>
  <c r="I176" s="1"/>
  <c r="H215"/>
  <c r="H70"/>
  <c r="C11"/>
  <c r="C50"/>
  <c r="G222"/>
  <c r="K222" s="1"/>
  <c r="C149"/>
  <c r="C224"/>
  <c r="C73"/>
  <c r="G109"/>
  <c r="I222"/>
  <c r="C116"/>
  <c r="C25"/>
  <c r="C110"/>
  <c r="C223"/>
  <c r="K10" l="1"/>
  <c r="K215"/>
  <c r="H176"/>
  <c r="K109"/>
  <c r="H102"/>
  <c r="G176"/>
  <c r="G71"/>
  <c r="K71" s="1"/>
  <c r="G70"/>
  <c r="K70" s="1"/>
  <c r="H241" i="61"/>
  <c r="I241"/>
  <c r="G27" i="70"/>
  <c r="K27" s="1"/>
  <c r="H214" i="64"/>
  <c r="I214"/>
  <c r="I213" s="1"/>
  <c r="G214"/>
  <c r="C10"/>
  <c r="C215"/>
  <c r="C222"/>
  <c r="C109"/>
  <c r="C72"/>
  <c r="K176" l="1"/>
  <c r="H213"/>
  <c r="K214"/>
  <c r="G101"/>
  <c r="K101" s="1"/>
  <c r="G213"/>
  <c r="I190" i="61"/>
  <c r="H125"/>
  <c r="H157"/>
  <c r="I156"/>
  <c r="H127"/>
  <c r="H144"/>
  <c r="I175"/>
  <c r="H171"/>
  <c r="H163"/>
  <c r="C11" i="90"/>
  <c r="I145" i="61"/>
  <c r="H172"/>
  <c r="H130"/>
  <c r="I158"/>
  <c r="I168"/>
  <c r="I134"/>
  <c r="I137"/>
  <c r="H128"/>
  <c r="I127"/>
  <c r="H114"/>
  <c r="H155"/>
  <c r="H153"/>
  <c r="G31" i="70"/>
  <c r="K31" s="1"/>
  <c r="D29"/>
  <c r="G241" i="61"/>
  <c r="K241" s="1"/>
  <c r="H173"/>
  <c r="H190"/>
  <c r="H191"/>
  <c r="H183"/>
  <c r="H158"/>
  <c r="I157"/>
  <c r="H154"/>
  <c r="H167"/>
  <c r="H141"/>
  <c r="I163"/>
  <c r="I135"/>
  <c r="H138"/>
  <c r="I153"/>
  <c r="H136"/>
  <c r="H186"/>
  <c r="H168"/>
  <c r="H182"/>
  <c r="I172"/>
  <c r="I143"/>
  <c r="H174"/>
  <c r="H135"/>
  <c r="C10" i="90"/>
  <c r="I169" i="61"/>
  <c r="H140"/>
  <c r="I138"/>
  <c r="H143"/>
  <c r="I130"/>
  <c r="G26" i="70"/>
  <c r="K26" s="1"/>
  <c r="I126" i="61"/>
  <c r="H137"/>
  <c r="I140"/>
  <c r="H134"/>
  <c r="H175"/>
  <c r="I141"/>
  <c r="H164"/>
  <c r="H145"/>
  <c r="H129"/>
  <c r="I154"/>
  <c r="I162"/>
  <c r="I128"/>
  <c r="B29" i="70"/>
  <c r="I182" i="61"/>
  <c r="I171"/>
  <c r="I173"/>
  <c r="I187"/>
  <c r="H142"/>
  <c r="H162"/>
  <c r="H156"/>
  <c r="H187"/>
  <c r="C214" i="64"/>
  <c r="C70"/>
  <c r="C176"/>
  <c r="C71"/>
  <c r="K145" i="61" l="1"/>
  <c r="K213" i="64"/>
  <c r="G102"/>
  <c r="K102" s="1"/>
  <c r="Q28" i="68"/>
  <c r="Q23"/>
  <c r="Q31"/>
  <c r="P28"/>
  <c r="P23"/>
  <c r="P24"/>
  <c r="P31"/>
  <c r="P11"/>
  <c r="P32"/>
  <c r="P27"/>
  <c r="I142" i="61"/>
  <c r="H169"/>
  <c r="I131"/>
  <c r="I174"/>
  <c r="I186"/>
  <c r="I167"/>
  <c r="H131"/>
  <c r="H126"/>
  <c r="I113"/>
  <c r="I136"/>
  <c r="I114"/>
  <c r="I119"/>
  <c r="G190"/>
  <c r="I125"/>
  <c r="I155"/>
  <c r="I129"/>
  <c r="I191"/>
  <c r="I164"/>
  <c r="I144"/>
  <c r="G121"/>
  <c r="K121" s="1"/>
  <c r="H119"/>
  <c r="G168"/>
  <c r="I121"/>
  <c r="C40" i="90"/>
  <c r="H188" i="61"/>
  <c r="G183"/>
  <c r="I183"/>
  <c r="G119"/>
  <c r="G113"/>
  <c r="H121"/>
  <c r="I21"/>
  <c r="G158"/>
  <c r="K158" s="1"/>
  <c r="I49"/>
  <c r="I39"/>
  <c r="H16"/>
  <c r="I77"/>
  <c r="I46"/>
  <c r="G157"/>
  <c r="I68"/>
  <c r="I28"/>
  <c r="H54"/>
  <c r="G136"/>
  <c r="I14"/>
  <c r="G135"/>
  <c r="I29"/>
  <c r="G167"/>
  <c r="G173"/>
  <c r="I61"/>
  <c r="H85"/>
  <c r="G131"/>
  <c r="K131" s="1"/>
  <c r="H20"/>
  <c r="H39"/>
  <c r="G137"/>
  <c r="I15"/>
  <c r="G129"/>
  <c r="K129" s="1"/>
  <c r="H69"/>
  <c r="H47"/>
  <c r="H43"/>
  <c r="I35"/>
  <c r="I66"/>
  <c r="I55"/>
  <c r="I22"/>
  <c r="I27"/>
  <c r="H113"/>
  <c r="H122"/>
  <c r="I188"/>
  <c r="B34" i="70"/>
  <c r="G126" i="61"/>
  <c r="I48"/>
  <c r="F29" i="70"/>
  <c r="F34" s="1"/>
  <c r="G30"/>
  <c r="K30" s="1"/>
  <c r="H80" i="61"/>
  <c r="I42"/>
  <c r="G142"/>
  <c r="H18"/>
  <c r="G130"/>
  <c r="K130" s="1"/>
  <c r="I38"/>
  <c r="G153"/>
  <c r="K153" s="1"/>
  <c r="G186"/>
  <c r="G154"/>
  <c r="K154" s="1"/>
  <c r="G127"/>
  <c r="K127" s="1"/>
  <c r="G156"/>
  <c r="K156" s="1"/>
  <c r="H14"/>
  <c r="I18"/>
  <c r="H42"/>
  <c r="D10" i="90"/>
  <c r="D15" s="1"/>
  <c r="D16" s="1"/>
  <c r="D38" s="1"/>
  <c r="G14" i="72"/>
  <c r="G15" s="1"/>
  <c r="G37" s="1"/>
  <c r="D40" i="90" s="1"/>
  <c r="H9" i="72"/>
  <c r="I36" i="61"/>
  <c r="H17"/>
  <c r="I62"/>
  <c r="H48"/>
  <c r="H49"/>
  <c r="G171"/>
  <c r="G182"/>
  <c r="H63"/>
  <c r="I81"/>
  <c r="G145"/>
  <c r="I67"/>
  <c r="H53"/>
  <c r="H28"/>
  <c r="G187"/>
  <c r="G114"/>
  <c r="K114" s="1"/>
  <c r="H81"/>
  <c r="I54"/>
  <c r="I189"/>
  <c r="H189"/>
  <c r="H181"/>
  <c r="G175"/>
  <c r="I20"/>
  <c r="H31"/>
  <c r="H36"/>
  <c r="I23"/>
  <c r="H61"/>
  <c r="G191"/>
  <c r="G128"/>
  <c r="G140"/>
  <c r="H66"/>
  <c r="I43"/>
  <c r="H23"/>
  <c r="H19"/>
  <c r="I31"/>
  <c r="H56"/>
  <c r="H29"/>
  <c r="I78"/>
  <c r="H77"/>
  <c r="H27"/>
  <c r="I84"/>
  <c r="I53"/>
  <c r="I63"/>
  <c r="I80"/>
  <c r="H37"/>
  <c r="H78"/>
  <c r="H68"/>
  <c r="G164"/>
  <c r="K164" s="1"/>
  <c r="G172"/>
  <c r="K172" s="1"/>
  <c r="E241" i="76"/>
  <c r="H35" i="61"/>
  <c r="H46"/>
  <c r="I19"/>
  <c r="H67"/>
  <c r="I34"/>
  <c r="H21"/>
  <c r="I122"/>
  <c r="G163"/>
  <c r="K163" s="1"/>
  <c r="I85"/>
  <c r="H22"/>
  <c r="G155"/>
  <c r="K155" s="1"/>
  <c r="H55"/>
  <c r="I17"/>
  <c r="H62"/>
  <c r="H34"/>
  <c r="I69"/>
  <c r="G125"/>
  <c r="K125" s="1"/>
  <c r="I56"/>
  <c r="I60"/>
  <c r="G143"/>
  <c r="G138"/>
  <c r="K138" s="1"/>
  <c r="G174"/>
  <c r="G169"/>
  <c r="K169" s="1"/>
  <c r="I37"/>
  <c r="G141"/>
  <c r="I16"/>
  <c r="H38"/>
  <c r="H84"/>
  <c r="I47"/>
  <c r="G25" i="70"/>
  <c r="K25" s="1"/>
  <c r="D34"/>
  <c r="H60" i="61"/>
  <c r="H15"/>
  <c r="G162"/>
  <c r="C101" i="64"/>
  <c r="C102" s="1"/>
  <c r="C213"/>
  <c r="K113" i="61" l="1"/>
  <c r="K119"/>
  <c r="I32" i="68"/>
  <c r="Q30"/>
  <c r="Q32"/>
  <c r="Q27"/>
  <c r="I31"/>
  <c r="Q29"/>
  <c r="I24"/>
  <c r="I27"/>
  <c r="I25"/>
  <c r="I28"/>
  <c r="Q24"/>
  <c r="Q11"/>
  <c r="H31"/>
  <c r="H24"/>
  <c r="P30"/>
  <c r="H27"/>
  <c r="H32"/>
  <c r="H25"/>
  <c r="P22"/>
  <c r="P29"/>
  <c r="H28"/>
  <c r="E164" i="76"/>
  <c r="E174"/>
  <c r="E142"/>
  <c r="H120" i="61"/>
  <c r="E169" i="76"/>
  <c r="G181" i="61"/>
  <c r="E167" i="76"/>
  <c r="I120" i="61"/>
  <c r="G134"/>
  <c r="K134" s="1"/>
  <c r="G15"/>
  <c r="K15" s="1"/>
  <c r="I181"/>
  <c r="C12" i="90"/>
  <c r="C15" s="1"/>
  <c r="C16" s="1"/>
  <c r="C38" s="1"/>
  <c r="C41" s="1"/>
  <c r="E121" i="76"/>
  <c r="E155"/>
  <c r="G23" i="61"/>
  <c r="K23" s="1"/>
  <c r="E163" i="76"/>
  <c r="G55" i="61"/>
  <c r="G68"/>
  <c r="K68" s="1"/>
  <c r="I82"/>
  <c r="H41"/>
  <c r="E162" i="76"/>
  <c r="D72" i="70"/>
  <c r="D87" s="1"/>
  <c r="G47" i="61"/>
  <c r="E141" i="76"/>
  <c r="E138"/>
  <c r="E143"/>
  <c r="G36" i="61"/>
  <c r="I41"/>
  <c r="H40"/>
  <c r="H83"/>
  <c r="E172" i="76"/>
  <c r="G62" i="61"/>
  <c r="K62" s="1"/>
  <c r="G67"/>
  <c r="E140" i="76"/>
  <c r="E128"/>
  <c r="O32" i="68"/>
  <c r="E175" i="76"/>
  <c r="G189" i="61"/>
  <c r="G122"/>
  <c r="K122" s="1"/>
  <c r="G14"/>
  <c r="K14" s="1"/>
  <c r="O11" i="68"/>
  <c r="E145" i="76"/>
  <c r="H226" i="65"/>
  <c r="H185" i="61"/>
  <c r="I9" i="72"/>
  <c r="H14"/>
  <c r="H15" s="1"/>
  <c r="H37" s="1"/>
  <c r="E40" i="90" s="1"/>
  <c r="E10"/>
  <c r="E15" s="1"/>
  <c r="E16" s="1"/>
  <c r="E38" s="1"/>
  <c r="G144" i="61"/>
  <c r="G21"/>
  <c r="I242" i="65"/>
  <c r="I239" i="61"/>
  <c r="G29" i="70"/>
  <c r="K29" s="1"/>
  <c r="G17" i="61"/>
  <c r="K17" s="1"/>
  <c r="B72" i="70"/>
  <c r="B87" s="1"/>
  <c r="I148" i="61"/>
  <c r="I146" i="65"/>
  <c r="H30" i="61"/>
  <c r="E137" i="76"/>
  <c r="G35" i="61"/>
  <c r="K35" s="1"/>
  <c r="G185"/>
  <c r="G226" i="65"/>
  <c r="K24" i="70"/>
  <c r="G66" i="61"/>
  <c r="G63"/>
  <c r="G81"/>
  <c r="E125" i="76"/>
  <c r="G85" i="61"/>
  <c r="G18"/>
  <c r="O24" i="68"/>
  <c r="I83" i="61"/>
  <c r="G46"/>
  <c r="G61"/>
  <c r="K61" s="1"/>
  <c r="G38"/>
  <c r="K38" s="1"/>
  <c r="G27"/>
  <c r="G77"/>
  <c r="K77" s="1"/>
  <c r="E168" i="76"/>
  <c r="E154"/>
  <c r="O27" i="68"/>
  <c r="E153" i="76"/>
  <c r="H239" i="61"/>
  <c r="H242" i="65"/>
  <c r="I30" i="61"/>
  <c r="G69"/>
  <c r="K69" s="1"/>
  <c r="G16"/>
  <c r="K16" s="1"/>
  <c r="G54"/>
  <c r="G43"/>
  <c r="K43" s="1"/>
  <c r="E158" i="76"/>
  <c r="G56" i="61"/>
  <c r="K56" s="1"/>
  <c r="G20"/>
  <c r="I226" i="65"/>
  <c r="I185" i="61"/>
  <c r="G34"/>
  <c r="K34" s="1"/>
  <c r="G78"/>
  <c r="G242" i="65"/>
  <c r="G239" i="61"/>
  <c r="G49"/>
  <c r="K49" s="1"/>
  <c r="G148"/>
  <c r="K148" s="1"/>
  <c r="G146" i="65"/>
  <c r="H82" i="61"/>
  <c r="E171" i="76"/>
  <c r="G60" i="61"/>
  <c r="K60" s="1"/>
  <c r="G19"/>
  <c r="K19" s="1"/>
  <c r="O31" i="68"/>
  <c r="E127" i="76"/>
  <c r="E130"/>
  <c r="H75" i="61"/>
  <c r="G84"/>
  <c r="G22"/>
  <c r="G31"/>
  <c r="K31" s="1"/>
  <c r="E173" i="76"/>
  <c r="D41" i="90"/>
  <c r="G188" i="61"/>
  <c r="G42"/>
  <c r="K42" s="1"/>
  <c r="G80"/>
  <c r="K80" s="1"/>
  <c r="O28" i="68"/>
  <c r="O23"/>
  <c r="G53" i="61"/>
  <c r="G39"/>
  <c r="K39" s="1"/>
  <c r="H148"/>
  <c r="H146" i="65"/>
  <c r="G37" i="61"/>
  <c r="K37" s="1"/>
  <c r="E156" i="76"/>
  <c r="I40" i="61"/>
  <c r="G48"/>
  <c r="K48" s="1"/>
  <c r="F72" i="70"/>
  <c r="F87" s="1"/>
  <c r="G120" i="61"/>
  <c r="G29"/>
  <c r="K29" s="1"/>
  <c r="E135" i="76"/>
  <c r="E157"/>
  <c r="G28" i="61"/>
  <c r="I75"/>
  <c r="K120" l="1"/>
  <c r="K242" i="65"/>
  <c r="K239" i="61"/>
  <c r="O22" i="68"/>
  <c r="I30"/>
  <c r="I242" i="61"/>
  <c r="I22" i="68"/>
  <c r="I146" i="61"/>
  <c r="I29" i="68"/>
  <c r="Q22"/>
  <c r="H30"/>
  <c r="H22"/>
  <c r="D226" i="61"/>
  <c r="H146"/>
  <c r="H29" i="68"/>
  <c r="H242" i="61"/>
  <c r="E126" i="76"/>
  <c r="E129"/>
  <c r="E136"/>
  <c r="E131"/>
  <c r="E134"/>
  <c r="E41" i="90"/>
  <c r="E27" i="76"/>
  <c r="E61"/>
  <c r="H33" i="61"/>
  <c r="H32" i="65"/>
  <c r="G12"/>
  <c r="G11" s="1"/>
  <c r="G13" i="61"/>
  <c r="K13" s="1"/>
  <c r="G34" i="70"/>
  <c r="K34" s="1"/>
  <c r="G226" i="61"/>
  <c r="O26" i="68"/>
  <c r="H13" i="61"/>
  <c r="H12" i="65"/>
  <c r="H11" s="1"/>
  <c r="H226" i="61"/>
  <c r="P26" i="68"/>
  <c r="E122" i="76"/>
  <c r="E67"/>
  <c r="E62"/>
  <c r="E55"/>
  <c r="G150" i="65"/>
  <c r="G152" i="61"/>
  <c r="K152" s="1"/>
  <c r="E48" i="76"/>
  <c r="E39"/>
  <c r="E42"/>
  <c r="H133" i="61"/>
  <c r="H132" i="65"/>
  <c r="G146" i="61"/>
  <c r="K146" s="1"/>
  <c r="E49" i="76"/>
  <c r="G25" i="68"/>
  <c r="E54" i="76"/>
  <c r="E69"/>
  <c r="G161" i="61"/>
  <c r="K161" s="1"/>
  <c r="G159" i="65"/>
  <c r="E182" i="76"/>
  <c r="E187"/>
  <c r="G27" i="68"/>
  <c r="G64" i="65"/>
  <c r="G65" i="61"/>
  <c r="G52"/>
  <c r="G51" i="65"/>
  <c r="G31" i="68"/>
  <c r="E190" i="76"/>
  <c r="E19"/>
  <c r="E60"/>
  <c r="I52" i="61"/>
  <c r="I51" i="65"/>
  <c r="H166" i="61"/>
  <c r="H165" i="65"/>
  <c r="E34" i="76"/>
  <c r="G30" i="61"/>
  <c r="K30" s="1"/>
  <c r="E186" i="76"/>
  <c r="H64" i="65"/>
  <c r="H65" i="61"/>
  <c r="I58" i="65"/>
  <c r="I59" i="61"/>
  <c r="E46" i="76"/>
  <c r="E18"/>
  <c r="H51" i="65"/>
  <c r="H52" i="61"/>
  <c r="H123" i="65"/>
  <c r="H124" i="61"/>
  <c r="C19" i="75"/>
  <c r="E114" i="76"/>
  <c r="E14"/>
  <c r="O30" i="68"/>
  <c r="G165" i="65"/>
  <c r="G166" i="61"/>
  <c r="E28" i="76"/>
  <c r="E37"/>
  <c r="I166" i="61"/>
  <c r="I165" i="65"/>
  <c r="H59" i="61"/>
  <c r="H58" i="65"/>
  <c r="E29" i="76"/>
  <c r="O29" i="68"/>
  <c r="H161" i="61"/>
  <c r="H159" i="65"/>
  <c r="I12"/>
  <c r="I11" s="1"/>
  <c r="I13" i="61"/>
  <c r="I226"/>
  <c r="Q26" i="68"/>
  <c r="G124" i="61"/>
  <c r="G123" i="65"/>
  <c r="E56" i="76"/>
  <c r="E43"/>
  <c r="E16"/>
  <c r="G58" i="65"/>
  <c r="G59" i="61"/>
  <c r="E38" i="76"/>
  <c r="G41" i="61"/>
  <c r="K41" s="1"/>
  <c r="G28" i="68"/>
  <c r="G75" i="61"/>
  <c r="E66" i="76"/>
  <c r="E35"/>
  <c r="E21"/>
  <c r="H152" i="61"/>
  <c r="H150" i="65"/>
  <c r="K150" s="1"/>
  <c r="G83" i="61"/>
  <c r="E47" i="76"/>
  <c r="E68"/>
  <c r="G33" i="61"/>
  <c r="K33" s="1"/>
  <c r="E23" i="76"/>
  <c r="H45" i="61"/>
  <c r="H44" i="65"/>
  <c r="I123"/>
  <c r="I124" i="61"/>
  <c r="G82"/>
  <c r="E22" i="76"/>
  <c r="I132" i="65"/>
  <c r="I133" i="61"/>
  <c r="I65"/>
  <c r="I64" i="65"/>
  <c r="E53" i="76"/>
  <c r="E31"/>
  <c r="I152" i="61"/>
  <c r="I150" i="65"/>
  <c r="G242" i="61"/>
  <c r="K242" s="1"/>
  <c r="G132" i="65"/>
  <c r="G133" i="61"/>
  <c r="E20" i="76"/>
  <c r="G45" i="61"/>
  <c r="G44" i="65"/>
  <c r="H180" i="61"/>
  <c r="H227" i="65"/>
  <c r="H225" s="1"/>
  <c r="H179"/>
  <c r="H178" s="1"/>
  <c r="H177" s="1"/>
  <c r="H207" s="1"/>
  <c r="G24" i="68"/>
  <c r="I74" i="61"/>
  <c r="E183" i="76"/>
  <c r="G32" i="68"/>
  <c r="E63" i="76"/>
  <c r="H74" i="61"/>
  <c r="E17" i="76"/>
  <c r="I159" i="65"/>
  <c r="I161" i="61"/>
  <c r="E144" i="76"/>
  <c r="I14" i="72"/>
  <c r="I15" s="1"/>
  <c r="I37" s="1"/>
  <c r="F40" i="90" s="1"/>
  <c r="J9" i="72"/>
  <c r="F10" i="90"/>
  <c r="F15" s="1"/>
  <c r="F16" s="1"/>
  <c r="F38" s="1"/>
  <c r="I33" i="61"/>
  <c r="I32" i="65"/>
  <c r="E191" i="76"/>
  <c r="I45" i="61"/>
  <c r="I44" i="65"/>
  <c r="E15" i="76"/>
  <c r="E36"/>
  <c r="E113"/>
  <c r="E119"/>
  <c r="K11" i="65" l="1"/>
  <c r="I51" i="61"/>
  <c r="I9" i="69" s="1"/>
  <c r="I44" i="61"/>
  <c r="I15" i="68" s="1"/>
  <c r="I32" i="61"/>
  <c r="I13" i="68" s="1"/>
  <c r="I64" i="61"/>
  <c r="I13" i="69" s="1"/>
  <c r="I165" i="61"/>
  <c r="Q13" i="69" s="1"/>
  <c r="I12" i="61"/>
  <c r="I11" s="1"/>
  <c r="I123"/>
  <c r="Q15" i="68" s="1"/>
  <c r="I159" i="61"/>
  <c r="Q11" i="69" s="1"/>
  <c r="I150" i="61"/>
  <c r="I132"/>
  <c r="Q16" i="68" s="1"/>
  <c r="I58" i="61"/>
  <c r="I11" i="69" s="1"/>
  <c r="H159" i="61"/>
  <c r="P11" i="69" s="1"/>
  <c r="H58" i="61"/>
  <c r="H11" i="69" s="1"/>
  <c r="H150" i="61"/>
  <c r="P9" i="69" s="1"/>
  <c r="H123" i="61"/>
  <c r="H132"/>
  <c r="H32"/>
  <c r="H13" i="68" s="1"/>
  <c r="D224" i="61"/>
  <c r="H165"/>
  <c r="P13" i="69" s="1"/>
  <c r="H12" i="61"/>
  <c r="H11" s="1"/>
  <c r="H44"/>
  <c r="H15" i="68" s="1"/>
  <c r="H51" i="61"/>
  <c r="H64"/>
  <c r="E120" i="76"/>
  <c r="E181"/>
  <c r="G40" i="61"/>
  <c r="K40" s="1"/>
  <c r="G32" i="65"/>
  <c r="K32" s="1"/>
  <c r="H149"/>
  <c r="G50"/>
  <c r="G149"/>
  <c r="H50"/>
  <c r="H21" i="68"/>
  <c r="H224" i="61"/>
  <c r="E77" i="76"/>
  <c r="G118" i="61"/>
  <c r="G116" i="65"/>
  <c r="J14" i="72"/>
  <c r="J15" s="1"/>
  <c r="J37" s="1"/>
  <c r="K9"/>
  <c r="I224" i="61"/>
  <c r="I21" i="68"/>
  <c r="E239" i="76"/>
  <c r="E242" s="1"/>
  <c r="Q9" i="69"/>
  <c r="M37" s="1"/>
  <c r="M39" s="1"/>
  <c r="H118" i="61"/>
  <c r="H116" i="65"/>
  <c r="G165" i="61"/>
  <c r="K165" s="1"/>
  <c r="E148" i="76"/>
  <c r="E146" s="1"/>
  <c r="G76" i="61"/>
  <c r="G223" i="65"/>
  <c r="H112" i="61"/>
  <c r="H110" i="65"/>
  <c r="G12" i="61"/>
  <c r="K12" s="1"/>
  <c r="I118"/>
  <c r="I116" i="65"/>
  <c r="I26" i="61"/>
  <c r="I25" i="65"/>
  <c r="I10" s="1"/>
  <c r="E85" i="76"/>
  <c r="G44" i="61"/>
  <c r="K44" s="1"/>
  <c r="G29" i="68"/>
  <c r="H76" i="61"/>
  <c r="H223" i="65"/>
  <c r="E81" i="76"/>
  <c r="I112" i="61"/>
  <c r="I110" i="65"/>
  <c r="E189" i="76"/>
  <c r="E30"/>
  <c r="E84"/>
  <c r="G159" i="61"/>
  <c r="K159" s="1"/>
  <c r="E78" i="76"/>
  <c r="G74" i="61"/>
  <c r="K74" s="1"/>
  <c r="G150"/>
  <c r="K150" s="1"/>
  <c r="F41" i="90"/>
  <c r="I149" i="65"/>
  <c r="G30" i="68"/>
  <c r="E41" i="76"/>
  <c r="G26" i="61"/>
  <c r="K26" s="1"/>
  <c r="G25" i="65"/>
  <c r="I180" i="61"/>
  <c r="I227" i="65"/>
  <c r="I225" s="1"/>
  <c r="I179"/>
  <c r="I178" s="1"/>
  <c r="I177" s="1"/>
  <c r="I207" s="1"/>
  <c r="H25"/>
  <c r="H10" s="1"/>
  <c r="H26" i="61"/>
  <c r="I76"/>
  <c r="I223" i="65"/>
  <c r="G64" i="61"/>
  <c r="E80" i="76"/>
  <c r="H9" i="68"/>
  <c r="G72" i="70"/>
  <c r="K72" s="1"/>
  <c r="P21" i="68"/>
  <c r="H227" i="61"/>
  <c r="H225" s="1"/>
  <c r="H179"/>
  <c r="H178" s="1"/>
  <c r="H177" s="1"/>
  <c r="H207" s="1"/>
  <c r="G132"/>
  <c r="G22" i="68"/>
  <c r="G58" i="61"/>
  <c r="K58" s="1"/>
  <c r="G123"/>
  <c r="I9" i="68"/>
  <c r="E188" i="76"/>
  <c r="G227" i="65"/>
  <c r="G225" s="1"/>
  <c r="G180" i="61"/>
  <c r="K180" s="1"/>
  <c r="G179" i="65"/>
  <c r="G178" s="1"/>
  <c r="G177" s="1"/>
  <c r="G207" s="1"/>
  <c r="G110"/>
  <c r="G112" i="61"/>
  <c r="V19" i="75"/>
  <c r="G51" i="61"/>
  <c r="K51" s="1"/>
  <c r="E185" i="76"/>
  <c r="E226" s="1"/>
  <c r="C226" i="61"/>
  <c r="I50" i="65"/>
  <c r="K76" i="61" l="1"/>
  <c r="K116" i="65"/>
  <c r="P15" i="68"/>
  <c r="K123" i="61"/>
  <c r="H13" i="69"/>
  <c r="K64" i="61"/>
  <c r="K149" i="65"/>
  <c r="K110"/>
  <c r="P16" i="68"/>
  <c r="K132" i="61"/>
  <c r="K118"/>
  <c r="K112"/>
  <c r="H50"/>
  <c r="O13" i="69"/>
  <c r="G13"/>
  <c r="H9"/>
  <c r="G11"/>
  <c r="G15" i="68"/>
  <c r="O15"/>
  <c r="I50" i="61"/>
  <c r="O11" i="69"/>
  <c r="G11" i="61"/>
  <c r="K11" s="1"/>
  <c r="O16" i="68"/>
  <c r="L37" i="69"/>
  <c r="L39" s="1"/>
  <c r="P8"/>
  <c r="I8"/>
  <c r="P20" i="68"/>
  <c r="P19" s="1"/>
  <c r="P18" s="1"/>
  <c r="H149" i="61"/>
  <c r="Q8" i="69"/>
  <c r="I149" i="61"/>
  <c r="I215" s="1"/>
  <c r="E226"/>
  <c r="I25"/>
  <c r="I11" i="68" s="1"/>
  <c r="I110" i="61"/>
  <c r="I116"/>
  <c r="Q13" i="68" s="1"/>
  <c r="H25" i="61"/>
  <c r="H110"/>
  <c r="P9" i="68" s="1"/>
  <c r="H116" i="61"/>
  <c r="P13" i="68" s="1"/>
  <c r="H73" i="61"/>
  <c r="D215"/>
  <c r="E40" i="76"/>
  <c r="G10" i="65"/>
  <c r="G70" s="1"/>
  <c r="G32" i="61"/>
  <c r="K32" s="1"/>
  <c r="G94" i="65"/>
  <c r="G199" i="64" s="1"/>
  <c r="H215" i="65"/>
  <c r="I215"/>
  <c r="G215"/>
  <c r="G109"/>
  <c r="I109"/>
  <c r="I214" s="1"/>
  <c r="H109"/>
  <c r="H94"/>
  <c r="E133" i="76"/>
  <c r="E132" s="1"/>
  <c r="G149" i="61"/>
  <c r="O9" i="69"/>
  <c r="G116" i="61"/>
  <c r="E52" i="76"/>
  <c r="E51" s="1"/>
  <c r="E59"/>
  <c r="E58" s="1"/>
  <c r="I33" i="69"/>
  <c r="E83" i="76"/>
  <c r="E152"/>
  <c r="E150" s="1"/>
  <c r="E161"/>
  <c r="E159" s="1"/>
  <c r="G223" i="61"/>
  <c r="G23" i="68"/>
  <c r="E124" i="76"/>
  <c r="E123" s="1"/>
  <c r="E65"/>
  <c r="E64" s="1"/>
  <c r="K14" i="72"/>
  <c r="K15" s="1"/>
  <c r="K37" s="1"/>
  <c r="L9"/>
  <c r="G9" i="69"/>
  <c r="G50" i="61"/>
  <c r="G110"/>
  <c r="I23" i="68"/>
  <c r="I223" i="61"/>
  <c r="I222" s="1"/>
  <c r="H70" i="65"/>
  <c r="G21" i="68"/>
  <c r="G224" i="61"/>
  <c r="G73"/>
  <c r="E82" i="76"/>
  <c r="E45"/>
  <c r="E44" s="1"/>
  <c r="E13"/>
  <c r="E12" s="1"/>
  <c r="E11" s="1"/>
  <c r="I10" i="61"/>
  <c r="Q9" i="68"/>
  <c r="E166" i="76"/>
  <c r="E165" s="1"/>
  <c r="G179" i="61"/>
  <c r="K179" s="1"/>
  <c r="O21" i="68"/>
  <c r="G227" i="61"/>
  <c r="G225" s="1"/>
  <c r="E75" i="76"/>
  <c r="I70" i="65"/>
  <c r="G87" i="70"/>
  <c r="K87" s="1"/>
  <c r="Q21" i="68"/>
  <c r="I227" i="61"/>
  <c r="I225" s="1"/>
  <c r="I179"/>
  <c r="I178" s="1"/>
  <c r="I177" s="1"/>
  <c r="I207" s="1"/>
  <c r="G25"/>
  <c r="E33" i="76"/>
  <c r="H223" i="61"/>
  <c r="H222" s="1"/>
  <c r="H221" s="1"/>
  <c r="H220" s="1"/>
  <c r="H23" i="68"/>
  <c r="I94" i="65"/>
  <c r="I73" i="61"/>
  <c r="I72" s="1"/>
  <c r="I71" s="1"/>
  <c r="I101" s="1"/>
  <c r="H8" i="69" l="1"/>
  <c r="H33" s="1"/>
  <c r="K50" i="61"/>
  <c r="H215"/>
  <c r="K215" i="65"/>
  <c r="K70"/>
  <c r="K10"/>
  <c r="K149" i="61"/>
  <c r="H88" i="65"/>
  <c r="K94"/>
  <c r="H176"/>
  <c r="K109"/>
  <c r="K110" i="61"/>
  <c r="K116"/>
  <c r="H11" i="68"/>
  <c r="H8" s="1"/>
  <c r="K25" i="61"/>
  <c r="H10"/>
  <c r="H70" s="1"/>
  <c r="H72"/>
  <c r="K73"/>
  <c r="K226"/>
  <c r="F226"/>
  <c r="I109"/>
  <c r="I176" s="1"/>
  <c r="G9" i="68"/>
  <c r="G13"/>
  <c r="G178" i="61"/>
  <c r="K178" s="1"/>
  <c r="H109"/>
  <c r="H176" s="1"/>
  <c r="H208" s="1"/>
  <c r="P38" i="69" s="1"/>
  <c r="O13" i="68"/>
  <c r="G11"/>
  <c r="G72" i="61"/>
  <c r="Q34" i="69"/>
  <c r="D37"/>
  <c r="D39" s="1"/>
  <c r="I34"/>
  <c r="Q33"/>
  <c r="H34"/>
  <c r="P33"/>
  <c r="P34"/>
  <c r="Q20" i="68"/>
  <c r="Q19" s="1"/>
  <c r="Q18" s="1"/>
  <c r="Q8"/>
  <c r="P8"/>
  <c r="P33" s="1"/>
  <c r="I8"/>
  <c r="I20"/>
  <c r="I19" s="1"/>
  <c r="I18" s="1"/>
  <c r="I35" s="1"/>
  <c r="D227" i="61"/>
  <c r="D223"/>
  <c r="H20" i="68"/>
  <c r="H19" s="1"/>
  <c r="H18" s="1"/>
  <c r="P35" s="1"/>
  <c r="E32" i="76"/>
  <c r="G88" i="65"/>
  <c r="G87" s="1"/>
  <c r="G86" s="1"/>
  <c r="G184" i="64"/>
  <c r="H79" i="65"/>
  <c r="G231"/>
  <c r="G229" s="1"/>
  <c r="G228" s="1"/>
  <c r="I176"/>
  <c r="I208" s="1"/>
  <c r="G214"/>
  <c r="G213" s="1"/>
  <c r="G176"/>
  <c r="G208" s="1"/>
  <c r="I213"/>
  <c r="G215" i="61"/>
  <c r="H214" i="65"/>
  <c r="I79"/>
  <c r="I224" s="1"/>
  <c r="I222" s="1"/>
  <c r="I221" s="1"/>
  <c r="H199" i="64"/>
  <c r="K199" s="1"/>
  <c r="H231" i="65"/>
  <c r="I221" i="61"/>
  <c r="I220" s="1"/>
  <c r="C223"/>
  <c r="E76" i="76"/>
  <c r="I88" i="65"/>
  <c r="I87" s="1"/>
  <c r="I86" s="1"/>
  <c r="I231"/>
  <c r="I229" s="1"/>
  <c r="I228" s="1"/>
  <c r="I199" i="64"/>
  <c r="Z326" i="84"/>
  <c r="C9" i="75"/>
  <c r="E26" i="76"/>
  <c r="E25" s="1"/>
  <c r="C25" i="75"/>
  <c r="AX329" i="84"/>
  <c r="Q33" i="68"/>
  <c r="E74" i="76"/>
  <c r="C224" i="61"/>
  <c r="E112" i="76"/>
  <c r="E110" s="1"/>
  <c r="C24" i="75"/>
  <c r="AT329" i="84"/>
  <c r="AH329"/>
  <c r="C22" i="75"/>
  <c r="G10" i="61"/>
  <c r="E50" i="76"/>
  <c r="AP329" i="84"/>
  <c r="C23" i="75"/>
  <c r="AL326" i="84"/>
  <c r="C11" i="75"/>
  <c r="O20" i="68"/>
  <c r="O19" s="1"/>
  <c r="O18" s="1"/>
  <c r="I70" i="61"/>
  <c r="I102" s="1"/>
  <c r="I38" i="69" s="1"/>
  <c r="I214" i="61"/>
  <c r="I213" s="1"/>
  <c r="G20" i="68"/>
  <c r="G19" s="1"/>
  <c r="G18" s="1"/>
  <c r="G109" i="61"/>
  <c r="O9" i="68"/>
  <c r="L14" i="72"/>
  <c r="L15" s="1"/>
  <c r="L37" s="1"/>
  <c r="M9"/>
  <c r="C13" i="75"/>
  <c r="AT326" i="84"/>
  <c r="AD329"/>
  <c r="C21" i="75"/>
  <c r="E118" i="76"/>
  <c r="E116" s="1"/>
  <c r="I208" i="61"/>
  <c r="Q38" i="69" s="1"/>
  <c r="E180" i="76"/>
  <c r="C227" i="61"/>
  <c r="G234" i="64"/>
  <c r="G194"/>
  <c r="AD326" i="84"/>
  <c r="C10" i="75"/>
  <c r="G8" i="69"/>
  <c r="C12" i="75"/>
  <c r="AP326" i="84"/>
  <c r="O8" i="69"/>
  <c r="Q35" i="68"/>
  <c r="G222" i="61"/>
  <c r="G221" s="1"/>
  <c r="G220" s="1"/>
  <c r="E149" i="76"/>
  <c r="K10" i="61" l="1"/>
  <c r="H229" i="65"/>
  <c r="K231"/>
  <c r="H87"/>
  <c r="K88"/>
  <c r="H208"/>
  <c r="K208" s="1"/>
  <c r="K176"/>
  <c r="H213"/>
  <c r="K213" s="1"/>
  <c r="K214"/>
  <c r="H73"/>
  <c r="K79"/>
  <c r="K109" i="61"/>
  <c r="H214"/>
  <c r="H213" s="1"/>
  <c r="H71"/>
  <c r="K72"/>
  <c r="D222"/>
  <c r="D225"/>
  <c r="O35" i="68"/>
  <c r="G8"/>
  <c r="G177" i="61"/>
  <c r="K177" s="1"/>
  <c r="H34" i="68"/>
  <c r="P34"/>
  <c r="G176" i="61"/>
  <c r="K176" s="1"/>
  <c r="G71"/>
  <c r="P37" i="69"/>
  <c r="P39" s="1"/>
  <c r="Q37"/>
  <c r="Q39" s="1"/>
  <c r="I33" i="68"/>
  <c r="I37" i="69" s="1"/>
  <c r="I39" s="1"/>
  <c r="Q34" i="68"/>
  <c r="I34"/>
  <c r="H33"/>
  <c r="H37" i="69" s="1"/>
  <c r="H35" i="68"/>
  <c r="E215" i="61"/>
  <c r="E223"/>
  <c r="K223" s="1"/>
  <c r="E227"/>
  <c r="E224"/>
  <c r="G193" i="64"/>
  <c r="G232"/>
  <c r="E10" i="76"/>
  <c r="E70" s="1"/>
  <c r="E223"/>
  <c r="K104"/>
  <c r="G224" i="65"/>
  <c r="G222" s="1"/>
  <c r="G221" s="1"/>
  <c r="G220" s="1"/>
  <c r="G73"/>
  <c r="G72" s="1"/>
  <c r="G71" s="1"/>
  <c r="G101" s="1"/>
  <c r="G102" s="1"/>
  <c r="H224"/>
  <c r="H184" i="64"/>
  <c r="H227" s="1"/>
  <c r="H225" s="1"/>
  <c r="H221" s="1"/>
  <c r="I73" i="65"/>
  <c r="I72" s="1"/>
  <c r="I71" s="1"/>
  <c r="I101" s="1"/>
  <c r="I102" s="1"/>
  <c r="I220"/>
  <c r="I184" i="64"/>
  <c r="H194"/>
  <c r="H193" s="1"/>
  <c r="H192" s="1"/>
  <c r="H234"/>
  <c r="H232" s="1"/>
  <c r="H228" s="1"/>
  <c r="V12" i="75"/>
  <c r="W12"/>
  <c r="V11"/>
  <c r="W22"/>
  <c r="V22"/>
  <c r="O34" i="69"/>
  <c r="G33"/>
  <c r="V10" i="75"/>
  <c r="G70" i="61"/>
  <c r="K70" s="1"/>
  <c r="G214"/>
  <c r="G213" s="1"/>
  <c r="C18" i="75"/>
  <c r="R329" i="84"/>
  <c r="E224" i="76"/>
  <c r="E73"/>
  <c r="E72" s="1"/>
  <c r="E71" s="1"/>
  <c r="E101" s="1"/>
  <c r="V326" i="84"/>
  <c r="C8" i="75"/>
  <c r="C222" i="61"/>
  <c r="G35" i="68"/>
  <c r="G179" i="64"/>
  <c r="G227"/>
  <c r="V25" i="75"/>
  <c r="O33" i="69"/>
  <c r="G34"/>
  <c r="W21" i="75"/>
  <c r="V21"/>
  <c r="N9" i="72"/>
  <c r="M14"/>
  <c r="M15" s="1"/>
  <c r="M37" s="1"/>
  <c r="C215" i="61"/>
  <c r="V23" i="75"/>
  <c r="W23"/>
  <c r="R326" i="84"/>
  <c r="C7" i="75"/>
  <c r="W24"/>
  <c r="V24"/>
  <c r="V9"/>
  <c r="W9"/>
  <c r="I234" i="64"/>
  <c r="I232" s="1"/>
  <c r="I228" s="1"/>
  <c r="I194"/>
  <c r="I193" s="1"/>
  <c r="I192" s="1"/>
  <c r="E109" i="76"/>
  <c r="C225" i="61"/>
  <c r="E227" i="76"/>
  <c r="E225" s="1"/>
  <c r="E179"/>
  <c r="E178" s="1"/>
  <c r="E177" s="1"/>
  <c r="E207" s="1"/>
  <c r="O8" i="68"/>
  <c r="C20" i="75"/>
  <c r="Z329" i="84"/>
  <c r="G33" i="68"/>
  <c r="V13" i="75"/>
  <c r="W13"/>
  <c r="E215" i="76"/>
  <c r="L245" s="1"/>
  <c r="K234" i="64" l="1"/>
  <c r="K232"/>
  <c r="K194"/>
  <c r="H86" i="65"/>
  <c r="K86" s="1"/>
  <c r="K87"/>
  <c r="H228"/>
  <c r="K228" s="1"/>
  <c r="K229"/>
  <c r="K193" i="64"/>
  <c r="H72" i="65"/>
  <c r="K73"/>
  <c r="H222"/>
  <c r="K224"/>
  <c r="H101" i="61"/>
  <c r="K71"/>
  <c r="E225"/>
  <c r="K225" s="1"/>
  <c r="K227"/>
  <c r="F223"/>
  <c r="E222"/>
  <c r="K222" s="1"/>
  <c r="K224"/>
  <c r="F224"/>
  <c r="F227"/>
  <c r="K215"/>
  <c r="F215"/>
  <c r="D221"/>
  <c r="G207"/>
  <c r="K207" s="1"/>
  <c r="G101"/>
  <c r="E37" i="69"/>
  <c r="E39" s="1"/>
  <c r="G225" i="64"/>
  <c r="G228"/>
  <c r="K228" s="1"/>
  <c r="G192"/>
  <c r="K192" s="1"/>
  <c r="G178"/>
  <c r="E222" i="76"/>
  <c r="E221" s="1"/>
  <c r="E220" s="1"/>
  <c r="H179" i="64"/>
  <c r="H178" s="1"/>
  <c r="H177" s="1"/>
  <c r="H207" s="1"/>
  <c r="H208" s="1"/>
  <c r="C37" i="69"/>
  <c r="H220" i="64"/>
  <c r="I179"/>
  <c r="I178" s="1"/>
  <c r="I177" s="1"/>
  <c r="I207" s="1"/>
  <c r="I208" s="1"/>
  <c r="I227"/>
  <c r="I225" s="1"/>
  <c r="I221" s="1"/>
  <c r="I220" s="1"/>
  <c r="E102" i="76"/>
  <c r="N14" i="72"/>
  <c r="N15" s="1"/>
  <c r="N37" s="1"/>
  <c r="O9"/>
  <c r="G34" i="68"/>
  <c r="O33"/>
  <c r="O37" i="69" s="1"/>
  <c r="V18" i="75"/>
  <c r="W18"/>
  <c r="V20"/>
  <c r="W20"/>
  <c r="C221" i="61"/>
  <c r="W7" i="75"/>
  <c r="V7"/>
  <c r="C214" i="61"/>
  <c r="V8" i="75"/>
  <c r="W8"/>
  <c r="O34" i="68"/>
  <c r="C14" i="75"/>
  <c r="C26"/>
  <c r="C28" s="1"/>
  <c r="E214" i="76"/>
  <c r="E176"/>
  <c r="E208" s="1"/>
  <c r="G37" i="69"/>
  <c r="H221" i="65" l="1"/>
  <c r="K222"/>
  <c r="H71"/>
  <c r="K72"/>
  <c r="K101" i="61"/>
  <c r="H102"/>
  <c r="F222"/>
  <c r="E221"/>
  <c r="F225"/>
  <c r="D220"/>
  <c r="G208"/>
  <c r="G102"/>
  <c r="K37" i="69"/>
  <c r="G177" i="64"/>
  <c r="G221"/>
  <c r="E213" i="76"/>
  <c r="L244"/>
  <c r="L103"/>
  <c r="V14" i="75"/>
  <c r="C213" i="61"/>
  <c r="O14" i="72"/>
  <c r="O15" s="1"/>
  <c r="O37" s="1"/>
  <c r="P9"/>
  <c r="C220" i="61"/>
  <c r="V26" i="75"/>
  <c r="C16"/>
  <c r="H220" i="65" l="1"/>
  <c r="K220" s="1"/>
  <c r="K221"/>
  <c r="H101"/>
  <c r="K71"/>
  <c r="H38" i="69"/>
  <c r="H39" s="1"/>
  <c r="K102" i="61"/>
  <c r="O38" i="69"/>
  <c r="O39" s="1"/>
  <c r="K208" i="61"/>
  <c r="E220"/>
  <c r="K220" s="1"/>
  <c r="K221"/>
  <c r="F221"/>
  <c r="G38" i="69"/>
  <c r="G39" s="1"/>
  <c r="G207" i="64"/>
  <c r="G220"/>
  <c r="K38" i="69"/>
  <c r="K39" s="1"/>
  <c r="P14" i="72"/>
  <c r="P15" s="1"/>
  <c r="P37" s="1"/>
  <c r="Q9"/>
  <c r="C38" i="69"/>
  <c r="C39" s="1"/>
  <c r="C29" i="75"/>
  <c r="H102" i="65" l="1"/>
  <c r="K102" s="1"/>
  <c r="K101"/>
  <c r="F220" i="61"/>
  <c r="G208" i="64"/>
  <c r="J285" i="85"/>
  <c r="R9" i="72"/>
  <c r="Q14"/>
  <c r="Q15" s="1"/>
  <c r="Q37" s="1"/>
  <c r="C30" i="75"/>
  <c r="D214" i="61" l="1"/>
  <c r="E214"/>
  <c r="R14" i="72"/>
  <c r="R15" s="1"/>
  <c r="R37" s="1"/>
  <c r="S9"/>
  <c r="E213" i="61" l="1"/>
  <c r="K213" s="1"/>
  <c r="K214"/>
  <c r="D213"/>
  <c r="F214"/>
  <c r="T9" i="72"/>
  <c r="S14"/>
  <c r="S15" s="1"/>
  <c r="S37" s="1"/>
  <c r="F213" i="61" l="1"/>
  <c r="U9" i="72"/>
  <c r="T14"/>
  <c r="T15" s="1"/>
  <c r="T37" s="1"/>
  <c r="V9" l="1"/>
  <c r="U14"/>
  <c r="U15" s="1"/>
  <c r="U37" s="1"/>
  <c r="W9" l="1"/>
  <c r="V14"/>
  <c r="V15" s="1"/>
  <c r="V37" s="1"/>
  <c r="W14" l="1"/>
  <c r="W15" s="1"/>
  <c r="W37" s="1"/>
  <c r="X9"/>
  <c r="X14" l="1"/>
  <c r="X15" s="1"/>
  <c r="X37" s="1"/>
  <c r="Y9"/>
  <c r="Y14" s="1"/>
  <c r="Y15" s="1"/>
  <c r="Y37" s="1"/>
  <c r="Z14" l="1"/>
  <c r="Z15" s="1"/>
  <c r="Z37" s="1"/>
  <c r="M34" i="70"/>
  <c r="C226" i="65"/>
  <c r="D230"/>
  <c r="C233"/>
  <c r="C146"/>
  <c r="C223"/>
  <c r="C227" i="64"/>
  <c r="C225" s="1"/>
  <c r="C221" s="1"/>
  <c r="C194"/>
  <c r="C193" s="1"/>
  <c r="C192" s="1"/>
  <c r="C234" l="1"/>
  <c r="C232" s="1"/>
  <c r="C228" s="1"/>
  <c r="C220" s="1"/>
  <c r="C110" i="65"/>
  <c r="C132"/>
  <c r="C58"/>
  <c r="D234"/>
  <c r="C25"/>
  <c r="C194"/>
  <c r="C193" s="1"/>
  <c r="C192" s="1"/>
  <c r="C51"/>
  <c r="C179"/>
  <c r="C178" s="1"/>
  <c r="C177" s="1"/>
  <c r="C227"/>
  <c r="C225" s="1"/>
  <c r="C12"/>
  <c r="C11" s="1"/>
  <c r="C179" i="64"/>
  <c r="C178" s="1"/>
  <c r="C177" s="1"/>
  <c r="C207" s="1"/>
  <c r="C208" s="1"/>
  <c r="C44" i="65"/>
  <c r="C230"/>
  <c r="C159"/>
  <c r="D227"/>
  <c r="D225" s="1"/>
  <c r="C165"/>
  <c r="D233"/>
  <c r="C116"/>
  <c r="D226"/>
  <c r="C150"/>
  <c r="D223"/>
  <c r="C149" l="1"/>
  <c r="C94" s="1"/>
  <c r="C88" s="1"/>
  <c r="C87" s="1"/>
  <c r="C86" s="1"/>
  <c r="D232"/>
  <c r="C234"/>
  <c r="C232" s="1"/>
  <c r="D242"/>
  <c r="F242" s="1"/>
  <c r="C242"/>
  <c r="C207"/>
  <c r="C32"/>
  <c r="C10" s="1"/>
  <c r="C64"/>
  <c r="C50" s="1"/>
  <c r="C123"/>
  <c r="C109" s="1"/>
  <c r="C231" l="1"/>
  <c r="C229" s="1"/>
  <c r="C228" s="1"/>
  <c r="C215"/>
  <c r="D215"/>
  <c r="F215" s="1"/>
  <c r="D231"/>
  <c r="C176"/>
  <c r="C208" s="1"/>
  <c r="C79"/>
  <c r="C224" s="1"/>
  <c r="C222" s="1"/>
  <c r="C221" s="1"/>
  <c r="C70"/>
  <c r="C214"/>
  <c r="D229" l="1"/>
  <c r="F231"/>
  <c r="C220"/>
  <c r="C213"/>
  <c r="D214"/>
  <c r="C73"/>
  <c r="C72" s="1"/>
  <c r="C71" s="1"/>
  <c r="C101" s="1"/>
  <c r="C102" s="1"/>
  <c r="D224"/>
  <c r="D228" l="1"/>
  <c r="F228" s="1"/>
  <c r="F229"/>
  <c r="D222"/>
  <c r="F224"/>
  <c r="D213"/>
  <c r="F213" s="1"/>
  <c r="F214"/>
  <c r="K110" i="67"/>
  <c r="D221" i="65" l="1"/>
  <c r="F222"/>
  <c r="K214" i="67"/>
  <c r="K109"/>
  <c r="D220" i="65" l="1"/>
  <c r="F220" s="1"/>
  <c r="F221"/>
  <c r="K213" i="67"/>
  <c r="K176"/>
  <c r="K79" l="1"/>
  <c r="K224" l="1"/>
  <c r="K73"/>
  <c r="K71" l="1"/>
  <c r="K72"/>
  <c r="K221"/>
  <c r="K222"/>
  <c r="K208"/>
  <c r="K220" l="1"/>
  <c r="K102" l="1"/>
  <c r="K101"/>
  <c r="E184" i="64" l="1"/>
  <c r="K184" l="1"/>
  <c r="F184"/>
  <c r="V328" i="84"/>
  <c r="V329" s="1"/>
  <c r="E179" i="64"/>
  <c r="E227"/>
  <c r="E225" l="1"/>
  <c r="K227"/>
  <c r="F227"/>
  <c r="E178"/>
  <c r="K179"/>
  <c r="F179"/>
  <c r="W19" i="75"/>
  <c r="E221" i="64" l="1"/>
  <c r="K225"/>
  <c r="F225"/>
  <c r="E177"/>
  <c r="K178"/>
  <c r="F178"/>
  <c r="E220" l="1"/>
  <c r="K221"/>
  <c r="F221"/>
  <c r="E207"/>
  <c r="K177"/>
  <c r="F177"/>
  <c r="S284" i="85"/>
  <c r="S285" s="1"/>
  <c r="K220" i="64" l="1"/>
  <c r="F220"/>
  <c r="E208"/>
  <c r="K207"/>
  <c r="F207"/>
  <c r="K208" l="1"/>
  <c r="F208"/>
</calcChain>
</file>

<file path=xl/comments1.xml><?xml version="1.0" encoding="utf-8"?>
<comments xmlns="http://schemas.openxmlformats.org/spreadsheetml/2006/main">
  <authors>
    <author>ecsegi</author>
  </authors>
  <commentList>
    <comment ref="Z11" author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étkeztetés korrekció (étk kieg-12642),
előző évi áthúzodó támogatás -9600</t>
        </r>
      </text>
    </comment>
    <comment ref="Z81" author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étkeztetés korrekció (étk kieg-12642),
előző évi áthúzodó támogatás -9600</t>
        </r>
      </text>
    </comment>
    <comment ref="Z151" author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étkeztetés korrekció (étk kieg-12642),
előző évi áthúzodó támogatás -9600</t>
        </r>
      </text>
    </comment>
    <comment ref="Z221" author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étkeztetés korrekció (étk kieg-12642),
előző évi áthúzodó támogatás -9600</t>
        </r>
      </text>
    </comment>
  </commentList>
</comments>
</file>

<file path=xl/sharedStrings.xml><?xml version="1.0" encoding="utf-8"?>
<sst xmlns="http://schemas.openxmlformats.org/spreadsheetml/2006/main" count="10057" uniqueCount="2812">
  <si>
    <t>Egyéb működési célú támogatások államháztartáson belülre</t>
  </si>
  <si>
    <t>Egyéb működési célú támogatások államháztartáson kívülre</t>
  </si>
  <si>
    <t>Egyéb felhalmozási célú támogatások államháztartáson belülre</t>
  </si>
  <si>
    <t>4.</t>
  </si>
  <si>
    <t>1.</t>
  </si>
  <si>
    <t>2.</t>
  </si>
  <si>
    <t>3.</t>
  </si>
  <si>
    <t>Megnevezés</t>
  </si>
  <si>
    <t>Sor-
szám</t>
  </si>
  <si>
    <t>12.</t>
  </si>
  <si>
    <t>11.</t>
  </si>
  <si>
    <t>10.</t>
  </si>
  <si>
    <t>9.</t>
  </si>
  <si>
    <t>8.</t>
  </si>
  <si>
    <t>7.</t>
  </si>
  <si>
    <t>6.</t>
  </si>
  <si>
    <t>5.</t>
  </si>
  <si>
    <t>Sor-szám</t>
  </si>
  <si>
    <t>Összesen</t>
  </si>
  <si>
    <t>-</t>
  </si>
  <si>
    <t>IV.</t>
  </si>
  <si>
    <t>III.</t>
  </si>
  <si>
    <t>II.</t>
  </si>
  <si>
    <t>I.</t>
  </si>
  <si>
    <t>Települési önkormányzatok muzeális intézményi feladatainak támogatása</t>
  </si>
  <si>
    <t>A települési önkormányzatok helyi közösségi közlekedésének támogatása</t>
  </si>
  <si>
    <t>Lakott külterülettel kapcsolatos feladatok támogatása</t>
  </si>
  <si>
    <t>Üdülőhelyi feladatok támogatása</t>
  </si>
  <si>
    <t>Önkormányzati feladatellátást szolgáló fejlesztések</t>
  </si>
  <si>
    <t>Ózdi martinsalak felhasználása miatt kárt szenvedett lakóépületek tulajdonosainak kártalanítása</t>
  </si>
  <si>
    <t>Kompok, révek fenntartásának, felújításának támogatása</t>
  </si>
  <si>
    <t>Lakossági víz- és csatornaszolgáltatás támogatása</t>
  </si>
  <si>
    <t>23.</t>
  </si>
  <si>
    <t>22.</t>
  </si>
  <si>
    <t>21.</t>
  </si>
  <si>
    <t>20.</t>
  </si>
  <si>
    <t>19.</t>
  </si>
  <si>
    <t>VIII.</t>
  </si>
  <si>
    <t>18.</t>
  </si>
  <si>
    <t>17.</t>
  </si>
  <si>
    <t>16.</t>
  </si>
  <si>
    <t>VII.</t>
  </si>
  <si>
    <t>VI.</t>
  </si>
  <si>
    <t>15.</t>
  </si>
  <si>
    <t>14.</t>
  </si>
  <si>
    <t>13.</t>
  </si>
  <si>
    <t xml:space="preserve"> Személyi juttatások</t>
  </si>
  <si>
    <t>1. melléklet</t>
  </si>
  <si>
    <t>BEVÉTELEK</t>
  </si>
  <si>
    <t>Ezer forintban !</t>
  </si>
  <si>
    <t>Bevételi jogcím</t>
  </si>
  <si>
    <t>Kötelező feladatok</t>
  </si>
  <si>
    <t>Önként vállalt feladatok</t>
  </si>
  <si>
    <t>Állami (államigazgatási) feladatok</t>
  </si>
  <si>
    <t>2.1.</t>
  </si>
  <si>
    <t>2.2.</t>
  </si>
  <si>
    <t>2.2.1.</t>
  </si>
  <si>
    <t>2.2.2.</t>
  </si>
  <si>
    <t>3.1.</t>
  </si>
  <si>
    <t>3.2.</t>
  </si>
  <si>
    <t>3.3.</t>
  </si>
  <si>
    <t>4.1.</t>
  </si>
  <si>
    <t>4.2.</t>
  </si>
  <si>
    <t>4.3.</t>
  </si>
  <si>
    <t>4.4.</t>
  </si>
  <si>
    <t>4.5.</t>
  </si>
  <si>
    <t>8.1.</t>
  </si>
  <si>
    <t>8.2.</t>
  </si>
  <si>
    <t>8.3.</t>
  </si>
  <si>
    <t>9.1.</t>
  </si>
  <si>
    <t>9.2.</t>
  </si>
  <si>
    <t>9.3.</t>
  </si>
  <si>
    <t>9.4.</t>
  </si>
  <si>
    <t>12.1.</t>
  </si>
  <si>
    <t>12.2.</t>
  </si>
  <si>
    <t>13.1.</t>
  </si>
  <si>
    <t>13.2.</t>
  </si>
  <si>
    <t>13.3.</t>
  </si>
  <si>
    <t>15.1.</t>
  </si>
  <si>
    <t>15.2.</t>
  </si>
  <si>
    <t>KIADÁSOK</t>
  </si>
  <si>
    <t>1.1.</t>
  </si>
  <si>
    <t>1.2.</t>
  </si>
  <si>
    <t>2.3.</t>
  </si>
  <si>
    <t>2.4.</t>
  </si>
  <si>
    <t>2.5.</t>
  </si>
  <si>
    <t>2.6.</t>
  </si>
  <si>
    <t>6.1.</t>
  </si>
  <si>
    <t>6.2.</t>
  </si>
  <si>
    <t>KÖLTSÉGVETÉSI BEVÉTELEK ÉS KIADÁSOK EGYENLEGE</t>
  </si>
  <si>
    <t>FINANSZÍROZÁSI CÉLÚ BEVÉTELEK ÉS KIADÁSOK EGYENLEGE</t>
  </si>
  <si>
    <t>Éves engedélyezett létszám előirányzat (fő)</t>
  </si>
  <si>
    <t>Közfoglalkoztatottak létszáma (fő)</t>
  </si>
  <si>
    <t>Helyi önkormányzatok működésének általános támogatása (B111)</t>
  </si>
  <si>
    <t>Települési önkormányzatok egyes köznevelési feladatainak támogatása (B112)</t>
  </si>
  <si>
    <t>Települési önkormányzatok szociális és gyermekjóléti  feladatainak támogatása (B113)</t>
  </si>
  <si>
    <t>Települési önkormányzatok kulturális feladatainak támogatása (B114)</t>
  </si>
  <si>
    <t>Elvonások és befizetések bevételei (B12)</t>
  </si>
  <si>
    <t>Működési célú garancia- és kezességvállalásból származó megtérülések államháztartáson belülről (B13)</t>
  </si>
  <si>
    <t>Működési célú visszatérítendő támogatások, kölcsönök visszatérülése államháztartáson belülről (B14)</t>
  </si>
  <si>
    <t>Működési célú visszatérítendő támogatások, kölcsönök igénybevétele államháztartáson belülről (B15)</t>
  </si>
  <si>
    <t>Egyéb működési célú támogatások bevételei államháztartáson belülről (B16)</t>
  </si>
  <si>
    <t>Jövedelemadók (B31)</t>
  </si>
  <si>
    <t>Szociális hozzájárulási adó és járulékok (B32)</t>
  </si>
  <si>
    <t>Bérhez és foglalkoztatáshoz kapcsolódó adók (B33)</t>
  </si>
  <si>
    <t>Vagyoni tipusú adók  (B34)</t>
  </si>
  <si>
    <t>Termékek és szolgáltatások adói (B35)</t>
  </si>
  <si>
    <t>Áru- és készletértékesítés ellenértéke (B401)</t>
  </si>
  <si>
    <t>Szolgáltatások ellenértéke (B402)</t>
  </si>
  <si>
    <t>Közvetített szolgáltatások értéke (B403)</t>
  </si>
  <si>
    <t>Tulajdonosi bevételek (B404)</t>
  </si>
  <si>
    <t>Ellátási díjak (B405)</t>
  </si>
  <si>
    <t>Kiszámlázott általános forgalmi adó (B406)</t>
  </si>
  <si>
    <t>Általános forgalmi adó visszatérítése (B407)</t>
  </si>
  <si>
    <t>Egyéb pénzügyi műveletek bevételei (B409)</t>
  </si>
  <si>
    <t>Működési célú garancia- és kezességvállalásból származó megtérülések államháztartáson kívülről (B61)</t>
  </si>
  <si>
    <t>Felhalmozási célú önkormányzati támogatások (B21)</t>
  </si>
  <si>
    <t>Felhalmozási célú garancia- és kezességvállalásból származó megtérülések államháztartáson belülről (B22)</t>
  </si>
  <si>
    <t>Felhalmozási célú visszatérítendő támogatások, kölcsönök visszatérülése államháztartáson belülről (B23)</t>
  </si>
  <si>
    <t>Felhalmozási célú visszatérítendő támogatások, kölcsönök igénybevétele államháztartáson belülről (B24)</t>
  </si>
  <si>
    <t>Egyéb felhalmozási célú támogatások bevételei államháztartáson belülről (B25)</t>
  </si>
  <si>
    <t>Immateriális javak értékesítése (B51)</t>
  </si>
  <si>
    <t>Ingatlanok értékesítése (B52)</t>
  </si>
  <si>
    <t>Egyéb tárgyi eszközök értékesítése (B53)</t>
  </si>
  <si>
    <t>Részesedések értékesítése (B54)</t>
  </si>
  <si>
    <t>Részesedések megszűnéséhez kapcsolódó bevételek (B55)</t>
  </si>
  <si>
    <t>Felhalmozási célú garancia- és kezességvállalásból származó megtérülések államháztartáson kívülről (B71)</t>
  </si>
  <si>
    <t>Foglalkoztatottak személyi juttatásai (K11)</t>
  </si>
  <si>
    <t>Külső személyi juttatások (K12)</t>
  </si>
  <si>
    <t>Készletbeszerzés (K31)</t>
  </si>
  <si>
    <t>Kommunikációs szolgáltatások (K32)</t>
  </si>
  <si>
    <t>Szolgáltatási kiadások (K33)</t>
  </si>
  <si>
    <t>Kiküldetések, reklám- és propagandakiadások (K34)</t>
  </si>
  <si>
    <t>Különféle befizetések és egyéb dologi kiadások (K35)</t>
  </si>
  <si>
    <t>Társadalombiztosítási ellátások (K41)</t>
  </si>
  <si>
    <t>Családi támogatások (K42)</t>
  </si>
  <si>
    <t>Pénzbeli kárpótlások, kártérítések (K43)</t>
  </si>
  <si>
    <t>Betegséggel kapcsolatos (nem társadalombiztosítási) ellátások (K44)</t>
  </si>
  <si>
    <t>Foglalkoztatással, munkanélküliséggel kapcsolatos ellátások (K45)</t>
  </si>
  <si>
    <t>Lakhatással kapcsolatos ellátások (K46)</t>
  </si>
  <si>
    <t>Intézményi ellátottak pénzbeli juttatásai (K47)</t>
  </si>
  <si>
    <t>Egyéb nem intézményi ellátások (K48)</t>
  </si>
  <si>
    <t>Nemzetközi kötelezettségek (K501)</t>
  </si>
  <si>
    <t>Elvonások és befizetések (K502)</t>
  </si>
  <si>
    <t>Működési célú garancia- és kezességvállalásból származó kifizetés államháztartáson belülre (K503)</t>
  </si>
  <si>
    <t>Működési célú visszatérítendő támogatások, kölcsönök nyújtása államháztartáson belülre (K504)</t>
  </si>
  <si>
    <t>Működési célú visszatérítendő támogatások, kölcsönök törlesztése államháztartáson belülre (K505)</t>
  </si>
  <si>
    <t>Egyéb működési célú támogatások államháztartáson belülre (K506)</t>
  </si>
  <si>
    <t>Működési célú garancia- és kezességvállalásból származó kifizetés államháztartáson kívülre (K507)</t>
  </si>
  <si>
    <t>Működési célú visszatérítendő támogatások, kölcsönök nyújtása államháztartáson kívülre (K508)</t>
  </si>
  <si>
    <t>Árkiegészítések, ártámogatások (K509)</t>
  </si>
  <si>
    <t>Kamattámogatások (K510)</t>
  </si>
  <si>
    <t>Immateriális javak beszerzése, létesítése (K61)</t>
  </si>
  <si>
    <t>Ingatlanok beszerzése, létesítése (K62)</t>
  </si>
  <si>
    <t>Informatikai eszközök beszerzése, létesítése (K63)</t>
  </si>
  <si>
    <t>Egyéb tárgyi eszközök beszerzése, létesítése (K64)</t>
  </si>
  <si>
    <t>Részesedések beszerzése (K65)</t>
  </si>
  <si>
    <t>Meglévő részesedések növeléséhez kapcsolódó kiadások (K66)</t>
  </si>
  <si>
    <t>Beruházási célú előzetesen felszámított általános forgalmi adó (K67)</t>
  </si>
  <si>
    <t>Ingatlanok felújítása (K71)</t>
  </si>
  <si>
    <t>Informatikai eszközök felújítása (K72)</t>
  </si>
  <si>
    <t>Egyéb tárgyi eszközök felújítása  (K73)</t>
  </si>
  <si>
    <t>Felújítási célú előzetesen felszámított általános forgalmi adó (K74)</t>
  </si>
  <si>
    <t>Felhalmozási célú garancia- és kezességvállalásból származó kifizetés államháztartáson belülre (K81)</t>
  </si>
  <si>
    <t>Felhalmozási célú visszatérítendő támogatások, kölcsönök nyújtása államháztartáson belülre (K82)</t>
  </si>
  <si>
    <t>Felhalmozási célú visszatérítendő támogatások, kölcsönök törlesztése államháztartáson belülre (K83)</t>
  </si>
  <si>
    <t>Egyéb felhalmozási célú támogatások államháztartáson belülre (K84)</t>
  </si>
  <si>
    <t>Felhalmozási célú garancia- és kezességvállalásból származó kifizetés államháztartáson kívülre (K85)</t>
  </si>
  <si>
    <t>Felhalmozási célú visszatérítendő támogatások, kölcsönök nyújtása államháztartáson kívülre (K86)</t>
  </si>
  <si>
    <t>Lakástámogatás (K87)</t>
  </si>
  <si>
    <t>Hitel-, kölcsöntörlesztés államháztartáson kívülre (K911)</t>
  </si>
  <si>
    <t>Belföldi értékpapírok kiadásai (K912)</t>
  </si>
  <si>
    <t>Államháztartáson belüli megelőlegezések folyósítása (K913)</t>
  </si>
  <si>
    <t>Államháztartáson belüli megelőlegezések visszafizetése (K914)</t>
  </si>
  <si>
    <t>Központi, irányító szervi támogatások folyósítása (K915)</t>
  </si>
  <si>
    <t>Pénzügyi lízing kiadásai (K917)</t>
  </si>
  <si>
    <t>Központi költségvetés sajátos finanszírozási kiadásai (K918)</t>
  </si>
  <si>
    <t>Külföldi finanszírozás kiadásai (K92)</t>
  </si>
  <si>
    <t>Adóssághoz nem kapcsolódó származékos ügyletek kiadásai (K93)</t>
  </si>
  <si>
    <t>Pénzeszközök betétként elhelyezése (belső finanszírozás) (K916)</t>
  </si>
  <si>
    <t>3.4.</t>
  </si>
  <si>
    <t>3.5.</t>
  </si>
  <si>
    <t>6.3.</t>
  </si>
  <si>
    <t>6.4.</t>
  </si>
  <si>
    <t>6.5.</t>
  </si>
  <si>
    <t>7.1.</t>
  </si>
  <si>
    <t>7.2.</t>
  </si>
  <si>
    <t>7.3.</t>
  </si>
  <si>
    <t>7.4.</t>
  </si>
  <si>
    <t>7.5.</t>
  </si>
  <si>
    <t>2.1.1.</t>
  </si>
  <si>
    <t>2.1.2.</t>
  </si>
  <si>
    <t>2.1.3.</t>
  </si>
  <si>
    <t>2.1.4.</t>
  </si>
  <si>
    <t>2.1.5.</t>
  </si>
  <si>
    <t>2.1.6.</t>
  </si>
  <si>
    <t>12.1.1.</t>
  </si>
  <si>
    <t>12.1.2.</t>
  </si>
  <si>
    <t>12.1.3.</t>
  </si>
  <si>
    <t>12.1.4.</t>
  </si>
  <si>
    <t>12.1.5.</t>
  </si>
  <si>
    <t>12.1.6.</t>
  </si>
  <si>
    <t>12.1.8.</t>
  </si>
  <si>
    <t>12.3.</t>
  </si>
  <si>
    <t>12.1.7.</t>
  </si>
  <si>
    <t>13.1.1.</t>
  </si>
  <si>
    <t>13.1.2.</t>
  </si>
  <si>
    <t>13.1.3.</t>
  </si>
  <si>
    <t>13.1.4.</t>
  </si>
  <si>
    <t>13.1.5.</t>
  </si>
  <si>
    <t>13.1.6.</t>
  </si>
  <si>
    <t>13.1.7.</t>
  </si>
  <si>
    <t>13.1.8.</t>
  </si>
  <si>
    <t>15.1.1.</t>
  </si>
  <si>
    <t>15.1.2.</t>
  </si>
  <si>
    <t>15.1.3.</t>
  </si>
  <si>
    <t>15.1.4.</t>
  </si>
  <si>
    <t>15.1.5.</t>
  </si>
  <si>
    <t>15.1.6.</t>
  </si>
  <si>
    <t>15.1.7.</t>
  </si>
  <si>
    <t>15.1.8.</t>
  </si>
  <si>
    <t>15.3.</t>
  </si>
  <si>
    <t>4.6.</t>
  </si>
  <si>
    <t>4.7.</t>
  </si>
  <si>
    <t>4.8.</t>
  </si>
  <si>
    <t>4.9.</t>
  </si>
  <si>
    <t>4.10.</t>
  </si>
  <si>
    <t>5.1.</t>
  </si>
  <si>
    <t>5.2.</t>
  </si>
  <si>
    <t>5.3.</t>
  </si>
  <si>
    <t>8.4.</t>
  </si>
  <si>
    <t>8.5.</t>
  </si>
  <si>
    <t>14.1.</t>
  </si>
  <si>
    <t>14.1.1.</t>
  </si>
  <si>
    <t>14.1.2.</t>
  </si>
  <si>
    <t>14.1.3.</t>
  </si>
  <si>
    <t>14.1.4.</t>
  </si>
  <si>
    <t>14.1.5.</t>
  </si>
  <si>
    <t>14.1.6.</t>
  </si>
  <si>
    <t>14.1.7.</t>
  </si>
  <si>
    <t>14.1.8.</t>
  </si>
  <si>
    <t>14.2.</t>
  </si>
  <si>
    <t>14.3.</t>
  </si>
  <si>
    <t>Külföldi finanszírozás bevételei (B82)</t>
  </si>
  <si>
    <t>Adóssághoz nem kapcsolódó származékos ügyletek bevételei (B83)</t>
  </si>
  <si>
    <t>Központi költségvetés sajátos finanszírozási bevételei (B818)</t>
  </si>
  <si>
    <t>Hitel-, kölcsönfelvétel államháztartáson kívülről (B811)</t>
  </si>
  <si>
    <t>Belföldi értékpapírok bevételei (B812)</t>
  </si>
  <si>
    <t>Maradvány igénybevétele (belső finanszírozás) (B813)</t>
  </si>
  <si>
    <t>Államháztartáson belüli megelőlegezések (B814)</t>
  </si>
  <si>
    <t>Államháztartáson belüli megelőlegezések törlesztése (B815)</t>
  </si>
  <si>
    <t>Központi, irányító szervi támogatás (B816)</t>
  </si>
  <si>
    <t>Betétek megszüntetése (belső finanszírozás) (B817)</t>
  </si>
  <si>
    <t>a.</t>
  </si>
  <si>
    <t>b.</t>
  </si>
  <si>
    <t>c.</t>
  </si>
  <si>
    <t>I/2. Munkaadókat terhelő járulékok és szociális hozzájárulási adó (K2)</t>
  </si>
  <si>
    <t>5.4.</t>
  </si>
  <si>
    <t>5.5.</t>
  </si>
  <si>
    <t>5.6.</t>
  </si>
  <si>
    <t>5.7.</t>
  </si>
  <si>
    <t>5.8.</t>
  </si>
  <si>
    <t>6.6.</t>
  </si>
  <si>
    <t>6.7.</t>
  </si>
  <si>
    <t>6.8.</t>
  </si>
  <si>
    <t>6.9.</t>
  </si>
  <si>
    <t>6.10.</t>
  </si>
  <si>
    <t>6.11.</t>
  </si>
  <si>
    <t>6.12.</t>
  </si>
  <si>
    <t>8.6.</t>
  </si>
  <si>
    <t>8.7.</t>
  </si>
  <si>
    <t>10.1.</t>
  </si>
  <si>
    <t>10.2.</t>
  </si>
  <si>
    <t>10.3.</t>
  </si>
  <si>
    <t>10.4.</t>
  </si>
  <si>
    <t>10.5.</t>
  </si>
  <si>
    <t>10.6.</t>
  </si>
  <si>
    <t>10.7.</t>
  </si>
  <si>
    <t>10.8.</t>
  </si>
  <si>
    <t>2. táblázat</t>
  </si>
  <si>
    <t>1. táblázat</t>
  </si>
  <si>
    <t>Ezer forintban!</t>
  </si>
  <si>
    <t>3. táblázat</t>
  </si>
  <si>
    <t>4. táblázat</t>
  </si>
  <si>
    <t>5. táblázat</t>
  </si>
  <si>
    <t>Működési célú belső finanszírozási műveletek bevételei [=1. melléklet 1. táblázat 12.1.3.+12.1.7. sor]</t>
  </si>
  <si>
    <t>Működési célú külső finanszírozási műveletek bevételei [=1. melléklet 1. táblázat 12.1.1.+12.1.2.+12.1.4+…+12.1.6.+12.1.8. sor]</t>
  </si>
  <si>
    <t>Működési célú belső finanszírozási műveletek kiadásai (belső finanszírozás) [=1. melléklet 2. táblázat 13.1.6. sor]</t>
  </si>
  <si>
    <t>Működési célú külső finanszírozási műveletek kiadásai [=1. melléklet 2. táblázat 13.1.1.+…+13.1.5.+13.1.7.+13.1.8. sor]</t>
  </si>
  <si>
    <t>Felhalmozási célú belső finanszírozási műveletek kiadásai (belső finanszírozás) [=1. melléklet 2. táblázat 15.1.6. sor]</t>
  </si>
  <si>
    <t>Felhalmozási célú külső finanszírozási műveletek kiadásai [=1. melléklet 2. táblázat 15.1.1.+…+15.1.5.+15.1.7.+15.1.8. sor]</t>
  </si>
  <si>
    <t>Felhalmozási célú belső finanszírozási műveletek bevételei [=1. melléklet 1. táblázat 14.1.3.+14.1.7. sor]</t>
  </si>
  <si>
    <t>Felhalmozási célú külső finanszírozási műveletek bevételei [=1. melléklet 1. táblázat 14.1.1.+14.1.2.+14.1.4+…+14.1.6.+14.1.8. sor]</t>
  </si>
  <si>
    <t>3.1.1.</t>
  </si>
  <si>
    <t>3.1.2.</t>
  </si>
  <si>
    <t>3.2.1.</t>
  </si>
  <si>
    <t>3.2.2.</t>
  </si>
  <si>
    <r>
      <t xml:space="preserve">I. Működési költségvetés bevételei </t>
    </r>
    <r>
      <rPr>
        <b/>
        <i/>
        <sz val="9"/>
        <rFont val="Times New Roman"/>
        <family val="1"/>
        <charset val="238"/>
      </rPr>
      <t>[=2.+...+5.]</t>
    </r>
  </si>
  <si>
    <r>
      <t xml:space="preserve">I/1. Működési célú támogatások államháztartáson belülről (B1) </t>
    </r>
    <r>
      <rPr>
        <b/>
        <i/>
        <sz val="9"/>
        <rFont val="Times New Roman"/>
        <family val="1"/>
        <charset val="238"/>
      </rPr>
      <t>[=2.1.+…+2.6.]</t>
    </r>
  </si>
  <si>
    <r>
      <t xml:space="preserve">Önkormányzatok működési támogatásai (B11) </t>
    </r>
    <r>
      <rPr>
        <i/>
        <sz val="9"/>
        <rFont val="Times New Roman"/>
        <family val="1"/>
        <charset val="238"/>
      </rPr>
      <t>[=2.1.1.+…+2.1.6.]</t>
    </r>
  </si>
  <si>
    <r>
      <t xml:space="preserve">II. Felhalmozási költségvetés bevételei </t>
    </r>
    <r>
      <rPr>
        <b/>
        <i/>
        <sz val="9"/>
        <rFont val="Times New Roman"/>
        <family val="1"/>
        <charset val="238"/>
      </rPr>
      <t>[=7.+…+9.]</t>
    </r>
  </si>
  <si>
    <r>
      <t xml:space="preserve">II/1. Felhalmozási célú támogatások államháztartáson belülről (B2) </t>
    </r>
    <r>
      <rPr>
        <b/>
        <i/>
        <sz val="9"/>
        <rFont val="Times New Roman"/>
        <family val="1"/>
        <charset val="238"/>
      </rPr>
      <t>[=7.1.+…+7.5.]</t>
    </r>
  </si>
  <si>
    <r>
      <t xml:space="preserve">II/2. Felhalmozási bevételek (B5) </t>
    </r>
    <r>
      <rPr>
        <b/>
        <i/>
        <sz val="9"/>
        <rFont val="Times New Roman"/>
        <family val="1"/>
        <charset val="238"/>
      </rPr>
      <t>[=8.1.+…+8.5.]</t>
    </r>
  </si>
  <si>
    <r>
      <t xml:space="preserve">KÖLTSÉGVETÉSI BEVÉTELEK ÖSSZESEN </t>
    </r>
    <r>
      <rPr>
        <b/>
        <i/>
        <sz val="9"/>
        <rFont val="Times New Roman"/>
        <family val="1"/>
        <charset val="238"/>
      </rPr>
      <t>[=1.+6.]</t>
    </r>
  </si>
  <si>
    <r>
      <t xml:space="preserve">III. Működési finanszírozási bevételek (B81) </t>
    </r>
    <r>
      <rPr>
        <b/>
        <i/>
        <sz val="9"/>
        <rFont val="Times New Roman"/>
        <family val="1"/>
        <charset val="238"/>
      </rPr>
      <t>[=12.]</t>
    </r>
  </si>
  <si>
    <r>
      <t xml:space="preserve">IV. Felhalmozási finanszírozási bevételek (B81) </t>
    </r>
    <r>
      <rPr>
        <b/>
        <i/>
        <sz val="9"/>
        <rFont val="Times New Roman"/>
        <family val="1"/>
        <charset val="238"/>
      </rPr>
      <t>[=14.]</t>
    </r>
  </si>
  <si>
    <r>
      <t xml:space="preserve">FINANSZÍROZÁSI BEVÉTELEK ÖSSZESEN (B8) </t>
    </r>
    <r>
      <rPr>
        <b/>
        <i/>
        <sz val="9"/>
        <rFont val="Times New Roman"/>
        <family val="1"/>
        <charset val="238"/>
      </rPr>
      <t>[=11.+13.]</t>
    </r>
  </si>
  <si>
    <r>
      <t xml:space="preserve">BEVÉTELEK MINDÖSSZESEN </t>
    </r>
    <r>
      <rPr>
        <b/>
        <i/>
        <sz val="9"/>
        <rFont val="Times New Roman"/>
        <family val="1"/>
        <charset val="238"/>
      </rPr>
      <t>[=10.+15.]</t>
    </r>
  </si>
  <si>
    <r>
      <t xml:space="preserve">I. Működési költségvetés kiadásai </t>
    </r>
    <r>
      <rPr>
        <b/>
        <i/>
        <sz val="9"/>
        <rFont val="Times New Roman"/>
        <family val="1"/>
        <charset val="238"/>
      </rPr>
      <t>[=2.+...+6.]</t>
    </r>
  </si>
  <si>
    <r>
      <t xml:space="preserve">I/1. Személyi juttatások (K1) </t>
    </r>
    <r>
      <rPr>
        <b/>
        <i/>
        <sz val="9"/>
        <rFont val="Times New Roman"/>
        <family val="1"/>
        <charset val="238"/>
      </rPr>
      <t>[=2.1.+2.2.]</t>
    </r>
  </si>
  <si>
    <r>
      <t xml:space="preserve">I/4. Ellátottak pénzbeli juttatásai (K4) </t>
    </r>
    <r>
      <rPr>
        <b/>
        <i/>
        <sz val="9"/>
        <rFont val="Times New Roman"/>
        <family val="1"/>
        <charset val="238"/>
      </rPr>
      <t>[=5.1.+…+5.8.]</t>
    </r>
  </si>
  <si>
    <r>
      <t xml:space="preserve">II. Felhalmozási költségvetés kiadásai </t>
    </r>
    <r>
      <rPr>
        <b/>
        <i/>
        <sz val="9"/>
        <rFont val="Times New Roman"/>
        <family val="1"/>
        <charset val="238"/>
      </rPr>
      <t>[=8.+…+10.]</t>
    </r>
  </si>
  <si>
    <r>
      <t xml:space="preserve">II/1. Beruházások (K6) </t>
    </r>
    <r>
      <rPr>
        <b/>
        <i/>
        <sz val="9"/>
        <rFont val="Times New Roman"/>
        <family val="1"/>
        <charset val="238"/>
      </rPr>
      <t>[=8.1.+…+8.7.]</t>
    </r>
  </si>
  <si>
    <r>
      <t xml:space="preserve">II/2. Felújítások (K7) </t>
    </r>
    <r>
      <rPr>
        <b/>
        <i/>
        <sz val="9"/>
        <rFont val="Times New Roman"/>
        <family val="1"/>
        <charset val="238"/>
      </rPr>
      <t>[9.1.+…+9.4.]</t>
    </r>
  </si>
  <si>
    <r>
      <t xml:space="preserve">KÖLTSÉGVETÉSI KIADÁSOK ÖSSZESEN </t>
    </r>
    <r>
      <rPr>
        <b/>
        <i/>
        <sz val="9"/>
        <rFont val="Times New Roman"/>
        <family val="1"/>
        <charset val="238"/>
      </rPr>
      <t>[=1.+7.]</t>
    </r>
  </si>
  <si>
    <r>
      <t xml:space="preserve">III. Működési finanszírozási kiadások (K91) </t>
    </r>
    <r>
      <rPr>
        <b/>
        <i/>
        <sz val="9"/>
        <rFont val="Times New Roman"/>
        <family val="1"/>
        <charset val="238"/>
      </rPr>
      <t>[=12.]</t>
    </r>
  </si>
  <si>
    <r>
      <t xml:space="preserve">IV. Felhalmozási finanszírozási kiadások (K91) </t>
    </r>
    <r>
      <rPr>
        <b/>
        <i/>
        <sz val="9"/>
        <rFont val="Times New Roman"/>
        <family val="1"/>
        <charset val="238"/>
      </rPr>
      <t>[=15.]</t>
    </r>
  </si>
  <si>
    <r>
      <t xml:space="preserve">FINANSZÍROZÁSI KIADÁSOK ÖSSZESEN (K9) </t>
    </r>
    <r>
      <rPr>
        <b/>
        <i/>
        <sz val="9"/>
        <rFont val="Times New Roman"/>
        <family val="1"/>
        <charset val="238"/>
      </rPr>
      <t>[=12.+14.]</t>
    </r>
  </si>
  <si>
    <r>
      <t xml:space="preserve">KÖLTSÉGVETÉSI HIÁNY, TÖBBLET (+/-) </t>
    </r>
    <r>
      <rPr>
        <b/>
        <i/>
        <sz val="9"/>
        <rFont val="Times New Roman"/>
        <family val="1"/>
        <charset val="238"/>
      </rPr>
      <t>[=1.1.+1.2.]</t>
    </r>
  </si>
  <si>
    <r>
      <t xml:space="preserve">Működési célú költségvetési hiány, többlet (+/-) </t>
    </r>
    <r>
      <rPr>
        <i/>
        <sz val="9"/>
        <rFont val="Times New Roman"/>
        <family val="1"/>
        <charset val="238"/>
      </rPr>
      <t>[=1. melléklet 1. táblázat 1. sor - 1. melléklet 2. táblázat 1. sor]</t>
    </r>
  </si>
  <si>
    <r>
      <t xml:space="preserve">Felhalmozási célú költségvetési hiány, többlet (+/-) </t>
    </r>
    <r>
      <rPr>
        <i/>
        <sz val="9"/>
        <rFont val="Times New Roman"/>
        <family val="1"/>
        <charset val="238"/>
      </rPr>
      <t>[=1. melléklet 1. táblázat 6. sor - 1. melléklet 2. táblázat 7. sor]</t>
    </r>
  </si>
  <si>
    <r>
      <t xml:space="preserve">FINANSZÍROZÁSI MŰVELETEK EGYENLEGE (+/-) </t>
    </r>
    <r>
      <rPr>
        <b/>
        <i/>
        <sz val="9"/>
        <rFont val="Times New Roman"/>
        <family val="1"/>
        <charset val="238"/>
      </rPr>
      <t>[=2.+3.]</t>
    </r>
  </si>
  <si>
    <r>
      <t xml:space="preserve">Működési finanszírozási műveletek egyenlege (+/-) </t>
    </r>
    <r>
      <rPr>
        <b/>
        <i/>
        <sz val="9"/>
        <rFont val="Times New Roman"/>
        <family val="1"/>
        <charset val="238"/>
      </rPr>
      <t>[=2.1.-2.2.]</t>
    </r>
  </si>
  <si>
    <r>
      <t xml:space="preserve">Működési finanszírozási műveletek bevételei </t>
    </r>
    <r>
      <rPr>
        <i/>
        <sz val="9"/>
        <rFont val="Times New Roman"/>
        <family val="1"/>
        <charset val="238"/>
      </rPr>
      <t>[=2.1.1.+2.1.2.]</t>
    </r>
  </si>
  <si>
    <r>
      <t xml:space="preserve">Működési finanszírozási műveletek kiadásai </t>
    </r>
    <r>
      <rPr>
        <i/>
        <sz val="9"/>
        <rFont val="Times New Roman"/>
        <family val="1"/>
        <charset val="238"/>
      </rPr>
      <t>[=2.2.1.+2.2.2.]</t>
    </r>
  </si>
  <si>
    <r>
      <t xml:space="preserve">Felhalmozási finanszírozási műveletek egyenlege (+/-) </t>
    </r>
    <r>
      <rPr>
        <b/>
        <i/>
        <sz val="9"/>
        <rFont val="Times New Roman"/>
        <family val="1"/>
        <charset val="238"/>
      </rPr>
      <t>[=3.1-3.2.]</t>
    </r>
  </si>
  <si>
    <r>
      <t xml:space="preserve">Felhalmozási finanszírozási műveletek bevételei </t>
    </r>
    <r>
      <rPr>
        <i/>
        <sz val="9"/>
        <rFont val="Times New Roman"/>
        <family val="1"/>
        <charset val="238"/>
      </rPr>
      <t>[=3.1.1.+3.1.2.]</t>
    </r>
  </si>
  <si>
    <r>
      <t xml:space="preserve">Felhalmozási finanszírozási műveletek kiadásai </t>
    </r>
    <r>
      <rPr>
        <i/>
        <sz val="9"/>
        <rFont val="Times New Roman"/>
        <family val="1"/>
        <charset val="238"/>
      </rPr>
      <t>[=3.2.1.+3.2.2.]</t>
    </r>
  </si>
  <si>
    <r>
      <t xml:space="preserve">Bevételi jogcím (rovatszám) </t>
    </r>
    <r>
      <rPr>
        <b/>
        <i/>
        <sz val="9"/>
        <rFont val="Times New Roman"/>
        <family val="1"/>
        <charset val="238"/>
      </rPr>
      <t>[képlet]</t>
    </r>
  </si>
  <si>
    <r>
      <t>Kiadási jogcím (rovatszám)</t>
    </r>
    <r>
      <rPr>
        <b/>
        <i/>
        <sz val="9"/>
        <rFont val="Times New Roman"/>
        <family val="1"/>
        <charset val="238"/>
      </rPr>
      <t xml:space="preserve"> [képlet]</t>
    </r>
  </si>
  <si>
    <r>
      <t>MINDÖSSZESEN LÉTSZÁM (fő)</t>
    </r>
    <r>
      <rPr>
        <b/>
        <i/>
        <sz val="9"/>
        <rFont val="Times New Roman"/>
        <family val="1"/>
        <charset val="238"/>
      </rPr>
      <t xml:space="preserve"> [=1.+2.]</t>
    </r>
  </si>
  <si>
    <t>HEVES VÁROS ÖNKORMÁNYZATA ÉS KÖLTSÉGVETÉSI SZERVEI</t>
  </si>
  <si>
    <t>2.6.a.</t>
  </si>
  <si>
    <t>- ebből: Működési célú  fejezeti kezelésű előirányzatok EU-s programok és azok hazai társfinanszírozása (B16)</t>
  </si>
  <si>
    <t>7.5.a.</t>
  </si>
  <si>
    <r>
      <t xml:space="preserve">KIADÁSOK MINDÖSSZESEN </t>
    </r>
    <r>
      <rPr>
        <b/>
        <i/>
        <sz val="9"/>
        <rFont val="Times New Roman"/>
        <family val="1"/>
        <charset val="238"/>
      </rPr>
      <t>[=11.+16.]</t>
    </r>
  </si>
  <si>
    <t>6.6.a.</t>
  </si>
  <si>
    <t>- ebből: Működési célú  fejezeti kezelésű előirányzatok EU-s programok és azok hazai társfinanszírozása (K506)</t>
  </si>
  <si>
    <t>- ebből: Felhalmozási célú  fejezeti kezelésű előirányzatok EU-s programok és azok hazai társfinanszírozása (B25)</t>
  </si>
  <si>
    <t>10.4.a.</t>
  </si>
  <si>
    <t>- ebből: Felhalmozási célú  fejezeti kezelésű előirányzatok EU-s programok és azok hazai társfinanszírozása (K84)</t>
  </si>
  <si>
    <t>4.a.</t>
  </si>
  <si>
    <t>- ebből: EU-s forrásból finanszírozott támogatással megvalósuló programok, projektek beruházási kiadásai (K6)</t>
  </si>
  <si>
    <r>
      <t xml:space="preserve">I/3. Dologi kiadások (K3) </t>
    </r>
    <r>
      <rPr>
        <b/>
        <i/>
        <sz val="9"/>
        <rFont val="Times New Roman"/>
        <family val="1"/>
        <charset val="238"/>
      </rPr>
      <t>[=4.1.+…+4.5.]</t>
    </r>
  </si>
  <si>
    <t>9.a.</t>
  </si>
  <si>
    <t>- ebből: EU-s forrásból finanszírozott támogatással megvalósuló programok, projektek felújítási kiadásai (K7)</t>
  </si>
  <si>
    <t>3.a.</t>
  </si>
  <si>
    <t>- ebből: EU-s forrásból finanszírozott támogatással megvalósuló programok, projektek járulék kiadásai (K2)</t>
  </si>
  <si>
    <t>- ebből: EU-s forrásból finanszírozott támogatással megvalósuló programok, projektek dologi kiadásai (K3)</t>
  </si>
  <si>
    <t>2.a.</t>
  </si>
  <si>
    <t>- ebből: EU-s forrásból finanszírozott támogatással megvalósuló programok, projektek személyi juttatás kiadásai (K1)</t>
  </si>
  <si>
    <t>1.a.</t>
  </si>
  <si>
    <t>- ebből: EU-s forrásból finanszírozott támogatással megvalósuló programok, projekteklétszáma</t>
  </si>
  <si>
    <t>1.1. melléklet</t>
  </si>
  <si>
    <t>HEVES VÁROS ÖNKORMÁNYZATA</t>
  </si>
  <si>
    <t>1.2. melléklet</t>
  </si>
  <si>
    <t>1.3. melléklet</t>
  </si>
  <si>
    <t>HEVES VÁROSI ÓVODÁK ÉS BÖLCSŐDE KÖZNEVELÉSI INTÉZMÉNY</t>
  </si>
  <si>
    <t>1.4. melléklet</t>
  </si>
  <si>
    <t>HEVESI KULTURÁLIS KÖZPONT</t>
  </si>
  <si>
    <t>6.a.</t>
  </si>
  <si>
    <t>d.</t>
  </si>
  <si>
    <t>e.</t>
  </si>
  <si>
    <t>8.1.1.</t>
  </si>
  <si>
    <t>8.1.2.</t>
  </si>
  <si>
    <t>8.1.3.</t>
  </si>
  <si>
    <t>8.1.4.</t>
  </si>
  <si>
    <t>8.1.5.</t>
  </si>
  <si>
    <t>8.1.6.</t>
  </si>
  <si>
    <t>8.1.7.</t>
  </si>
  <si>
    <t>8.1.8.</t>
  </si>
  <si>
    <r>
      <t xml:space="preserve">Működési költségvetés bevételei </t>
    </r>
    <r>
      <rPr>
        <b/>
        <i/>
        <sz val="9"/>
        <rFont val="Times New Roman"/>
        <family val="1"/>
        <charset val="238"/>
      </rPr>
      <t>[=2.+...+5.]</t>
    </r>
  </si>
  <si>
    <r>
      <t xml:space="preserve">Működési költségvetés kiadásai </t>
    </r>
    <r>
      <rPr>
        <b/>
        <i/>
        <sz val="9"/>
        <rFont val="Times New Roman"/>
        <family val="1"/>
        <charset val="238"/>
      </rPr>
      <t>[=2.+...+6.]</t>
    </r>
  </si>
  <si>
    <t>Munkaadókat terhelő járulékok és szociális hozzájárulási adó (K2)</t>
  </si>
  <si>
    <t>Működési célú támogatások államháztartáson belülről (B1)</t>
  </si>
  <si>
    <t>Közhatalmi bevételek (B3)</t>
  </si>
  <si>
    <t>Működési bevételek (B4)</t>
  </si>
  <si>
    <t>Működési célú átvett pénzeszközök (B6)</t>
  </si>
  <si>
    <r>
      <t xml:space="preserve">Működési finanszírozási bevételek (B81) </t>
    </r>
    <r>
      <rPr>
        <b/>
        <i/>
        <sz val="9"/>
        <rFont val="Times New Roman"/>
        <family val="1"/>
        <charset val="238"/>
      </rPr>
      <t>[=8.]</t>
    </r>
  </si>
  <si>
    <t>Személyi juttatások (K1)</t>
  </si>
  <si>
    <t>Dologi kiadások (K3)</t>
  </si>
  <si>
    <t>Ellátottak pénzbeli juttatásai (K4)</t>
  </si>
  <si>
    <t>Egyéb működési célú kiadások (K5)</t>
  </si>
  <si>
    <r>
      <t xml:space="preserve">Működési finanszírozási kiadások (K91) </t>
    </r>
    <r>
      <rPr>
        <b/>
        <i/>
        <sz val="9"/>
        <rFont val="Times New Roman"/>
        <family val="1"/>
        <charset val="238"/>
      </rPr>
      <t>[=8.]</t>
    </r>
  </si>
  <si>
    <r>
      <t xml:space="preserve">MŰKÖDÉSI BEVÉTELEK MINDÖSSZESEN </t>
    </r>
    <r>
      <rPr>
        <b/>
        <i/>
        <sz val="9"/>
        <rFont val="Times New Roman"/>
        <family val="1"/>
        <charset val="238"/>
      </rPr>
      <t>[=1.+7.]</t>
    </r>
  </si>
  <si>
    <t>Működési költségvetési hiány</t>
  </si>
  <si>
    <t>Működési költségvetési többlet</t>
  </si>
  <si>
    <r>
      <t xml:space="preserve">MŰKÖDÉSI KIADÁSOK MINDÖSSZESEN </t>
    </r>
    <r>
      <rPr>
        <b/>
        <i/>
        <sz val="9"/>
        <rFont val="Times New Roman"/>
        <family val="1"/>
        <charset val="238"/>
      </rPr>
      <t>[=1.+7.]</t>
    </r>
  </si>
  <si>
    <t>2.a. melléklet</t>
  </si>
  <si>
    <t>Működési finanszírozási műveletek egyenleg (-)</t>
  </si>
  <si>
    <t>Működési finanszírozási műveletek egyenleg (+)</t>
  </si>
  <si>
    <t>2.b. melléklet</t>
  </si>
  <si>
    <r>
      <t xml:space="preserve">Felhalmozási finanszírozási bevételek (B81) </t>
    </r>
    <r>
      <rPr>
        <b/>
        <i/>
        <sz val="9"/>
        <rFont val="Times New Roman"/>
        <family val="1"/>
        <charset val="238"/>
      </rPr>
      <t>[=8.]</t>
    </r>
  </si>
  <si>
    <r>
      <t xml:space="preserve">FELHALMOZÁSI BEVÉTELEK MINDÖSSZESEN </t>
    </r>
    <r>
      <rPr>
        <b/>
        <i/>
        <sz val="9"/>
        <rFont val="Times New Roman"/>
        <family val="1"/>
        <charset val="238"/>
      </rPr>
      <t>[=1.+7.]</t>
    </r>
  </si>
  <si>
    <t>Felhalmozási finanszírozási műveletek egyenleg (-)</t>
  </si>
  <si>
    <t>Felhalmozási finanszírozási műveletek egyenleg (+)</t>
  </si>
  <si>
    <t>Felhalmozási költségvetési többlet</t>
  </si>
  <si>
    <r>
      <t xml:space="preserve">FELHALMOZÁSI KIADÁSOK MINDÖSSZESEN </t>
    </r>
    <r>
      <rPr>
        <b/>
        <i/>
        <sz val="9"/>
        <rFont val="Times New Roman"/>
        <family val="1"/>
        <charset val="238"/>
      </rPr>
      <t>[=1.+7.]</t>
    </r>
  </si>
  <si>
    <r>
      <t xml:space="preserve">Felhalmozási finanszírozási kiadások (K91) </t>
    </r>
    <r>
      <rPr>
        <b/>
        <i/>
        <sz val="9"/>
        <rFont val="Times New Roman"/>
        <family val="1"/>
        <charset val="238"/>
      </rPr>
      <t>[=8.]</t>
    </r>
  </si>
  <si>
    <t>Felhalmozási célú támogatások államháztartáson belülről (B2)</t>
  </si>
  <si>
    <t>Felhalmozási bevételek (B5)</t>
  </si>
  <si>
    <t>Felhalmozási célú átvett pénzeszközök (B7)</t>
  </si>
  <si>
    <r>
      <t xml:space="preserve">Felhalmozási költségvetés bevételei </t>
    </r>
    <r>
      <rPr>
        <b/>
        <i/>
        <sz val="9"/>
        <rFont val="Times New Roman"/>
        <family val="1"/>
        <charset val="238"/>
      </rPr>
      <t>[=2.+...+4.]</t>
    </r>
  </si>
  <si>
    <r>
      <t xml:space="preserve">Felhalmozási költségvetés kiadásai </t>
    </r>
    <r>
      <rPr>
        <b/>
        <i/>
        <sz val="9"/>
        <rFont val="Times New Roman"/>
        <family val="1"/>
        <charset val="238"/>
      </rPr>
      <t>[=2.+...+4.]</t>
    </r>
  </si>
  <si>
    <t>Beruházások (K6)</t>
  </si>
  <si>
    <t>Felújítások (K7)</t>
  </si>
  <si>
    <t>Egyéb felhalmozási célú kiadások (K8)</t>
  </si>
  <si>
    <t>Felhalmozás költségvetési hiány</t>
  </si>
  <si>
    <t>Köztisztviselő</t>
  </si>
  <si>
    <t>Közalkalmazott</t>
  </si>
  <si>
    <t>Munka Törvénykönyv hatálya alá tartozó</t>
  </si>
  <si>
    <t>Heves Város Önkormányzata kötelező feladatok</t>
  </si>
  <si>
    <t>Heves Város Önkormányzata önként vállalt feladatok</t>
  </si>
  <si>
    <t>Heves Város Önkormányzata állami (államigazgatási) feladatok</t>
  </si>
  <si>
    <t>Heves Város Önkormányzata összesen</t>
  </si>
  <si>
    <t>Önkormányzati jogalkotás</t>
  </si>
  <si>
    <t>Építmény üzemeltetés</t>
  </si>
  <si>
    <t>Munkahelyi étkeztetés</t>
  </si>
  <si>
    <t>Heves Városi Óvodák és Bölcsőde Köznevelési Intézmény kötelező feladatok</t>
  </si>
  <si>
    <t>Heves Városi Óvodák és Bölcsőde Köznevelési Intézmény önként vállalt feladatok</t>
  </si>
  <si>
    <t>Heves Városi Óvodák és Bölcsőde Köznevelési Intézmény összesen</t>
  </si>
  <si>
    <t>Hevesi Kulturális Központ kötelező feladatok</t>
  </si>
  <si>
    <t>Hevesi Kulturális Központ önként vállalt feladsatok</t>
  </si>
  <si>
    <t>Hevesi Kulturális Központ összesen</t>
  </si>
  <si>
    <t>Közfoglalkoztatottak éves létszám-előirányzata</t>
  </si>
  <si>
    <t>3. melléklet</t>
  </si>
  <si>
    <t>MINDÖSSZESEN LÉTSZÁM</t>
  </si>
  <si>
    <t>KÖZFOGLALKOZTATOTTAK ÖSSZESEN</t>
  </si>
  <si>
    <t>ENGEDÉLYEZETT LÉTSZÁM ELŐIRÁNYZAT ÖSSZESEN</t>
  </si>
  <si>
    <t>9. melléklet</t>
  </si>
  <si>
    <t>1. EU-s projekt azonosítója, neve:</t>
  </si>
  <si>
    <t>2. EU-s projekt azonosítója, neve:</t>
  </si>
  <si>
    <t>Források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</si>
  <si>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</si>
  <si>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</si>
  <si>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</si>
  <si>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</si>
  <si>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</si>
  <si>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</si>
  <si>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</si>
  <si>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</si>
  <si>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Összesen:</t>
  </si>
  <si>
    <t>3. EU-s projekt azonosítója, neve:</t>
  </si>
  <si>
    <t>4. EU-s projekt azonosítója, neve:</t>
  </si>
  <si>
    <t>4. melléklet</t>
  </si>
  <si>
    <t>2016.</t>
  </si>
  <si>
    <t>Személyi juttatások</t>
  </si>
  <si>
    <t>Munkaadókat terhelő járulékok és szociális hozzájárulási adó</t>
  </si>
  <si>
    <t>Dologi kiadások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</si>
  <si>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</si>
  <si>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</si>
  <si>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</si>
  <si>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</si>
  <si>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</si>
  <si>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>Kiadások, költségek összesen:</t>
  </si>
  <si>
    <t>EURÓPAI UNIÓS TÁMOGATÁSSAL MEGVALÓSULÓ PROJEKTEK BEVÉTELEI, KIADÁSAI, HOZZÁJÁRULÁSOK</t>
  </si>
  <si>
    <t>5. melléklet</t>
  </si>
  <si>
    <t xml:space="preserve">Saját bevétel és adósságot keletkeztető ügyletből eredő fizetési kötelezettség </t>
  </si>
  <si>
    <t xml:space="preserve"> Ezer forintban !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</si>
  <si>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</si>
  <si>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</si>
  <si>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</si>
  <si>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</si>
  <si>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</si>
  <si>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</si>
  <si>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</si>
  <si>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</si>
  <si>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</si>
  <si>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</si>
  <si>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</si>
  <si>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</si>
  <si>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</si>
  <si>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24.</t>
  </si>
  <si>
    <t>25.</t>
  </si>
  <si>
    <t>26.</t>
  </si>
  <si>
    <t>27.</t>
  </si>
  <si>
    <t>Fejlesztési cél leírása</t>
  </si>
  <si>
    <t>Fejlesztés várható kiadása</t>
  </si>
  <si>
    <r>
      <t>Évek</t>
    </r>
    <r>
      <rPr>
        <vertAlign val="superscript"/>
        <sz val="9"/>
        <rFont val="Times New Roman CE"/>
        <charset val="238"/>
      </rPr>
      <t>1</t>
    </r>
  </si>
  <si>
    <r>
      <rPr>
        <vertAlign val="superscript"/>
        <sz val="9"/>
        <rFont val="Times New Roman CE"/>
        <charset val="238"/>
      </rPr>
      <t>1</t>
    </r>
    <r>
      <rPr>
        <sz val="9"/>
        <rFont val="Times New Roman CE"/>
        <charset val="238"/>
      </rPr>
      <t>A saját bevételeket és a fizetési kötelezettségeket az ügylet futamidejének végéig be kell mutatni, évenkénti bontásban.</t>
    </r>
  </si>
  <si>
    <t>10. melléklet</t>
  </si>
  <si>
    <t>Többéves kihatással járó döntésekből származó kötelezettségek célok szerint, évenkénti bontásban</t>
  </si>
  <si>
    <t>Kötelezettség jogcíme</t>
  </si>
  <si>
    <t>Köt. váll.
 éve</t>
  </si>
  <si>
    <t>Kiadás vonzata évenként</t>
  </si>
  <si>
    <t>9=(4+5+6+7+8)</t>
  </si>
  <si>
    <t>Kötvénykibocsátással kapcsolatos kötelezettségek</t>
  </si>
  <si>
    <t>Európai uniós támogatással megvalósuló projektek</t>
  </si>
  <si>
    <t>28.</t>
  </si>
  <si>
    <t>29.</t>
  </si>
  <si>
    <t>30.</t>
  </si>
  <si>
    <t>Egyéb kötelezettségek</t>
  </si>
  <si>
    <t>6. melléklet</t>
  </si>
  <si>
    <t>7. melléklet</t>
  </si>
  <si>
    <t>(kedvezmények)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</si>
  <si>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</si>
  <si>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</si>
  <si>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</si>
  <si>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</si>
  <si>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</si>
  <si>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>Építményadó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</si>
  <si>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</si>
  <si>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</si>
  <si>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</si>
  <si>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</si>
  <si>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</si>
  <si>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</si>
  <si>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</si>
  <si>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</si>
  <si>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</si>
  <si>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</si>
  <si>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</si>
  <si>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11. melléklet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</si>
  <si>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</si>
  <si>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</si>
  <si>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</si>
  <si>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</si>
  <si>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</si>
  <si>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</si>
  <si>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</si>
  <si>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</si>
  <si>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</si>
  <si>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</si>
  <si>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</si>
  <si>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</si>
  <si>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Bevételek</t>
  </si>
  <si>
    <t>Közhatalmi bevételek</t>
  </si>
  <si>
    <t>Bevételek összesen:</t>
  </si>
  <si>
    <t>Kiadások</t>
  </si>
  <si>
    <t>Kiadások összesen:</t>
  </si>
  <si>
    <t>Működési célú támogatások államháztartáson belülről</t>
  </si>
  <si>
    <t>Működési bevételek</t>
  </si>
  <si>
    <t>Működési célú átvett pénzeszközök</t>
  </si>
  <si>
    <t>Felhalmozási célú támogatások államháztartáson belülről</t>
  </si>
  <si>
    <t>Felhalmozási bevételek</t>
  </si>
  <si>
    <t>Felhalmozási célú átvett pénzeszközök</t>
  </si>
  <si>
    <t>Működési finanszírozási bevételek</t>
  </si>
  <si>
    <t>Felhalmozási finanszírozási bevételek</t>
  </si>
  <si>
    <t>Működési finanszírozási kiadások</t>
  </si>
  <si>
    <t>Felhalmozási finanszírozási kiadások</t>
  </si>
  <si>
    <t>Havi egyenleg</t>
  </si>
  <si>
    <t>Éves halmozott egyenleg</t>
  </si>
  <si>
    <t>(a tárgyévet megelőző két év teljesítési adataival kiegészítve)</t>
  </si>
  <si>
    <t>Jogcím</t>
  </si>
  <si>
    <t>1</t>
  </si>
  <si>
    <t>A zöldterület-gazdálkodással kapcsolatos feladatok ellátásának támogatása</t>
  </si>
  <si>
    <t>Közvilágítás fenntartásának támogatása</t>
  </si>
  <si>
    <t>Köztemető fenntartással kapcsolatos feladatok támogatása</t>
  </si>
  <si>
    <t>Közutak fenntartásának támogatása</t>
  </si>
  <si>
    <t>Óvodaműködtetési támogatás</t>
  </si>
  <si>
    <t>Társulás által fenntartott óvodákba bejáró gyermekek utaztatásának támogatása</t>
  </si>
  <si>
    <t>Egyes szociális és gyermekjóléti feladatok támogatása</t>
  </si>
  <si>
    <t>Szociális étkeztetés</t>
  </si>
  <si>
    <t>Házi segítségnyújtás</t>
  </si>
  <si>
    <t>Falugondnoki vagy tanyagondnoki szolgáltatás</t>
  </si>
  <si>
    <t>Időskorúak nappali intézményi ellátása</t>
  </si>
  <si>
    <t>Fogyatékos és demens személyek nappali intézményi ellátása</t>
  </si>
  <si>
    <t>Hajléktalanok nappali intézményi ellátása</t>
  </si>
  <si>
    <t>Könyvtári, közművelődési és múzeumi feladatok támogatása</t>
  </si>
  <si>
    <t>A települési önkormányzatok által fenntartott, illetve támogatott előadó-művészeti szervezetek támogatása</t>
  </si>
  <si>
    <t>V.</t>
  </si>
  <si>
    <t>Forintban!</t>
  </si>
  <si>
    <t>A települési önkormányzatok működésének támogatása</t>
  </si>
  <si>
    <t xml:space="preserve">a) </t>
  </si>
  <si>
    <t>b)</t>
  </si>
  <si>
    <t>ba)</t>
  </si>
  <si>
    <t>bb)</t>
  </si>
  <si>
    <t>bc)</t>
  </si>
  <si>
    <t>bd)</t>
  </si>
  <si>
    <t>c)</t>
  </si>
  <si>
    <t>Egyéb önkormányzati feladatok támogatása</t>
  </si>
  <si>
    <t>d)</t>
  </si>
  <si>
    <t>Nem közművel összegyűjtött háztartási szennyvíz ártalmatlanítása</t>
  </si>
  <si>
    <t>a)</t>
  </si>
  <si>
    <t>e)</t>
  </si>
  <si>
    <t>f)</t>
  </si>
  <si>
    <t>g)</t>
  </si>
  <si>
    <t>h)</t>
  </si>
  <si>
    <t>Pszichiátriai és szenvedélybetegek nappali intézményi ellátása</t>
  </si>
  <si>
    <t>i)</t>
  </si>
  <si>
    <t>j)</t>
  </si>
  <si>
    <t>Bölcsődei ellátás</t>
  </si>
  <si>
    <t>k)</t>
  </si>
  <si>
    <t>Hajléktalanok átmeneti intézményei</t>
  </si>
  <si>
    <t>l)</t>
  </si>
  <si>
    <t>A finanszírozás szempontjából elismert szakmai dolgozók bértámogatása</t>
  </si>
  <si>
    <t>Intézmény-üzemeltetési támogatás</t>
  </si>
  <si>
    <t>Megyei könyvtárak feladatainak támogatása</t>
  </si>
  <si>
    <t>Színházművészeti szervezetek támogatása</t>
  </si>
  <si>
    <t>Táncművészeti szervezetek támogatása</t>
  </si>
  <si>
    <t>Zeneművészeti szervezetek támogatása</t>
  </si>
  <si>
    <t>Kötelező önkormányzati feladatot ellátó intézmények fejlesztése, felújítása</t>
  </si>
  <si>
    <t>Óvodai, iskolai és utánpótlás sport infrastruktúra-fejlesztés, felújítás</t>
  </si>
  <si>
    <t>A kötelezően ellátandó helyi közösségi közlekedési feladat támogatása</t>
  </si>
  <si>
    <t>Költségvetési törvény 2. melléklete szerinti támogatások</t>
  </si>
  <si>
    <t>Költségvetési törvény 3. melléklete szerinti támogatások</t>
  </si>
  <si>
    <t>A</t>
  </si>
  <si>
    <t>B</t>
  </si>
  <si>
    <t>C</t>
  </si>
  <si>
    <t>D</t>
  </si>
  <si>
    <t>14. melléklet</t>
  </si>
  <si>
    <t>Kivitelezés kezdési és befejezési éve</t>
  </si>
  <si>
    <t>7=(2-4-5-6)</t>
  </si>
  <si>
    <t>Heves Város Önkormányzata felújításai</t>
  </si>
  <si>
    <t>Heves Város Önkormányzata felújításai összesen:</t>
  </si>
  <si>
    <t>Heves Városi Óvodák és Bölcsőde Köznevelési Intézmény felújításai</t>
  </si>
  <si>
    <t>Heves Városi Óvodák és Bölcsőde Köznevelési Intézmény felújításai összesen:</t>
  </si>
  <si>
    <t>Hevesi Kulturális Központ felújításai összesen:</t>
  </si>
  <si>
    <t>Heves Város Önkormányzata beruházásai</t>
  </si>
  <si>
    <t>Heves Város Önkormányzata beruházásai összesen:</t>
  </si>
  <si>
    <t>Heves Városi Óvodák és Bölcsőde Köznevelési Intézmény beruházásai</t>
  </si>
  <si>
    <t>Heves Városi Óvodák és Bölcsőde Köznevelési Intézmény beruházásai összesen:</t>
  </si>
  <si>
    <t>Hevesi Kulturális Központ beruházásai</t>
  </si>
  <si>
    <t>Hevesi Kulturális Központ beruházásai összesen:</t>
  </si>
  <si>
    <t>Pályázatból támogatás</t>
  </si>
  <si>
    <t xml:space="preserve">Teljes költség </t>
  </si>
  <si>
    <t>BERUHÁZÁSOK MINDÖSSZESEN:</t>
  </si>
  <si>
    <t>FELÚJÍTÁSOK MINDÖSSZESEN:</t>
  </si>
  <si>
    <t>Heves Város Önkormányzata egyéb felhalmozási célú kiadásai</t>
  </si>
  <si>
    <t>Heves Város Önkormányzata egyéb felhalmozási célú kiadásai összesen:</t>
  </si>
  <si>
    <t>Heves Városi Óvodák és Bölcsőde Köznevelési Intézmény egyéb felhalmozási célú kiadásai</t>
  </si>
  <si>
    <t>Heves Városi Óvodák és Bölcsőde Köznevelési Intézmény egyéb felhalmozási célú kiadásai összesen:</t>
  </si>
  <si>
    <t>Hevesi Kulturális Központ egyéb felhalmozási célú kiadásai</t>
  </si>
  <si>
    <t>Hevesi Kulturális Központ egyéb felhalmozási célú kiadásai összesen:</t>
  </si>
  <si>
    <t>EU-s forrásból finanszírozott támogatással megvalósuló programok, projektek beruházási kiadásai</t>
  </si>
  <si>
    <t>EU-s forrásból finanszírozott támogatással megvalósuló programok, projektek beruházási kiadásai összesen:</t>
  </si>
  <si>
    <t>EU-s forrásból finanszírozott támogatással megvalósuló programok, projektek felújítási kiadásai</t>
  </si>
  <si>
    <t>EU-s forrásból finanszírozott támogatással megvalósuló programok, projektek felújítási kiadásai összesen:</t>
  </si>
  <si>
    <t>EGYÉB FELHALMOZÁSI CÉLÚ KIADÁSOK MINDÖSSZESEN:</t>
  </si>
  <si>
    <t>Felhalmozási célú kiadások megnevezése</t>
  </si>
  <si>
    <t>Támogatott szervezet neve</t>
  </si>
  <si>
    <t>Támogatás célja</t>
  </si>
  <si>
    <t>Heves Város Roma Nemzetiségi Önkormányzata</t>
  </si>
  <si>
    <t>működési kiadások</t>
  </si>
  <si>
    <t>Heves Labdarúgó Sport Club</t>
  </si>
  <si>
    <t>Egyéb működési célú támogatások államháztartáson kívülre összesen:</t>
  </si>
  <si>
    <t>Egyéb működési célú támogatások államháztartáson belülre összesen:</t>
  </si>
  <si>
    <t>Egyéb felhalmozási célú támogatások államháztartáson belülre összesen:</t>
  </si>
  <si>
    <t>Egyéb felhalmozási célú támogatások államháztartáson kívülre</t>
  </si>
  <si>
    <t>Egyéb felhalmozási célú támogatások államháztartáson kívülre összesen:</t>
  </si>
  <si>
    <t>E</t>
  </si>
  <si>
    <t>K</t>
  </si>
  <si>
    <t>Adó, illeték kiszabása, beszedése, adóellenőrzés</t>
  </si>
  <si>
    <t>Finanszírozási műveletek</t>
  </si>
  <si>
    <t xml:space="preserve">Országos és helyi népszavazáshoz kapcsolódó tevékenységek </t>
  </si>
  <si>
    <t xml:space="preserve">Rendszeres gyermekvédelmi pénzbeli ellátás </t>
  </si>
  <si>
    <t xml:space="preserve">Kiegészítő gyermekvédelmi támogatás </t>
  </si>
  <si>
    <t>Rendkívüli gyermekvédelmi támogatás</t>
  </si>
  <si>
    <t>Köztemetés</t>
  </si>
  <si>
    <t>Víztermelés-, kezelés-, ellátás</t>
  </si>
  <si>
    <t>Út, autópálya építése</t>
  </si>
  <si>
    <t>Közutak, hidak, alagutak üzemeltetése, fenntartása</t>
  </si>
  <si>
    <t>Közvilágítás</t>
  </si>
  <si>
    <t xml:space="preserve">Város-, községgazdálkodási m.n.s. szolgáltatások </t>
  </si>
  <si>
    <t>Zöldterület-kezelés</t>
  </si>
  <si>
    <t xml:space="preserve">Közterület rendjének fenntartása </t>
  </si>
  <si>
    <t>Ár- és belvízvédelemmel összefüggő tevékenységek</t>
  </si>
  <si>
    <t>Köztemető fenntartás és működtetés</t>
  </si>
  <si>
    <t>Nem lakóingatlan bérbeadása, üzemeltetése</t>
  </si>
  <si>
    <t xml:space="preserve">Központi költségvetési befizetések </t>
  </si>
  <si>
    <t>A polgári védelem ágazati feladatai</t>
  </si>
  <si>
    <t xml:space="preserve">Versenysport-tevékenység és támogatása </t>
  </si>
  <si>
    <t xml:space="preserve">Önkormányzatok m.n.s. nemzetközi kapcsolatai </t>
  </si>
  <si>
    <t xml:space="preserve">Szabadidős park, fürdő és strandszolgáltatás </t>
  </si>
  <si>
    <t xml:space="preserve">Önkormányzatok által nyújtott lakástámogatás </t>
  </si>
  <si>
    <t xml:space="preserve">Sportlétesítmények működtetése és fejlesztése </t>
  </si>
  <si>
    <t>Országgyűlési képviselőválasztáshoz kapcsolódó tevékenységek</t>
  </si>
  <si>
    <t xml:space="preserve">Önkormányzati képviselőválasztáshoz kapcsolódó tevékenységek </t>
  </si>
  <si>
    <t xml:space="preserve">Munkáltatók által nyújtott lakástámogatás </t>
  </si>
  <si>
    <t>841133-1</t>
  </si>
  <si>
    <t>841906-9</t>
  </si>
  <si>
    <t>841118-1</t>
  </si>
  <si>
    <t>882117-1</t>
  </si>
  <si>
    <t>882118-1</t>
  </si>
  <si>
    <t>882122-1</t>
  </si>
  <si>
    <t>882124-1</t>
  </si>
  <si>
    <t>882202-1</t>
  </si>
  <si>
    <t>882203-1</t>
  </si>
  <si>
    <t>360000-1</t>
  </si>
  <si>
    <t>381103-1</t>
  </si>
  <si>
    <t>421100-1</t>
  </si>
  <si>
    <t>493102-1</t>
  </si>
  <si>
    <t>841403-1</t>
  </si>
  <si>
    <t>750000-1</t>
  </si>
  <si>
    <t>813000-1</t>
  </si>
  <si>
    <t>842421-1</t>
  </si>
  <si>
    <t>890441-1</t>
  </si>
  <si>
    <t xml:space="preserve"> 842541-1 </t>
  </si>
  <si>
    <t>960302-1</t>
  </si>
  <si>
    <t>682002-1</t>
  </si>
  <si>
    <t>841901-9</t>
  </si>
  <si>
    <t>842531-1</t>
  </si>
  <si>
    <t>931201-1</t>
  </si>
  <si>
    <t>882123-1</t>
  </si>
  <si>
    <t>854314-1</t>
  </si>
  <si>
    <t>932911-1</t>
  </si>
  <si>
    <t>889942-1</t>
  </si>
  <si>
    <t>890302-1</t>
  </si>
  <si>
    <t>931102-1</t>
  </si>
  <si>
    <t>841114-1</t>
  </si>
  <si>
    <t>841115-1</t>
  </si>
  <si>
    <t>841116-1</t>
  </si>
  <si>
    <t>841117-1</t>
  </si>
  <si>
    <t>841112-1</t>
  </si>
  <si>
    <t>841126-1</t>
  </si>
  <si>
    <t>889943-1</t>
  </si>
  <si>
    <t xml:space="preserve">Rövid időtartamú közfoglalkoztatás </t>
  </si>
  <si>
    <t>Start-munka program – Téli közfoglalkoztatás</t>
  </si>
  <si>
    <t>Közfoglalkoztatási mintaprogram</t>
  </si>
  <si>
    <t xml:space="preserve">Civil szervezetek program- és egyéb támogatása </t>
  </si>
  <si>
    <t>Önkormányzatok és társulások általános végrehajtó igazgatási tevékenysége</t>
  </si>
  <si>
    <t>Önkormányzatok és önkormányzati hivatalok jogalkotó és általános igazgatási tevékenysége</t>
  </si>
  <si>
    <t>011130</t>
  </si>
  <si>
    <t>Adó-, vám- és jövedéki igazgatás</t>
  </si>
  <si>
    <t>011220</t>
  </si>
  <si>
    <t>Forgatási és befektetési célú finanszírozási műveletek</t>
  </si>
  <si>
    <t>900060</t>
  </si>
  <si>
    <t>Országos és helyi népszavazással kapcsolatos tevékenységek</t>
  </si>
  <si>
    <t>016020</t>
  </si>
  <si>
    <t>Helyi nemzetiségi önkormányzatok igazgatási tevékenysége</t>
  </si>
  <si>
    <t>841127-5</t>
  </si>
  <si>
    <t>011140</t>
  </si>
  <si>
    <t>106020</t>
  </si>
  <si>
    <t>Lakásfenntartással, lakhatással összefüggő ellátások</t>
  </si>
  <si>
    <t>Betegséggel kapcsolatos pénzbeli ellátások, támogatások</t>
  </si>
  <si>
    <t>101150</t>
  </si>
  <si>
    <t>Gyermekvédelmi pénzbeli és természetbeni ellátások</t>
  </si>
  <si>
    <t>104051</t>
  </si>
  <si>
    <t>107060</t>
  </si>
  <si>
    <t>Egyéb szociális pénzbeli ellátások, támogatások</t>
  </si>
  <si>
    <t>Elhunyt személyek hátramaradottainak pénzbeli ellátása</t>
  </si>
  <si>
    <t>103010</t>
  </si>
  <si>
    <t>Szociális ösztöndíjak</t>
  </si>
  <si>
    <t>094260</t>
  </si>
  <si>
    <t>Hallgatói és oktatói ösztöndíjak, egyéb juttatások</t>
  </si>
  <si>
    <t>Egyéb szociális természetbeni és pénzbeli ellátások</t>
  </si>
  <si>
    <t>063020</t>
  </si>
  <si>
    <t>Víztermelés, -kezelés, -ellátás</t>
  </si>
  <si>
    <t>051030</t>
  </si>
  <si>
    <t>Nem veszélyes (települési) hulladék vegyes (ömlesztett) begyűjtése, szállítása, átrakása</t>
  </si>
  <si>
    <t>045120</t>
  </si>
  <si>
    <t>Városi és elővárosi közúti személyszállítás</t>
  </si>
  <si>
    <t>045140</t>
  </si>
  <si>
    <t>522001-1</t>
  </si>
  <si>
    <t>045160</t>
  </si>
  <si>
    <t>841402-1</t>
  </si>
  <si>
    <t>064010</t>
  </si>
  <si>
    <t>066020</t>
  </si>
  <si>
    <t>Más szerv részére végzett pénzügyi-gazdálkodási, üzemeltetési, egyéb szolgáltatások</t>
  </si>
  <si>
    <t>013360</t>
  </si>
  <si>
    <t>072210</t>
  </si>
  <si>
    <t>Járóbetegek gyógyító szakellátása</t>
  </si>
  <si>
    <t>680001-1</t>
  </si>
  <si>
    <t>013350</t>
  </si>
  <si>
    <t>Állat-egészségügy</t>
  </si>
  <si>
    <t>042180</t>
  </si>
  <si>
    <t>066010</t>
  </si>
  <si>
    <t>Rövid időtartamú közfoglalkoztatás</t>
  </si>
  <si>
    <t>041231</t>
  </si>
  <si>
    <t>041232</t>
  </si>
  <si>
    <t>Foglalkoztatást helyettesítő támogatásra jogosultak hosszabb időtartamú közfoglalkoztatása</t>
  </si>
  <si>
    <t>041233</t>
  </si>
  <si>
    <t>Hosszabb időtartamú közfoglalkoztatás</t>
  </si>
  <si>
    <t>Egyéb közfoglalkoztatás</t>
  </si>
  <si>
    <t>041237</t>
  </si>
  <si>
    <t>041236</t>
  </si>
  <si>
    <t>Országos közfoglalkoztatási program</t>
  </si>
  <si>
    <t>047410</t>
  </si>
  <si>
    <t>Köztemető-fenntartás és -működtetés</t>
  </si>
  <si>
    <t>013320</t>
  </si>
  <si>
    <t>890411-1</t>
  </si>
  <si>
    <t>Önkormányzatok és társulások elszámolásai a központi költségvetéssel</t>
  </si>
  <si>
    <t>018020</t>
  </si>
  <si>
    <t>Önkormányzatok elszámolásai a központi költségvetéssel</t>
  </si>
  <si>
    <t>841902-9</t>
  </si>
  <si>
    <t>Központi költségvetési befizetések</t>
  </si>
  <si>
    <t>018010</t>
  </si>
  <si>
    <t>A polgári honvédelem ágazati feladatai, a lakosság felkészítése</t>
  </si>
  <si>
    <t>022010</t>
  </si>
  <si>
    <t>Sportlétesítmények, edzőtáborok működtetése és fejlesztése</t>
  </si>
  <si>
    <t>Versenysport-és utánpótlás-nevelési tevékenység</t>
  </si>
  <si>
    <t>081030</t>
  </si>
  <si>
    <t>081041</t>
  </si>
  <si>
    <t>031010</t>
  </si>
  <si>
    <t>Közbiztonság, közrend igazgatása</t>
  </si>
  <si>
    <t>081061</t>
  </si>
  <si>
    <t>061030</t>
  </si>
  <si>
    <t>Lakáshoz jutást segítő támogatások</t>
  </si>
  <si>
    <t>Civil szervezetek programtámogatása</t>
  </si>
  <si>
    <t>084032</t>
  </si>
  <si>
    <t>Országos és helyi nemzetiségi önkormányzati választásokhoz kapcsolódó tevékenységek</t>
  </si>
  <si>
    <t xml:space="preserve">Európai parlamenti képviselőválasztáshoz kapcsolódó tevékenységek </t>
  </si>
  <si>
    <t>Országgyűlési, önkormányzati és európai parlamenti képviselőválasztásokhoz kapcsolódó tevékenységek</t>
  </si>
  <si>
    <t>016010</t>
  </si>
  <si>
    <t>811000-1</t>
  </si>
  <si>
    <t>562917-1</t>
  </si>
  <si>
    <t>862211-1</t>
  </si>
  <si>
    <t>13. melléklet</t>
  </si>
  <si>
    <t>BEVÉTELI JOGCÍMEK feladatonként</t>
  </si>
  <si>
    <t>Szakfeladat száma</t>
  </si>
  <si>
    <t>ebből:</t>
  </si>
  <si>
    <t>F</t>
  </si>
  <si>
    <t>G</t>
  </si>
  <si>
    <t>H</t>
  </si>
  <si>
    <t>I</t>
  </si>
  <si>
    <t>J</t>
  </si>
  <si>
    <t>L</t>
  </si>
  <si>
    <t>Hevesi Kulturális Központ önként vállalt feladatok</t>
  </si>
  <si>
    <t>KÖLTSÉGVETÉSI BEVÉTELEK ÖSSZESEN:</t>
  </si>
  <si>
    <t>KIADÁSI JOGCÍMEK feladatonként</t>
  </si>
  <si>
    <t>Intézmény / feladat finanszírozás</t>
  </si>
  <si>
    <t>Kiegészítés</t>
  </si>
  <si>
    <t>Egyéb kötelező önkormányzati feladatok</t>
  </si>
  <si>
    <t>Egyéb önállóan vállalt önkormányzati feladatok</t>
  </si>
  <si>
    <t>Egyéb kötelező polgármesteri hivatali feladatok</t>
  </si>
  <si>
    <t>Kormányzati funkció elnevezése</t>
  </si>
  <si>
    <t>Kormányzati funkció</t>
  </si>
  <si>
    <t xml:space="preserve"> Működési célú támogatások államháztartáson belülről</t>
  </si>
  <si>
    <t xml:space="preserve"> Működési bevételek</t>
  </si>
  <si>
    <t xml:space="preserve"> Működési célú átvett pénzeszközök</t>
  </si>
  <si>
    <t xml:space="preserve"> Ellátottak pénzbeli juttatásai</t>
  </si>
  <si>
    <t>Heves Városi Óvodák és Bölcsőde Köznevelési Intézmény állami (államigazgatási) feladatok</t>
  </si>
  <si>
    <t>Hevesi Kulturális Központ állami (államigazgatási) feladatok</t>
  </si>
  <si>
    <t>890443-1</t>
  </si>
  <si>
    <t>HKK</t>
  </si>
  <si>
    <t>HEVES VÁROS ÖNKORMÁNYZATA ÉS KÖLTSÉGVETÉSI SZERVEI KÖLTSÉGVETÉSI BEVÉTELI ÉS KIADÁSI ELŐIRÁNYZATAI FELADATONKÉNT</t>
  </si>
  <si>
    <t>KÖLTSÉGVETÉSI BEVÉTELEK / KIADÁSOK ÖSSZESEN</t>
  </si>
  <si>
    <t>FINANSZÍROZÁSI BEVÉTELEK / KIADÁSOK</t>
  </si>
  <si>
    <t>BEVÉTELEK / KIADÁSOK MINDÖSSZESEN</t>
  </si>
  <si>
    <t>Szociális juttatások</t>
  </si>
  <si>
    <t>Önkormányzatok és társulások általános végrehajtó igazgatási tevékenysége és építmény üzemeltetés</t>
  </si>
  <si>
    <t>EU-s pályázatok</t>
  </si>
  <si>
    <t>Közterülethasználat</t>
  </si>
  <si>
    <t>Építményüzemeltetés</t>
  </si>
  <si>
    <t>3.6.</t>
  </si>
  <si>
    <r>
      <t xml:space="preserve">I/2. Közhatalmi bevételek (B3) </t>
    </r>
    <r>
      <rPr>
        <b/>
        <i/>
        <sz val="9"/>
        <rFont val="Times New Roman"/>
        <family val="1"/>
        <charset val="238"/>
      </rPr>
      <t>[=3.1.+…+3.6.]</t>
    </r>
  </si>
  <si>
    <t>Egyéb közhatalmi bevételek (B36)</t>
  </si>
  <si>
    <t>12. melléklet</t>
  </si>
  <si>
    <t>15. melléklet</t>
  </si>
  <si>
    <t>Adatszolgáltatás az elismert tartozásállományról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</si>
  <si>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</si>
  <si>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</si>
  <si>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</si>
  <si>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</si>
  <si>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</si>
  <si>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</si>
  <si>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</si>
  <si>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</si>
  <si>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60-90 nap 
közötti 
állomány</t>
  </si>
  <si>
    <t>90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</si>
  <si>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</si>
  <si>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</si>
  <si>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</si>
  <si>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</si>
  <si>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</si>
  <si>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</si>
  <si>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</si>
  <si>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</si>
  <si>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Intézmény</t>
  </si>
  <si>
    <t>Nyersanyagnorma</t>
  </si>
  <si>
    <t>Áfa nélkül</t>
  </si>
  <si>
    <t>Áfá-val</t>
  </si>
  <si>
    <t>Reggeli</t>
  </si>
  <si>
    <t>Tízórai</t>
  </si>
  <si>
    <t>Ebéd</t>
  </si>
  <si>
    <t>Uzsonna</t>
  </si>
  <si>
    <t>Hivatali Konyha (saját dolgozó, vendég)</t>
  </si>
  <si>
    <t>1. függelék</t>
  </si>
  <si>
    <t>Évek</t>
  </si>
  <si>
    <t>2. függelék</t>
  </si>
  <si>
    <t>Útkarbantartás</t>
  </si>
  <si>
    <t>közvilágítás</t>
  </si>
  <si>
    <t>közkifolyók</t>
  </si>
  <si>
    <t>temető fenntartás</t>
  </si>
  <si>
    <t>parkfenntartás és köztisztaság</t>
  </si>
  <si>
    <t>Kisteherautó, munkagépek üzemeltetése (üzemanyag, karbantartás, javítás)</t>
  </si>
  <si>
    <t>állategészségügyi feladatok</t>
  </si>
  <si>
    <t>városgazdálkodás</t>
  </si>
  <si>
    <t>közfoglalkoztatás</t>
  </si>
  <si>
    <t>vagyonkezelési szerződések</t>
  </si>
  <si>
    <t>vízmű által fizetett bérleti díj</t>
  </si>
  <si>
    <t>ingatlan bérbeadás</t>
  </si>
  <si>
    <t>Általános iskola háromszori étkezés</t>
  </si>
  <si>
    <t>Óvoda háromszori étkezés</t>
  </si>
  <si>
    <t>Bölcsöde négyszeri étkezés</t>
  </si>
  <si>
    <t>Térítési díjak (Áfá-val)</t>
  </si>
  <si>
    <t>hkk</t>
  </si>
  <si>
    <t>1.3.</t>
  </si>
  <si>
    <t>1.4.</t>
  </si>
  <si>
    <t>1.5.</t>
  </si>
  <si>
    <t>1.6.</t>
  </si>
  <si>
    <t>1.7.</t>
  </si>
  <si>
    <t>1.8.</t>
  </si>
  <si>
    <t>Dr. Szegő Imre Idősek és Mozgásfogyatékosok Otthona, Fehér Hárs Idősek Otthona, Gondozási Központ</t>
  </si>
  <si>
    <t>Önkormányzati kiegészítések feladatonként</t>
  </si>
  <si>
    <t xml:space="preserve">J e g y z é k </t>
  </si>
  <si>
    <t>Működési célú bevételek és kiadások mérlege (önkormányzati összesen)</t>
  </si>
  <si>
    <t>Felhalmozási célú bevételek és kiadások mérlege (önkormányzati összesen)</t>
  </si>
  <si>
    <t>Európai uniós támogatással megvalósuló projektek bevételei, kiadásai, hozzájárulások</t>
  </si>
  <si>
    <t>Az önkormányzat adósságot keletkeztető ügyletekből és kezességvállalásokból fennálló kötelezettségei, fejlesztési céljai, fizetési kötelezettség megállapításához saját bevételei részletezése</t>
  </si>
  <si>
    <t>8. melléklet</t>
  </si>
  <si>
    <t>Az önkormányzat bevételi és kiadási előirányzatai feladatonként</t>
  </si>
  <si>
    <t>Önkormányzati kiegészítés feladatonként</t>
  </si>
  <si>
    <t>16. melléklet</t>
  </si>
  <si>
    <t>Az önkormányzati vagyon és az önkormányzatot megillető vagyoni értékű jog értékesítéséből és hasznosításából származó bevétel</t>
  </si>
  <si>
    <t>Osztalék, a koncessziós díj és a hozambevétel</t>
  </si>
  <si>
    <t>Tárgyi eszköz és az immateriális jószág, részvény, részesedés, vállalat értékesítéséből vagy privatizációból származó bevétel</t>
  </si>
  <si>
    <t>Bírság-, pótlék- és díjbevétel</t>
  </si>
  <si>
    <r>
      <t>Saját bevételek (1.+...+6.)</t>
    </r>
    <r>
      <rPr>
        <b/>
        <vertAlign val="superscript"/>
        <sz val="9"/>
        <rFont val="Times New Roman CE"/>
        <charset val="238"/>
      </rPr>
      <t>2</t>
    </r>
  </si>
  <si>
    <r>
      <t>Saját bevételek (7. sor) 50%-a</t>
    </r>
    <r>
      <rPr>
        <b/>
        <vertAlign val="superscript"/>
        <sz val="9"/>
        <rFont val="Times New Roman CE"/>
        <charset val="238"/>
      </rPr>
      <t>2</t>
    </r>
  </si>
  <si>
    <t>Saját bevételek (7. sor) 50%-a</t>
  </si>
  <si>
    <t>Saját bevételek (1.+...+6.)</t>
  </si>
  <si>
    <t>Halasztott fizetés, részletfizetés</t>
  </si>
  <si>
    <t>Visszavásárlási kötelezettség kikötésével megkötött adásvételi szerződés eladói félként történő megkötése a visszavásárlásig, és a kikötött visszavásárlási ár</t>
  </si>
  <si>
    <t>Hitelintézetek által, származékos műveletek különbözeteként az Államadósság Kezelő Központ Zrt.-nél elhelyezett fedezeti betétek, és azok összege</t>
  </si>
  <si>
    <r>
      <t>Előző év(ek)ben keletkezett tárgyévet terhelő fizetési kötelezettség</t>
    </r>
    <r>
      <rPr>
        <b/>
        <vertAlign val="superscript"/>
        <sz val="9"/>
        <rFont val="Times New Roman CE"/>
        <charset val="238"/>
      </rPr>
      <t>3</t>
    </r>
    <r>
      <rPr>
        <b/>
        <sz val="9"/>
        <rFont val="Times New Roman CE"/>
        <charset val="238"/>
      </rPr>
      <t xml:space="preserve"> (10.+...+18.)</t>
    </r>
  </si>
  <si>
    <r>
      <t>Tárgyévben keletkezett, illetve keletkező, tárgyévet terhelő fizetési kötelezettség</t>
    </r>
    <r>
      <rPr>
        <b/>
        <vertAlign val="superscript"/>
        <sz val="9"/>
        <rFont val="Times New Roman CE"/>
        <charset val="238"/>
      </rPr>
      <t xml:space="preserve">3 </t>
    </r>
    <r>
      <rPr>
        <b/>
        <sz val="9"/>
        <rFont val="Times New Roman CE"/>
        <charset val="238"/>
      </rPr>
      <t>(20.+...+28.)</t>
    </r>
  </si>
  <si>
    <t>Fizetési kötelezettség összesen (9.+19.)</t>
  </si>
  <si>
    <t>Fizetési kötelezettséggel csökkentett saját bevétel (8.-29.)</t>
  </si>
  <si>
    <t>Előző év(ek)ben keletkezett tárgyévet terhelő fizetési kötelezettség (10.+...+18.)</t>
  </si>
  <si>
    <t>Tárgyévben keletkezett, illetve keletkező, tárgyévet terhelő fizetési kötelezettség (20.+...+28.)</t>
  </si>
  <si>
    <t>Országos és helyi nemzetiségi önkormányzatok igazgatási tevékenysége</t>
  </si>
  <si>
    <t>HEVES VÁROSI MEZEI ŐRSZOLGÁLAT</t>
  </si>
  <si>
    <t>Heves Városi Mezei Őrszolgálat kötelező feladatok</t>
  </si>
  <si>
    <t>Heves Városi Mezei Őrszolgálat önként vállalt feladatok</t>
  </si>
  <si>
    <t>Heves Városi Mezei Őrszolgálat összesen</t>
  </si>
  <si>
    <t>Heves Városi Mezei Őrszolgálat beruházásai összesen:</t>
  </si>
  <si>
    <t>Heves Városi Mezei Őrszolgálat beruházásai</t>
  </si>
  <si>
    <t>Heves Városi Mezei Őrszolgálat egyéb felhalmozási célú kiadásai</t>
  </si>
  <si>
    <t>Heves Városi Mezei Őrszolgálat egyéb felhalmozási célú kiadásai összesen:</t>
  </si>
  <si>
    <t>1.5. melléklet</t>
  </si>
  <si>
    <t>HEVESI KÖZÖS ÖNKORMÁNYZATI HIVATAL</t>
  </si>
  <si>
    <t>Hevesi Közös Önkormányzati Hivatal kötelező feladatok</t>
  </si>
  <si>
    <t>Hevesi Közös Önkormányzati Hivatal önként vállalt feladatok</t>
  </si>
  <si>
    <t>Hevesi Közös Önkormányzati Hivatal állami (államigazgatási) feladatok</t>
  </si>
  <si>
    <t>Hevesi Közös Önkormányzati Hivatal összesen</t>
  </si>
  <si>
    <t>Hevesi Közös Önkormányzati Hivatal beruházásai</t>
  </si>
  <si>
    <t>Hevesi Közös Önkormányzati Hivatal beruházásai összesen:</t>
  </si>
  <si>
    <t>Hevesi Közös Önkormányzati Hivatal felújításai</t>
  </si>
  <si>
    <t>Hevesi Közös Önkormányzati Hivatal felújításai összesen:</t>
  </si>
  <si>
    <t>Hevesi Közös Önkormányzati Hivatal egyéb felhalmozási célú kiadásai</t>
  </si>
  <si>
    <t>Hevesi Közös Önkormányzati Hivatal egyéb felhalmozási célú kiadásai összesen:</t>
  </si>
  <si>
    <t>Megyei önkormányzatok rendkívüli támogatása</t>
  </si>
  <si>
    <t>Közművelődési érdekeltségnövelő támogatás, muzeális intézmények szakmai támogatása</t>
  </si>
  <si>
    <t>Közművelődési érdekeltségnövelő támogatás</t>
  </si>
  <si>
    <t>Muzeális intézmények szakmai támogatása (Kubinyi Ágoston Program)</t>
  </si>
  <si>
    <r>
      <t>A HELYI ÖNKORMÁNYZATOK ÁLTALÁNOS MŰKÖDÉSÉNEK ÉS ÁGAZATI FELADATAINAK TÁMOGATÁSA</t>
    </r>
    <r>
      <rPr>
        <b/>
        <i/>
        <sz val="9"/>
        <rFont val="Times New Roman CE"/>
        <charset val="238"/>
      </rPr>
      <t xml:space="preserve"> [I.+...+V.]</t>
    </r>
  </si>
  <si>
    <t>Vis maior támogatás</t>
  </si>
  <si>
    <t>M</t>
  </si>
  <si>
    <t>N</t>
  </si>
  <si>
    <t>O</t>
  </si>
  <si>
    <t>Heves Városi Mezei Őrszolgálat állami (államigazgatási) feladatok</t>
  </si>
  <si>
    <t>Heves Városi Mezei Őrszolgálatfelújításai összesen:</t>
  </si>
  <si>
    <t>Hevesi Kulturális Központ felújításai</t>
  </si>
  <si>
    <t>Heves Városi Mezei Őrszolgálat felújításai</t>
  </si>
  <si>
    <t>Működési célú hiteltörlesztés</t>
  </si>
  <si>
    <t>Felhalmozási célú hiteltörlesztés</t>
  </si>
  <si>
    <t>KÖLTSÉGVETÉSI KIADÁSOK ÖSSZESEN:</t>
  </si>
  <si>
    <t>Egyéb önállóan vállalt közös önkormányzati hivatali feladatok</t>
  </si>
  <si>
    <t>Működési célú költségvetési támogatások és kiegészítő támogatások (B115)</t>
  </si>
  <si>
    <t>Elszámolásból származó bevételek (B116)</t>
  </si>
  <si>
    <t>4.11.</t>
  </si>
  <si>
    <t>Biztosító által fizetett kártérítés (B410)</t>
  </si>
  <si>
    <t>Egyéb működési bevételek (B411)</t>
  </si>
  <si>
    <t>Működési célú visszatérítendő támogatások, kölcsönök visszatérülése az Európai Uniótól (B62)</t>
  </si>
  <si>
    <t>Működési célú visszatérítendő támogatások, kölcsönök visszatérülése kormányoktól és más nemzetközi szervezetektől (B63)</t>
  </si>
  <si>
    <t>Működési célú visszatérítendő támogatások, kölcsönök visszatérülése államháztartáson kívülről (B64)</t>
  </si>
  <si>
    <t>Egyéb működési célú átvett pénzeszközök (B65)</t>
  </si>
  <si>
    <t>9.5.</t>
  </si>
  <si>
    <t>Felhalmozási célú visszatérítendő támogatások, kölcsönök visszatérülése államháztartáson kívülről (B74)</t>
  </si>
  <si>
    <t>Egyéb felhalmozási célú átvett pénzeszközök (B75)</t>
  </si>
  <si>
    <r>
      <t xml:space="preserve">II/3.Felhalmozási célú átvett pénzeszközök (B7) </t>
    </r>
    <r>
      <rPr>
        <b/>
        <i/>
        <sz val="9"/>
        <rFont val="Times New Roman"/>
        <family val="1"/>
        <charset val="238"/>
      </rPr>
      <t>[9.1.+…+9.5.]</t>
    </r>
  </si>
  <si>
    <t>Felhalmozási célú visszatérítendő támogatások, kölcsönök visszatérülése az Európai Uniótól (B72)</t>
  </si>
  <si>
    <t>Felhalmozási célú visszatérítendő támogatások, kölcsönök visszatérülése kormányoktól és más nemzetközi szervezetektől (B73)</t>
  </si>
  <si>
    <t>Hitel-, kölcsönfelvétel pénzügyi vállalkozástól (B811)</t>
  </si>
  <si>
    <r>
      <t xml:space="preserve">Belföldi finanszírozás bevételei (B81) </t>
    </r>
    <r>
      <rPr>
        <i/>
        <sz val="9"/>
        <rFont val="Times New Roman"/>
        <family val="1"/>
        <charset val="238"/>
      </rPr>
      <t>[=12.1.1.+…+12.1.9.]</t>
    </r>
  </si>
  <si>
    <t>12.1.9.</t>
  </si>
  <si>
    <t>Tulajdonosi kölcsönök bevételei (B819)</t>
  </si>
  <si>
    <t>12.4.</t>
  </si>
  <si>
    <t>Váltóbevételek (B84)</t>
  </si>
  <si>
    <r>
      <t xml:space="preserve">III/1. Működési célú finanszírozási bevételek (B81) </t>
    </r>
    <r>
      <rPr>
        <b/>
        <i/>
        <sz val="9"/>
        <rFont val="Times New Roman"/>
        <family val="1"/>
        <charset val="238"/>
      </rPr>
      <t>[=12.1.+…+12.4.]</t>
    </r>
  </si>
  <si>
    <t>14.1.9.</t>
  </si>
  <si>
    <r>
      <t xml:space="preserve">IV/1. Felhalmozási célú finanszírozási bevételek (B81) </t>
    </r>
    <r>
      <rPr>
        <b/>
        <i/>
        <sz val="9"/>
        <rFont val="Times New Roman"/>
        <family val="1"/>
        <charset val="238"/>
      </rPr>
      <t>[=14.1.+…+14.4.]</t>
    </r>
  </si>
  <si>
    <t>14.4.</t>
  </si>
  <si>
    <t>6.13.</t>
  </si>
  <si>
    <t>6.13.1.</t>
  </si>
  <si>
    <t>6.13.2.</t>
  </si>
  <si>
    <r>
      <t xml:space="preserve">I/5. Egyéb működési célú kiadások (K5) </t>
    </r>
    <r>
      <rPr>
        <b/>
        <i/>
        <sz val="9"/>
        <rFont val="Times New Roman"/>
        <family val="1"/>
        <charset val="238"/>
      </rPr>
      <t>[=6.1.+…+6.13.]</t>
    </r>
  </si>
  <si>
    <t>Működési célú támogatások az Európai Uniónak (K511)</t>
  </si>
  <si>
    <t>Egyéb működési célú támogatások államháztartáson kívülre (K512)</t>
  </si>
  <si>
    <r>
      <t>Tartalékok (K513)</t>
    </r>
    <r>
      <rPr>
        <i/>
        <sz val="9"/>
        <rFont val="Times New Roman"/>
        <family val="1"/>
        <charset val="238"/>
      </rPr>
      <t xml:space="preserve"> [=6.13.1.+6.13.2.]</t>
    </r>
  </si>
  <si>
    <t>Általános tartalék (K513)</t>
  </si>
  <si>
    <t>Céltartalék (K513)</t>
  </si>
  <si>
    <t>- ebből: Működési célú fejezeti kezelésű előirányzatok EU-s programok és azok hazai társfinanszírozása (K506)</t>
  </si>
  <si>
    <t>8.a.</t>
  </si>
  <si>
    <t>10.9.</t>
  </si>
  <si>
    <r>
      <t xml:space="preserve">II/3. Egyéb felhalmozási célú kiadások (K8) </t>
    </r>
    <r>
      <rPr>
        <b/>
        <i/>
        <sz val="9"/>
        <rFont val="Times New Roman"/>
        <family val="1"/>
        <charset val="238"/>
      </rPr>
      <t>[=10.1.+…+10.9.]</t>
    </r>
  </si>
  <si>
    <t>Felhalmozási célú támogatások az Európai Uniónak (K88)</t>
  </si>
  <si>
    <t>Egyéb felhalmozási célú támogatások államháztartáson kívülre  (K89)</t>
  </si>
  <si>
    <t>15.1.9.</t>
  </si>
  <si>
    <r>
      <t xml:space="preserve">IV/1. Felhalmozási célú finanszírozási kiadások (K91) </t>
    </r>
    <r>
      <rPr>
        <b/>
        <i/>
        <sz val="9"/>
        <rFont val="Times New Roman"/>
        <family val="1"/>
        <charset val="238"/>
      </rPr>
      <t>[=15.1.+…+15.4.]</t>
    </r>
  </si>
  <si>
    <t>Tulajdonosi kölcsönök kiadásai (K919)</t>
  </si>
  <si>
    <t>Váltókiadások (K94)</t>
  </si>
  <si>
    <t>15.4.</t>
  </si>
  <si>
    <t>13.4.</t>
  </si>
  <si>
    <r>
      <t xml:space="preserve">III/1. Működési célú finanszírozási kiadások (K91) </t>
    </r>
    <r>
      <rPr>
        <b/>
        <i/>
        <sz val="9"/>
        <rFont val="Times New Roman"/>
        <family val="1"/>
        <charset val="238"/>
      </rPr>
      <t>[=12.1.+…+12.4.]</t>
    </r>
  </si>
  <si>
    <r>
      <t xml:space="preserve">Belföldi finanszírozás kiadásai (K91) </t>
    </r>
    <r>
      <rPr>
        <i/>
        <sz val="9"/>
        <rFont val="Times New Roman"/>
        <family val="1"/>
        <charset val="238"/>
      </rPr>
      <t>[=13.1.1.+…+13.1.9.]</t>
    </r>
  </si>
  <si>
    <t>8.1.9.</t>
  </si>
  <si>
    <r>
      <t xml:space="preserve">Belföldi finanszírozás bevételei (B81) </t>
    </r>
    <r>
      <rPr>
        <i/>
        <sz val="9"/>
        <rFont val="Times New Roman"/>
        <family val="1"/>
        <charset val="238"/>
      </rPr>
      <t>[=8.1.1.+…+8.1.9.]</t>
    </r>
  </si>
  <si>
    <r>
      <t xml:space="preserve">Belföldi finanszírozás kiadásai (K91) </t>
    </r>
    <r>
      <rPr>
        <i/>
        <sz val="9"/>
        <rFont val="Times New Roman"/>
        <family val="1"/>
        <charset val="238"/>
      </rPr>
      <t>[=8.1.1.+…+8.1.9.]</t>
    </r>
  </si>
  <si>
    <r>
      <t xml:space="preserve">Működési célú finanszírozási kiadások (K91) </t>
    </r>
    <r>
      <rPr>
        <i/>
        <sz val="9"/>
        <rFont val="Times New Roman"/>
        <family val="1"/>
        <charset val="238"/>
      </rPr>
      <t>[=8.1.+…+8.4.]</t>
    </r>
  </si>
  <si>
    <r>
      <t xml:space="preserve">Működési célú finanszírozási bevételek (B81) </t>
    </r>
    <r>
      <rPr>
        <i/>
        <sz val="9"/>
        <rFont val="Times New Roman"/>
        <family val="1"/>
        <charset val="238"/>
      </rPr>
      <t>[=8.1.+…+8.4.]</t>
    </r>
  </si>
  <si>
    <r>
      <t xml:space="preserve">Felhalmozási célú finanszírozási bevételek (B81) </t>
    </r>
    <r>
      <rPr>
        <i/>
        <sz val="9"/>
        <rFont val="Times New Roman"/>
        <family val="1"/>
        <charset val="238"/>
      </rPr>
      <t>[=14.1.+…+14.3.]</t>
    </r>
  </si>
  <si>
    <r>
      <t xml:space="preserve">Felhalmozási célú finanszírozási kiadások (K91) </t>
    </r>
    <r>
      <rPr>
        <i/>
        <sz val="9"/>
        <rFont val="Times New Roman"/>
        <family val="1"/>
        <charset val="238"/>
      </rPr>
      <t>[=15.1.+…+15.4.]</t>
    </r>
  </si>
  <si>
    <t xml:space="preserve">Az útkarbantartási feladatok nagy részét (kátyúzás, burkolati jelek felfestése, járdafelújítás, KRESZ táblák cseréje) a közmunkaprogramban foglalkoztatottakkal tervezzük megvalósítani. </t>
  </si>
  <si>
    <r>
      <rPr>
        <u/>
        <sz val="9"/>
        <rFont val="Times New Roman"/>
        <family val="1"/>
        <charset val="238"/>
      </rPr>
      <t>Síkosság mentesítés</t>
    </r>
    <r>
      <rPr>
        <sz val="9"/>
        <rFont val="Times New Roman"/>
        <family val="1"/>
        <charset val="238"/>
      </rPr>
      <t>: Költsége időjárás függő. Költségeit az elmúlt évek viszonyait figyelembe véve prognosztizáltuk.</t>
    </r>
  </si>
  <si>
    <r>
      <t>területalapú támogatás</t>
    </r>
    <r>
      <rPr>
        <sz val="9"/>
        <rFont val="Times New Roman"/>
        <family val="1"/>
        <charset val="238"/>
      </rPr>
      <t> </t>
    </r>
  </si>
  <si>
    <t>3.7.</t>
  </si>
  <si>
    <t>3.8.</t>
  </si>
  <si>
    <t>3.9.</t>
  </si>
  <si>
    <t>3.10.</t>
  </si>
  <si>
    <t>3.11.</t>
  </si>
  <si>
    <t>3.12.</t>
  </si>
  <si>
    <t>2013.01.01. előtt átadott ingatlanok után járó</t>
  </si>
  <si>
    <t>TERVEZETT BERUHÁZÁSOK, FELÚJÍTÁSOK, PÁLYÁZATOK</t>
  </si>
  <si>
    <t>Felhalmozási célú  fejezeti kezelésű előirányzatok EU-s programok és azok hazai társfinanszírozása</t>
  </si>
  <si>
    <t>Felhalmozási célú  fejezeti kezelésű előirányzatok EU-s programok és azok hazai társfinanszírozása összesen:</t>
  </si>
  <si>
    <t>mező</t>
  </si>
  <si>
    <t>Adónem</t>
  </si>
  <si>
    <t>Decemer</t>
  </si>
  <si>
    <t>Iparüzési</t>
  </si>
  <si>
    <t>Mag.sz. komm.</t>
  </si>
  <si>
    <t>Építmény</t>
  </si>
  <si>
    <t>Gépjármű+egyéb</t>
  </si>
  <si>
    <t>Idegenforg.</t>
  </si>
  <si>
    <t>Pótlék, bírság</t>
  </si>
  <si>
    <t>Helyi adóból és a települési adóból származó bevétel</t>
  </si>
  <si>
    <t>Kezesség-, illetve garanciavállalással kapcsolatos megtérülés</t>
  </si>
  <si>
    <t>Kezesség-, illetve garanciavállalásból eredő fizetési kötelezettség</t>
  </si>
  <si>
    <r>
      <rPr>
        <vertAlign val="superscript"/>
        <sz val="9"/>
        <rFont val="Times New Roman CE"/>
        <charset val="238"/>
      </rPr>
      <t>2</t>
    </r>
    <r>
      <rPr>
        <sz val="9"/>
        <rFont val="Times New Roman CE"/>
        <charset val="238"/>
      </rPr>
      <t xml:space="preserve"> A tárgyévet követő 3. évtől a futamidő végéig változatlan összeggel.</t>
    </r>
  </si>
  <si>
    <r>
      <t xml:space="preserve">I/3. Működési bevételek (B4) </t>
    </r>
    <r>
      <rPr>
        <b/>
        <i/>
        <sz val="9"/>
        <rFont val="Times New Roman"/>
        <family val="1"/>
        <charset val="238"/>
      </rPr>
      <t>[=4.1.+…+4.11.]</t>
    </r>
  </si>
  <si>
    <r>
      <t xml:space="preserve">I/4. Működési célú átvett pénzeszközök (B6) </t>
    </r>
    <r>
      <rPr>
        <b/>
        <i/>
        <sz val="9"/>
        <rFont val="Times New Roman"/>
        <family val="1"/>
        <charset val="238"/>
      </rPr>
      <t>[=5.1.+…+5.5.]</t>
    </r>
  </si>
  <si>
    <r>
      <t xml:space="preserve">Belföldi finanszírozás bevételei (B811) </t>
    </r>
    <r>
      <rPr>
        <i/>
        <sz val="9"/>
        <rFont val="Times New Roman"/>
        <family val="1"/>
        <charset val="238"/>
      </rPr>
      <t>[=14.1.1.+…+14.1.9.]</t>
    </r>
  </si>
  <si>
    <r>
      <t xml:space="preserve">Belföldi finanszírozás kiadásai (K91) </t>
    </r>
    <r>
      <rPr>
        <i/>
        <sz val="9"/>
        <rFont val="Times New Roman"/>
        <family val="1"/>
        <charset val="238"/>
      </rPr>
      <t>[=15.1.1.+…+15.1.9.]</t>
    </r>
  </si>
  <si>
    <r>
      <t>VIS MAIOR TÁMOGATÁS</t>
    </r>
    <r>
      <rPr>
        <b/>
        <i/>
        <sz val="9"/>
        <rFont val="Times New Roman CE"/>
        <charset val="238"/>
      </rPr>
      <t xml:space="preserve"> [=1.]</t>
    </r>
  </si>
  <si>
    <r>
      <t>ÖNKORMÁNYZATI TÁMOGATÁSOK MINDÖSSZESEN:</t>
    </r>
    <r>
      <rPr>
        <b/>
        <i/>
        <sz val="9"/>
        <rFont val="Times New Roman CE"/>
        <charset val="238"/>
      </rPr>
      <t xml:space="preserve"> [A+B]</t>
    </r>
  </si>
  <si>
    <t>vár</t>
  </si>
  <si>
    <t>járulék</t>
  </si>
  <si>
    <t>bér</t>
  </si>
  <si>
    <t>Forintban !</t>
  </si>
  <si>
    <t>Kamatbevételek és más nyereségjellegű bevételek (B408)</t>
  </si>
  <si>
    <t>2026.</t>
  </si>
  <si>
    <t>HEVA Kft.</t>
  </si>
  <si>
    <t>Megyei önkormányzatok feladatainak támogatása</t>
  </si>
  <si>
    <t>Határátkelőhelyek fenntartásának támogatása</t>
  </si>
  <si>
    <t>A települési önkormányzatok szociális feladatainak egyéb támogatása</t>
  </si>
  <si>
    <t>Család- és gyermekjóléti szolgálat</t>
  </si>
  <si>
    <t>Család- és gyermekjóléti központ</t>
  </si>
  <si>
    <t>A települési önkormányzatok által biztosított egyes szociális szakosított ellátások, valamint a gyermekek átmeneti gondozásával kapcsolatos feladatok támogatása</t>
  </si>
  <si>
    <t>Az intézményi gyermekétkeztetés kapcsán az étkeztetési feladatot ellátók után járó bértámogatás</t>
  </si>
  <si>
    <t>Az intézményi gyermekétkeztetés üzemeltetési támogatása</t>
  </si>
  <si>
    <r>
      <t xml:space="preserve">A TELEPÜLÉSI ÖNKORMÁNYZATOK SZOCIÁLIS, GYERMEKJÓLÉTI ÉS GYERMEKÉTKEZTETÉSI FELADATAINAK TÁMOGATÁSA </t>
    </r>
    <r>
      <rPr>
        <b/>
        <i/>
        <sz val="9"/>
        <rFont val="Times New Roman CE"/>
        <charset val="238"/>
      </rPr>
      <t xml:space="preserve"> [1.+...+7.]</t>
    </r>
  </si>
  <si>
    <t>A települési önkormányzatok könyvtári célú érdekeltségnövelő támogatása</t>
  </si>
  <si>
    <t>BESZÁMÍTÁS, KIEGÉSZÍTÉS</t>
  </si>
  <si>
    <t>I.1.c) - V. Egyéb önkormányzati feladatok támogatása beszámítás, kiegészítés után</t>
  </si>
  <si>
    <t>Belterületi utak, járdák, hidak felújítása</t>
  </si>
  <si>
    <t>Járásszékhely múzeumok szakmai támogatása</t>
  </si>
  <si>
    <t>Önkormányzati étkeztetési fejlesztések támogatása</t>
  </si>
  <si>
    <t>Önkormányzatok rendkívüli támogatása</t>
  </si>
  <si>
    <t>Önkormányzati elszámolások</t>
  </si>
  <si>
    <t>890442-1</t>
  </si>
  <si>
    <t>882113-1</t>
  </si>
  <si>
    <t>Önkormányzatok és társulások igazgatási tevékenysége</t>
  </si>
  <si>
    <t>016030</t>
  </si>
  <si>
    <t>Állampolgársági ügyek</t>
  </si>
  <si>
    <t>841124-1</t>
  </si>
  <si>
    <t>Területi általános végrehajtó igazgatási tevékenység</t>
  </si>
  <si>
    <t>016080</t>
  </si>
  <si>
    <t>Kiemelt állami és önkormányzati rendezvények</t>
  </si>
  <si>
    <t>841191-1</t>
  </si>
  <si>
    <t>Nemzeti ünnepek programjai</t>
  </si>
  <si>
    <t>018030</t>
  </si>
  <si>
    <t>Támogatási célú finanszírozási műveletek</t>
  </si>
  <si>
    <t>Állat-egészségügyi ellátás</t>
  </si>
  <si>
    <t>Építésügy igazgatása</t>
  </si>
  <si>
    <t>044310</t>
  </si>
  <si>
    <t>Települési hulladék vegyes (ömlesztett) begyűjtése, szállítása, átrakása
begyűjtése, szállítása, átrakása</t>
  </si>
  <si>
    <t>072111</t>
  </si>
  <si>
    <t>Háziorvosi alapellátás</t>
  </si>
  <si>
    <t>843044-1</t>
  </si>
  <si>
    <t>Gyógyító-megelőző ellátások finanszírozása</t>
  </si>
  <si>
    <t>072112</t>
  </si>
  <si>
    <t>Háziorvosi ügyeleti ellátás</t>
  </si>
  <si>
    <t>862102-1</t>
  </si>
  <si>
    <t>Fogorvosi alapellátás</t>
  </si>
  <si>
    <t>862301-1</t>
  </si>
  <si>
    <t>Család és nővédelmi egészségügyi gondozás</t>
  </si>
  <si>
    <t>072311</t>
  </si>
  <si>
    <t>074031</t>
  </si>
  <si>
    <t>869041-1</t>
  </si>
  <si>
    <t>Család- és nővédelmi egészségügyi gondozás</t>
  </si>
  <si>
    <t>074032</t>
  </si>
  <si>
    <t>Ifjúság-egészségügyi gondozás</t>
  </si>
  <si>
    <t>869042-1</t>
  </si>
  <si>
    <t>081043</t>
  </si>
  <si>
    <t>Iskolai, diáksport-tevékenység és támogatása</t>
  </si>
  <si>
    <t>931204-1</t>
  </si>
  <si>
    <t>Szabadidős park, fürdő és strandszolgáltatás</t>
  </si>
  <si>
    <t>104042</t>
  </si>
  <si>
    <t>Család- és gyermekjóléti szolgáltatások</t>
  </si>
  <si>
    <t>889201-1</t>
  </si>
  <si>
    <t>Gyermekjóléti szolgáltatás</t>
  </si>
  <si>
    <t>Családsegítés</t>
  </si>
  <si>
    <t>889924-1</t>
  </si>
  <si>
    <t>Család és gyermekjóléti központ</t>
  </si>
  <si>
    <t>104043</t>
  </si>
  <si>
    <t>Intézményen kívüli gyermekétkeztetés</t>
  </si>
  <si>
    <t>104037</t>
  </si>
  <si>
    <t>562918-1</t>
  </si>
  <si>
    <t>Települési támogatás (gyógyszerkiadási támogatás)</t>
  </si>
  <si>
    <t>Települési támogatás (lakásfenntartási támogatás)</t>
  </si>
  <si>
    <t>Települési támogatás (temetési segély)</t>
  </si>
  <si>
    <t>Települési támogatás (egyéb rendkívüli támogatás)</t>
  </si>
  <si>
    <t>842155-1</t>
  </si>
  <si>
    <t>086030</t>
  </si>
  <si>
    <t>Nemzetközi kulturális együttműködés</t>
  </si>
  <si>
    <t>104060</t>
  </si>
  <si>
    <t>Hátrányos helyzetű kistérségek speciális komplex felzárkóztató programjai (TÁMOP Komplex)</t>
  </si>
  <si>
    <t>A gyermekek, fiatalok és családok életminőségét javító programok</t>
  </si>
  <si>
    <t>Építményüzemeltetés (intézmények)</t>
  </si>
  <si>
    <t>Kieg</t>
  </si>
  <si>
    <t>kieg</t>
  </si>
  <si>
    <t>Pmaradvány</t>
  </si>
  <si>
    <t>Veszélyes fák kivágása</t>
  </si>
  <si>
    <t>Gesztenyefák permetezése</t>
  </si>
  <si>
    <t>dologi</t>
  </si>
  <si>
    <t>A közmunkaprogram mezőgazdasági ágának működtetéséhez kapott 46 ha termőföld területalapú támogatása került tervezésre.</t>
  </si>
  <si>
    <t>2013.01.01. után átadott ingatlanok után járó</t>
  </si>
  <si>
    <t>út</t>
  </si>
  <si>
    <t>közv</t>
  </si>
  <si>
    <t>víz</t>
  </si>
  <si>
    <t>tem</t>
  </si>
  <si>
    <t>zöld</t>
  </si>
  <si>
    <t>á eü</t>
  </si>
  <si>
    <t>közf</t>
  </si>
  <si>
    <t>ig</t>
  </si>
  <si>
    <t>sportlét</t>
  </si>
  <si>
    <t>Az önkormányzati vagyonnal való gazdálkodással kapcsolatos feladatok</t>
  </si>
  <si>
    <t>106010</t>
  </si>
  <si>
    <t>Lakóingatlan bérbeadása, üzemeltetése (nem szociális célú)</t>
  </si>
  <si>
    <t>680003-1</t>
  </si>
  <si>
    <t>Lakóingatlan szociális célú bérbeadása, üzemeltetése</t>
  </si>
  <si>
    <t>nl ing üz</t>
  </si>
  <si>
    <t>ÁFA fizetendő!</t>
  </si>
  <si>
    <t>BER</t>
  </si>
  <si>
    <t>FEL</t>
  </si>
  <si>
    <t>ÁFA levonható!</t>
  </si>
  <si>
    <t>Dél-Hevesi Kistérségi Társulás</t>
  </si>
  <si>
    <t>Épületek bontása:</t>
  </si>
  <si>
    <t>Művelődési ház belső felújítás (Ligetsor Kft. kötbérből)</t>
  </si>
  <si>
    <t>Adósságrendezés során be nem jelentett hitelezői igények</t>
  </si>
  <si>
    <t>2011-2012.</t>
  </si>
  <si>
    <t>Fin</t>
  </si>
  <si>
    <t>3.13.</t>
  </si>
  <si>
    <t>ber</t>
  </si>
  <si>
    <t>3.14.</t>
  </si>
  <si>
    <t>2.7.</t>
  </si>
  <si>
    <t>ingatlan értékesítés</t>
  </si>
  <si>
    <t>HEVES VÁROS GYERMEKJÓLÉTI KÖZPONTJA ÉS CSALÁDSEGÍTŐ SZOLGÁLATA</t>
  </si>
  <si>
    <t>1.6. melléklet</t>
  </si>
  <si>
    <t>031030</t>
  </si>
  <si>
    <t>Közterület rendjének fenntartása</t>
  </si>
  <si>
    <t>Kormányzati és önkormányzati intézmények ellátó, kisegítő szolgálatai</t>
  </si>
  <si>
    <t>091110</t>
  </si>
  <si>
    <t>Óvodai nevelés, ellátás szakmai feladatai</t>
  </si>
  <si>
    <t>Óvodai nevelés</t>
  </si>
  <si>
    <t>096015</t>
  </si>
  <si>
    <t>Gyermekétkeztetés köznevelési intézményben</t>
  </si>
  <si>
    <t>104031</t>
  </si>
  <si>
    <t>104035</t>
  </si>
  <si>
    <t>Gyermekétkeztetés bölcsődében, fogyatékosok nappali intézményében</t>
  </si>
  <si>
    <t>889101-1</t>
  </si>
  <si>
    <t>889103-1</t>
  </si>
  <si>
    <t>Gyermekétkeztetés bölcsődésben és fogyatékosok nappali intézményében</t>
  </si>
  <si>
    <t>562912-1</t>
  </si>
  <si>
    <t>562913-1</t>
  </si>
  <si>
    <t>Óvodai intézményi étkeztetés</t>
  </si>
  <si>
    <t>Iskolai intézményi étkeztetés</t>
  </si>
  <si>
    <t>851011-1</t>
  </si>
  <si>
    <t>082042</t>
  </si>
  <si>
    <t>Könyvtári állomány gyarapítása, nyilvántartása</t>
  </si>
  <si>
    <t>Könyvtári szolgáltatások</t>
  </si>
  <si>
    <t>082044</t>
  </si>
  <si>
    <t>Múzeumi gyűjteményi tevékenység</t>
  </si>
  <si>
    <t>082061</t>
  </si>
  <si>
    <t>082091</t>
  </si>
  <si>
    <t>Közművelődés - közösségi és társadalmi részvétel fejlesztése</t>
  </si>
  <si>
    <t>910100-1</t>
  </si>
  <si>
    <t>910123-1</t>
  </si>
  <si>
    <t>Múzeumi állandó kiállítási tevékenység</t>
  </si>
  <si>
    <t>910502-1</t>
  </si>
  <si>
    <t>Közművelődési intézmények, közösségi színterek működtetése</t>
  </si>
  <si>
    <t>Intézményen kívüli gyermekétkeztetés (RGYK)</t>
  </si>
  <si>
    <t>Heves Város Gyermekjóléti Központja és Családsegítő Szolgálata kötelező feladatok</t>
  </si>
  <si>
    <t>Heves Város Gyermekjóléti Központja és Családsegítő Szolgálata önként vállalt feladatok</t>
  </si>
  <si>
    <t>Heves Város Gyermekjóléti Központja és Családsegítő Szolgálata állami (államigazgatási) feladatok</t>
  </si>
  <si>
    <t>Heves Város Gyermekjóléti Központja és Családsegítő Szolgálata összesen</t>
  </si>
  <si>
    <r>
      <rPr>
        <vertAlign val="superscript"/>
        <sz val="9"/>
        <rFont val="Times New Roman CE"/>
        <charset val="238"/>
      </rPr>
      <t>3</t>
    </r>
    <r>
      <rPr>
        <sz val="9"/>
        <rFont val="Times New Roman CE"/>
        <charset val="238"/>
      </rPr>
      <t xml:space="preserve"> Az adósságot keletkeztető ügyletekből eredő fizetési kötelezettségek, amelyekbe nem számítható be a naptári éven belül lejáró futamidejű adósságot keletkeztető ügylet, az európai uniós vagy nemzetközi szervezettől az önkormányzat által elnyert támogatás előfinanszírozásának biztosítására szolgáló adósságot keletkeztető ügyletből, a víziközmű-társulattól annak megszűnése miatt átvett hitelből és az adósságrendezési eljárás során a hitelezői egyezség megkötéséhez igénybe vett reorganizációs hitelből származó fizetési kötelezettségek összege, de beleszámítandó a kezesség-, illetve garanciavállalásból eredő, jogosult által érvényesített fizetési kötelezettség összege.</t>
    </r>
  </si>
  <si>
    <t>Telekadó</t>
  </si>
  <si>
    <t>2027.</t>
  </si>
  <si>
    <t>TOP-3.1.1-15-HE1-2016-00006</t>
  </si>
  <si>
    <t>Kerékpárút fejlesztése Heves városában</t>
  </si>
  <si>
    <t>Kerékpáros fejlesztés Boconád, Heves és Tarnaméra községekben</t>
  </si>
  <si>
    <t>TOP-3.1.1-15-HE1-2016-00007</t>
  </si>
  <si>
    <t>(TÁMOGATÁSI INTENZÍTÁS 100%; MEGVALÓSÍTÁS FOLYAMATBAN)</t>
  </si>
  <si>
    <t>TOP-3.1.1-15-HE1-2016-00006 Kerékpárút fejlesztése Heves városában</t>
  </si>
  <si>
    <t>TOP-3.1.1-15-HE1-2016-00007 Kerékpáros fejlesztés Boconád, Heves és Tarnaméra községekben</t>
  </si>
  <si>
    <t>Önkormányzati hivatal működésének támogatása - elismert hivatali létszám alapján</t>
  </si>
  <si>
    <t xml:space="preserve"> Település-üzemeltetéshez kapcsolódó feladatellátás támogatása</t>
  </si>
  <si>
    <t>Szociális ágazati összevont pótlék</t>
  </si>
  <si>
    <t>da)</t>
  </si>
  <si>
    <t>db)</t>
  </si>
  <si>
    <t>Szociális segítés</t>
  </si>
  <si>
    <t>Személyi gondozás</t>
  </si>
  <si>
    <t>Családi bölcsőde</t>
  </si>
  <si>
    <t>Támogató szolgáltatás</t>
  </si>
  <si>
    <t>m)</t>
  </si>
  <si>
    <t>Közösségi alapellátások</t>
  </si>
  <si>
    <t xml:space="preserve"> Intézményi gyermekétkeztetés támogatása</t>
  </si>
  <si>
    <t>A rászoruló gyermekek szünidei étkeztetésének támogatása</t>
  </si>
  <si>
    <t xml:space="preserve">Megyei hatókörű városi múzeumok feladatainak támogatása </t>
  </si>
  <si>
    <t xml:space="preserve">Megyeszékhely megyei jogú városok és Szentendre Város Önkormányzata közművelődési feladatainak támogatása </t>
  </si>
  <si>
    <t>Települési önkormányzatok nyilvános könyvtári és a közművelődési feladatainak támogatása</t>
  </si>
  <si>
    <t xml:space="preserve">Budapest Főváros Önkormányzata múzeumi, könyvtári és közművelődési feladatainak támogatása </t>
  </si>
  <si>
    <t>Fővárosi kerületi önkormányzatok közművelődési feladatainak támogatása</t>
  </si>
  <si>
    <t>A kéményseprő-ipari közszolgáltatás helyi önkormányzat általi ellátásának támogatása</t>
  </si>
  <si>
    <t>Pécs Megyei Jogú Város Önkormányzat kulturális feladatainak támogatása</t>
  </si>
  <si>
    <r>
      <t>A TELEPÜLÉSI ÖNKORMÁNYZATOK EGYES KÖZNEVELÉSI FELADATAINAK TÁMOGATÁSA</t>
    </r>
    <r>
      <rPr>
        <b/>
        <i/>
        <sz val="9"/>
        <rFont val="Times New Roman CE"/>
        <charset val="238"/>
      </rPr>
      <t xml:space="preserve"> [1.+…+4.]</t>
    </r>
  </si>
  <si>
    <t>A nem közművel összegyűjtött háztartási szennyvíz ideiglenes begyűjtésére kijelölt közérdekű közszolgáltató meg nem térülő költségeinek támogatása</t>
  </si>
  <si>
    <t>A települési önkormányzatok szociális célú tüzelőanyag vásárlásához kapcsolódó támogatása</t>
  </si>
  <si>
    <t>Pannon Park beruházási projekt támogatása</t>
  </si>
  <si>
    <t>Veszprém Aréna építési beruházásával összefüggő tőke- és kamattörlesztő-részletek átvállalásának támogatása</t>
  </si>
  <si>
    <t>Normafa Park kiemelt beruházás támogatása</t>
  </si>
  <si>
    <t>2017-2018.</t>
  </si>
  <si>
    <t>Ingatlanvásárlás Heves Városért Közalapítványtól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</si>
  <si>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</si>
  <si>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</si>
  <si>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</si>
  <si>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</si>
  <si>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</si>
  <si>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</si>
  <si>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</si>
  <si>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</si>
  <si>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</si>
  <si>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</si>
  <si>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2016-2037.</t>
  </si>
  <si>
    <t>Város-, községgazdálkodási m.n.s. szolgáltatások (TOP-3.1.1-15-HE1-2016-00006 Kerékpárút fejlesztése Heves városában)</t>
  </si>
  <si>
    <t>Város-, községgazdálkodási m.n.s. szolgáltatások (TOP-3.1.1-15-HE1-2016-00007 Kerékpáros fejlesztés Boconád, Heves és Tarnaméra községekben)</t>
  </si>
  <si>
    <t>P</t>
  </si>
  <si>
    <t>Q</t>
  </si>
  <si>
    <t>R</t>
  </si>
  <si>
    <t>Közfoglalkoztatás, szociális juttatások (szociális bérlakás üzemeltetése is)</t>
  </si>
  <si>
    <t>Bölcsödei ellátás</t>
  </si>
  <si>
    <t>Könyvtári szolgáltatások és közművelődési feladatok</t>
  </si>
  <si>
    <t>IX.</t>
  </si>
  <si>
    <t xml:space="preserve"> Működési célú átvett pénzeszközök / működési finanszírozási bevételek</t>
  </si>
  <si>
    <t>Felhalmozási célú átvett pénzeszközök / felhalmozási finanszírozási bevételek</t>
  </si>
  <si>
    <t>Egyéb működési célú kiadások / működési finanszírozási kiadások</t>
  </si>
  <si>
    <t>Egyéb felhalmozási célú kiadások / felhalmozási finanszírozási kiadások</t>
  </si>
  <si>
    <t>Intézményi gyermekétkeztetés</t>
  </si>
  <si>
    <t>Gyermekjóléti szolgáltatás, családsegítés</t>
  </si>
  <si>
    <t>Szoc. Pótl.</t>
  </si>
  <si>
    <t>Hiv műk Tenk</t>
  </si>
  <si>
    <t>fel nem használt szockieg</t>
  </si>
  <si>
    <t>Felnőtt (saját dolgozó, vendég)</t>
  </si>
  <si>
    <t>910210-1</t>
  </si>
  <si>
    <t>2016-2018.</t>
  </si>
  <si>
    <t>Bérek (közf., zöldter. Stb.)</t>
  </si>
  <si>
    <t>Önkormányzati hivatal belső felújítása</t>
  </si>
  <si>
    <t>Ingatlanvásárlás városfejlesztési feladatokhoz</t>
  </si>
  <si>
    <t>Pályázatok előkészítése, megvalósíthatósági tanulmányok, tervek (engedélyes, kiviteli)</t>
  </si>
  <si>
    <t>Rendezési terv felülvizsgálata</t>
  </si>
  <si>
    <t>Eszközbeszerzések (éjjelltátó, hőkamera, földmérő készülék)</t>
  </si>
  <si>
    <t>Kisértékű eszközbeszerzések</t>
  </si>
  <si>
    <t>Büntetésvégrehajtási intézet beruházásához vállalt fejlesztési kötelezettségek</t>
  </si>
  <si>
    <t>Heves Megyei Diák- és Szabadidősport Egyesület</t>
  </si>
  <si>
    <r>
      <rPr>
        <u/>
        <sz val="9"/>
        <rFont val="Times New Roman"/>
        <family val="1"/>
        <charset val="238"/>
      </rPr>
      <t xml:space="preserve">Kátyúzás: </t>
    </r>
    <r>
      <rPr>
        <sz val="9"/>
        <rFont val="Times New Roman"/>
        <family val="1"/>
        <charset val="238"/>
      </rPr>
      <t>Az elmúlt években a város belterületi utjain jelentős mértékű kátyúzási munkákat végeztünk, melynek következtében, csak az un. „ütőkátyúk” javítási munkáival munkákkal kell számoljunk. A keret összegét az elmúlt évi szinten kívánjuk tervezni , amely tapasztalatok alapján a város úthálózatában keletkező ütőkátyúk és kisebb felületű úthibák javítására elegendő.</t>
    </r>
  </si>
  <si>
    <r>
      <rPr>
        <u/>
        <sz val="9"/>
        <rFont val="Times New Roman"/>
        <family val="1"/>
        <charset val="238"/>
      </rPr>
      <t>Útkarbantartás és felújítás</t>
    </r>
    <r>
      <rPr>
        <sz val="9"/>
        <rFont val="Times New Roman"/>
        <family val="1"/>
        <charset val="238"/>
      </rPr>
      <t>: Az elmúlt évben a Szerelem A. út és a városközpontban a két körforgalom közti útszakasz teljes útburkolatának felújítására került sor , amely során a felújítás során a bekerülési összeg 50%-át a Megyei Közútkezelő és a Colas Zrt. biztosította . Ez évben ilyen jogcímen nem tervezünk kiadást . Több pályázatunk esetében ( szoc. városrehab. és a szennyvízfejlesztés ) útfejlesztéseket is tartalmaznak a projektek , így 2017-ben támogatásból tudunk útfejlesztéseket végrehajtani .</t>
    </r>
  </si>
  <si>
    <r>
      <rPr>
        <u/>
        <sz val="9"/>
        <rFont val="Times New Roman"/>
        <family val="1"/>
        <charset val="238"/>
      </rPr>
      <t>Útburkolati jelek felfestése</t>
    </r>
    <r>
      <rPr>
        <sz val="9"/>
        <rFont val="Times New Roman"/>
        <family val="1"/>
        <charset val="238"/>
      </rPr>
      <t>: Mint az elmúlt években, úgy idén is az útburkolati jelek felfestését a közmunka program keretében végezzük. A festékanyag és a tevékenységhez szükséges eszközök beszerzésére forrást kell tervezni.</t>
    </r>
  </si>
  <si>
    <r>
      <rPr>
        <u/>
        <sz val="9"/>
        <rFont val="Times New Roman"/>
        <family val="1"/>
        <charset val="238"/>
      </rPr>
      <t>Járdafelújítás</t>
    </r>
    <r>
      <rPr>
        <sz val="9"/>
        <rFont val="Times New Roman"/>
        <family val="1"/>
        <charset val="238"/>
      </rPr>
      <t>: Az elmúlt évben képviselői keretekből és közmunkaprogram révén jelentős járdafelújítások történtek , ezért ez évben nem tervezünkl ezen a jogcímen kiadást .</t>
    </r>
  </si>
  <si>
    <t>A közkifolyók számának további csökkentése nem lehetséges, ezért a szakfeladatra előirányzott költség meghatározása a 2016. évi teljesítés figyelembevételével történt.</t>
  </si>
  <si>
    <t>Az üzemeltetést a Városgondnokság végzi . A temető folyamatos ápoltságának biztosítására folyamatos gondnokra lenne szükség.</t>
  </si>
  <si>
    <t>Az elmúlt évek szervezeti átalakításai miatt a parkfenntartási feladatokat közvetlenül a Városgondnokság végzi . A felmerülő feladatok jelentős részét közfoglalkoztatottak bevonásával látjuk el.</t>
  </si>
  <si>
    <r>
      <rPr>
        <u/>
        <sz val="9"/>
        <rFont val="Times New Roman"/>
        <family val="1"/>
        <charset val="238"/>
      </rPr>
      <t>Kóbor ebek</t>
    </r>
    <r>
      <rPr>
        <sz val="9"/>
        <rFont val="Times New Roman"/>
        <family val="1"/>
        <charset val="238"/>
      </rPr>
      <t xml:space="preserve"> összeírásával, összegyűjtésével kapcsolatos költségek.</t>
    </r>
  </si>
  <si>
    <r>
      <rPr>
        <u/>
        <sz val="9"/>
        <rFont val="Times New Roman"/>
        <family val="1"/>
        <charset val="238"/>
      </rPr>
      <t>Rágcsáló irtás:</t>
    </r>
    <r>
      <rPr>
        <sz val="9"/>
        <rFont val="Times New Roman"/>
        <family val="1"/>
        <charset val="238"/>
      </rPr>
      <t xml:space="preserve"> A 2014. évben jelentkezett szokatlan nagyszámú rágcsáló jelentős problémát okozott az önkormányzatnak. A korlátozott lokális irtás nem járt eredménnyel. Az előző év tanulságait levonva indokolt egy szakcéggel az egész városra/városrészre vonatkozó rágcsálóirtási szerződést kötni.</t>
    </r>
  </si>
  <si>
    <t>A közfoglalkoztatási bér bruttó összege 8 órás foglalkoztatás esetében 81.530 forint, a garantált bér összege 106.555 forint.  A kifizetés havi rendszerességgel történik.</t>
  </si>
  <si>
    <t>A már aláírt szerződések szerint a közfoglalkoztatás költségei januártól februárig (100%-ban támogatott)</t>
  </si>
  <si>
    <r>
      <rPr>
        <u/>
        <sz val="9"/>
        <rFont val="Times New Roman"/>
        <family val="1"/>
        <charset val="238"/>
      </rPr>
      <t>Előre nem látható költségek:</t>
    </r>
    <r>
      <rPr>
        <sz val="9"/>
        <rFont val="Times New Roman"/>
        <family val="1"/>
        <charset val="238"/>
      </rPr>
      <t xml:space="preserve"> A gyakran megjelenő és az előre nem tervezhető ( általában vis maior hellegű ) feladatok  kerete , amelyet az elmúlt évek tapasztalati alpján tervezünk   Itt jelennek meg a tervezett beruházásokhoz kapcsolódó  pótlólagos költségei.</t>
    </r>
  </si>
  <si>
    <t>Sportcsarnok üzemeltetése</t>
  </si>
  <si>
    <t>Bérleti díj Heva Kft.</t>
  </si>
  <si>
    <t>2.8.</t>
  </si>
  <si>
    <r>
      <rPr>
        <u/>
        <sz val="9"/>
        <rFont val="Times New Roman"/>
        <family val="1"/>
        <charset val="238"/>
      </rPr>
      <t>A Művelődési Ház részleges felújítása</t>
    </r>
    <r>
      <rPr>
        <sz val="9"/>
        <rFont val="Times New Roman"/>
        <family val="1"/>
        <charset val="238"/>
      </rPr>
      <t xml:space="preserve"> : 2014-ben megvalósult ÉMOP-os beruházás kivitelezőjétől visszatartott jóteljesítési garancia felhasználása az épület állagának javítására .</t>
    </r>
  </si>
  <si>
    <r>
      <rPr>
        <u/>
        <sz val="9"/>
        <rFont val="Times New Roman"/>
        <family val="1"/>
        <charset val="238"/>
      </rPr>
      <t>Mezei őrszolgálat eszközbeszerzése :</t>
    </r>
    <r>
      <rPr>
        <sz val="9"/>
        <rFont val="Times New Roman"/>
        <family val="1"/>
        <charset val="238"/>
      </rPr>
      <t xml:space="preserve"> A mezei őrszolgálat működéséhez szükséges eszközök beszerzése (éjjelltátó, hőkamera, földmérő készülék) kerül tervezésre.</t>
    </r>
  </si>
  <si>
    <t>Rákóczi Szövetség</t>
  </si>
  <si>
    <t xml:space="preserve"> „Beiratkozási Program”</t>
  </si>
  <si>
    <t xml:space="preserve">Heves Város Önkormányzata és költségvetési szervei 2018. évi összesített költségvetési mérlege </t>
  </si>
  <si>
    <t xml:space="preserve">Heves Város Önkormányzata 2018. évi költségvetési mérlege </t>
  </si>
  <si>
    <t xml:space="preserve">Hevesi Közös Önkormányzati Hivatal 2018. évi költségvetési mérlege </t>
  </si>
  <si>
    <t xml:space="preserve">Heves Városi Óvodák és Bölcsőde Köznevelési Intézmény 2018. évi költségvetési mérlege </t>
  </si>
  <si>
    <t xml:space="preserve">Hevesi Kulturális Központ 2018. évi költségvetési mérlege </t>
  </si>
  <si>
    <t xml:space="preserve">Heves Városi Mezei Őrszolgálat 2018. évi költségvetési mérlege </t>
  </si>
  <si>
    <t xml:space="preserve">Heves Város Gyermekjóléti Központja és Családsegítő Szolgálata 2018. évi költségvetési mérlege </t>
  </si>
  <si>
    <t>Heves Város Önkormányzata és költségvetési szervei 2018. évi létszámkerete</t>
  </si>
  <si>
    <t>Az önkormányzat által adott 2018. évi közvetett támogatások</t>
  </si>
  <si>
    <t>Előirányzat-felhasználási ütemterv 2018. évre (tervezett adatok alapján)</t>
  </si>
  <si>
    <t>Heves Város Önkormányzata és költségvetési szervei 2018. évi összesített költségvetési mérlege (a tárgyévet megelőző két év teljesítési adataival kiegészítve)</t>
  </si>
  <si>
    <t>Heves Város Önkormányzata 2018. évi általános működésének és ágazati feladatainak támogatásának alakulása jogcímenként</t>
  </si>
  <si>
    <t>2018. évi felhalmozási célú kiadások</t>
  </si>
  <si>
    <t>2018. évi céljelleggel nyújtott támogatások</t>
  </si>
  <si>
    <t>Gyermekétkeztetés, munkahelyi étkeztetés, egyéb vendéglátás nyersanyagnormája és térítési díja 2018. január 1-től</t>
  </si>
  <si>
    <t>Heves Város Önkormányzata saját bevételeinek, valamint az adósságot keletkeztető ügyletekből származó fizetési kötelezettségeinek várható alakulása  2018-2021. években</t>
  </si>
  <si>
    <t>2018. ÉVI ÖSSZESÍTETT KÖLTSÉGVETÉSI MÉRLEGE</t>
  </si>
  <si>
    <t>2018. évi előirányzat</t>
  </si>
  <si>
    <t xml:space="preserve"> 2018. ÉVI LÉTSZÁMKERET</t>
  </si>
  <si>
    <t>2018. ÉVI KÖLTSÉGVETÉSI MÉRLEGE</t>
  </si>
  <si>
    <t>2018. ÉVI MŰKÖDÉSI CÉLÚ BEVÉTELEK ÉS KIADÁSOK MÉRLEGE</t>
  </si>
  <si>
    <t>2018. ÉVI FELHALMOZÁSI CÉLÚ BEVÉTELEK ÉS KIADÁSOK MÉRLEGE</t>
  </si>
  <si>
    <t>2018. évi létszám előirányzat (fő)</t>
  </si>
  <si>
    <t xml:space="preserve"> 2018. ÉVI ENGEDÉLYEZETT LÉTSZÁM ELŐIRÁNYZATA</t>
  </si>
  <si>
    <t>2018. előtt</t>
  </si>
  <si>
    <t>2020. után</t>
  </si>
  <si>
    <t>Önkormányzaton kívüli EU-s projektekhez történő hozzájárulás 2018. évi előirányzata</t>
  </si>
  <si>
    <t>23=3+…+22</t>
  </si>
  <si>
    <t>Az önkormányzat 2018. évi adósságot keletkeztető fejlesztési céljai</t>
  </si>
  <si>
    <t>2018. előtti kifizetés</t>
  </si>
  <si>
    <t>2016. évi teljesítés</t>
  </si>
  <si>
    <t>HEVES VÁROS ÖNKORMÁNYZATA 2018. ÉVI ÖNKORMÁNYZATI TÁMOGATÁSAI</t>
  </si>
  <si>
    <t>Felhasználás 2018. előtt</t>
  </si>
  <si>
    <t>2018. ÉVI FELHALMOZÁSI CÉLÚ KIADÁSAI</t>
  </si>
  <si>
    <t>2018. év utáni szükséglet</t>
  </si>
  <si>
    <t>2018. ÉVI CÉLJELEGGEL NYÚJTOTT TÁMOGATÁSOK, ÁTADOTT PÉNZEK</t>
  </si>
  <si>
    <t>2018. évi működési költségvetés előirányzata</t>
  </si>
  <si>
    <t>2018. évi felhalmozási költségvetés előirányzata</t>
  </si>
  <si>
    <t>......................, 2018. .......................... hó ..... nap</t>
  </si>
  <si>
    <t>Városüzemeltetési feladatok 2018.</t>
  </si>
  <si>
    <t>Gyermekek bölcsődében és mini bölcsődében történő ellátása</t>
  </si>
  <si>
    <t>Önkormányzatok és önkormányzati hivatalok jogalkotó és általános igazgatási tevékenysége (KÖFOP-1.2.1)</t>
  </si>
  <si>
    <t>Önkormányzatok és társulások igazgatási tevékenysége KÖFOP-1.2.1-VEKOP-16-2017-00715 Heves Város Önkormányzata ASP központhoz való csatlakozása)</t>
  </si>
  <si>
    <t>Város-, községgazdálkodási m.n.s. szolgáltatások (TOP 3.1.1.)</t>
  </si>
  <si>
    <t>Város-, községgazdálkodási m.n.s. szolgáltatások  (TOP 1.1.3.)</t>
  </si>
  <si>
    <t>Város-, községgazdálkodási m.n.s. szolgáltatások  (TOP 1.2.1.)</t>
  </si>
  <si>
    <t>Város-, községgazdálkodási m.n.s. szolgáltatások  (TOP 1.4.1.)</t>
  </si>
  <si>
    <t>Város-, községgazdálkodási m.n.s. szolgáltatások  (TOP 2.1.2.)</t>
  </si>
  <si>
    <t>Város-, községgazdálkodási m.n.s. szolgáltatások  (TOP 3.2.1.)</t>
  </si>
  <si>
    <t>Város-, községgazdálkodási m.n.s. szolgáltatások  (TOP 5.1.2.)</t>
  </si>
  <si>
    <t>Város-, községgazdálkodási m.n.s. szolgáltatások  (TOP 3.2.2.)</t>
  </si>
  <si>
    <t>Város-, községgazdálkodási m.n.s. szolgáltatások  (TOP 4.2.1.)</t>
  </si>
  <si>
    <t>Város-, községgazdálkodási m.n.s. szolgáltatások  (KEHOP-2.2.1)</t>
  </si>
  <si>
    <t>Város-, községgazdálkodási m.n.s. szolgáltatások (KEHOP-2.2.1-15-2015-00024 Solt szennyvíztisztitó telep korszerűsítése, tisztított szennyvíz Duna sodorvonali bevezetésével)</t>
  </si>
  <si>
    <t>Város-, községgazdálkodási m.n.s. szolgáltatások (TOP-4.2.1-15-HE1-2016-00014 Dél-Hevesi Kistérség Gyermekjóléti Központja és Családsegítő Szolgálatának fejlesztése)</t>
  </si>
  <si>
    <t>Város-, községgazdálkodási m.n.s. szolgáltatások ( TOP-3.2.2-15-HE1-2016-00003 Heves Város középületeinek energetikai megújuló energiaforrások kiaknázásával)</t>
  </si>
  <si>
    <t>Város-, községgazdálkodási m.n.s. szolgáltatások ( TOP-5.1.2-15-HE1-2016-00001 Foglalkoztatási együttműködések kialakítása a dél-hevesi térségben)</t>
  </si>
  <si>
    <t>Város-, községgazdálkodási m.n.s. szolgáltatások (TOP-3.2.1-15-HE1-2016-00011 Heves város Újtelep alapellátás rendelőinek energetikai fejlesztése)</t>
  </si>
  <si>
    <t>Város-, községgazdálkodási m.n.s. szolgáltatások ( TOP-2.1.2-15-HE1-2016-00004 Heves Város Zöld szíve)</t>
  </si>
  <si>
    <t>Város-, községgazdálkodási m.n.s. szolgáltatások (TOP-1.4.1-15-HE1-2016-00018 Heves Városi Óvodák és Bölcsőde Köznevelési Intézmény Arany János úti Óvoda és Bölcsőde infrastrukturális fejlesztése)</t>
  </si>
  <si>
    <t>Város-, községgazdálkodási m.n.s. szolgáltatások (TOP-1.2.1-15-HE1-2016-00005 a Halász-kúria turisztikai fejlesztése Heves Városban)</t>
  </si>
  <si>
    <t>Város-, községgazdálkodási m.n.s. szolgáltatások ( TOP-1.1.3-15-HE1-2016-00009 Közétkeztetés korszerűsítése Heves Városban - HVÓBKI Arany János úti Óvoda konyha felújítása)</t>
  </si>
  <si>
    <t>Hátrányos helyzetű kistérségek speciális komplex felzárkóztató programjai (TOP-5.2.1-15-HE1-2016-00004 Komplex társadalmi együttműködési program Heves városában)</t>
  </si>
  <si>
    <t>Önkormányzatok és társulások igazgatási tevékenysége (EFOP-1.2.9-17 Nők a családban és a munkahelyen)</t>
  </si>
  <si>
    <t>Önkormányzatok és önkormányzati hivatalok jogalkotó és általános igazgatási tevékenysége (EFOP-1.2.9.)</t>
  </si>
  <si>
    <t>A 2017. évről áthúzódó bérkompenzáció támogatása</t>
  </si>
  <si>
    <r>
      <t xml:space="preserve"> A HELYI ÖNKORMÁNYZATOK MŰKÖDÉSÉNEK ÁLTALÁNOS TÁMOGATÁSA </t>
    </r>
    <r>
      <rPr>
        <b/>
        <i/>
        <sz val="9"/>
        <rFont val="Times New Roman CE"/>
        <charset val="238"/>
      </rPr>
      <t>[1.+…+6.]</t>
    </r>
  </si>
  <si>
    <t>Polgármesteri illetmény támogatása</t>
  </si>
  <si>
    <t>Óvodapedagógusok és az óvodapedagógusok nevelő munkáját közvetlenül segítők bértámogatása</t>
  </si>
  <si>
    <t>Kiegészítő támogatás az óvodapedagógusok és a pedagógus szakképzettséggel rendelkező segítők minősítéséből adódó többletkiadásokhoz</t>
  </si>
  <si>
    <t>Óvodai és iskolai szociális segítő tevékenység támogatása</t>
  </si>
  <si>
    <t>n)</t>
  </si>
  <si>
    <t>Bölcsőde, mini bölcsőde támogatása</t>
  </si>
  <si>
    <t>Bölcsődei üzemeltetési támogatás</t>
  </si>
  <si>
    <t>Megyei hatókörű városi könyvtár kistelepülési könyvtári célú kiegészítő támogatása</t>
  </si>
  <si>
    <t>Kulturális illetménypótlék</t>
  </si>
  <si>
    <r>
      <t xml:space="preserve">A TELEPÜLÉSI ÖNKORMÁNYZATOK KULTURÁLIS FELADATAINAK TÁMOGATÁSA </t>
    </r>
    <r>
      <rPr>
        <b/>
        <i/>
        <sz val="9"/>
        <rFont val="Times New Roman CE"/>
        <charset val="238"/>
      </rPr>
      <t>[1.+2.+3.]</t>
    </r>
  </si>
  <si>
    <t>Jó adatszolgáltató önkormányzatok támogatása</t>
  </si>
  <si>
    <r>
      <t>A HELYI ÖNKORMÁNYZATOK KIEGÉSZÍTŐ TÁMOGATÁSAI</t>
    </r>
    <r>
      <rPr>
        <b/>
        <i/>
        <sz val="9"/>
        <rFont val="Times New Roman CE"/>
        <charset val="238"/>
      </rPr>
      <t xml:space="preserve"> [I.+II.+III.]</t>
    </r>
  </si>
  <si>
    <t>Mini bölcsődei férőhelyek kialakításának támogatása</t>
  </si>
  <si>
    <t>Békásmegyeri vásárcsarnok építése</t>
  </si>
  <si>
    <t>Normafa Park történelmi sportterület megvalósításának támogatása</t>
  </si>
  <si>
    <t>A 2015. évi Milánói Világkiállítás magyar pavilonjának újjáépítése Karcagon</t>
  </si>
  <si>
    <t>Kistarcsai Emlékhely és Könyvtár létrehozása a kommunista diktatúra idején internáló- és kényszermunkatáborként, illetve hadifogolytáborként működtetett létesítmények egykori helyszínén</t>
  </si>
  <si>
    <t>A Blaha Lujza tér rendezésének támogatása</t>
  </si>
  <si>
    <t>Hermina garázs beruházás támogatásaa</t>
  </si>
  <si>
    <r>
      <rPr>
        <u/>
        <sz val="9"/>
        <rFont val="Times New Roman"/>
        <family val="1"/>
        <charset val="238"/>
      </rPr>
      <t>KRESZ táblák pótlása, forgalmi lámpa átprogramozása</t>
    </r>
    <r>
      <rPr>
        <sz val="9"/>
        <rFont val="Times New Roman"/>
        <family val="1"/>
        <charset val="238"/>
      </rPr>
      <t>: Forrás hiány miatt , csak a hiányzó és megrongált táblák pótlására tervezünk forrást, valamint a SPAR előtti kereszteződés lámpájának átprogramozására.</t>
    </r>
  </si>
  <si>
    <t>A tárgyi évre a közvilágítás üzemeltetését az ÉMÁSZ Nyrt. Helyett új vállalkozó végzi. EZ a változás 2 millió Ft megtakarítást eredményez a folyó évi költségvetésben.</t>
  </si>
  <si>
    <t>Új zöldterületi részek virágosítása a városközpontban 31-es út mellett</t>
  </si>
  <si>
    <t xml:space="preserve">Konténer szállítás (150 alkalom) </t>
  </si>
  <si>
    <t>A már aláírt szerződések alapján  a 2018-ra áthúzódó kiadások tervezhetők.</t>
  </si>
  <si>
    <t>A 2018. évi közfoglalkoztatás önkormányzati önrészére betervezett összeg</t>
  </si>
  <si>
    <t>A közterület használati díjak 2017. évben nem emelkedtek, ennek megfelelően az elmúlt évi bevételekkel terveztünk.</t>
  </si>
  <si>
    <t>piac bérleti szerződés Heva Kft. (kiegészülve az Alapítványtól vásárolt területtel)</t>
  </si>
  <si>
    <t>piac bérleti szerződés Bónusz Pont Kft. (2015-2016.) (peres eljárás)</t>
  </si>
  <si>
    <r>
      <rPr>
        <u/>
        <sz val="9"/>
        <rFont val="Times New Roman"/>
        <family val="1"/>
        <charset val="238"/>
      </rPr>
      <t>A 2017 -es évben műszakilag megvalósult fejlesztések , felújítások pénzügyi rendezése:</t>
    </r>
    <r>
      <rPr>
        <sz val="9"/>
        <rFont val="Times New Roman"/>
        <family val="1"/>
        <charset val="238"/>
      </rPr>
      <t xml:space="preserve">  az áthúzódó szállítói tartozások között a céltartalék soron került betervezésre. </t>
    </r>
  </si>
  <si>
    <r>
      <rPr>
        <u/>
        <sz val="9"/>
        <rFont val="Times New Roman"/>
        <family val="1"/>
        <charset val="238"/>
      </rPr>
      <t>Polgármesteri Hivatal épületének belső felújítása :</t>
    </r>
    <r>
      <rPr>
        <sz val="9"/>
        <rFont val="Times New Roman"/>
        <family val="1"/>
        <charset val="238"/>
      </rPr>
      <t xml:space="preserve"> a 2015-ös év végén soron kívüli támogatás felhasználásához szükséges saját forrás biztosítása egyrész építési feladatokhoz, másrészt a szavazatszámláló rendszer beszerzéséhez.
támogatási részének felhasználásával .</t>
    </r>
  </si>
  <si>
    <r>
      <rPr>
        <u/>
        <sz val="9"/>
        <rFont val="Times New Roman"/>
        <family val="1"/>
        <charset val="238"/>
      </rPr>
      <t>Ingatlanok vásárlása városfejlesztési feladatok megvalósítása érdekében:</t>
    </r>
    <r>
      <rPr>
        <sz val="9"/>
        <rFont val="Times New Roman"/>
        <family val="1"/>
        <charset val="238"/>
      </rPr>
      <t xml:space="preserve"> a város fejlődése érdekében és fejlesztések megvalósitásához az elmúlt évben az Önkormányzat több ingatlant vásárolt, melynek részleges rendezése 2018. évre áthúzodik. Ezen összeg a Heves Városért Közalapítvány tulajdonában lévő ingatlanok megvásárlásának ez évi részletét (2.000 EFt.) is tartalmazza. </t>
    </r>
  </si>
  <si>
    <r>
      <rPr>
        <u/>
        <sz val="9"/>
        <rFont val="Times New Roman"/>
        <family val="1"/>
        <charset val="238"/>
      </rPr>
      <t>Kerekerdő óvoda tornaszobával történő fejlesztés</t>
    </r>
    <r>
      <rPr>
        <sz val="9"/>
        <rFont val="Times New Roman"/>
        <family val="1"/>
        <charset val="238"/>
      </rPr>
      <t>re elkészült pályázatunk "vigaszaszágon" támogatást nyert, amelynek teljeskörű megvalósításához szükséges a tervezett saját erő mértéke.</t>
    </r>
  </si>
  <si>
    <r>
      <rPr>
        <u/>
        <sz val="9"/>
        <rFont val="Times New Roman"/>
        <family val="1"/>
        <charset val="238"/>
      </rPr>
      <t xml:space="preserve">A Művelődési Ház ún. érdekeltségnövelő pályázatának megvalósítása: </t>
    </r>
    <r>
      <rPr>
        <sz val="9"/>
        <rFont val="Times New Roman"/>
        <family val="1"/>
        <charset val="238"/>
      </rPr>
      <t>az önkormányzatunk által elnyert 2017.évi közművelődés fejlesztési pályázat támogatását és önerejét tervezzük ezen a soron.</t>
    </r>
  </si>
  <si>
    <r>
      <rPr>
        <u/>
        <sz val="9"/>
        <rFont val="Times New Roman"/>
        <family val="1"/>
        <charset val="238"/>
      </rPr>
      <t xml:space="preserve">Tervek készítése </t>
    </r>
    <r>
      <rPr>
        <sz val="9"/>
        <rFont val="Times New Roman"/>
        <family val="1"/>
        <charset val="238"/>
      </rPr>
      <t xml:space="preserve"> : A hazai forrásból megvalósuló fejlesztési terveink folyamatos viteléhez elengedhetetlen a tervek , tanulmányok megléte , korábbi terveink korszerűségi felülvizsgálata . Az EU-s források esetében a tervek a pozitív pályázati döntés esetén a tervezésre fordított kiadások megtérülnek.</t>
    </r>
  </si>
  <si>
    <r>
      <rPr>
        <u/>
        <sz val="9"/>
        <rFont val="Times New Roman"/>
        <family val="1"/>
        <charset val="238"/>
      </rPr>
      <t>Rendezési terv átfogó felülvizsgálata</t>
    </r>
    <r>
      <rPr>
        <sz val="9"/>
        <rFont val="Times New Roman"/>
        <family val="1"/>
        <charset val="238"/>
      </rPr>
      <t xml:space="preserve"> : a hatályos rendezési tervünket 2018 végére kötelező felülvizsgálni . A 2018. évi pénzügyi ütem kerül tervezésre.</t>
    </r>
  </si>
  <si>
    <r>
      <rPr>
        <u/>
        <sz val="9"/>
        <rFont val="Times New Roman"/>
        <family val="1"/>
        <charset val="238"/>
      </rPr>
      <t xml:space="preserve">A városban létesülő büntetésvégrehajtási intézet beruházásához vállalt fejlesztési kötelezettségek </t>
    </r>
    <r>
      <rPr>
        <sz val="9"/>
        <rFont val="Times New Roman"/>
        <family val="1"/>
        <charset val="238"/>
      </rPr>
      <t>túlnyomó többsége műszakilag pénzügyileg 2017-ben megvalósult. Egy feladat végrehajtása van még hátra: az ingatlanon átmenő középfeszültségű vezeté áthelyezése.</t>
    </r>
  </si>
  <si>
    <r>
      <rPr>
        <u/>
        <sz val="9"/>
        <rFont val="Times New Roman"/>
        <family val="1"/>
        <charset val="238"/>
      </rPr>
      <t>A Fő tér burkolatjavítása:</t>
    </r>
    <r>
      <rPr>
        <sz val="9"/>
        <rFont val="Times New Roman"/>
        <family val="1"/>
        <charset val="238"/>
      </rPr>
      <t xml:space="preserve"> a Fő-tér Bizottság szakmai javaslata alapján a Fő tér bazalt-kiskockakő burkolatának fugázása.</t>
    </r>
  </si>
  <si>
    <t>Fakivágás</t>
  </si>
  <si>
    <t>fel</t>
  </si>
  <si>
    <r>
      <rPr>
        <u/>
        <sz val="9"/>
        <rFont val="Times New Roman"/>
        <family val="1"/>
        <charset val="238"/>
      </rPr>
      <t>Szedlák György által vételre ajánlott szabó- és sapkakészítő műhely eszközeinek megvásárlása</t>
    </r>
    <r>
      <rPr>
        <sz val="9"/>
        <rFont val="Times New Roman"/>
        <family val="1"/>
        <charset val="238"/>
      </rPr>
      <t>:</t>
    </r>
  </si>
  <si>
    <t>KÖFOP-1.2.1-VEKOP-16-2017-00715</t>
  </si>
  <si>
    <t>Heves Város Önkormányzata ASP központhoz való csatlakozása</t>
  </si>
  <si>
    <t>5. EU-s projekt azonosítója, neve:</t>
  </si>
  <si>
    <t>6. EU-s projekt azonosítója, neve:</t>
  </si>
  <si>
    <t xml:space="preserve"> TOP-1.2.1-15-HE1-2016-00005</t>
  </si>
  <si>
    <t>Közétkeztetés korszerűsítése Heves Városban - HVÓBKI Arany János úti Óvoda konyha felújítása</t>
  </si>
  <si>
    <t xml:space="preserve">a Halász-kúria turisztikai fejlesztése Heves Városban </t>
  </si>
  <si>
    <t>7. EU-s projekt azonosítója, neve:</t>
  </si>
  <si>
    <t xml:space="preserve"> TOP-1.4.1-15-HE1-2016-00018</t>
  </si>
  <si>
    <t>8. EU-s projekt azonosítója, neve:</t>
  </si>
  <si>
    <t xml:space="preserve"> TOP-2.1.2-15-HE1-2016-00004</t>
  </si>
  <si>
    <t>Heves Városi Óvodák és Bölcsőde Köznevelési Intézmény Arany János úti Óvoda és Bölcsőde infrastrukturális fejlesztése</t>
  </si>
  <si>
    <t>Heves Város Zöld szíve</t>
  </si>
  <si>
    <t>9. EU-s projekt azonosítója, neve:</t>
  </si>
  <si>
    <t xml:space="preserve"> TOP-3.2.1-15-HE1-2016-00011</t>
  </si>
  <si>
    <t>10. EU-s projekt azonosítója, neve:</t>
  </si>
  <si>
    <t>TOP-5.2.1-15-HE1-2016-00004</t>
  </si>
  <si>
    <t>Heves város Újtelep alapellátás rendelőinek energetikai fejlesztése</t>
  </si>
  <si>
    <t>Komplex társadalmi együttműködési program Heves városában</t>
  </si>
  <si>
    <t>11. EU-s projekt azonosítója, neve:</t>
  </si>
  <si>
    <t>TOP-5.1.2-15-HE1-2016-00001</t>
  </si>
  <si>
    <t>12. EU-s projekt azonosítója, neve:</t>
  </si>
  <si>
    <t>TOP-3.2.2-15-HE1-2016-00003</t>
  </si>
  <si>
    <t>Foglalkoztatási együttműködések kialakítása a dél-hevesi térségben</t>
  </si>
  <si>
    <t>Heves Város középületeinek energetikai megújuló energiaforrások kiaknázásával</t>
  </si>
  <si>
    <t>13. EU-s projekt azonosítója, neve:</t>
  </si>
  <si>
    <t>TOP-4.2.1-15-HE1-2016-00014</t>
  </si>
  <si>
    <t>14. EU-s projekt azonosítója, neve:</t>
  </si>
  <si>
    <t>KEHOP-2.2.1-15-2015-00024</t>
  </si>
  <si>
    <t>Dél-Hevesi Kistérség Gyermekjóléti Központja és Családsegítő Szolgálatának fejlesztése</t>
  </si>
  <si>
    <t>Solt szennyvíztisztitó telep korszerűsítése, tisztított szennyvíz Duna sodorvonali bevezetésével</t>
  </si>
  <si>
    <t>(TÁMOGATÁSI INTENZÍTÁS 86,996106%; MEGVALÓSÍTÁS FOLYAMATBAN)</t>
  </si>
  <si>
    <t>Első világháborús emlékmű pályázati forrásból megvalósuló felújítása (önerő)</t>
  </si>
  <si>
    <t>2017. évi érdekeltségnövelő támogatásból beruházás</t>
  </si>
  <si>
    <t>Utcanévtáblák elkészítése és kihelyzése</t>
  </si>
  <si>
    <t>Szedlák György által vételre ajánlott szabó- és sapkakészítő műhely eszközeinek megvásárlása</t>
  </si>
  <si>
    <t>Fő tér burkolatjavítása</t>
  </si>
  <si>
    <t>KÖFOP-1.2.1-VEKOP-16-2017-00715 Heves Város Önkormányzata ASP központhoz való csatlakozása</t>
  </si>
  <si>
    <t>TOP-1.1.3-15-HE1-2016-00009 Közétkeztetés korszerűsítése Heves Városban - HVÓBKI Arany János úti Óvoda konyha felújítása</t>
  </si>
  <si>
    <t xml:space="preserve">TOP-1.2.1-15-HE1-2016-00005 a Halász-kúria turisztikai fejlesztése Heves Városban </t>
  </si>
  <si>
    <t>TOP-1.4.1-15-HE1-2016-00018 Heves Városi Óvodák és Bölcsőde Köznevelési Intézmény Arany János úti Óvoda és Bölcsőde infrastrukturális fejlesztése</t>
  </si>
  <si>
    <t>TOP-2.1.2-15-HE1-2016-00004 Heves Város Zöld szíve</t>
  </si>
  <si>
    <t>TOP-3.2.2-15-HE1-2016-00003 Heves Város középületeinek energetikai megújuló energiaforrások kiaknázásával</t>
  </si>
  <si>
    <t>TOP-4.2.1-15-HE1-2016-00014 Dél-Hevesi Kistérség Gyermekjóléti Központja és Családsegítő Szolgálatának fejlesztése</t>
  </si>
  <si>
    <t>KEHOP-2.2.1-15-2015-00024 Solt szennyvíztisztitó telep korszerűsítése, tisztított szennyvíz Duna sodorvonali bevezetésével</t>
  </si>
  <si>
    <t>2017-2019.</t>
  </si>
  <si>
    <t>TOP-3.2.1-15-HE1-2016-00011 Heves város Újtelep alapellátás rendelőinek energetikai fejlesztése</t>
  </si>
  <si>
    <t>Önkormányzati jogalkotás (polgármester)</t>
  </si>
  <si>
    <t>Hevesi Fúvószenekar</t>
  </si>
  <si>
    <t>Fejlesztési hitel (tervezett hitelfelvétel - Kerekerdő óvoda tornaszoba önerő)</t>
  </si>
  <si>
    <t>2017.</t>
  </si>
  <si>
    <t>TOP-1.1.3-15-HE1-2016-00009</t>
  </si>
  <si>
    <t>TOP-1.2.1-15-HE1-2016-00005 a Halász-kúria turisztikai fejlesztése Heves Városban</t>
  </si>
  <si>
    <t>TOP-5.2.1-15-HE1-2016-00004 Komplex társadalmi együttműködési program Heves városában</t>
  </si>
  <si>
    <t>TOP-5.1.2-15-HE1-2016-00001 Foglalkoztatási együttműködések kialakítása a dél-hevesi térségben</t>
  </si>
  <si>
    <t>Mcélú ÁHB/ÁHK</t>
  </si>
  <si>
    <t>Cafetéria</t>
  </si>
  <si>
    <t>Támogatások, egyéb bevételek, kiadások (rendezés)</t>
  </si>
  <si>
    <t>ADÓSSÁGOT KELETKEZTETŐ ÜGYLETEK 2018. ÉVI VÁRHATÓ EGYÜTTES ÖSSZEGE</t>
  </si>
  <si>
    <t>Kerekerdő óvoda tornaszobával történő fejlesztés</t>
  </si>
  <si>
    <r>
      <rPr>
        <u/>
        <sz val="9"/>
        <rFont val="Times New Roman"/>
        <family val="1"/>
        <charset val="238"/>
      </rPr>
      <t>Első világháborús emlékmű pályá</t>
    </r>
    <r>
      <rPr>
        <sz val="9"/>
        <rFont val="Times New Roman"/>
        <family val="1"/>
        <charset val="238"/>
      </rPr>
      <t>z</t>
    </r>
    <r>
      <rPr>
        <u/>
        <sz val="9"/>
        <rFont val="Times New Roman"/>
        <family val="1"/>
        <charset val="238"/>
      </rPr>
      <t>at</t>
    </r>
    <r>
      <rPr>
        <sz val="9"/>
        <rFont val="Times New Roman"/>
        <family val="1"/>
        <charset val="238"/>
      </rPr>
      <t>i forrásból megvalósuló felújításához  szükséges önerő biztosítása.</t>
    </r>
  </si>
  <si>
    <r>
      <rPr>
        <u/>
        <sz val="9"/>
        <rFont val="Times New Roman"/>
        <family val="1"/>
        <charset val="238"/>
      </rPr>
      <t>Utcanévtáblák elkészítése és kihelyzése</t>
    </r>
    <r>
      <rPr>
        <sz val="9"/>
        <rFont val="Times New Roman"/>
        <family val="1"/>
        <charset val="238"/>
      </rPr>
      <t>:</t>
    </r>
  </si>
  <si>
    <t>2018. évi eredeti előirányzat</t>
  </si>
  <si>
    <t>2018. évi módosított előirányzat</t>
  </si>
  <si>
    <t>2018. évi eredeti létszám előirányzat (fő)</t>
  </si>
  <si>
    <t>2018. évi eredeti tervezett kedvezmény nélkül elérhető bevétel</t>
  </si>
  <si>
    <t>2018. évi eredeti tervezett kedvezmények összege</t>
  </si>
  <si>
    <t>2018. évi módosított tervezett kedvezmény nélkül elérhető bevétel</t>
  </si>
  <si>
    <t>2018. évi módosított tervezett kedvezmények összege</t>
  </si>
  <si>
    <t>2018. évi módosított költségvetés</t>
  </si>
  <si>
    <t>2018. évi eredeti költségvetés</t>
  </si>
  <si>
    <t>HELYI ÖNKORMÁNYZATOK FELHALMOZÁSI CÉLÚ KÖLTSÉGVETÉSI TÁMOGATÁSAI [1.+16.]</t>
  </si>
  <si>
    <t>2068/2017. (XII. 28.) Korm. határozat 1. a) pont szerinti támogatás</t>
  </si>
  <si>
    <t>2055/2017. (XII. 27.) Korm. Határozat az önkormányzati ASP rendszer működtetésének támogatása érdekében szükséges forrás biztosításáról</t>
  </si>
  <si>
    <t>Kerekerdő óvoda tornaszobával történő fejlesztés (pályázati pénz+önerő)</t>
  </si>
  <si>
    <t>Közbiztonság javítása pályázati pénz felhasználása</t>
  </si>
  <si>
    <t>Heves Város Pogárőr Egyesület</t>
  </si>
  <si>
    <t>Alkotmány út és a Szent István út felújítását szolgáló szolgáló pályázat</t>
  </si>
  <si>
    <t>Önkormányzati igazgatás (nyári diákmunka)</t>
  </si>
  <si>
    <t>A 2018. évi bérkompenzáció támogatása</t>
  </si>
  <si>
    <t>Dél-Hevesi Kistérségi Hulladékszállító Nonprofit Kft. alapítása</t>
  </si>
  <si>
    <t>HEVA Kft. Tulajdonábanj lévő bútorok megvásárlása a rendőrség részére</t>
  </si>
  <si>
    <t>Bérkomp./egyéb tám</t>
  </si>
  <si>
    <t>Könyvtám/kult pótl</t>
  </si>
  <si>
    <t>12.13-i módosított létszám előirányzat (fő)</t>
  </si>
  <si>
    <t>Ingatlanvásárlás NHSZ Kft-től</t>
  </si>
  <si>
    <t>Heves Város Gyermekjóléti Központja és Családsegítő Szolgálata beruházásai</t>
  </si>
  <si>
    <t>Heves Város Gyermekjóléti Központja és Családsegítő Szolgálata beruházásai összesen:</t>
  </si>
  <si>
    <t>Gépjármű beszerzés</t>
  </si>
  <si>
    <t>DH - Ügyelet Dél-Hevesi Kistérségi Orvosi Ügyelet Nonprofit Kft. Alapítása</t>
  </si>
  <si>
    <t>Heves, belterület 2158 hrsz. alatti, természetben 3360 Heves, Pusztacsász 45. szám alatti ingatlan megvásárlása - kölcsönnyújtás</t>
  </si>
  <si>
    <t>K01 - Beszámoló a K1.-K8. Költségvetési kiadások előirányzatának teljesítéséről</t>
  </si>
  <si>
    <t>K02 - Beszámoló a B1. - B7.  költségvetési bevételek előirányzatának teljesítéséről</t>
  </si>
  <si>
    <t>17. melléklet</t>
  </si>
  <si>
    <t>K03 - Önkormányzati (irányító szervi) konszolidált beszámoló - K9. Finanszírozási kiadások</t>
  </si>
  <si>
    <t>18. melléklet</t>
  </si>
  <si>
    <t>K04 - Önkormányzati (irányító szervi) konszolidált beszámoló -  B8. Finanszírozási bevételek</t>
  </si>
  <si>
    <t>19. melléklet</t>
  </si>
  <si>
    <t>K12 - Önkormányzati (irányító szervi) konszolidált beszámoló - Konszolidált mérleg</t>
  </si>
  <si>
    <t>20. melléklet</t>
  </si>
  <si>
    <t>K13 - Önkormányzati (irányító szervi) konszolidált beszámoló - Konszolidált eredménykimutatás</t>
  </si>
  <si>
    <t>21. melléklet</t>
  </si>
  <si>
    <t>22. melléklet</t>
  </si>
  <si>
    <t>Heves Város Önkormányzata tulajdonában álló gazdálkodó szervezetek működéséből származó kötelezettségek, részesedések alakulása</t>
  </si>
  <si>
    <t>23. melléklet</t>
  </si>
  <si>
    <t>Adósság állomány alakulása lejárat, eszközök, bel- és külföldi hitelezők szerinti bontásban</t>
  </si>
  <si>
    <t>24. melléklet</t>
  </si>
  <si>
    <t>25. melléklet</t>
  </si>
  <si>
    <t>Maradványkimutatás</t>
  </si>
  <si>
    <t>26. melléklet</t>
  </si>
  <si>
    <t>Heves Város Önkormányzata 2018. évi gazdálkodásának zárszámadása mellékleteiről</t>
  </si>
  <si>
    <t>Előirányzat-felhasználási ütemterv 2018. évre (pénzeszközök változása a teljesítési adatok alapján)</t>
  </si>
  <si>
    <t>Heves Város Önkormányzata 2018. évi vagyonkimutatássa</t>
  </si>
  <si>
    <t>Tartozások hitelfelvételből és kötvénykibocsátásból 2018.12.31.</t>
  </si>
  <si>
    <t xml:space="preserve">A 2018. évi maradvány megállapítása és felosztása </t>
  </si>
  <si>
    <t>%</t>
  </si>
  <si>
    <t>2017. évi teljesítés</t>
  </si>
  <si>
    <t>2018. évi teljesítés</t>
  </si>
  <si>
    <t>2018. évi teljesítés (fő)</t>
  </si>
  <si>
    <t>Önkormányzatok és társulások általános végrehajtó igazgatási tevékenysége (képviselők, bizottsági tagok)</t>
  </si>
  <si>
    <t>Településfejlesztési projektek és támogatásuk (TOP komplex)</t>
  </si>
  <si>
    <t>Iskolarendszeren kívüli egyéb oktatás, képzések (EFOP humán kapcitások fejlesztése)</t>
  </si>
  <si>
    <t>Egészségügy igazgatása (EFOP praxisközösség)</t>
  </si>
  <si>
    <t>A gyermekek, fiatalok és családok életminőségét javító programok (EFOP GYEP)</t>
  </si>
  <si>
    <t>Esélyegyenlőség elősegítését célzó tevékenységek és programok (EFOP humán szolgáltatások)</t>
  </si>
  <si>
    <t>Esélyegyenlőség elősegítését célzó tevékenységek és programok (EFOP nőközpont)</t>
  </si>
  <si>
    <t>2018. évi teljesített kedvezmény nélkül elért bevétel</t>
  </si>
  <si>
    <t>2018. évi teljesített kedvezmények összege</t>
  </si>
  <si>
    <t>Emberi Erőforrás Támogatáskezelő</t>
  </si>
  <si>
    <t>Bursa támogatás</t>
  </si>
  <si>
    <t>Heves Megyei Kormányhivatal</t>
  </si>
  <si>
    <t>közmunka támogatás visszafizetése</t>
  </si>
  <si>
    <t>Magyar Államkincstár</t>
  </si>
  <si>
    <t>Erzsébet utalvány támogatás visszafizetése</t>
  </si>
  <si>
    <t>kárenyhítési támogatás</t>
  </si>
  <si>
    <t>tanulmányi támogatás</t>
  </si>
  <si>
    <t>Tanulmányi támogatásban részesülők</t>
  </si>
  <si>
    <t>Heves Média Kft.*</t>
  </si>
  <si>
    <t>Heves Városért Közalapítvány **</t>
  </si>
  <si>
    <t>** ingatlanvásárlás részletfizetése kamataként</t>
  </si>
  <si>
    <t>* az adott támogatásokból törzstőke rendezéseként került lekönyvelésre 5 000 E Ft, amely nem szerepel ezen a soron</t>
  </si>
  <si>
    <r>
      <t xml:space="preserve">HSE </t>
    </r>
    <r>
      <rPr>
        <i/>
        <sz val="9"/>
        <rFont val="Times New Roman CE"/>
        <charset val="238"/>
      </rPr>
      <t>(előző évi elmaradt támogatást is tartalmazza)</t>
    </r>
  </si>
  <si>
    <t>EFOP Humán Szolgáltatások fejlesztése a Hevesi járásban</t>
  </si>
  <si>
    <t>ösztöndíjak</t>
  </si>
  <si>
    <t>felhalmozási kiadások</t>
  </si>
  <si>
    <t>Sorszám</t>
  </si>
  <si>
    <t>Konszolidálás előtti összeg</t>
  </si>
  <si>
    <t>Konszolidálás</t>
  </si>
  <si>
    <t>Konszolidált összeg</t>
  </si>
  <si>
    <t>01</t>
  </si>
  <si>
    <t>Törvény szerinti illetmények, munkabérek (K1101)</t>
  </si>
  <si>
    <t>02</t>
  </si>
  <si>
    <t>Normatív jutalmak (K1102)</t>
  </si>
  <si>
    <t>03</t>
  </si>
  <si>
    <t>Céljuttatás, projektprémium (K1103)</t>
  </si>
  <si>
    <t>04</t>
  </si>
  <si>
    <t>Készenléti, ügyeleti, helyettesítési díj, túlóra, túlszolgálat (K1104)</t>
  </si>
  <si>
    <t>05</t>
  </si>
  <si>
    <t>Végkielégítés (K1105)</t>
  </si>
  <si>
    <t>06</t>
  </si>
  <si>
    <t>Jubileumi jutalom (K1106)</t>
  </si>
  <si>
    <t>07</t>
  </si>
  <si>
    <t>Béren kívüli juttatások (K1107)</t>
  </si>
  <si>
    <t>08</t>
  </si>
  <si>
    <t>Ruházati költségtérítés (K1108)</t>
  </si>
  <si>
    <t>09</t>
  </si>
  <si>
    <t>Közlekedési költségtérítés (K1109)</t>
  </si>
  <si>
    <t>10</t>
  </si>
  <si>
    <t>Egyéb költségtérítések (K1110)</t>
  </si>
  <si>
    <t>11</t>
  </si>
  <si>
    <t>Lakhatási támogatások (K1111)</t>
  </si>
  <si>
    <t>12</t>
  </si>
  <si>
    <t>Szociális támogatások (K1112)</t>
  </si>
  <si>
    <t>13</t>
  </si>
  <si>
    <t>Foglalkoztatottak egyéb személyi juttatásai (&gt;=14) (K1113)</t>
  </si>
  <si>
    <t>14</t>
  </si>
  <si>
    <t>ebből:biztosítási díjak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</si>
  <si>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</si>
  <si>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</si>
  <si>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</si>
  <si>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</si>
  <si>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</si>
  <si>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</si>
  <si>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</si>
  <si>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</si>
  <si>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</si>
  <si>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</si>
  <si>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</si>
  <si>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</si>
  <si>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</si>
  <si>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22</t>
  </si>
  <si>
    <t>ebből: szociális hozzájárulási adó (K2)</t>
  </si>
  <si>
    <t>23</t>
  </si>
  <si>
    <t>ebből: rehabilitációs hozzájárulás (K2)</t>
  </si>
  <si>
    <t>24</t>
  </si>
  <si>
    <t>25</t>
  </si>
  <si>
    <t>ebből: egészségügyi hozzájárulás (K2)</t>
  </si>
  <si>
    <t>26</t>
  </si>
  <si>
    <t>ebből: táppénz hozzájárulás (K2)</t>
  </si>
  <si>
    <t>27</t>
  </si>
  <si>
    <t>ebből: munkaadót a foglalkoztatottak részére történő kifizetésekkel kapcsolatban terhelő más járulék jellegű kötelezettségek (K2)</t>
  </si>
  <si>
    <t>28</t>
  </si>
  <si>
    <t>ebből: munkáltatót terhelő személyi jövedelemadó (K2)</t>
  </si>
  <si>
    <t>29</t>
  </si>
  <si>
    <t>Szakmai anyagok beszerzése (K311)</t>
  </si>
  <si>
    <t>30</t>
  </si>
  <si>
    <t>Üzemeltetési anyagok beszerzése (K312)</t>
  </si>
  <si>
    <t>31</t>
  </si>
  <si>
    <t>Árubeszerzés (K313)</t>
  </si>
  <si>
    <t>32</t>
  </si>
  <si>
    <t>33</t>
  </si>
  <si>
    <t>Informatikai szolgáltatások igénybevétele (K321)</t>
  </si>
  <si>
    <t>34</t>
  </si>
  <si>
    <t>Egyéb kommunikációs szolgáltatások (K322)</t>
  </si>
  <si>
    <t>35</t>
  </si>
  <si>
    <t>36</t>
  </si>
  <si>
    <t>Közüzemi díjak (K331)</t>
  </si>
  <si>
    <t>37</t>
  </si>
  <si>
    <t>Vásárolt élelmezés (K332)</t>
  </si>
  <si>
    <t>38</t>
  </si>
  <si>
    <t>39</t>
  </si>
  <si>
    <t>ebből: a közszféra és a magánszféra együttműködésén (PPP) alapuló szerződéses konstrukció (K333)</t>
  </si>
  <si>
    <t>40</t>
  </si>
  <si>
    <t>Karbantartási, kisjavítási szolgáltatások (K334)</t>
  </si>
  <si>
    <t>41</t>
  </si>
  <si>
    <t>42</t>
  </si>
  <si>
    <t>ebből: államháztartáson belül (K335)</t>
  </si>
  <si>
    <t>43</t>
  </si>
  <si>
    <t>Szakmai tevékenységet segítő szolgáltatások  (K336)</t>
  </si>
  <si>
    <t>44</t>
  </si>
  <si>
    <t>45</t>
  </si>
  <si>
    <t>ebből: biztosítási díjak (K337)</t>
  </si>
  <si>
    <t>46</t>
  </si>
  <si>
    <t>47</t>
  </si>
  <si>
    <t>Kiküldetések kiadásai (K341)</t>
  </si>
  <si>
    <t>48</t>
  </si>
  <si>
    <t>Reklám- és propagandakiadások (K342)</t>
  </si>
  <si>
    <t>49</t>
  </si>
  <si>
    <t>50</t>
  </si>
  <si>
    <t>Működési célú előzetesen felszámított általános forgalmi adó (K351)</t>
  </si>
  <si>
    <t>51</t>
  </si>
  <si>
    <t>Fizetendő általános forgalmi adó  (K352)</t>
  </si>
  <si>
    <t>52</t>
  </si>
  <si>
    <t>53</t>
  </si>
  <si>
    <t>ebből: államháztartáson belül (K353)</t>
  </si>
  <si>
    <t>54</t>
  </si>
  <si>
    <t>ebből: fedezeti ügyletek kamatkiadásai (K353)</t>
  </si>
  <si>
    <t>55</t>
  </si>
  <si>
    <t>56</t>
  </si>
  <si>
    <t>ebből: valuta, deviza eszközök realizált árfolyamvesztesége (K354)</t>
  </si>
  <si>
    <t>57</t>
  </si>
  <si>
    <t>ebből: hitelviszonyt megtestesítő értékpapírok árfolyamkülönbözete (K354)</t>
  </si>
  <si>
    <t>58</t>
  </si>
  <si>
    <t>ebből: deviza kötelezettségek realizált árfolyamvesztesége (K354)</t>
  </si>
  <si>
    <t>59</t>
  </si>
  <si>
    <t>Egyéb dologi kiadások (K355)</t>
  </si>
  <si>
    <t>60</t>
  </si>
  <si>
    <t>61</t>
  </si>
  <si>
    <t>62</t>
  </si>
  <si>
    <t>63</t>
  </si>
  <si>
    <t>64</t>
  </si>
  <si>
    <t>ebből: családi pótlék (K42)</t>
  </si>
  <si>
    <t>65</t>
  </si>
  <si>
    <t>ebből: anyasági támogatás (K42)</t>
  </si>
  <si>
    <t>66</t>
  </si>
  <si>
    <t>ebből: gyermekgondozást segítő ellátás (K42)</t>
  </si>
  <si>
    <t>67</t>
  </si>
  <si>
    <t>ebből: gyermeknevelési támogatás (K42)</t>
  </si>
  <si>
    <t>68</t>
  </si>
  <si>
    <t>ebből: gyermekek születésével kapcsolatos szabadság megtérítése (K42)</t>
  </si>
  <si>
    <t>69</t>
  </si>
  <si>
    <t>ebből: életkezdési támogatás (K42)</t>
  </si>
  <si>
    <t>70</t>
  </si>
  <si>
    <t>ebből: otthonteremtési támogatás (K42)</t>
  </si>
  <si>
    <t>71</t>
  </si>
  <si>
    <t>ebből: gyermektartásdíj megelőlegezése (K42)</t>
  </si>
  <si>
    <t>72</t>
  </si>
  <si>
    <t>ebből: GYES-en és GYED-en lévők hallgatói hitelének célzott támogatása (K42)</t>
  </si>
  <si>
    <t>73</t>
  </si>
  <si>
    <t>74</t>
  </si>
  <si>
    <t>75</t>
  </si>
  <si>
    <t>76</t>
  </si>
  <si>
    <t>ebből: ápolási díj (K44)</t>
  </si>
  <si>
    <t>77</t>
  </si>
  <si>
    <t>ebből: fogyatékossági támogatás és vakok személyi járadéka (K44)</t>
  </si>
  <si>
    <t>78</t>
  </si>
  <si>
    <t>ebből: mozgáskorlátozottak szerzési és átalakítási támogatása (K44)</t>
  </si>
  <si>
    <t>79</t>
  </si>
  <si>
    <t>ebből: megváltozott munkaképességűek illetve egészségkárosodottak kereset-kiegészítése (K44)</t>
  </si>
  <si>
    <t>80</t>
  </si>
  <si>
    <t>ebből: közgyógyellátás [Szoctv.50.§ (1)-(2) bekezdése] (K44)</t>
  </si>
  <si>
    <t>81</t>
  </si>
  <si>
    <t>ebből: cukorbetegek támogatása (K44)</t>
  </si>
  <si>
    <t>82</t>
  </si>
  <si>
    <t>ebből: egészségügyi szolgáltatási jogosultságra való jogosultság szociális rászorultság alapján [Szoctv. 54. §-a] (K44)</t>
  </si>
  <si>
    <t>83</t>
  </si>
  <si>
    <t>84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</si>
  <si>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(K45)</t>
  </si>
  <si>
    <t>85</t>
  </si>
  <si>
    <t>ebből: korhatár előtti ellátás és a fegyveres testületek volt tagjai szolgálati járandósága (K45)</t>
  </si>
  <si>
    <t>86</t>
  </si>
  <si>
    <t>87</t>
  </si>
  <si>
    <t>ebből: átmeneti bányászjáradék (K45)</t>
  </si>
  <si>
    <t>88</t>
  </si>
  <si>
    <t>ebből: szénjárandóság pénzbeli megváltása (K45)</t>
  </si>
  <si>
    <t>89</t>
  </si>
  <si>
    <t>ebből: mecseki bányászatban munkát végzők bányászati kereset-kiegészítése (K45)</t>
  </si>
  <si>
    <t>90</t>
  </si>
  <si>
    <t>ebből: mezőgazdasági járadék (K45)</t>
  </si>
  <si>
    <t>91</t>
  </si>
  <si>
    <t>ebből: foglalkoztatást helyettesítő támogatás [Szoctv. 35. § (1) bek.] (K45)</t>
  </si>
  <si>
    <t>92</t>
  </si>
  <si>
    <t>ebből: polgármesterek korhatár előtti ellátása  (K45)</t>
  </si>
  <si>
    <t>93</t>
  </si>
  <si>
    <t>94</t>
  </si>
  <si>
    <t>ebből: hozzájárulás a lakossági energiaköltségekhez (K46)</t>
  </si>
  <si>
    <t>95</t>
  </si>
  <si>
    <t>ebből: lakbértámogatás (K46)</t>
  </si>
  <si>
    <t>96</t>
  </si>
  <si>
    <t>97</t>
  </si>
  <si>
    <t>98</t>
  </si>
  <si>
    <t>99</t>
  </si>
  <si>
    <t>ebből: állami gondozottak pénzbeli juttatásai (K47)</t>
  </si>
  <si>
    <t>100</t>
  </si>
  <si>
    <t>ebből: oktatásban résztvevők pénzbeli juttatásai (K47)</t>
  </si>
  <si>
    <t>101</t>
  </si>
  <si>
    <t>102</t>
  </si>
  <si>
    <t>ebből: házastársi pótlék (K48)</t>
  </si>
  <si>
    <t>103</t>
  </si>
  <si>
    <t>ebből: Hadigondozottak Közalapítványát terhelő hadigondozotti ellátások (K48)</t>
  </si>
  <si>
    <t>104</t>
  </si>
  <si>
    <t>ebből: tudományos fokozattal rendelkezők nyugdíjkiegészítése (K48)</t>
  </si>
  <si>
    <t>105</t>
  </si>
  <si>
    <t>106</t>
  </si>
  <si>
    <t>ebből: nemzeti helytállásért pótlék (K48)</t>
  </si>
  <si>
    <t>107</t>
  </si>
  <si>
    <t>ebből: egyes nyugdíjjogi hátrányok enyhítése miatti (közszolgálati idő után járó) nyugdíj-kiegészítés (K48)</t>
  </si>
  <si>
    <t>108</t>
  </si>
  <si>
    <t>ebből: egyes, tartós időtartamú szabadságelvonást elszenvedettek részére járó juttatás (K48)</t>
  </si>
  <si>
    <t>109</t>
  </si>
  <si>
    <t>ebből: a Nemzet Színésze címet viselő színészek havi életjáradéka, művészeti nyugdíjsegélyek, művészjáradék, balettművészeti életjáradék (K48)</t>
  </si>
  <si>
    <t>110</t>
  </si>
  <si>
    <t>ebből: az elhunyt akadémikusok hozzátartozóinak folyósított özvegyi- és árvaellátás (K48)</t>
  </si>
  <si>
    <t>111</t>
  </si>
  <si>
    <t>ebből: a Nemzet Sportolója címmel járó járadék, olimpiai járadék, idős sportolók szociális támogatása (K48)</t>
  </si>
  <si>
    <t>112</t>
  </si>
  <si>
    <t>ebből: életjáradék termőföldért (K48)</t>
  </si>
  <si>
    <t>113</t>
  </si>
  <si>
    <t>ebből: Bevándorlási és Állampolgársági Hivatal által folyósított ellátások (K48)</t>
  </si>
  <si>
    <t>114</t>
  </si>
  <si>
    <t>ebből: szépkorúak jubileumi juttatása (K48)</t>
  </si>
  <si>
    <t>115</t>
  </si>
  <si>
    <t>ebből: időskorúak járadéka [Szoctv. 32/B. § (1) bekezdése] (K48)</t>
  </si>
  <si>
    <t>116</t>
  </si>
  <si>
    <t>ebből: egyéb, az önkormányzat rendeletében megállapított juttatás (K48)</t>
  </si>
  <si>
    <t>117</t>
  </si>
  <si>
    <t>ebből: köztemetés [Szoctv. 48.§] (K48)</t>
  </si>
  <si>
    <t>118</t>
  </si>
  <si>
    <t>ebből: települési támogatás [Szoctv. 45. §], (K48)</t>
  </si>
  <si>
    <t>119</t>
  </si>
  <si>
    <t>ebből: egészségkárosodási és gyermekfelügyeleti támogatás [Szoctv. 37.§ (1) bekezdés a) és b) pontja] (K48)</t>
  </si>
  <si>
    <t>120</t>
  </si>
  <si>
    <t>ebből: önkormányzat által saját hatáskörben (nem szociális és gyermekvédelmi előírások alapján) adott más ellátás (K48)</t>
  </si>
  <si>
    <t>121</t>
  </si>
  <si>
    <t>122</t>
  </si>
  <si>
    <t>123</t>
  </si>
  <si>
    <t>ebből: Európai Unió (K501)</t>
  </si>
  <si>
    <t>124</t>
  </si>
  <si>
    <t>A helyi önkormányzatok előző évi elszámolásából származó kiadások (K5021)</t>
  </si>
  <si>
    <t>125</t>
  </si>
  <si>
    <t>A helyi önkormányzatok törvényi előíráson alapuló befizetései (K5022)</t>
  </si>
  <si>
    <t>126</t>
  </si>
  <si>
    <t>Egyéb elvonások, befizetések (K5023)</t>
  </si>
  <si>
    <t>127</t>
  </si>
  <si>
    <t>128</t>
  </si>
  <si>
    <t>129</t>
  </si>
  <si>
    <t>130</t>
  </si>
  <si>
    <t>ebből: központi költségvetési szervek (K504)</t>
  </si>
  <si>
    <t>131</t>
  </si>
  <si>
    <t>ebből: központi kezelésű előirányzatok (K504)</t>
  </si>
  <si>
    <t>132</t>
  </si>
  <si>
    <t>ebből: fejezeti kezelésű előirányzatok EU-s programokra és azok hazai társfinanszírozása (K504)</t>
  </si>
  <si>
    <t>133</t>
  </si>
  <si>
    <t>ebből: egyéb fejezeti kezelésű előirányzatok (K504)</t>
  </si>
  <si>
    <t>134</t>
  </si>
  <si>
    <t>ebből: társadalombiztosítás pénzügyi alapjai (K504)</t>
  </si>
  <si>
    <t>135</t>
  </si>
  <si>
    <t>ebből: elkülönített állami pénzalapok (K504)</t>
  </si>
  <si>
    <t>136</t>
  </si>
  <si>
    <t>ebből: helyi önkormányzatok és költségvetési szerveik (K504)</t>
  </si>
  <si>
    <t>137</t>
  </si>
  <si>
    <t>ebből: társulások és költségvetési szerveik (K504)</t>
  </si>
  <si>
    <t>138</t>
  </si>
  <si>
    <t>ebből: nemzetiségi önkormányzatok és költségvetési szerveik (K504)</t>
  </si>
  <si>
    <t>139</t>
  </si>
  <si>
    <t>ebből: térségi fejlesztési tanácsok és költségvetési szerveik (K504)</t>
  </si>
  <si>
    <t>140</t>
  </si>
  <si>
    <t>141</t>
  </si>
  <si>
    <t>ebből: központi költségvetési szervek (K505)</t>
  </si>
  <si>
    <t>142</t>
  </si>
  <si>
    <t>ebből: központi kezelésű előirányzatok (K505)</t>
  </si>
  <si>
    <t>143</t>
  </si>
  <si>
    <t>ebből: fejezeti kezelésű előirányzatok EU-s programokra és azok hazai társfinanszírozása (K505)</t>
  </si>
  <si>
    <t>144</t>
  </si>
  <si>
    <t>ebből: egyéb fejezeti kezelésű előirányzatok (K505)</t>
  </si>
  <si>
    <t>145</t>
  </si>
  <si>
    <t>ebből: társadalombiztosítás pénzügyi alapjai (K505)</t>
  </si>
  <si>
    <t>146</t>
  </si>
  <si>
    <t>ebből: elkülönített állami pénzalapok (K505)</t>
  </si>
  <si>
    <t>147</t>
  </si>
  <si>
    <t>ebből: helyi önkormányzatok és költségvetési szerveik (K505)</t>
  </si>
  <si>
    <t>148</t>
  </si>
  <si>
    <t>ebből: társulások és költségvetési szerveik (K505)</t>
  </si>
  <si>
    <t>149</t>
  </si>
  <si>
    <t>ebből: nemzetiségi önkormányzatok és költségvetési szerveik (K505)</t>
  </si>
  <si>
    <t>150</t>
  </si>
  <si>
    <t>ebből: térségi fejlesztési tanácsok és költségvetési szerveik (K505)</t>
  </si>
  <si>
    <t>151</t>
  </si>
  <si>
    <t>152</t>
  </si>
  <si>
    <t>ebből: központi költségvetési szervek (K506)</t>
  </si>
  <si>
    <t>153</t>
  </si>
  <si>
    <t>ebből: központi kezelésű előirányzatok (K506)</t>
  </si>
  <si>
    <t>154</t>
  </si>
  <si>
    <t>ebből: fejezeti kezelésű előirányzatok EU-s programokra és azok hazai társfinanszírozása (K506)</t>
  </si>
  <si>
    <t>155</t>
  </si>
  <si>
    <t>ebből: egyéb fejezeti kezelésű előirányzatok (K506)</t>
  </si>
  <si>
    <t>156</t>
  </si>
  <si>
    <t>ebből: társadalombiztosítás pénzügyi alapjai (K506)</t>
  </si>
  <si>
    <t>157</t>
  </si>
  <si>
    <t>ebből: elkülönített állami pénzalapok (K506)</t>
  </si>
  <si>
    <t>158</t>
  </si>
  <si>
    <t>ebből: helyi önkormányzatok és költségvetési szerveik (K506)</t>
  </si>
  <si>
    <t>159</t>
  </si>
  <si>
    <t>ebből: társulások és költségvetési szerveik (K506)</t>
  </si>
  <si>
    <t>160</t>
  </si>
  <si>
    <t>ebből: nemzetiségi önkormányzatok és költségvetési szerveik (K506)</t>
  </si>
  <si>
    <t>161</t>
  </si>
  <si>
    <t>ebből: térségi fejlesztési tanácsok és költségvetési szerveik (K506)</t>
  </si>
  <si>
    <t>162</t>
  </si>
  <si>
    <t>163</t>
  </si>
  <si>
    <t>ebből: állami vagy önkormányzati tulajdonban lévő gazdasági társaságok tartozásai miatti kifizetések (K507)</t>
  </si>
  <si>
    <t>164</t>
  </si>
  <si>
    <t>165</t>
  </si>
  <si>
    <t>ebből: egyházi jogi személyek (K508)</t>
  </si>
  <si>
    <t>166</t>
  </si>
  <si>
    <t>ebből: nonprofit gazdasági társaságok (K508)</t>
  </si>
  <si>
    <t>167</t>
  </si>
  <si>
    <t>ebből: egyéb civil szervezetek (K508)</t>
  </si>
  <si>
    <t>168</t>
  </si>
  <si>
    <t>ebből: háztartások (K508)</t>
  </si>
  <si>
    <t>169</t>
  </si>
  <si>
    <t>ebből: pénzügyi vállalkozások (K508)</t>
  </si>
  <si>
    <t>170</t>
  </si>
  <si>
    <t>ebből: állami többségi tulajdonú nem pénzügyi vállalkozások (K508)</t>
  </si>
  <si>
    <t>171</t>
  </si>
  <si>
    <t>172</t>
  </si>
  <si>
    <t>ebből: egyéb vállalkozások (K508)</t>
  </si>
  <si>
    <t>173</t>
  </si>
  <si>
    <t>ebből: Európai Unió  (K508)</t>
  </si>
  <si>
    <t>174</t>
  </si>
  <si>
    <t>ebből: kormányok és nemzetközi szervezetek (K508)</t>
  </si>
  <si>
    <t>175</t>
  </si>
  <si>
    <t>ebből: egyéb külföldiek (K508)</t>
  </si>
  <si>
    <t>176</t>
  </si>
  <si>
    <t>177</t>
  </si>
  <si>
    <t>178</t>
  </si>
  <si>
    <t>179</t>
  </si>
  <si>
    <t>180</t>
  </si>
  <si>
    <t>ebből: egyházi jogi személyek (K512)</t>
  </si>
  <si>
    <t>181</t>
  </si>
  <si>
    <t>ebből: nonprofit gazdasági társaságok (K512)</t>
  </si>
  <si>
    <t>182</t>
  </si>
  <si>
    <t>ebből: egyéb civil szervezetek (K512)</t>
  </si>
  <si>
    <t>183</t>
  </si>
  <si>
    <t>ebből: háztartások (K512)</t>
  </si>
  <si>
    <t>184</t>
  </si>
  <si>
    <t>ebből: pénzügyi vállalkozások (K512)</t>
  </si>
  <si>
    <t>185</t>
  </si>
  <si>
    <t>ebből: állami többségi tulajdonú nem pénzügyi vállalkozások (K512)</t>
  </si>
  <si>
    <t>186</t>
  </si>
  <si>
    <t>187</t>
  </si>
  <si>
    <t>ebből: egyéb vállalkozások (K512)</t>
  </si>
  <si>
    <t>188</t>
  </si>
  <si>
    <t>ebből: kormányok és nemzetközi szervezetek (K512)</t>
  </si>
  <si>
    <t>189</t>
  </si>
  <si>
    <t>ebből: egyéb külföldiek (K512)</t>
  </si>
  <si>
    <t>190</t>
  </si>
  <si>
    <t>Tartalékok (K513)</t>
  </si>
  <si>
    <t>191</t>
  </si>
  <si>
    <t>192</t>
  </si>
  <si>
    <t>193</t>
  </si>
  <si>
    <t>194</t>
  </si>
  <si>
    <t>ebből: termőföld-vásárlás kiadásai (K62)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</si>
  <si>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</si>
  <si>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</si>
  <si>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</si>
  <si>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</si>
  <si>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</si>
  <si>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</si>
  <si>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</si>
  <si>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</si>
  <si>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</si>
  <si>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</si>
  <si>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</si>
  <si>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</si>
  <si>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</si>
  <si>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</si>
  <si>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ebből: központi költségvetési szervek (K82)</t>
  </si>
  <si>
    <t>209</t>
  </si>
  <si>
    <t>ebből: központi kezelésű előirányzatok (K82)</t>
  </si>
  <si>
    <t>210</t>
  </si>
  <si>
    <t>ebből: fejezeti kezelésű előirányzatok EU-s programokra és azok hazai társfinanszírozása (K82)</t>
  </si>
  <si>
    <t>211</t>
  </si>
  <si>
    <t>ebből: egyéb fejezeti kezelésű előirányzatok (K82)</t>
  </si>
  <si>
    <t>212</t>
  </si>
  <si>
    <t>ebből: társadalombiztosítás pénzügyi alapjai (K82)</t>
  </si>
  <si>
    <t>213</t>
  </si>
  <si>
    <t>ebből: elkülönített állami pénzalapok (K82)</t>
  </si>
  <si>
    <t>214</t>
  </si>
  <si>
    <t>ebből: helyi önkormányzatok és költségvetési szerveik (K82)</t>
  </si>
  <si>
    <t>215</t>
  </si>
  <si>
    <t>ebből: társulások és költségvetési szerveik (K82)</t>
  </si>
  <si>
    <t>216</t>
  </si>
  <si>
    <t>ebből: nemzetiségi önkormányzatok és költségvetési szerveik (K82)</t>
  </si>
  <si>
    <t>217</t>
  </si>
  <si>
    <t>ebből: térségi fejlesztési tanácsok és költségvetési szerveik (K82)</t>
  </si>
  <si>
    <t>218</t>
  </si>
  <si>
    <t>219</t>
  </si>
  <si>
    <t>ebből: központi költségvetési szervek (K83)</t>
  </si>
  <si>
    <t>220</t>
  </si>
  <si>
    <t>ebből: központi kezelésű előirányzatok (K83)</t>
  </si>
  <si>
    <t>221</t>
  </si>
  <si>
    <t>ebből: fejezeti kezelésű előirányzatok EU-s programokra és azok hazai társfinanszírozása (K83)</t>
  </si>
  <si>
    <t>222</t>
  </si>
  <si>
    <t>ebből: egyéb fejezeti kezelésű előirányzatok (K83)</t>
  </si>
  <si>
    <t>223</t>
  </si>
  <si>
    <t>ebből: társadalombiztosítás pénzügyi alapjai (K83)</t>
  </si>
  <si>
    <t>224</t>
  </si>
  <si>
    <t>ebből: elkülönített állami pénzalapok (K83)</t>
  </si>
  <si>
    <t>225</t>
  </si>
  <si>
    <t>ebből: helyi önkormányzatok és költségvetési szerveik (K83)</t>
  </si>
  <si>
    <t>226</t>
  </si>
  <si>
    <t>ebből: társulások és költségvetési szerveik (K83)</t>
  </si>
  <si>
    <t>227</t>
  </si>
  <si>
    <t>ebből: nemzetiségi önkormányzatok és költségvetési szerveik (K83)</t>
  </si>
  <si>
    <t>228</t>
  </si>
  <si>
    <t>ebből: térségi fejlesztési tanácsok és költségvetési szerveik (K83)</t>
  </si>
  <si>
    <t>229</t>
  </si>
  <si>
    <t>230</t>
  </si>
  <si>
    <t>ebből: központi költségvetési szervek (K84)</t>
  </si>
  <si>
    <t>231</t>
  </si>
  <si>
    <t>ebből: központi kezelésű előirányzatok (K84)</t>
  </si>
  <si>
    <t>232</t>
  </si>
  <si>
    <t>ebből: fejezeti kezelésű előirányzatok EU-s programokra és azok hazai társfinanszírozása (K84)</t>
  </si>
  <si>
    <t>233</t>
  </si>
  <si>
    <t>ebből: egyéb fejezeti kezelésű előirányzatok (K84)</t>
  </si>
  <si>
    <t>234</t>
  </si>
  <si>
    <t>ebből: társadalombiztosítás pénzügyi alapjai (K84)</t>
  </si>
  <si>
    <t>235</t>
  </si>
  <si>
    <t>ebből: elkülönített állami pénzalapok (K84)</t>
  </si>
  <si>
    <t>236</t>
  </si>
  <si>
    <t>ebből: helyi önkormányzatok és költségvetési szerveik (K84)</t>
  </si>
  <si>
    <t>237</t>
  </si>
  <si>
    <t>ebből: társulások és költségvetési szerveik (K84)</t>
  </si>
  <si>
    <t>238</t>
  </si>
  <si>
    <t>ebből: nemzetiségi önkormányzatok és költségvetési szerveik (K84)</t>
  </si>
  <si>
    <t>239</t>
  </si>
  <si>
    <t>ebből: térségi fejlesztési tanácsok és költségvetési szerveik (K84)</t>
  </si>
  <si>
    <t>240</t>
  </si>
  <si>
    <t>241</t>
  </si>
  <si>
    <t>ebből: állami vagy önkormányzati tulajdonban lévő gazdasági társaságok tartozásai miatti kifizetések (K85)</t>
  </si>
  <si>
    <t>242</t>
  </si>
  <si>
    <t>243</t>
  </si>
  <si>
    <t>ebből: egyházi jogi személyek (K86)</t>
  </si>
  <si>
    <t>244</t>
  </si>
  <si>
    <t>ebből: nonprofit gazdasági társaságok (K86)</t>
  </si>
  <si>
    <t>245</t>
  </si>
  <si>
    <t>ebből: egyéb civil szervezetek (K86)</t>
  </si>
  <si>
    <t>246</t>
  </si>
  <si>
    <t>ebből: háztartások (K86)</t>
  </si>
  <si>
    <t>247</t>
  </si>
  <si>
    <t>ebből: pénzügyi vállalkozások (K86)</t>
  </si>
  <si>
    <t>248</t>
  </si>
  <si>
    <t>ebből: állami többségi tulajdonú nem pénzügyi vállalkozások (K86)</t>
  </si>
  <si>
    <t>249</t>
  </si>
  <si>
    <t>250</t>
  </si>
  <si>
    <t>ebből: egyéb vállalkozások (K86)</t>
  </si>
  <si>
    <t>251</t>
  </si>
  <si>
    <t>ebből: Európai Unió  (K86)</t>
  </si>
  <si>
    <t>252</t>
  </si>
  <si>
    <t>ebből: kormányok és nemzetközi szervezetek (K86)</t>
  </si>
  <si>
    <t>253</t>
  </si>
  <si>
    <t>ebből: egyéb külföldiek (K86)</t>
  </si>
  <si>
    <t>254</t>
  </si>
  <si>
    <t>255</t>
  </si>
  <si>
    <t>256</t>
  </si>
  <si>
    <t>257</t>
  </si>
  <si>
    <t>ebből: egyházi jogi személyek (K89)</t>
  </si>
  <si>
    <t>258</t>
  </si>
  <si>
    <t>ebből: nonprofit gazdasági társaságok (K89)</t>
  </si>
  <si>
    <t>259</t>
  </si>
  <si>
    <t>ebből: egyéb civil szervezetek (K89)</t>
  </si>
  <si>
    <t>260</t>
  </si>
  <si>
    <t>ebből: háztartások (K89)</t>
  </si>
  <si>
    <t>261</t>
  </si>
  <si>
    <t>ebből: pénzügyi vállalkozások (K89)</t>
  </si>
  <si>
    <t>262</t>
  </si>
  <si>
    <t>ebből: állami többségi tulajdonú nem pénzügyi vállalkozások (K89)</t>
  </si>
  <si>
    <t>263</t>
  </si>
  <si>
    <t>264</t>
  </si>
  <si>
    <t>ebből: egyéb vállalkozások (K89)</t>
  </si>
  <si>
    <t>265</t>
  </si>
  <si>
    <t>ebből: kormányok és nemzetközi szervezetek (K89)</t>
  </si>
  <si>
    <t>266</t>
  </si>
  <si>
    <t>ebből: egyéb külföldiek (K89)</t>
  </si>
  <si>
    <t>267</t>
  </si>
  <si>
    <t>268</t>
  </si>
  <si>
    <t>Települési önkormányzatok szociális, gyermekjóléti  és gyermekétkeztetési feladatainak támogatása (B113)</t>
  </si>
  <si>
    <t>Önkormányzatok működési támogatásai (=01+…+06) (B11)</t>
  </si>
  <si>
    <t>Működési célú visszatérítendő támogatások, kölcsönök visszatérülése államháztartáson belülről (=11+…+20) (B14)</t>
  </si>
  <si>
    <t>ebből: központi költségvetési szervek (B14)</t>
  </si>
  <si>
    <t>ebből: központi kezelésű előirányzatok (B14)</t>
  </si>
  <si>
    <t>ebből: fejezeti kezelésű előirányzatok EU-s programokra és azok hazai társfinanszírozása (B14)</t>
  </si>
  <si>
    <t>ebből: egyéb fejezeti kezelésű előirányzatok (B14)</t>
  </si>
  <si>
    <t>ebből: társadalombiztosítás pénzügyi alapjai (B14)</t>
  </si>
  <si>
    <t>ebből: elkülönített állami pénzalapok (B14)</t>
  </si>
  <si>
    <t>ebből: helyi önkormányzatok és költségvetési szerveik (B14)</t>
  </si>
  <si>
    <t>ebből: társulások és költségvetési szerveik (B14)</t>
  </si>
  <si>
    <t>ebből: nemzetiségi önkormányzatok és költségvetési szerveik (B14)</t>
  </si>
  <si>
    <t>ebből: térségi fejlesztési tanácsok és költségvetési szerveik (B14)</t>
  </si>
  <si>
    <t>Működési célú visszatérítendő támogatások, kölcsönök igénybevétele államháztartáson belülről (=22+…+31) (B15)</t>
  </si>
  <si>
    <t>ebből: központi költségvetési szervek (B15)</t>
  </si>
  <si>
    <t>ebből: központi kezelésű előirányzatok (B15)</t>
  </si>
  <si>
    <t>ebből: fejezeti kezelésű előirányzatok EU-s programokra és azok hazai társfinanszírozása (B15)</t>
  </si>
  <si>
    <t>ebből: egyéb fejezeti kezelésű előirányzatok (B15)</t>
  </si>
  <si>
    <t>ebből: társadalombiztosítás pénzügyi alapjai (B15)</t>
  </si>
  <si>
    <t>ebből: elkülönített állami pénzalapok (B15)</t>
  </si>
  <si>
    <t>ebből: helyi önkormányzatok és költségvetési szerveik (B15)</t>
  </si>
  <si>
    <t>ebből: társulások és költségvetési szerveik (B15)</t>
  </si>
  <si>
    <t>ebből: nemzetiségi önkormányzatok és költségvetési szerveik (B15)</t>
  </si>
  <si>
    <t>ebből: térségi fejlesztési tanácsok és költségvetési szerveik (B15)</t>
  </si>
  <si>
    <t>Egyéb működési célú támogatások bevételei államháztartáson belülről (=33+…+42) (B16)</t>
  </si>
  <si>
    <t>ebből: központi költségvetési szervek (B16)</t>
  </si>
  <si>
    <t>ebből: központi kezelésű előirányzatok (B16)</t>
  </si>
  <si>
    <t>ebből: fejezeti kezelésű előirányzatok EU-s programokra és azok hazai társfinanszírozása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</si>
  <si>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</si>
  <si>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</si>
  <si>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</si>
  <si>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</si>
  <si>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ebből: társulások és költségvetési szerveik (B16)</t>
  </si>
  <si>
    <t>ebből: nemzetiségi önkormányzatok és költségvetési szerveik (B16)</t>
  </si>
  <si>
    <t>ebből: térségi fejlesztési tanácsok és költségvetési szerveik (B16)</t>
  </si>
  <si>
    <t>Működési célú támogatások államháztartáson belülről (=07+...+10+21+32) (B1)</t>
  </si>
  <si>
    <t>Felhalmozási célú visszatérítendő támogatások, kölcsönök visszatérülése államháztartáson belülről (=47+…+56) (B23)</t>
  </si>
  <si>
    <t>ebből: központi költségvetési szervek (B23)</t>
  </si>
  <si>
    <t>ebből: központi kezelésű előirányzatok (B23)</t>
  </si>
  <si>
    <t>ebből: fejezeti kezelésű előirányzatok EU-s programokra és azok hazai társfinanszírozása (B23)</t>
  </si>
  <si>
    <t>ebből: egyéb fejezeti kezelésű előirányzatok (B23)</t>
  </si>
  <si>
    <t>ebből: társadalombiztosítás pénzügyi alapjai (B23)</t>
  </si>
  <si>
    <t>ebből: elkülönített állami pénzalapok (B23)</t>
  </si>
  <si>
    <t>ebből: helyi önkormányzatok és költségvetési szerveik (B23)</t>
  </si>
  <si>
    <t>ebből: társulások és költségvetési szerveik (B23)</t>
  </si>
  <si>
    <t>ebből: nemzetiségi önkormányzatok és költségvetési szerveik (B23)</t>
  </si>
  <si>
    <t>ebből: térségi fejlesztési tanácsok és költségvetési szerveik (B23)</t>
  </si>
  <si>
    <t>Felhalmozási célú visszatérítendő támogatások, kölcsönök igénybevétele államháztartáson belülről (=58+…+67) (B24)</t>
  </si>
  <si>
    <t>ebből: központi költségvetési szervek (B24)</t>
  </si>
  <si>
    <t>ebből: központi kezelésű előirányzatok (B24)</t>
  </si>
  <si>
    <t>ebből: fejezeti kezelésű előirányzatok EU-s programokra és azok hazai társfinanszírozása (B24)</t>
  </si>
  <si>
    <t>ebből: egyéb fejezeti kezelésű előirányzatok (B24)</t>
  </si>
  <si>
    <t>ebből: társadalombiztosítás pénzügyi alapjai (B24)</t>
  </si>
  <si>
    <t>ebből: elkülönített állami pénzalapok (B24)</t>
  </si>
  <si>
    <t>ebből: helyi önkormányzatok és költségvetési szerveik (B24)</t>
  </si>
  <si>
    <t>ebből: társulások és költségvetési szerveik (B24)</t>
  </si>
  <si>
    <t>ebből: nemzetiségi önkormányzatok és költségvetési szerveik (B24)</t>
  </si>
  <si>
    <t>ebből: térségi fejlesztési tanácsok és költségvetési szerveik (B24)</t>
  </si>
  <si>
    <t>Egyéb felhalmozási célú támogatások bevételei államháztartáson belülről (=69+…+78) (B25)</t>
  </si>
  <si>
    <t>ebből: központi költségvetési szervek (B25)</t>
  </si>
  <si>
    <t>ebből: központi kezelésű előirányzatok (B25)</t>
  </si>
  <si>
    <t>ebből: fejezeti kezelésű előirányzatok EU-s programokra és azok hazai társfinanszírozása (B25)</t>
  </si>
  <si>
    <t>ebből: egyéb fejezeti kezelésű előirányzatok (B25)</t>
  </si>
  <si>
    <t>ebből: társadalombiztosítás pénzügyi alapjai (B25)</t>
  </si>
  <si>
    <t>ebből: elkülönített állami pénzalapok (B25)</t>
  </si>
  <si>
    <t>ebből: helyi önkormányzatok és költségvetési szerveik (B25)</t>
  </si>
  <si>
    <t>ebből: társulások és költségvetési szerveik (B25)</t>
  </si>
  <si>
    <t>ebből: nemzetiségi önkormányzatok és költségvetési szerveik (B25)</t>
  </si>
  <si>
    <t>ebből: térségi fejlesztési tanácsok és költségvetési szerveik (B25)</t>
  </si>
  <si>
    <t>Felhalmozási célú támogatások államháztartáson belülről (=44+45+46+57+68) (B2)</t>
  </si>
  <si>
    <t>Magánszemélyek jövedelemadói (=81+82+83) (B311)</t>
  </si>
  <si>
    <t>ebből: személyi jövedelemadó (B311)</t>
  </si>
  <si>
    <t>ebből: magánszemély jogviszonyának megszűnéséhez kapcsolódó egyes jövedelmek különadója (B311)</t>
  </si>
  <si>
    <t>ebből: termőföld bérbeadásából származó jövedelem utáni személyi jövedelemadó (B311)</t>
  </si>
  <si>
    <t>Társaságok jövedelemadói (=85+…+92) (B312)</t>
  </si>
  <si>
    <t>ebből: társasági adó (B312)</t>
  </si>
  <si>
    <t>ebből: társas vállalkozások különadója (B312)</t>
  </si>
  <si>
    <t>ebből: hitelintézetek és pénzügyi vállalkozások különadója (B312)</t>
  </si>
  <si>
    <t>ebből: hiteintézeti járadék (B312)</t>
  </si>
  <si>
    <t>ebből: pénzügyi szervezetek különadója (B312)</t>
  </si>
  <si>
    <t>ebből: energiaellátók jövedelemadója (B312)</t>
  </si>
  <si>
    <t>ebből: kisvállalati adó (B312)</t>
  </si>
  <si>
    <t>ebből: kisadózó vállalkozások tételes adója (B312)</t>
  </si>
  <si>
    <t>Jövedelemadók (=80+84) (B31)</t>
  </si>
  <si>
    <t>Szociális hozzájárulási adó és járulékok (=95+…+103) (B32)</t>
  </si>
  <si>
    <t>ebből: szociális hozzájárulási adó (B32)</t>
  </si>
  <si>
    <t>ebből: nyugdíjjárulék (B32)</t>
  </si>
  <si>
    <t>ebből: korkedvezmény-biztosítási járulék (B32)</t>
  </si>
  <si>
    <t>ebből: egészségbiztosítási és munkaerőpiaci járulék (B32)</t>
  </si>
  <si>
    <t>ebből: egészségügyi szolgáltatási járulék (B32)</t>
  </si>
  <si>
    <t>ebből: egyszerűsített közteherviselési hozzájárulás (B32)</t>
  </si>
  <si>
    <t>ebből: biztosítotti nyugdíjjárulék, egészségbiztosítási járulék (B32)</t>
  </si>
  <si>
    <t>ebből: megállapodás alapján fizetők járulékai (B32)</t>
  </si>
  <si>
    <t>ebből: munkáltatói táppénz hozzájárulás (B32)</t>
  </si>
  <si>
    <t>Bérhez és foglalkoztatáshoz kapcsolódó adók (=105+…+108) (B33)</t>
  </si>
  <si>
    <t>ebből: szakképzési hozzájárulás  (B33)</t>
  </si>
  <si>
    <t>ebből: rehabilitációs hozzájárulás (B33)</t>
  </si>
  <si>
    <t>ebből: egészségügyi hozzájárulás (B33)</t>
  </si>
  <si>
    <t>ebből: egyszerűsített foglalkoztatás utáni közterhek (B33)</t>
  </si>
  <si>
    <t>ebből: építményadó  (B34)</t>
  </si>
  <si>
    <t>ebből: magánszemélyek kommunális adója (B34)</t>
  </si>
  <si>
    <t>ebből: telekadó (B34)</t>
  </si>
  <si>
    <t>ebből: cégautóadó (B34)</t>
  </si>
  <si>
    <t>ebből: közművezetékek adója (B34)</t>
  </si>
  <si>
    <t>ebből: öröklési és ajándékozási illeték (B34)</t>
  </si>
  <si>
    <t>ebből: általános forgalmi adó (B351)</t>
  </si>
  <si>
    <t>ebből: távközlési ágazatot terhelő különadó (B351)</t>
  </si>
  <si>
    <t>ebből: kiskereskedői ágazatot terhelő különadó (B351)</t>
  </si>
  <si>
    <t>ebből: energia ágazatot terhelő különadó (B351)</t>
  </si>
  <si>
    <t>ebből: bank- és biztosítási ágazatot terhelő különadó (B351)</t>
  </si>
  <si>
    <t>ebből: visszterhes vagyonátruházási illeték (B351)</t>
  </si>
  <si>
    <t>ebből: innovációs járulék (B351)</t>
  </si>
  <si>
    <t>ebből: egyszerűsített vállalkozási adó (B351)</t>
  </si>
  <si>
    <t>ebből: gyógyszer forgalmazási jogosultak befizetései [2006. évi XCVIII. tv. 36. § (1) bek.] (B351)</t>
  </si>
  <si>
    <t>ebből: gyógyszer nagykereskedést végzők befizetései [2006. évi XCVIII. tv. 36. § (2) bek.] (B351)</t>
  </si>
  <si>
    <t>ebből: gyógyszergyártók 10 %-os befizetési kötelezettsége (2006.évi XCVIII. tv. 40/A. §. (1) bekezdése) (B351)</t>
  </si>
  <si>
    <t>ebből: gyógyszer és gyógyászati segédeszköz ismertetés utáni befizetések [2006. évi XCVIII. tv. 36. § (4) bek.] (B351)</t>
  </si>
  <si>
    <t>ebből: népegészségügyi termékadó (B351)</t>
  </si>
  <si>
    <t>ebből: dohányipari vállalkozások egészségügyi hozzájárulása (B351)</t>
  </si>
  <si>
    <t>ebből: távközlési adó (B351)</t>
  </si>
  <si>
    <t>ebből: pénzügyi tranzakciós illeték (B351)</t>
  </si>
  <si>
    <t>ebből: biztosítási adó (B351)</t>
  </si>
  <si>
    <t>ebből: reklámadó (B351)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</si>
  <si>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</si>
  <si>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ebből: jövedéki adó (B352)</t>
  </si>
  <si>
    <t>ebből: regisztrációs adó (B352)</t>
  </si>
  <si>
    <t>Pénzügyi monopóliumok nyereségét terhelő adók  (B353)</t>
  </si>
  <si>
    <t>ebből: belföldi gépjárművek adójának a központi költségvetést megillető része (B354)</t>
  </si>
  <si>
    <t>ebből: belföldi gépjárművek adójának a helyi önkormányzatot megillető része (B354)</t>
  </si>
  <si>
    <t>ebből: külföldi gépjárművek adója (B354)</t>
  </si>
  <si>
    <t>ebből: gépjármű túlsúlydíj (B354)</t>
  </si>
  <si>
    <t>ebből: kulturális adó (B355)</t>
  </si>
  <si>
    <t>ebből: baleseti adó (B355)</t>
  </si>
  <si>
    <t>ebből: nukleáris létesítmények Központi Nukleáris Pénzügyi Alapba történő kötelező befizetései (B355)</t>
  </si>
  <si>
    <t>ebből: környezetterhelési díj (B355)</t>
  </si>
  <si>
    <t>ebből: környezetvédelmi termékdíj (B355)</t>
  </si>
  <si>
    <t>ebből: bérfőzési szeszadó (B355)</t>
  </si>
  <si>
    <t>ebből: szerencsejáték szervezési díj (B355)</t>
  </si>
  <si>
    <t>ebből: tartózkodás után fizetett idegenforgalmi adó  (B355)</t>
  </si>
  <si>
    <t>ebből: talajterhelési díj (B355)</t>
  </si>
  <si>
    <t>ebből: vizkészletjárulék (B355)</t>
  </si>
  <si>
    <t>ebből: állami vadászjegyek díjai (B355)</t>
  </si>
  <si>
    <t>ebből: erdővédelmi járulék (B355)</t>
  </si>
  <si>
    <t>ebből: földvédelmi járulék (B355)</t>
  </si>
  <si>
    <t>ebből: halászati haszonbérleti díj, valamint az állami halász- és horgászjegy díja (B355)</t>
  </si>
  <si>
    <t>ebből: hulladéklerakási járulék (B355)</t>
  </si>
  <si>
    <t>ebből: a távhőszolgáltatásról más hőellátásra áttérő által felhasznált hőmennyiség és annak előállítása során a pozitív előjelű széndioxid kibocsátási különbözet után fizetendő díj (B355)</t>
  </si>
  <si>
    <t>ebből: korábbi évek megszünt adónemei áthúzódó fizetéseiből befolyt bevételek (B355)</t>
  </si>
  <si>
    <t>ebből: eljárási illetékek (B36)</t>
  </si>
  <si>
    <t>ebből: igazgatási szolgáltatási díjak (B36)</t>
  </si>
  <si>
    <t>ebből: felügyeleti díjak (B36)</t>
  </si>
  <si>
    <t>ebből:ebrendészeti hozzájárulás (B36)</t>
  </si>
  <si>
    <t>ebből: mezőgazdasági termelést érintő időjárási és más természeti kockázatok kezeléséről szóló törvény szerinti kárenyhítési hozzájárulás (B36)</t>
  </si>
  <si>
    <t>ebből: környezetvédelmi bírság (B36)</t>
  </si>
  <si>
    <t>ebből: természetvédelmi bírság (B36)</t>
  </si>
  <si>
    <t>ebből: műemlékvédelmi bírság (B36)</t>
  </si>
  <si>
    <t>ebből: építésügyi bírság (B36)</t>
  </si>
  <si>
    <t>ebből: szabálysértési pénz- és helyszíni bírság és a közlekedési szabályszegések után kiszabott közigazgatási bírság helyi önkormányzatot megillető része (B36)</t>
  </si>
  <si>
    <t>ebből: egyéb bírság (B36)</t>
  </si>
  <si>
    <t>ebből: vagyoni típusú települési adók (B36)</t>
  </si>
  <si>
    <t>ebből: jövedelmi típusú települési adók (B36)</t>
  </si>
  <si>
    <t>ebből: egyéb települési adók (B36)</t>
  </si>
  <si>
    <t>Készletértékesítés ellenértéke (B401)</t>
  </si>
  <si>
    <t>ebből: utak használata ellenében beszedett használati díj, pótdíj, elektronikus útdíj (B402)</t>
  </si>
  <si>
    <t>ebből: államháztartáson belül (B403)</t>
  </si>
  <si>
    <t>ebből: vadászati jog bérbeadásból származó bevétel (B404)</t>
  </si>
  <si>
    <t>ebből: önkormányzati vagyon üzemeltetéséből, koncesszióból származó bevétel (B404)</t>
  </si>
  <si>
    <t>ebből: önkormányzati vagyon vagyonkezelésbe adásából származó bevétel (B404)</t>
  </si>
  <si>
    <t>ebből: állami többségi tulajdonú vállalkozástól kapott osztalék (B404)</t>
  </si>
  <si>
    <t>ebből: egyéb részesedések után kapott osztalék (B404)</t>
  </si>
  <si>
    <t>ebből: államháztartáson belül (B4081)</t>
  </si>
  <si>
    <t>ebből: hitelviszonyt megtestesítő értékpapírok értékesítési nyeresége (B4081)</t>
  </si>
  <si>
    <t>ebből: államháztartáson belül (B4082)</t>
  </si>
  <si>
    <t>ebből: fedezeti ügyletek kamatbevételei (B4082)</t>
  </si>
  <si>
    <t>Részesedésekből származó pénzügyi műveletek bevételei (B4091)</t>
  </si>
  <si>
    <t>ebből: részesedések értékesítéséhez kapcsolódó realizált nyereség (B4092)</t>
  </si>
  <si>
    <t>ebből: hitelviszonyt megtestesítő értékpapírok értékesítési nyeresége (B4092)</t>
  </si>
  <si>
    <t>ebből: befektetési jegyek bevételei (B4092)</t>
  </si>
  <si>
    <t>ebből: hitelviszonyt megtestesítő értékpapírok kibocsátási nyeresége (B4092)</t>
  </si>
  <si>
    <t>ebből: valuta és deviza eszközök realizált árfolyamnyeresége (B4092)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</si>
  <si>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</si>
  <si>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ebből: kiadások visszatérítései (B411)</t>
  </si>
  <si>
    <t>ebből: kiotói egységek és kibocsátási egységek eladásából befolyt eladási ár (B51)</t>
  </si>
  <si>
    <t>ebből: termőföld-eladás bevételei (B52)</t>
  </si>
  <si>
    <t>ebből: privatizációból származó bevétel (B54)</t>
  </si>
  <si>
    <t>ebből: egyházi jogi személyek (B64)</t>
  </si>
  <si>
    <t>ebből: nonprofit gazdasági társaságok (B64)</t>
  </si>
  <si>
    <t>ebből: egyéb civil szervezetek (B64)</t>
  </si>
  <si>
    <t>ebből: háztartások (B64)</t>
  </si>
  <si>
    <t>ebből: pénzügyi vállalkozások (B64)</t>
  </si>
  <si>
    <t>ebből: állami többségi tulajdonú nem pénzügyi vállalkozások (B64)</t>
  </si>
  <si>
    <t>ebből: egyéb vállalkozások (B64)</t>
  </si>
  <si>
    <t>ebből: külföldi szervezetek, személyek (B64)</t>
  </si>
  <si>
    <t>ebből: egyházi jogi személyek (B65)</t>
  </si>
  <si>
    <t>ebből: nonprofit gazdasági társaságok (B65)</t>
  </si>
  <si>
    <t>ebből: egyéb civil szervezetek (B65)</t>
  </si>
  <si>
    <t>ebből: háztartások (B65)</t>
  </si>
  <si>
    <t>ebből: pénzügyi vállalkozások (B65)</t>
  </si>
  <si>
    <t>ebből: állami többségi tulajdonú nem pénzügyi vállalkozások (B65)</t>
  </si>
  <si>
    <t>ebből: egyéb vállalkozások (B65)</t>
  </si>
  <si>
    <t>ebből: Európai Unió  (B65)</t>
  </si>
  <si>
    <t>ebből: kormányok és nemzetközi szervezetek (B65)</t>
  </si>
  <si>
    <t>ebből: egyéb külföldiek (B65)</t>
  </si>
  <si>
    <t>ebből: egyházi jogi személyek (B74)</t>
  </si>
  <si>
    <t>ebből: nonprofit gazdasági társaságok (B74)</t>
  </si>
  <si>
    <t>ebből: egyéb civil szervezetek (B74)</t>
  </si>
  <si>
    <t>ebből: háztartások (B74)</t>
  </si>
  <si>
    <t>ebből: pénzügyi vállalkozások (B74)</t>
  </si>
  <si>
    <t>ebből: állami többségi tulajdonú nem pénzügyi vállalkozások (B74)</t>
  </si>
  <si>
    <t>ebből: egyéb vállalkozások (B74)</t>
  </si>
  <si>
    <t>269</t>
  </si>
  <si>
    <t>ebből: külföldi szervezetek, személyek (B74)</t>
  </si>
  <si>
    <t>270</t>
  </si>
  <si>
    <t>271</t>
  </si>
  <si>
    <t>ebből: egyházi jogi személyek (B75)</t>
  </si>
  <si>
    <t>272</t>
  </si>
  <si>
    <t>ebből: nonprofit gazdasági társaságok (B75)</t>
  </si>
  <si>
    <t>273</t>
  </si>
  <si>
    <t>ebből: egyéb civil szervezetek (B75)</t>
  </si>
  <si>
    <t>274</t>
  </si>
  <si>
    <t>ebből: háztartások (B75)</t>
  </si>
  <si>
    <t>275</t>
  </si>
  <si>
    <t>ebből: pénzügyi vállalkozások (B75)</t>
  </si>
  <si>
    <t>276</t>
  </si>
  <si>
    <t>ebből: állami többségi tulajdonú nem pénzügyi vállalkozások (B75)</t>
  </si>
  <si>
    <t>277</t>
  </si>
  <si>
    <t>278</t>
  </si>
  <si>
    <t>ebből: egyéb vállalkozások (B75)</t>
  </si>
  <si>
    <t>279</t>
  </si>
  <si>
    <t>ebből: Európai Unió  (B75)</t>
  </si>
  <si>
    <t>280</t>
  </si>
  <si>
    <t>ebből: kormányok és nemzetközi szervezetek (B75)</t>
  </si>
  <si>
    <t>281</t>
  </si>
  <si>
    <t>ebből: egyéb külföldiek (B75)</t>
  </si>
  <si>
    <t>282</t>
  </si>
  <si>
    <t>283</t>
  </si>
  <si>
    <t>Hosszú lejáratú hitelek, kölcsönök törlesztése pénzügyi vállalkozásnak (&gt;=02) (K9111)</t>
  </si>
  <si>
    <t>ebből: fedezeti ügyletek nettó kiadásai (K9111)</t>
  </si>
  <si>
    <t>Likviditási célú hitelek, kölcsönök törlesztése pénzügyi vállalkozásnak (K9112)</t>
  </si>
  <si>
    <t>Rövid lejáratú hitelek, kölcsönök törlesztése pénzügyi vállalkozásnak (&gt;=05) (K9113)</t>
  </si>
  <si>
    <t>ebből: fedezeti ügyletek nettó kiadásai (K9113)</t>
  </si>
  <si>
    <t>Hitel-, kölcsöntörlesztés államháztartáson kívülre (=01+03+04) (K911)</t>
  </si>
  <si>
    <t>Forgatási célú belföldi értékpapírok vásárlása (&gt;=08+09) (K9121)</t>
  </si>
  <si>
    <t>ebből: befektetési jegyek (K9121)</t>
  </si>
  <si>
    <t>ebből: kárpótlási jegyek (K9121)</t>
  </si>
  <si>
    <t>Befektetési célú belföldi értékpapírok vásárlása (K9122)</t>
  </si>
  <si>
    <t>Kincstárjegyek beváltása (K9123)</t>
  </si>
  <si>
    <t>Éven belüli lejáratú belföldi értékpapírok beváltása (&gt;=13+14+15) (K9124)</t>
  </si>
  <si>
    <t>ebből: fedezeti ügyletek nettó kiadásai (K9124)</t>
  </si>
  <si>
    <t>ebből: befektetési jegyek (K9124)</t>
  </si>
  <si>
    <t>ebből: kárpótlási jegyek (K9124)</t>
  </si>
  <si>
    <t>Belföldi kötvények beváltása (K9125)</t>
  </si>
  <si>
    <t>Éven túli lejáratú belföldi értékpapírok beváltása (&gt;=18) (K9126)</t>
  </si>
  <si>
    <t>ebből: fedezeti ügyletek nettó kiadásai (K9126)</t>
  </si>
  <si>
    <t>Belföldi értékpapírok kiadásai (=07+10+11+12+16+17) (K912)</t>
  </si>
  <si>
    <t>Pénzeszközök lekötött bankbetétként elhelyezése (K916)</t>
  </si>
  <si>
    <t>Hosszú lejáratú tulajdonosi kölcsönök kiadásai (K9191)</t>
  </si>
  <si>
    <t>Rövid lejáratú tulajdonosi kölcsönök kiadásai (K9192)</t>
  </si>
  <si>
    <t>Tulajdonosi kölcsönök kiadásai (=26+27) (K919)</t>
  </si>
  <si>
    <t>Belföldi finanszírozás kiadásai (=06+19+…+25+28) (K91)</t>
  </si>
  <si>
    <t>Forgatási célú külföldi értékpapírok vásárlása (K921)</t>
  </si>
  <si>
    <t>Befektetési célú külföldi értékpapírok vásárlása (K922)</t>
  </si>
  <si>
    <t>Külföldi értékpapírok beváltása (&gt;=33) (K923)</t>
  </si>
  <si>
    <t>ebből: fedezeti ügyletek nettó kiadásai (K923)</t>
  </si>
  <si>
    <t>Hitelek, kölcsönök törlesztése külföldi kormányoknak és nemzetközi szervezeteknek (K924)</t>
  </si>
  <si>
    <t>Hitelek, kölcsönök törlesztése külföldi pénzintézeteknek (&gt;=36) (K925)</t>
  </si>
  <si>
    <t>ebből: fedezeti ügyletek nettó kiadásai (K925)</t>
  </si>
  <si>
    <t>Külföldi finanszírozás kiadásai (=30+31+32+34+35) (K92)</t>
  </si>
  <si>
    <t>Finanszírozási kiadások (=29+37+38+39) (K9)</t>
  </si>
  <si>
    <t>Hosszú lejáratú hitelek, kölcsönök felvétele pénzügyi vállalkozástól (B8111)</t>
  </si>
  <si>
    <t>Likviditási célú hitelek, kölcsönök felvétele pénzügyi vállalkozástól (B8112)</t>
  </si>
  <si>
    <t>Rövid lejáratú hitelek, kölcsönök felvétele pénzügyi vállalkozástól (B8113)</t>
  </si>
  <si>
    <t>Hitel-, kölcsönfelvétel pénzügyi vállalkozástól (=01+02+03) (B811)</t>
  </si>
  <si>
    <t>Forgatási célú belföldi értékpapírok beváltása, értékesítése (&gt;=06+07) (B8121)</t>
  </si>
  <si>
    <t>ebből: befektetési jegyek (B8121)</t>
  </si>
  <si>
    <t>ebből: kárpótlási jegyek (B8121)</t>
  </si>
  <si>
    <t>Éven belüli lejáratú belföldi értékpapírok kibocsátása (B8122)</t>
  </si>
  <si>
    <t>Befektetési célú belföldi értékpapírok beváltása, értékesítése  (B8123)</t>
  </si>
  <si>
    <t>Éven túli lejáratú belföldi értékpapírok kibocsátása (B8124)</t>
  </si>
  <si>
    <t>Belföldi értékpapírok bevételei (=05+08+09+10) (B812)</t>
  </si>
  <si>
    <t>Előző év költségvetési maradványának igénybevétele (B8131)</t>
  </si>
  <si>
    <t>Előző év vállalkozási maradványának igénybevétele (B8132)</t>
  </si>
  <si>
    <t>Maradvány igénybevétele (=12+13) (B813)</t>
  </si>
  <si>
    <t>Lekötött bankbetétek megszüntetése (B817)</t>
  </si>
  <si>
    <t>Hosszú lejáratú tulajdonosi kölcsönök bevételei (B8191)</t>
  </si>
  <si>
    <t>Rövid lejáratú tulajdonosi kölcsönök bevételei (B8192)</t>
  </si>
  <si>
    <t>Tulajdonosi kölcsönök bevételei (=20+21) (B819)</t>
  </si>
  <si>
    <t>Belföldi finanszírozás bevételei (=04+11+14+…+19+22) (B81)</t>
  </si>
  <si>
    <t>Forgatási célú külföldi értékpapírok beváltása,  értékesítése (B821)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</si>
  <si>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</si>
  <si>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</si>
  <si>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</si>
  <si>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</si>
  <si>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Külföldi finanszírozás bevételei (=24+…+28) (B82)</t>
  </si>
  <si>
    <t>Finanszírozási bevételek (=23+29+30+31) (B8)</t>
  </si>
  <si>
    <t>A/I Immateriális javak (=A/I/1+A/I/2+A/I/3)</t>
  </si>
  <si>
    <t>A/II Tárgyi eszközök  (=A/II/1+...+A/II/5)</t>
  </si>
  <si>
    <t>A/III Befektetett pénzügyi eszközök (=A/III/1+A/III/2+A/III/3)</t>
  </si>
  <si>
    <t>A/IV Koncesszióba, vagyonkezelésbe adott eszközök (=A/IV/1+A/IV/2)</t>
  </si>
  <si>
    <t>A) NEMZETI VAGYONBA TARTOZÓ BEFEKTETETT ESZKÖZÖK (=A/I+A/II+A/III+A/IV)</t>
  </si>
  <si>
    <t>B/I Készletek (=B/I/1+…+B/I/5)</t>
  </si>
  <si>
    <t>B/II Értékpapírok (=B/II/1+B/II/2)</t>
  </si>
  <si>
    <t>B) NEMZETI VAGYONBA TARTOZÓ FORGÓESZKÖZÖK (= B/I+B/II)</t>
  </si>
  <si>
    <t>C/I Lekötött bankbetétek (=C/I/1+…+C/I/2)</t>
  </si>
  <si>
    <t>C/II Pénztárak, csekkek, betétkönyvek (=C/II/1+C/II/2+C/II/3)</t>
  </si>
  <si>
    <t>C/III-IV. Forintszámlák és Devizaszámlák (=C/III/1+C/III/2+CIV/1+C/IV/2)</t>
  </si>
  <si>
    <t>C) PÉNZESZKÖZÖK (=C/I+…+C/IV)</t>
  </si>
  <si>
    <t>D/I Költségvetési évben esedékes követelések (=D/I/1+…+D/I/8)</t>
  </si>
  <si>
    <t>D/II Költségvetési évet követően esedékes követelések (=D/II/1+…+D/II/8)</t>
  </si>
  <si>
    <t>D/III Követelés jellegű sajátos elszámolások (=D/III/1+…+D/III/9)</t>
  </si>
  <si>
    <t>D) KÖVETELÉSEK  (=D/I+D/II+D/III)</t>
  </si>
  <si>
    <t>E) EGYÉB SAJÁTOS ELSZÁMOLÁSOK (=E/I+…+E/II)</t>
  </si>
  <si>
    <t>F) AKTÍV IDŐBELI  ELHATÁROLÁSOK  (=F/1+F/2+F/3)</t>
  </si>
  <si>
    <t>ESZKÖZÖK ÖSSZESEN (=A+B+C+D+E+F)</t>
  </si>
  <si>
    <t>G/I-III Nemzeti vagyon és egyéb eszközök induláskori értéke és változásai</t>
  </si>
  <si>
    <t>G/IV Felhalmozott eredmény</t>
  </si>
  <si>
    <t>G/V Eszközök értékhelyesbítésének forrása</t>
  </si>
  <si>
    <t>G/VI Mérleg szerinti eredmény</t>
  </si>
  <si>
    <t>G/ SAJÁT TŐKE  (= G/I+…+G/VI)</t>
  </si>
  <si>
    <t>H/I Költségvetési évben esedékes kötelezettségek (=H/I/1+…+H/I/9)</t>
  </si>
  <si>
    <t>H/II Költségvetési évet követően esedékes kötelezettségek (=H/II/1+…+H/II/9)</t>
  </si>
  <si>
    <t>H/III Kötelezettség jellegű sajátos elszámolások (=H/III/1+…+H/III/10)</t>
  </si>
  <si>
    <t>H) KÖTELEZETTSÉGEK (=H/I+H/II+H/III)</t>
  </si>
  <si>
    <t>I) KINCSTÁRI SZÁMLAVEZETÉSSEL KAPCSOLATOS ELSZÁMOLÁSOK</t>
  </si>
  <si>
    <t>J) PASSZÍV IDŐBELI ELHATÁROLÁSOK (=J/1+J/2+J/3)</t>
  </si>
  <si>
    <t>FORRÁSOK ÖSSZESEN (=G+H+I+J)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</si>
  <si>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</si>
  <si>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</si>
  <si>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</si>
  <si>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</si>
  <si>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04 Saját termelésű készletek állományváltozása</t>
  </si>
  <si>
    <t>05 Saját előállítású eszközök aktivált értéke</t>
  </si>
  <si>
    <t>II Aktivált saját teljesítmények értéke (=±04+05)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</si>
  <si>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</si>
  <si>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</si>
  <si>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</si>
  <si>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</si>
  <si>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</si>
  <si>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</si>
  <si>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</si>
  <si>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12 Eladott áruk beszerzési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</si>
  <si>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</si>
  <si>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</si>
  <si>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</si>
  <si>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</si>
  <si>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</si>
  <si>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</si>
  <si>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</si>
  <si>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</si>
  <si>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</si>
  <si>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17 Kapott (járó) osztalék és részesedés</t>
  </si>
  <si>
    <t>18 Részesedésekből származó eredményszemléletű bevételek, árfolyamnyereségek</t>
  </si>
  <si>
    <t>19 Befektetett pénzügyi eszközökből származó eredményszemléletű bevételek, árfolyamnyereségek</t>
  </si>
  <si>
    <t>20 Egyéb kapott (járó) kamatok és kamatjellegű eredményszemléletű bevételek</t>
  </si>
  <si>
    <t>21 Pénzügyi műveletek egyéb eredményszemléletű bevételei (&gt;=21a+21b)</t>
  </si>
  <si>
    <t>21a - ebből: lekötött bankbetétek mérlegfordulónapi értékelése során megállapított (nem realizált) árfolyamnyeresége</t>
  </si>
  <si>
    <t>21b - ebből: egyéb pénzeszközök és sajátos elszámolások mérlegfordulónapi értékelése során megállapított (nem realizált) árfolyamnyeresége</t>
  </si>
  <si>
    <t>VIII Pénzügyi műveletek eredményszemléletű bevételei (=17+18+19+20+21)</t>
  </si>
  <si>
    <t>22 Részesedésekből származó ráfordítások, árfolyamveszteségek</t>
  </si>
  <si>
    <t>23 Befektetett pénzügyi eszközökből (értékpapírokból, kölcsönökből) származó ráfordítások, árfolyamveszteségek</t>
  </si>
  <si>
    <t>24 Fizetendő kamatok és kamatjellegű ráfordítások</t>
  </si>
  <si>
    <t>25a - ebből: lekötött bankbetétek értékvesztése</t>
  </si>
  <si>
    <t>25b - ebből: Kincstáron kívüli forint- és devizaszámlák értékvesztése</t>
  </si>
  <si>
    <t>26 Pénzügyi műveletek egyéb ráfordításai (&gt;=26a+26b)</t>
  </si>
  <si>
    <t>26a - ebből: lekötött bankbetétek mérlegfordulónapi értékelése során megállapított (nem realizált) árfolyamvesztesége</t>
  </si>
  <si>
    <t>26b - ebből: egyéb pénzeszközök és sajátos elszámolások mérlegfordulónapi értékelése során megállapított (nem realizált) árfolyamvesztesége</t>
  </si>
  <si>
    <t>IX Pénzügyi műveletek ráfordításai (=22+23+24+25+26)</t>
  </si>
  <si>
    <t>B)  PÉNZÜGYI MŰVELETEK EREDMÉNYE (=VIII-IX)</t>
  </si>
  <si>
    <t xml:space="preserve"> HEVES VÁROS ÖNKORMÁNYZATA </t>
  </si>
  <si>
    <t>VAGYONKIMUTATÁS</t>
  </si>
  <si>
    <t>(Nettó érték) E Ft</t>
  </si>
  <si>
    <t>(Bruttó érték) E Ft</t>
  </si>
  <si>
    <t>ESZKÖZÖK</t>
  </si>
  <si>
    <t>Törzsvagyon</t>
  </si>
  <si>
    <t>Üzleti vagyon</t>
  </si>
  <si>
    <r>
      <t xml:space="preserve">„0”-ra leírt eszközök, a használatban lévő kisértékű immateriális javak, tárgyi eszközök, készletek </t>
    </r>
    <r>
      <rPr>
        <b/>
        <i/>
        <sz val="10"/>
        <rFont val="Times New Roman"/>
        <family val="1"/>
        <charset val="238"/>
      </rPr>
      <t>bruttó</t>
    </r>
    <r>
      <rPr>
        <i/>
        <sz val="10"/>
        <rFont val="Times New Roman"/>
        <family val="1"/>
        <charset val="238"/>
      </rPr>
      <t xml:space="preserve"> értéke</t>
    </r>
  </si>
  <si>
    <r>
      <t xml:space="preserve">a 01-02. számlacsoportban nyilvántartott eszközök </t>
    </r>
    <r>
      <rPr>
        <b/>
        <i/>
        <sz val="10"/>
        <rFont val="Times New Roman"/>
        <family val="1"/>
        <charset val="238"/>
      </rPr>
      <t>bruttó</t>
    </r>
    <r>
      <rPr>
        <i/>
        <sz val="10"/>
        <rFont val="Times New Roman"/>
        <family val="1"/>
        <charset val="238"/>
      </rPr>
      <t xml:space="preserve"> értéke</t>
    </r>
  </si>
  <si>
    <t>Forgalom-képtelen</t>
  </si>
  <si>
    <t>Nemzetgazdasági szempontból kiemelt jelentőségű</t>
  </si>
  <si>
    <t>Korlátozottan forgalomképes</t>
  </si>
  <si>
    <t>A) Nemzeti vagyonba tartozó befektetett eszközök</t>
  </si>
  <si>
    <t xml:space="preserve">     I. Immateriális javak</t>
  </si>
  <si>
    <t xml:space="preserve">    II. Tárgyi eszközök</t>
  </si>
  <si>
    <t>1. Ingatlanok és a kapcsolodó vagyonértékű jogok</t>
  </si>
  <si>
    <t>2. Gépek, berendezések, felszerelések, járművek</t>
  </si>
  <si>
    <t>3. Tenyészállatok</t>
  </si>
  <si>
    <t>4. Beruházások, felújítások</t>
  </si>
  <si>
    <t>5. Tárgyi eszközök értékhelyesbítése</t>
  </si>
  <si>
    <t xml:space="preserve">   III. Befektetett pénzügyi eszközök</t>
  </si>
  <si>
    <t>1. Tartós részesedések</t>
  </si>
  <si>
    <t>2. Tartós hitelviszonyt megtestesítő értékpapír</t>
  </si>
  <si>
    <t>3. Befektetett pénzügyi eszközök értékhelyesbítése</t>
  </si>
  <si>
    <t xml:space="preserve">   IV. Koncesszióba, vagyonkezelésbe adott eszközök</t>
  </si>
  <si>
    <t>B) Nemzeti vagyonba tartozó forgóeszközök</t>
  </si>
  <si>
    <t>I. Készletek</t>
  </si>
  <si>
    <t>II. Értékpapírok</t>
  </si>
  <si>
    <t>C) Pénzeszközök</t>
  </si>
  <si>
    <t>I. Lekötött bankbetétek</t>
  </si>
  <si>
    <t>II. Pénztárak, csekkek, betétkönyvek</t>
  </si>
  <si>
    <t>III. Forintszámlák</t>
  </si>
  <si>
    <t>IV. Devizaszámlák</t>
  </si>
  <si>
    <t>D) Követelések</t>
  </si>
  <si>
    <t>I. Költségvetési évben esedékes követelések</t>
  </si>
  <si>
    <t>II. Költségvetési évet követően esedékes követelések</t>
  </si>
  <si>
    <t>III. Követelés jellegű sajátos elszámolások</t>
  </si>
  <si>
    <t>E) Egyéb sajátos elszámolások</t>
  </si>
  <si>
    <t>F) Aktív időbeli elhatárolások</t>
  </si>
  <si>
    <t>ESZKÖZÖK ÖSSZESEN :</t>
  </si>
  <si>
    <t xml:space="preserve"> </t>
  </si>
  <si>
    <t xml:space="preserve"> FORRÁSOK</t>
  </si>
  <si>
    <t>G) Saját tőke</t>
  </si>
  <si>
    <t>I. Nemzeti vagyon induláskori értéke</t>
  </si>
  <si>
    <t>II. Nemzeti vagyon változásai</t>
  </si>
  <si>
    <t>III.  Egyéb eszközök induláskori értéke és változásai</t>
  </si>
  <si>
    <t>IV. Felhalmozott eredmény</t>
  </si>
  <si>
    <t>V. Eszközök értékhelyesbítésének forrása</t>
  </si>
  <si>
    <t>VI. Mérleg szerinti eredmény</t>
  </si>
  <si>
    <t>H)  Kötelezettségek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</si>
  <si>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</si>
  <si>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</si>
  <si>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</si>
  <si>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I)  Kincstári számlavezetéssel kapcsolatos elszámolások</t>
  </si>
  <si>
    <t>J)  Passzív időbeli elhatárolások</t>
  </si>
  <si>
    <t>FORRÁSOK ÖSSZESEN:</t>
  </si>
  <si>
    <t>Mérlegben nem szereplő függő és biztos (jövőbeni) követelések:</t>
  </si>
  <si>
    <t>E Ft</t>
  </si>
  <si>
    <t xml:space="preserve"> - Munkáltatói lakáskölcsönök (késedelmi) kamata</t>
  </si>
  <si>
    <t xml:space="preserve"> - Gépjármű adó megosztásából még várható bevétel (központi költségvetést megillető rész)</t>
  </si>
  <si>
    <t>Mérlegben nem szereplő függő kötelezettségek:</t>
  </si>
  <si>
    <t xml:space="preserve"> - TOP-3.1.1-15-HE1-2016-00006 Kerékpárút fejlesztése Heves városában pályázat támogatási előleg</t>
  </si>
  <si>
    <t xml:space="preserve"> - TOP-3.1.1-15-HE1-2016-00007 Kerékpáros fejlesztés Boconád, Heves és Tarnaméra községekben pályázat támogatási előleg</t>
  </si>
  <si>
    <t xml:space="preserve"> - TOP-1.2.1-15-HE1-2016-00005 a Halász-kúria turisztikai fejlesztése Heves Városban pályázat támogatási előleg</t>
  </si>
  <si>
    <t xml:space="preserve"> - TOP-2.1.2-15-HE1-2016-00004 Heves Város Zöld szíve pályázat támogatási előleg</t>
  </si>
  <si>
    <t xml:space="preserve"> - TOP-3.2.2-15-HE1-2016-00003 Heves Város középületeinek energetikai megújuló energiaforrások kiaknázásával pályázat támogatási előleg</t>
  </si>
  <si>
    <t>Az Nvt. 1. § (2) bekezdés g) és h) pontja szerinti kulturális javak és régészeti leletek állománya</t>
  </si>
  <si>
    <t>ÖNK</t>
  </si>
  <si>
    <t>HKÖH</t>
  </si>
  <si>
    <t>HVÓBKI</t>
  </si>
  <si>
    <t>Gazdálkodó szervezet megnevezése</t>
  </si>
  <si>
    <t>2017.12.31-i részesedés összege</t>
  </si>
  <si>
    <t>Részesedés aránya</t>
  </si>
  <si>
    <t>Heves Média Nonprofit Kft.</t>
  </si>
  <si>
    <t>Hevesi Önkormányzati Vagyonkezelő Kft.</t>
  </si>
  <si>
    <t>Hevesi Iparfejlesztési Nonprofit Kft. (korábban Eszhevár Kft.)</t>
  </si>
  <si>
    <t>NHSZ Hevesi Városfenntartó Nonprofit Kft.</t>
  </si>
  <si>
    <t>Fejlesztési és Koordinációs Közp. Nonprofit Kft.</t>
  </si>
  <si>
    <t>REGIO-KOM Társulás</t>
  </si>
  <si>
    <t>Heves Megyei Vízmű Zrt.</t>
  </si>
  <si>
    <t>önk</t>
  </si>
  <si>
    <t>hköh</t>
  </si>
  <si>
    <t>hvóbki</t>
  </si>
  <si>
    <t>mősz</t>
  </si>
  <si>
    <t>hvgykcssz</t>
  </si>
  <si>
    <t>Adósságállomány eszközök szerint</t>
  </si>
  <si>
    <t>Nem lejárt</t>
  </si>
  <si>
    <t>Lejárt</t>
  </si>
  <si>
    <t>Nem lejárt, lejárt összes tartozás</t>
  </si>
  <si>
    <t>1-30 nap közötti állomány</t>
  </si>
  <si>
    <t>31-60 nap közötti állomány</t>
  </si>
  <si>
    <t>61-90 nap közötti állomány</t>
  </si>
  <si>
    <t>91-180 nap közötti állomány</t>
  </si>
  <si>
    <t>181-360 nap közötti állomány</t>
  </si>
  <si>
    <t>360 napon túli</t>
  </si>
  <si>
    <t>Összes lejárt tartozás</t>
  </si>
  <si>
    <t>10=(4+…+9)</t>
  </si>
  <si>
    <t>11=(3+10)</t>
  </si>
  <si>
    <t>I. Belföldi hitelezők</t>
  </si>
  <si>
    <t>Adóhatósággal szembeni tartozások</t>
  </si>
  <si>
    <t>Szállítói tartozás *</t>
  </si>
  <si>
    <t>Egyéb adósság **</t>
  </si>
  <si>
    <t>Belföldi összesen:</t>
  </si>
  <si>
    <t>II. Külföldi hitelezők</t>
  </si>
  <si>
    <t>Külföldi szállítók</t>
  </si>
  <si>
    <t>Egyéb adósság</t>
  </si>
  <si>
    <t>Külföldi összesen:</t>
  </si>
  <si>
    <t>Adósságállomány mindösszesen:</t>
  </si>
  <si>
    <t>** Stabilitási tv. 3. §. alapján (hitelek, kötvénykibocsátás, kezességvállalás stb.)</t>
  </si>
  <si>
    <t>eu</t>
  </si>
  <si>
    <t>adósság</t>
  </si>
  <si>
    <t>felh</t>
  </si>
  <si>
    <t>felh eu</t>
  </si>
  <si>
    <t>felh ad</t>
  </si>
  <si>
    <t>műk</t>
  </si>
  <si>
    <t>tévi</t>
  </si>
  <si>
    <t>kévi</t>
  </si>
  <si>
    <t>Tartozások hitelfelvételből és kötvénykibocsátásból</t>
  </si>
  <si>
    <t>S.sz.</t>
  </si>
  <si>
    <t>Pénzintézet</t>
  </si>
  <si>
    <t>Hitel megnevezése</t>
  </si>
  <si>
    <t>Hitelfelvétel időpontja (szerződés kötés időpontja)</t>
  </si>
  <si>
    <t>Lejárata</t>
  </si>
  <si>
    <t>Felvett hitel összege v. kerete</t>
  </si>
  <si>
    <t>2017.12.31-i állomány</t>
  </si>
  <si>
    <t>Hitel törlesztés</t>
  </si>
  <si>
    <t>kamatfizetés</t>
  </si>
  <si>
    <t>Hosszú lejáratú hitelek</t>
  </si>
  <si>
    <t>Rövid lejáratú hitelek</t>
  </si>
  <si>
    <t>MARADVÁNYKIMUTATÁS</t>
  </si>
  <si>
    <t>MŐSZ</t>
  </si>
  <si>
    <t>HVGYKCSSZ</t>
  </si>
  <si>
    <t>3.a</t>
  </si>
  <si>
    <t>3.b</t>
  </si>
  <si>
    <t>3.c</t>
  </si>
  <si>
    <t>3.d</t>
  </si>
  <si>
    <t>3.e</t>
  </si>
  <si>
    <t>3.f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</si>
  <si>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</si>
  <si>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</si>
  <si>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</si>
  <si>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</si>
  <si>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</si>
  <si>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</si>
  <si>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</si>
  <si>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</si>
  <si>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</si>
  <si>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</si>
  <si>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</si>
  <si>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</si>
  <si>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</si>
  <si>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</si>
  <si>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</si>
  <si>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</si>
  <si>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</si>
  <si>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</si>
  <si>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</si>
  <si>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MÁK beszámoló</t>
  </si>
  <si>
    <t>Jóváhagyott</t>
  </si>
  <si>
    <t>2018. évi költségvetés</t>
  </si>
  <si>
    <t xml:space="preserve">Maradvány </t>
  </si>
  <si>
    <t>Beszámoló szerinti módosittott maradvány összesen</t>
  </si>
  <si>
    <t>Felülviszgált módosittott maradvány összesen</t>
  </si>
  <si>
    <t>Működési maradvány:</t>
  </si>
  <si>
    <t xml:space="preserve">   ebből:</t>
  </si>
  <si>
    <t>Önkormányzat maradványa (MÁK garnitúra szerint)</t>
  </si>
  <si>
    <t>HKÖH maradvány elvonás</t>
  </si>
  <si>
    <t>HVÓBKI maradvány elvonás</t>
  </si>
  <si>
    <t>HKK maradvány elvonás</t>
  </si>
  <si>
    <t>MŐSZ maradvány elvonás</t>
  </si>
  <si>
    <t>HVGYKCSSZ maradvány elvonás</t>
  </si>
  <si>
    <t>ÖNK felülvizsgált maradványa</t>
  </si>
  <si>
    <t>Elkülönített számlák egyenlege (bérlakás, lakásépítés szla stb.)</t>
  </si>
  <si>
    <t xml:space="preserve">Adósságrendezés be nem jelentett szállitói tartozás (önkormányzati összesen), kötelezettségvállalások </t>
  </si>
  <si>
    <t>EU-s pályázatok elk. számlái, előlegek, még el nem számolt támogatásokra (TOP, érdekeltségnövelő stb) felhasználható *</t>
  </si>
  <si>
    <t>HKÖH maradványa (MÁK garnitúra szerint)</t>
  </si>
  <si>
    <t>maradvány elvonás</t>
  </si>
  <si>
    <t>HKÖH felülvizsgált maradványa</t>
  </si>
  <si>
    <t>HVÓBKI maradványa (MÁK garnitúra szerint)</t>
  </si>
  <si>
    <t>HVÓBKI felülvizsgált maradványa</t>
  </si>
  <si>
    <t>HKK maradványa (MÁK garnitúra szerint)</t>
  </si>
  <si>
    <t>HKK felülvizsgált maradványa</t>
  </si>
  <si>
    <t>MŐSZ maradványa (MÁK garnitúra szerint)</t>
  </si>
  <si>
    <t>MŐSZ felülvizsgált maradványa</t>
  </si>
  <si>
    <t>HVGYKCSSZ maradványa (MÁK garnitúra szerint)</t>
  </si>
  <si>
    <t>Felhalmozási maradvány:</t>
  </si>
  <si>
    <t xml:space="preserve">ÖNK felülvizsgált maradványa </t>
  </si>
  <si>
    <t>EU-s pályázatok elk. számlái, előlegek, még el nem számolt támogatásokra (TOP, érdekeltségnövelő, hivatal felújítás) felhasználható*</t>
  </si>
  <si>
    <t>A felosztott  maradványok teljes összegben feladattal terheltek, szállítói tartozás illetve szerződéssel, megállapodással terhelt maradvány, áthúzódó személyi juttatás és közteher maradványa.</t>
  </si>
  <si>
    <t>Munkaadókat terhelő járulékok és szociális hozzájárulási adó (=22+…+27)                                                                           (K2)</t>
  </si>
  <si>
    <t>Készletbeszerzés (=28+29+30) (K31)</t>
  </si>
  <si>
    <t>Kommunikációs szolgáltatások (=32+33) (K32)</t>
  </si>
  <si>
    <t>Bérleti és lízing díjak (&gt;=38) (K333)</t>
  </si>
  <si>
    <t>Közvetített szolgáltatások  (&gt;=41) (K335)</t>
  </si>
  <si>
    <t>Egyéb szolgáltatások (&gt;=44) (K337)</t>
  </si>
  <si>
    <t>Szolgáltatási kiadások (=35+36+37+39+40+42+43) (K33)</t>
  </si>
  <si>
    <t>Kiküldetések, reklám- és propagandakiadások (=46+47) (K34)</t>
  </si>
  <si>
    <t>Kamatkiadások (&gt;=52+53) (K353)</t>
  </si>
  <si>
    <t>Egyéb pénzügyi műveletek kiadásai (&gt;=55+…+57) (K354)</t>
  </si>
  <si>
    <t>Különféle befizetések és egyéb dologi kiadások (=49+50+51+54+58) (K35)</t>
  </si>
  <si>
    <t>Dologi kiadások (=31+34+45+48+59) (K3)</t>
  </si>
  <si>
    <t>Családi támogatások (=63+…+72) (K42)</t>
  </si>
  <si>
    <t>ebből: az egyéb pénzbeli és természetbeni gyermekvédelmi támogatások  (K42)</t>
  </si>
  <si>
    <t>Betegséggel kapcsolatos (nem társadalombiztosítási) ellátások (=75+…+82) (K44)</t>
  </si>
  <si>
    <t>ebből: kivételes rokkantsági ellátás (K44)</t>
  </si>
  <si>
    <t>Foglalkoztatással, munkanélküliséggel kapcsolatos ellátások (=84+…+91) (K45)</t>
  </si>
  <si>
    <t>Lakhatással kapcsolatos ellátások (=93+94) (K46)</t>
  </si>
  <si>
    <t>Intézményi ellátottak pénzbeli juttatásai (&gt;=96+97) (K47)</t>
  </si>
  <si>
    <t>Egyéb nem intézményi ellátások (&gt;=99+…+117) (K48)</t>
  </si>
  <si>
    <t>ebből: nemzeti gondozotti ellátások (K48)</t>
  </si>
  <si>
    <t>Ellátottak pénzbeli juttatásai (=61+62+73+74+83+92+95+98) (K4)</t>
  </si>
  <si>
    <t>Nemzetközi kötelezettségek (&gt;=120) (K501)</t>
  </si>
  <si>
    <t>Elvonások és befizetések (=121+122+123) (K502)</t>
  </si>
  <si>
    <t>Működési célú visszatérítendő támogatások, kölcsönök nyújtása államháztartáson belülre (=127+…+136) (K504)</t>
  </si>
  <si>
    <t>Működési célú visszatérítendő támogatások, kölcsönök törlesztése államháztartáson belülre (=138+…+147) (K505)</t>
  </si>
  <si>
    <t>Egyéb működési célú támogatások államháztartáson belülre (=149+…+158) (K506)</t>
  </si>
  <si>
    <t>Működési célú garancia- és kezességvállalásból származó kifizetés államháztartáson kívülre (&gt;=160) (K507)</t>
  </si>
  <si>
    <t>Működési célú visszatérítendő támogatások, kölcsönök nyújtása államháztartáson kívülre (=162+…+172) (K508)</t>
  </si>
  <si>
    <t>ebből: önkormányzati többségi tulajdonú nem pénzügyi vállalkozások (K508)</t>
  </si>
  <si>
    <t>Egyéb működési célú támogatások államháztartáson kívülre (=177+…+186) (K512)</t>
  </si>
  <si>
    <t>ebből: önkormányzati többségi tulajdonú nem pénzügyi vállalkozások (K512)</t>
  </si>
  <si>
    <t>Egyéb működési célú kiadások (=119+124+125+126+137+148+159+161+173+174+175+176+187) (K5)</t>
  </si>
  <si>
    <t>Ingatlanok beszerzése, létesítése (&gt;=191) (K62)</t>
  </si>
  <si>
    <t>Beruházások (=189+190+192+…+196) (K6)</t>
  </si>
  <si>
    <t>Felújítások (=198+...+201) (K7)</t>
  </si>
  <si>
    <t>Felhalmozási célú visszatérítendő támogatások, kölcsönök nyújtása államháztartáson belülre (=205+…+214) (K82)</t>
  </si>
  <si>
    <t>Felhalmozási célú visszatérítendő támogatások, kölcsönök törlesztése államháztartáson belülre (=216+…+225) (K83)</t>
  </si>
  <si>
    <t>Egyéb felhalmozási célú támogatások államháztartáson belülre (=227+…+236) (K84)</t>
  </si>
  <si>
    <t>Felhalmozási célú garancia- és kezességvállalásból származó kifizetés államháztartáson kívülre (&gt;=238) (K85)</t>
  </si>
  <si>
    <t>Felhalmozási célú visszatérítendő támogatások, kölcsönök nyújtása államháztartáson kívülre (=240+…+250) (K86)</t>
  </si>
  <si>
    <t>ebből: önkormányzati többségi tulajdonú nem pénzügyi vállalkozások (K86)</t>
  </si>
  <si>
    <t>Egyéb felhalmozási célú támogatások államháztartáson kívülre (=254+…+263) (K89)</t>
  </si>
  <si>
    <t>ebből: önkormányzati többségi tulajdonú nem pénzügyi vállalkozások (K89)</t>
  </si>
  <si>
    <t>Egyéb felhalmozási célú kiadások (=203+204+215+226+237+239+251+252+253) (K8)</t>
  </si>
  <si>
    <t>Költségvetési kiadások (=20+21+60+118+188+197+202+264) (K1-K8)</t>
  </si>
  <si>
    <t>Vagyoni tipusú adók (=110+…+115) (B34)</t>
  </si>
  <si>
    <t>Értékesítési és forgalmi adók (=117+…+138) (B351)</t>
  </si>
  <si>
    <t>ebből: állandó jelleggel végzett iparűzési tevékenység után fizetett helyi iparűzési adó (B351)</t>
  </si>
  <si>
    <t>ebből: ideiglenes jelleggel végzett tevékenység után fizetett helyi iparűzési adó (B351)</t>
  </si>
  <si>
    <t>ebből: gyógyszertámogatás többletének sávos kockázatviseléséből származó bevételek [2006. évi XCVIII. tv. 42. § ] (B351)</t>
  </si>
  <si>
    <t>Fogyasztási adók  (=140+141+142) (B352)</t>
  </si>
  <si>
    <t>ebből: turizmusfejlesztési hozzájárulás (B352)</t>
  </si>
  <si>
    <t>Gépjárműadók (=145+…+148) (B354)</t>
  </si>
  <si>
    <t>Egyéb áruhasználati és szolgáltatási adók  (=150+…+166) (B355)</t>
  </si>
  <si>
    <t>Termékek és szolgáltatások adói (=116+139+143+144+149)  (B35)</t>
  </si>
  <si>
    <t>Egyéb közhatalmi bevételek (&gt;=169+…+185) (B36)</t>
  </si>
  <si>
    <t>ebből: cégnyilvántartás bevételei (B36)</t>
  </si>
  <si>
    <t>ebből: önkormányzat által beszedett talajterhelési díj (B36)</t>
  </si>
  <si>
    <t>ebből: előrehozott helyi adó (B36)</t>
  </si>
  <si>
    <t>Közhatalmi bevételek (=93+94+104+109+167+168) (B3)</t>
  </si>
  <si>
    <t>Szolgáltatások ellenértéke (&gt;=189+190) (B402)</t>
  </si>
  <si>
    <t>ebből: tárgyi eszközök bérbeadásából származó bevétel (B402)</t>
  </si>
  <si>
    <t>Közvetített szolgáltatások ellenértéke  (&gt;=192) (B403)</t>
  </si>
  <si>
    <t>Tulajdonosi bevételek (&gt;=194+…+199) (B404)</t>
  </si>
  <si>
    <t>ebből: önkormányzati többségi tulajdonú vállalkozástól kapott osztalék (B404)</t>
  </si>
  <si>
    <t>Befektetett pénzügyi eszközökből származó bevételek (&gt;=204+205) (B4081)</t>
  </si>
  <si>
    <t>Egyéb kapott (járó) kamatok és kamatjellegű bevételek (&gt;=207+208) (B4082)</t>
  </si>
  <si>
    <t>Kamatbevételek és más nyereségjellegű bevételek (=203+206) (B408)</t>
  </si>
  <si>
    <t>Más egyéb pénzügyi műveletek bevételei (&gt;=212+…+216) (B4092)</t>
  </si>
  <si>
    <t>Egyéb pénzügyi műveletek bevételei (=210+211) (B409)</t>
  </si>
  <si>
    <t>Egyéb működési bevételek (&gt;=220+221) (B411)</t>
  </si>
  <si>
    <t>Működési bevételek (=187+188+191+193+200+…+202+209+217+218+219) (B4)</t>
  </si>
  <si>
    <t>Immateriális javak értékesítése (&gt;=224) (B51)</t>
  </si>
  <si>
    <t>Ingatlanok értékesítése (&gt;=226) (B52)</t>
  </si>
  <si>
    <t>Részesedések értékesítése (&gt;=229) (B54)</t>
  </si>
  <si>
    <t>Felhalmozási bevételek (=223+225+227+228+230) (B5)</t>
  </si>
  <si>
    <t>Működési célú visszatérítendő támogatások, kölcsönök visszatérülése államháztartáson kívülről (=236+…+244) (B64)</t>
  </si>
  <si>
    <t>ebből: önkormányzati többségi tulajdonú nem pénzügyi vállalkozások (B64)</t>
  </si>
  <si>
    <t>Egyéb működési célú átvett pénzeszközök (=246+…+256) (B65)</t>
  </si>
  <si>
    <t>ebből: önkormányzati többségi tulajdonú nem pénzügyi vállalkozások (B65)</t>
  </si>
  <si>
    <t>Működési célú átvett pénzeszközök (=232+...+235+245) (B6)</t>
  </si>
  <si>
    <t>Felhalmozási célú visszatérítendő támogatások, kölcsönök visszatérülése államháztartáson kívülről (=262+…+270) (B74)</t>
  </si>
  <si>
    <t>ebből: önkormányzati többségi tulajdonú nem pénzügyi vállalkozások (B74)</t>
  </si>
  <si>
    <t>Egyéb felhalmozási célú átvett pénzeszközök (=272+…+282) (B75)</t>
  </si>
  <si>
    <t>ebből: önkormányzati többségi tulajdonú nem pénzügyi vállalkozások (B75)</t>
  </si>
  <si>
    <t>Felhalmozási célú átvett pénzeszközök (=258+…+261+271) (B7)</t>
  </si>
  <si>
    <t>284</t>
  </si>
  <si>
    <t>Költségvetési bevételek (=43+79+186+222+231+257+283) (B1-B7)</t>
  </si>
  <si>
    <t>25 Részesedések, értékpapírok, pénzeszközök értékvesztése</t>
  </si>
  <si>
    <t>C) MÉRLEG SZERINTI EREDMÉNY (=±A±B)</t>
  </si>
  <si>
    <t>2018. év</t>
  </si>
  <si>
    <t>2018.12.31-i állomány</t>
  </si>
  <si>
    <t>2018. év utáni hitel törlesztés</t>
  </si>
  <si>
    <t>A téli rezsicsökkentésben korábban nem részesült, a vezetékes gáz- vagy távfűtéstől eltérő fűtőanyagot használó háztartások egyszeri támogatása</t>
  </si>
  <si>
    <r>
      <t xml:space="preserve">HELYI ÖNKORMÁNYZATOK MŰKÖDÉSI CÉLÚ KÖLTSÉGVETÉSI TÁMOGATÁSAI </t>
    </r>
    <r>
      <rPr>
        <b/>
        <i/>
        <sz val="9"/>
        <rFont val="Times New Roman CE"/>
        <charset val="238"/>
      </rPr>
      <t>[1.+14.]</t>
    </r>
  </si>
  <si>
    <t>Önkormányzatok funkcióra nem sorolható bevételei államháztartáson kívülről</t>
  </si>
  <si>
    <t>900020</t>
  </si>
  <si>
    <t>2018. évi változás</t>
  </si>
  <si>
    <t>2018. évi változás jogcíme</t>
  </si>
  <si>
    <t>2018.12.31-i részesedés összege</t>
  </si>
  <si>
    <t xml:space="preserve">Részesedésből adódó kötelezettségek (tagdíj, tőkeemelés stb.) 2018.12.31. </t>
  </si>
  <si>
    <t xml:space="preserve">Értékvesztés visszaírás </t>
  </si>
  <si>
    <t>Részesedés értékesítés 100%</t>
  </si>
  <si>
    <t xml:space="preserve"> - EFOP-1.5.3-16-2017-00108 Humán szolgáltatások fejlesztése a Hevesi járásban</t>
  </si>
  <si>
    <t xml:space="preserve"> - EFOP-3.9.2-16-2017-00024 Humán kapacitások fejlesztése a Hevesi járásban</t>
  </si>
  <si>
    <t xml:space="preserve"> - EFOP-1.4.2-16-2016-00030 Integrált térségi gyermekprogramok a Hevesi járásban</t>
  </si>
  <si>
    <t xml:space="preserve"> - EFOP-2.1.2-16-2017-00015 Gyerekesély programok infrastrukturális háttere a Hevesi járásban</t>
  </si>
  <si>
    <t xml:space="preserve"> - EFOP 1.8.2-17-2017-00006 Praxisközösség létrehozása a Hevesi járásban</t>
  </si>
  <si>
    <t xml:space="preserve"> - TOP-5.1.2-15-HE1-2016-00001 Foglalkoztatási együttműködések kialakítása a dél-hevesi térségben</t>
  </si>
  <si>
    <t xml:space="preserve"> - TOP-5.2.1-15-HE1-2016-00004 KOMPLEX TÁRSADALMI EGYÜTTMŰKÖDÉSI PROGRAM HEVES VÁROSBAN</t>
  </si>
  <si>
    <t xml:space="preserve"> - TOP-4.2.1-15-HE1-2016-00014 Dél- Hevesi Kistérség Gyermekjóléti Központja és Családsegítő Szolgálatának fejlesztése</t>
  </si>
  <si>
    <t xml:space="preserve"> - TOP-4.3.1-15-HE1-2016-00004 Leromlott területek rehabilitációja Heves városban</t>
  </si>
  <si>
    <t xml:space="preserve"> - TOP-1.2.1-16-HE1-2017-00010 Az első magyar sakkmúzeum fejlesztése Hevesen</t>
  </si>
  <si>
    <t xml:space="preserve"> - TOP-1.1.1-16-HE1-2017-00002 Iparterület kialakítása Heves Városban</t>
  </si>
  <si>
    <t xml:space="preserve"> - TOP-3.1.1-16-HE1-2017-00003 Kerékpáros fejlesztés Heves és Hevesvezekény településeken</t>
  </si>
  <si>
    <t xml:space="preserve"> - TOP-1.1.3-16-HE1-2017-00007 A helyi gazdaság fejlesztése Heves városban</t>
  </si>
  <si>
    <t xml:space="preserve"> - KEHOP-2.2.1-15-2015-00024 Solt szennyvíztisztitó telep korszerűsítése, tisztított szennyvíz Duna sodorvonali bevezetésével</t>
  </si>
  <si>
    <t>Kisértékű eszközbeszerzések (bútorok, informatikai eszközök stb.)</t>
  </si>
  <si>
    <t>Kisértékű eszközbeszerzések (informatikai eszközök, konyhai eszközök stb.)</t>
  </si>
  <si>
    <t>EFOP-3.9.2-16-2017-00024 Humán kapacitások fejlesztése a Hevesi járásban</t>
  </si>
  <si>
    <t>EFOP 1.8.2-17-2017-00006 Praxisközösség létrehozása a Hevesi járásban</t>
  </si>
  <si>
    <t>EFOP-1.4.2-16-2016-00030 Integrált térségi gyermekprogramok a Hevesi járásban</t>
  </si>
  <si>
    <t>EFOP-1.5.3-16-2017-00108 Humán szolgáltatások fejlesztése a Hevesi járásban</t>
  </si>
  <si>
    <t>TOP-1.1.1-16-HE1-2017-00002 Iparterület kialakítása Heves Városban</t>
  </si>
  <si>
    <t>Heves Média Kft. Jegyzett tőke emelés</t>
  </si>
  <si>
    <t>Katasztrófavédelem részére eszközbeszerzés</t>
  </si>
  <si>
    <t>Műfüves pálya előlegek rendezése</t>
  </si>
  <si>
    <t>Heves Megyei Vízmű Zrt. Építőipari munkálatok</t>
  </si>
  <si>
    <t>Sószóró berendezés</t>
  </si>
  <si>
    <t>ÉMOR  Tiszk eszközbeszerzések</t>
  </si>
  <si>
    <t>Közfoglalkoztatás eszközbeszerzés</t>
  </si>
  <si>
    <t>Kisértékű eszközbeszerzések (informatikai eszközök, kommunikációs eszközök stb.)</t>
  </si>
  <si>
    <t>Dél-Hevesi kistérségi Társulás gépjárművásárlásra átadott pénz</t>
  </si>
  <si>
    <t>TOP-4.3.1-15-HE1-2016-00004 Leromlott területek rehabilitációja Heves városban</t>
  </si>
  <si>
    <t>Erkel F. úti járda felújítás</t>
  </si>
  <si>
    <t>EFOP -3.9.2-16-2017-00024</t>
  </si>
  <si>
    <t xml:space="preserve"> Humán szolgáltatások fejlesztése a Hevesi járásban</t>
  </si>
  <si>
    <t>17. EU-s projekt azonosítója, neve:</t>
  </si>
  <si>
    <t>EFOP -1.8.2-17-2017-00006</t>
  </si>
  <si>
    <t xml:space="preserve"> Praxisközösség létrehozása a Hevesi járásban</t>
  </si>
  <si>
    <t>20. EU-s projekt azonosítója, neve:</t>
  </si>
  <si>
    <t>EFOP-1.4.2-16-2016-00030</t>
  </si>
  <si>
    <t>Integrált térségi gyermekprogramok a Heves járásban</t>
  </si>
  <si>
    <t>19. EU-s projekt azonosítója, neve:</t>
  </si>
  <si>
    <t>EFOP-1.2.9-17</t>
  </si>
  <si>
    <t>Nők a családban és a munkahelyen</t>
  </si>
  <si>
    <t>24. EU-s projekt azonosítója, neve:</t>
  </si>
  <si>
    <t>EFOP-2.1.2-16-2017-00015</t>
  </si>
  <si>
    <t xml:space="preserve"> Gyerekesély programok infrastrukturális háttere a Hevesi járásban</t>
  </si>
  <si>
    <t>15. EU-s projekt azonosítója, neve:</t>
  </si>
  <si>
    <t>TOP-1.2.1-16-HE1-2017-00010</t>
  </si>
  <si>
    <t xml:space="preserve"> Az első magyar sakkmúzeum fejlesztése Hevesen</t>
  </si>
  <si>
    <t>22. EU-s projekt azonosítója, neve:</t>
  </si>
  <si>
    <t>TOP-1.1.3-16-HE1-2017-00007</t>
  </si>
  <si>
    <t xml:space="preserve"> A helyi gazdaság fejlesztése Heves városban</t>
  </si>
  <si>
    <t>TOP-1.1.1-16HE1-2017-00002</t>
  </si>
  <si>
    <t xml:space="preserve"> Iparterület kialakítása Heves Városban</t>
  </si>
  <si>
    <t>16. EU-s projekt azonosítója, neve:</t>
  </si>
  <si>
    <t>TOP-4.3.1-15HE1-2016-00014</t>
  </si>
  <si>
    <t>Leromlott területek rehabilitációja Heves városban</t>
  </si>
  <si>
    <t>TOP-3.1.1-16-HE1-2017-00003</t>
  </si>
  <si>
    <t>Kerékpáros fejlesztés Heves és Hevesvezekény településeken</t>
  </si>
  <si>
    <t>18. EU-s projekt azonosítója, neve:</t>
  </si>
  <si>
    <t xml:space="preserve">EFOP -1.5.3-16-2017-00108 </t>
  </si>
  <si>
    <t>Humán kapacitások fejlesztése a Hevesi járásban</t>
  </si>
  <si>
    <t>21. EU-s projekt azonosítója, neve:</t>
  </si>
  <si>
    <t>23. EU-s projekt azonosítója, neve:</t>
  </si>
  <si>
    <t>EFOP-1.2.9-17-2017-00024 Nők a családban és a munkahelyen (HKÖH)</t>
  </si>
  <si>
    <t>TOP-1.2.1-16-HE1-2017-00010  Az első magyar sakkmúzeum fejlesztése Hevesen</t>
  </si>
  <si>
    <t>TOP-1.1.3-16-HE1-2017-00007  A helyi gazdaság fejlesztése Heves városban</t>
  </si>
  <si>
    <t>TOP-3.1.1-16-HE1-2017-00003 Kerékpáros fejlesztés Heves és Hevesvezekény településeken</t>
  </si>
  <si>
    <t>EFOP -1.8.2-17-2017-00006  Praxisközösség létrehozása a Hevesi járásban</t>
  </si>
  <si>
    <t>EFOP-1.4.2-16-2016-00030 Integrált térségi gyermekprogramok a Heves járásban</t>
  </si>
  <si>
    <t>EFOP-1.2.9-17 Nők a családban és a munkahelyen</t>
  </si>
  <si>
    <t>EFOP-2.1.2-16-2017-00015  Gyerekesély programok infrastrukturális háttere a Hevesi járásban</t>
  </si>
  <si>
    <t>TOP-1.1.1-16HE1-2017-00002  Iparterület kialakítása Heves Városban</t>
  </si>
  <si>
    <t>TOP-4.3.1-15HE1-2016-00014 Leromlott területek rehabilitációja Heves városban</t>
  </si>
  <si>
    <t>31.</t>
  </si>
  <si>
    <t>32.</t>
  </si>
  <si>
    <t>33.</t>
  </si>
  <si>
    <t>34.</t>
  </si>
  <si>
    <t>35.</t>
  </si>
  <si>
    <t>36.</t>
  </si>
  <si>
    <t>Összesen (1.+3.+5.+7.+32.)</t>
  </si>
  <si>
    <t>EFOP Humán kapacitások fejlesztése</t>
  </si>
  <si>
    <t>2018. december 31-én</t>
  </si>
  <si>
    <t>Kifizetetlen beruházási szállítók Jánosik és Társai Kft.)</t>
  </si>
  <si>
    <t>2018. évi fel nem használt támogatás (közmunka támogatás előleg, 2018. évi támogatási előleg stb.)</t>
  </si>
  <si>
    <t>2018. évben fel nem használt képviselői keret</t>
  </si>
  <si>
    <t>2018. évi szállitói tartozások (önkormányzati összesen), kötelezettségvállalások</t>
  </si>
  <si>
    <t>2019. évi költségvetésben eredeti előirányzatként tervezett</t>
  </si>
  <si>
    <t>Működésre eredeti előirányzatként tervezve 2019. évre</t>
  </si>
  <si>
    <t>2019. évi költségvetés eredeti működési maradvány módosítása</t>
  </si>
  <si>
    <t>Felhalmozásra eredeti előirányzatként tervezve 2019. évre</t>
  </si>
  <si>
    <t>2019. évi költségvetés eredeti felhalmozási maradvány módoítása</t>
  </si>
  <si>
    <t>Felhalmozási szállítók, kötelezettségek (EU-s pályázati pénzből adott beruházási előleg elszámolása, egyéb 2018. évi támogatási előleg stb.)</t>
  </si>
  <si>
    <t>* a maradvány csak részben fedezi a 2018. év végi 2 713 232 E Ft felhalmozási célra megkapott EU-s támogatásállomány visszapótlását, felhasználását</t>
  </si>
  <si>
    <t>047120</t>
  </si>
  <si>
    <t>047320</t>
  </si>
  <si>
    <t>Piac üzemeltetése (TOP-1.1.3-16-HE1-2017-00007  A helyi gazdaság fejlesztése Heves városban)</t>
  </si>
  <si>
    <t>Piac üzemeltetése (TOP 1.1.3.)</t>
  </si>
  <si>
    <t>Turizmusfejlesztési támogatások és tevékenységek (TOP-1.2.1-16-HE1-2017-00010  Az első magyar sakkmúzeum fejlesztése Hevesen)</t>
  </si>
  <si>
    <t>Turizmusfejlesztési támogatások és tevékenységek (TOP 1.2.1.)</t>
  </si>
  <si>
    <t>062020</t>
  </si>
  <si>
    <t>Településfejlesztési projektek és támogatásukk (TOP-4.3.1-15HE1-2016-00014 Leromlott területek rehabilitációja Heves városban)</t>
  </si>
  <si>
    <t>076010</t>
  </si>
  <si>
    <t>Egészségügy igazgatása (EFOP -1.8.2-17-2017-00006  Praxisközösség létrehozása a Hevesi járásban)</t>
  </si>
  <si>
    <t>Egészségügy igazgatása (EFOP 1.8.2)</t>
  </si>
  <si>
    <t>095020</t>
  </si>
  <si>
    <t>Iskolarendszeren kívüli egyéb oktatás, képzés (EFOP -3.9.2-16-2017-00024 Humán kapacitások fejlesztése a Hevesi járásban)</t>
  </si>
  <si>
    <t>Iskolarendszeren kívüli egyéb oktatás, képzés (EFOP 3.9.2.)</t>
  </si>
  <si>
    <t>107080</t>
  </si>
  <si>
    <t>Esélyegyenlőség elősegítését célzó tevékenységek és programok (EFOP -1.5.3-16-2017-00108  Humán szolgáltatások fejlesztése a Hevesi járásban)</t>
  </si>
  <si>
    <t>Esélyegyenlőség elősegítését célzó tevékenységek és programok (EFOP 1.5.3.)</t>
  </si>
  <si>
    <t>Esélyegyenlőség elősegítését célzó tevékenységek és programok (EFOP-2.1.2-16-2017-00015  Gyerekesély programok infrastrukturális háttere a Hevesi járásban)</t>
  </si>
  <si>
    <t>Esélyegyenlőség elősegítését célzó tevékenységek és programok (EFOP 2.1.2.)</t>
  </si>
  <si>
    <t>Az önkormányzati vagyonnal való gazdálkodással kapcsolatos feladatok (TOP 1.1.1.)</t>
  </si>
  <si>
    <t>Az önkormányzati vagyonnal való gazdálkodással kapcsolatos feladatok (TOP-1.1.1-16HE1-2017-00002  Iparterület kialakítása Heves Városban)</t>
  </si>
  <si>
    <t>Városi és elővárosi közúti személyszállítás (TOP-3.1.1-16-HE1-2017-00003 Kerékpáros fejlesztés Heves és Hevesvezekény településeken)</t>
  </si>
  <si>
    <t>Városi és elővárosi közúti személyszállítás (TOP-3.1.1)</t>
  </si>
  <si>
    <t>Mezei őrszolgálat</t>
  </si>
  <si>
    <t>A gyermekek, fiatalok és családok életminőségét javító programok (EFOP 1.4.2.)</t>
  </si>
  <si>
    <t>Hátrányos helyzetű kistérségek speciális komplex felzárkóztató programjai (EFOP-1.4.2-16-2016-00030 Integrált térségi gyermekprogramok a Heves járásban)</t>
  </si>
  <si>
    <t>Településfejlesztési projektek és támogatásukk (TOP 4.3.1.)</t>
  </si>
  <si>
    <t>* A szállítói tartozásból 4 425 E Ft adósság során be nem jelentett hitelezői igény.</t>
  </si>
</sst>
</file>

<file path=xl/styles.xml><?xml version="1.0" encoding="utf-8"?>
<styleSheet xmlns="http://schemas.openxmlformats.org/spreadsheetml/2006/main">
  <numFmts count="6">
    <numFmt numFmtId="43" formatCode="_-* #,##0.00\ _F_t_-;\-* #,##0.00\ _F_t_-;_-* &quot;-&quot;??\ _F_t_-;_-@_-"/>
    <numFmt numFmtId="164" formatCode="#,##0.0"/>
    <numFmt numFmtId="165" formatCode="#,###"/>
    <numFmt numFmtId="166" formatCode="0.0"/>
    <numFmt numFmtId="167" formatCode="#,##0_ ;\-#,##0\ "/>
    <numFmt numFmtId="168" formatCode="#,##0&quot;.&quot;"/>
  </numFmts>
  <fonts count="76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i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MS Sans Serif"/>
      <family val="2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9"/>
      <name val="Times New Roman CE"/>
      <charset val="238"/>
    </font>
    <font>
      <vertAlign val="superscript"/>
      <sz val="9"/>
      <name val="Times New Roman CE"/>
      <charset val="238"/>
    </font>
    <font>
      <b/>
      <vertAlign val="superscript"/>
      <sz val="9"/>
      <name val="Times New Roman CE"/>
      <charset val="238"/>
    </font>
    <font>
      <b/>
      <i/>
      <sz val="12"/>
      <name val="Times New Roman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10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Arial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11"/>
      <color indexed="8"/>
      <name val="Calibri"/>
      <family val="2"/>
      <charset val="238"/>
    </font>
    <font>
      <sz val="9"/>
      <color indexed="10"/>
      <name val="Times New Roman CE"/>
      <charset val="238"/>
    </font>
    <font>
      <sz val="9"/>
      <color indexed="10"/>
      <name val="Times New Roman"/>
      <family val="1"/>
      <charset val="238"/>
    </font>
    <font>
      <b/>
      <sz val="9"/>
      <color indexed="10"/>
      <name val="Times New Roman"/>
      <family val="1"/>
      <charset val="238"/>
    </font>
    <font>
      <b/>
      <sz val="9"/>
      <color indexed="10"/>
      <name val="Times New Roman CE"/>
      <charset val="238"/>
    </font>
    <font>
      <u/>
      <sz val="9"/>
      <name val="Times New Roman"/>
      <family val="1"/>
      <charset val="238"/>
    </font>
    <font>
      <sz val="8"/>
      <name val="Arial CE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b/>
      <i/>
      <sz val="8"/>
      <name val="Arial CE"/>
      <charset val="238"/>
    </font>
    <font>
      <sz val="9"/>
      <color indexed="4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Times New Roman"/>
      <family val="2"/>
      <charset val="238"/>
    </font>
    <font>
      <sz val="9"/>
      <color rgb="FFFF0000"/>
      <name val="Times New Roman CE"/>
      <charset val="238"/>
    </font>
    <font>
      <sz val="9"/>
      <color rgb="FFFF0000"/>
      <name val="Times New Roman"/>
      <family val="1"/>
      <charset val="238"/>
    </font>
    <font>
      <sz val="12"/>
      <color rgb="FFFF0000"/>
      <name val="Times New Roman CE"/>
      <charset val="238"/>
    </font>
    <font>
      <b/>
      <sz val="9"/>
      <color rgb="FFFF0000"/>
      <name val="Times New Roman CE"/>
      <charset val="238"/>
    </font>
    <font>
      <i/>
      <sz val="9"/>
      <color rgb="FFFF0000"/>
      <name val="Times New Roman CE"/>
      <charset val="238"/>
    </font>
    <font>
      <b/>
      <i/>
      <sz val="9"/>
      <color rgb="FFFF0000"/>
      <name val="Times New Roman CE"/>
      <charset val="238"/>
    </font>
    <font>
      <u/>
      <sz val="9"/>
      <name val="Times New Roman CE"/>
      <charset val="238"/>
    </font>
    <font>
      <i/>
      <sz val="11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color rgb="FFFF0000"/>
      <name val="Times New Roman"/>
      <family val="1"/>
      <charset val="238"/>
    </font>
    <font>
      <i/>
      <sz val="12"/>
      <name val="Times New Roman CE"/>
      <charset val="238"/>
    </font>
    <font>
      <i/>
      <u/>
      <sz val="9"/>
      <name val="Times New Roman CE"/>
      <charset val="238"/>
    </font>
    <font>
      <b/>
      <sz val="12"/>
      <name val="Arial CE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 CE"/>
      <family val="1"/>
      <charset val="238"/>
    </font>
    <font>
      <b/>
      <i/>
      <sz val="10"/>
      <name val="Times New Roman CE"/>
      <charset val="238"/>
    </font>
    <font>
      <i/>
      <sz val="10"/>
      <name val="Times New Roman CE"/>
      <charset val="238"/>
    </font>
    <font>
      <i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color rgb="FFFF0000"/>
      <name val="Times New Roman CE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47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</borders>
  <cellStyleXfs count="43">
    <xf numFmtId="0" fontId="0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3" fontId="4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52" fillId="0" borderId="0"/>
    <xf numFmtId="0" fontId="2" fillId="0" borderId="0"/>
    <xf numFmtId="0" fontId="6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2" fillId="0" borderId="0"/>
    <xf numFmtId="0" fontId="53" fillId="0" borderId="0"/>
    <xf numFmtId="0" fontId="2" fillId="0" borderId="0"/>
    <xf numFmtId="0" fontId="54" fillId="0" borderId="0"/>
    <xf numFmtId="3" fontId="4" fillId="0" borderId="0">
      <alignment vertical="center"/>
    </xf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3" fontId="4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91">
    <xf numFmtId="0" fontId="0" fillId="0" borderId="0" xfId="0"/>
    <xf numFmtId="3" fontId="7" fillId="0" borderId="0" xfId="31" applyNumberFormat="1" applyFont="1" applyFill="1"/>
    <xf numFmtId="3" fontId="8" fillId="0" borderId="0" xfId="31" applyNumberFormat="1" applyFont="1" applyFill="1"/>
    <xf numFmtId="3" fontId="15" fillId="0" borderId="0" xfId="0" applyNumberFormat="1" applyFont="1"/>
    <xf numFmtId="3" fontId="16" fillId="0" borderId="0" xfId="0" applyNumberFormat="1" applyFont="1"/>
    <xf numFmtId="3" fontId="15" fillId="0" borderId="13" xfId="0" applyNumberFormat="1" applyFont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 vertical="center" wrapText="1"/>
    </xf>
    <xf numFmtId="3" fontId="15" fillId="0" borderId="9" xfId="0" applyNumberFormat="1" applyFont="1" applyBorder="1" applyAlignment="1">
      <alignment horizontal="center" vertical="center" wrapText="1"/>
    </xf>
    <xf numFmtId="3" fontId="15" fillId="0" borderId="0" xfId="0" applyNumberFormat="1" applyFont="1" applyAlignment="1">
      <alignment horizontal="center" vertical="center"/>
    </xf>
    <xf numFmtId="3" fontId="15" fillId="0" borderId="16" xfId="0" applyNumberFormat="1" applyFont="1" applyBorder="1"/>
    <xf numFmtId="3" fontId="16" fillId="0" borderId="16" xfId="0" applyNumberFormat="1" applyFont="1" applyBorder="1"/>
    <xf numFmtId="3" fontId="16" fillId="0" borderId="2" xfId="0" applyNumberFormat="1" applyFont="1" applyBorder="1"/>
    <xf numFmtId="3" fontId="17" fillId="0" borderId="2" xfId="0" applyNumberFormat="1" applyFont="1" applyBorder="1"/>
    <xf numFmtId="3" fontId="17" fillId="0" borderId="0" xfId="0" applyNumberFormat="1" applyFont="1"/>
    <xf numFmtId="3" fontId="15" fillId="0" borderId="17" xfId="0" applyNumberFormat="1" applyFont="1" applyBorder="1"/>
    <xf numFmtId="3" fontId="17" fillId="0" borderId="18" xfId="0" applyNumberFormat="1" applyFont="1" applyBorder="1"/>
    <xf numFmtId="3" fontId="16" fillId="0" borderId="18" xfId="0" applyNumberFormat="1" applyFont="1" applyBorder="1"/>
    <xf numFmtId="3" fontId="16" fillId="0" borderId="19" xfId="0" applyNumberFormat="1" applyFont="1" applyBorder="1"/>
    <xf numFmtId="3" fontId="15" fillId="0" borderId="6" xfId="0" applyNumberFormat="1" applyFont="1" applyBorder="1"/>
    <xf numFmtId="3" fontId="17" fillId="0" borderId="20" xfId="0" applyNumberFormat="1" applyFont="1" applyBorder="1"/>
    <xf numFmtId="3" fontId="16" fillId="0" borderId="20" xfId="0" applyNumberFormat="1" applyFont="1" applyBorder="1"/>
    <xf numFmtId="3" fontId="16" fillId="0" borderId="4" xfId="0" applyNumberFormat="1" applyFont="1" applyBorder="1"/>
    <xf numFmtId="3" fontId="16" fillId="0" borderId="25" xfId="0" applyNumberFormat="1" applyFont="1" applyBorder="1"/>
    <xf numFmtId="3" fontId="16" fillId="0" borderId="26" xfId="0" applyNumberFormat="1" applyFont="1" applyBorder="1"/>
    <xf numFmtId="3" fontId="15" fillId="0" borderId="27" xfId="0" applyNumberFormat="1" applyFont="1" applyBorder="1"/>
    <xf numFmtId="3" fontId="15" fillId="0" borderId="28" xfId="0" applyNumberFormat="1" applyFont="1" applyBorder="1"/>
    <xf numFmtId="3" fontId="15" fillId="0" borderId="29" xfId="0" applyNumberFormat="1" applyFont="1" applyBorder="1"/>
    <xf numFmtId="3" fontId="15" fillId="0" borderId="13" xfId="0" applyNumberFormat="1" applyFont="1" applyBorder="1"/>
    <xf numFmtId="3" fontId="15" fillId="0" borderId="10" xfId="0" applyNumberFormat="1" applyFont="1" applyBorder="1"/>
    <xf numFmtId="3" fontId="15" fillId="0" borderId="9" xfId="0" applyNumberFormat="1" applyFont="1" applyBorder="1"/>
    <xf numFmtId="3" fontId="15" fillId="0" borderId="0" xfId="0" applyNumberFormat="1" applyFont="1" applyBorder="1"/>
    <xf numFmtId="3" fontId="15" fillId="0" borderId="1" xfId="0" applyNumberFormat="1" applyFont="1" applyBorder="1"/>
    <xf numFmtId="3" fontId="15" fillId="0" borderId="31" xfId="0" applyNumberFormat="1" applyFont="1" applyBorder="1"/>
    <xf numFmtId="3" fontId="15" fillId="0" borderId="32" xfId="0" applyNumberFormat="1" applyFont="1" applyBorder="1"/>
    <xf numFmtId="3" fontId="16" fillId="0" borderId="6" xfId="0" applyNumberFormat="1" applyFont="1" applyBorder="1"/>
    <xf numFmtId="3" fontId="16" fillId="0" borderId="17" xfId="0" applyNumberFormat="1" applyFont="1" applyBorder="1"/>
    <xf numFmtId="3" fontId="18" fillId="0" borderId="0" xfId="0" applyNumberFormat="1" applyFont="1"/>
    <xf numFmtId="3" fontId="18" fillId="0" borderId="0" xfId="0" applyNumberFormat="1" applyFont="1" applyAlignment="1">
      <alignment horizontal="right"/>
    </xf>
    <xf numFmtId="3" fontId="18" fillId="0" borderId="0" xfId="0" applyNumberFormat="1" applyFont="1" applyAlignment="1">
      <alignment horizontal="left"/>
    </xf>
    <xf numFmtId="3" fontId="16" fillId="0" borderId="36" xfId="0" applyNumberFormat="1" applyFont="1" applyBorder="1"/>
    <xf numFmtId="3" fontId="16" fillId="0" borderId="37" xfId="0" applyNumberFormat="1" applyFont="1" applyBorder="1"/>
    <xf numFmtId="3" fontId="17" fillId="0" borderId="19" xfId="0" applyNumberFormat="1" applyFont="1" applyBorder="1"/>
    <xf numFmtId="3" fontId="17" fillId="0" borderId="36" xfId="0" applyNumberFormat="1" applyFont="1" applyBorder="1"/>
    <xf numFmtId="3" fontId="17" fillId="0" borderId="25" xfId="0" applyNumberFormat="1" applyFont="1" applyBorder="1"/>
    <xf numFmtId="3" fontId="17" fillId="0" borderId="26" xfId="0" applyNumberFormat="1" applyFont="1" applyBorder="1"/>
    <xf numFmtId="3" fontId="17" fillId="0" borderId="4" xfId="0" applyNumberFormat="1" applyFont="1" applyBorder="1"/>
    <xf numFmtId="3" fontId="17" fillId="0" borderId="37" xfId="0" applyNumberFormat="1" applyFont="1" applyBorder="1"/>
    <xf numFmtId="3" fontId="16" fillId="0" borderId="38" xfId="0" applyNumberFormat="1" applyFont="1" applyBorder="1"/>
    <xf numFmtId="3" fontId="16" fillId="0" borderId="39" xfId="0" applyNumberFormat="1" applyFont="1" applyBorder="1"/>
    <xf numFmtId="3" fontId="16" fillId="0" borderId="40" xfId="0" applyNumberFormat="1" applyFont="1" applyBorder="1"/>
    <xf numFmtId="3" fontId="19" fillId="0" borderId="0" xfId="0" applyNumberFormat="1" applyFont="1"/>
    <xf numFmtId="3" fontId="19" fillId="0" borderId="0" xfId="0" applyNumberFormat="1" applyFont="1" applyAlignment="1">
      <alignment horizontal="right"/>
    </xf>
    <xf numFmtId="3" fontId="20" fillId="0" borderId="0" xfId="0" applyNumberFormat="1" applyFont="1"/>
    <xf numFmtId="3" fontId="15" fillId="0" borderId="0" xfId="0" applyNumberFormat="1" applyFont="1" applyBorder="1" applyAlignment="1">
      <alignment horizontal="center"/>
    </xf>
    <xf numFmtId="164" fontId="15" fillId="0" borderId="40" xfId="0" applyNumberFormat="1" applyFont="1" applyBorder="1"/>
    <xf numFmtId="164" fontId="15" fillId="0" borderId="38" xfId="0" applyNumberFormat="1" applyFont="1" applyBorder="1"/>
    <xf numFmtId="164" fontId="15" fillId="0" borderId="39" xfId="0" applyNumberFormat="1" applyFont="1" applyBorder="1"/>
    <xf numFmtId="164" fontId="15" fillId="0" borderId="4" xfId="0" applyNumberFormat="1" applyFont="1" applyBorder="1"/>
    <xf numFmtId="164" fontId="15" fillId="0" borderId="25" xfId="0" applyNumberFormat="1" applyFont="1" applyBorder="1"/>
    <xf numFmtId="164" fontId="15" fillId="0" borderId="26" xfId="0" applyNumberFormat="1" applyFont="1" applyBorder="1"/>
    <xf numFmtId="164" fontId="15" fillId="0" borderId="13" xfId="0" applyNumberFormat="1" applyFont="1" applyBorder="1"/>
    <xf numFmtId="164" fontId="15" fillId="0" borderId="10" xfId="0" applyNumberFormat="1" applyFont="1" applyBorder="1"/>
    <xf numFmtId="164" fontId="15" fillId="0" borderId="9" xfId="0" applyNumberFormat="1" applyFont="1" applyBorder="1"/>
    <xf numFmtId="49" fontId="15" fillId="0" borderId="0" xfId="0" applyNumberFormat="1" applyFont="1" applyBorder="1"/>
    <xf numFmtId="49" fontId="15" fillId="0" borderId="41" xfId="0" applyNumberFormat="1" applyFont="1" applyBorder="1" applyAlignment="1">
      <alignment horizontal="left" indent="1"/>
    </xf>
    <xf numFmtId="49" fontId="16" fillId="0" borderId="7" xfId="0" applyNumberFormat="1" applyFont="1" applyBorder="1" applyAlignment="1">
      <alignment horizontal="left" indent="2"/>
    </xf>
    <xf numFmtId="49" fontId="17" fillId="0" borderId="42" xfId="0" applyNumberFormat="1" applyFont="1" applyBorder="1" applyAlignment="1">
      <alignment horizontal="left" indent="3"/>
    </xf>
    <xf numFmtId="49" fontId="16" fillId="0" borderId="42" xfId="0" applyNumberFormat="1" applyFont="1" applyBorder="1" applyAlignment="1">
      <alignment horizontal="left" indent="2"/>
    </xf>
    <xf numFmtId="49" fontId="16" fillId="0" borderId="5" xfId="0" applyNumberFormat="1" applyFont="1" applyBorder="1" applyAlignment="1">
      <alignment horizontal="left" indent="2"/>
    </xf>
    <xf numFmtId="49" fontId="15" fillId="0" borderId="41" xfId="0" applyNumberFormat="1" applyFont="1" applyBorder="1"/>
    <xf numFmtId="49" fontId="15" fillId="0" borderId="41" xfId="0" applyNumberFormat="1" applyFont="1" applyBorder="1" applyAlignment="1">
      <alignment horizontal="left"/>
    </xf>
    <xf numFmtId="49" fontId="15" fillId="0" borderId="43" xfId="0" applyNumberFormat="1" applyFont="1" applyBorder="1"/>
    <xf numFmtId="49" fontId="16" fillId="0" borderId="7" xfId="0" applyNumberFormat="1" applyFont="1" applyBorder="1"/>
    <xf numFmtId="49" fontId="16" fillId="0" borderId="44" xfId="0" applyNumberFormat="1" applyFont="1" applyBorder="1"/>
    <xf numFmtId="49" fontId="17" fillId="0" borderId="5" xfId="0" applyNumberFormat="1" applyFont="1" applyBorder="1" applyAlignment="1">
      <alignment horizontal="left" indent="3"/>
    </xf>
    <xf numFmtId="49" fontId="17" fillId="0" borderId="44" xfId="0" applyNumberFormat="1" applyFont="1" applyBorder="1" applyAlignment="1">
      <alignment horizontal="left" indent="3"/>
    </xf>
    <xf numFmtId="49" fontId="15" fillId="0" borderId="15" xfId="0" applyNumberFormat="1" applyFont="1" applyBorder="1"/>
    <xf numFmtId="49" fontId="15" fillId="0" borderId="5" xfId="0" applyNumberFormat="1" applyFont="1" applyBorder="1"/>
    <xf numFmtId="49" fontId="16" fillId="0" borderId="24" xfId="0" applyNumberFormat="1" applyFont="1" applyBorder="1" applyAlignment="1">
      <alignment horizontal="center"/>
    </xf>
    <xf numFmtId="49" fontId="15" fillId="0" borderId="34" xfId="0" applyNumberFormat="1" applyFont="1" applyBorder="1" applyAlignment="1">
      <alignment horizontal="center" vertical="center" wrapText="1"/>
    </xf>
    <xf numFmtId="49" fontId="15" fillId="0" borderId="41" xfId="0" applyNumberFormat="1" applyFont="1" applyBorder="1" applyAlignment="1">
      <alignment horizontal="center" vertical="center"/>
    </xf>
    <xf numFmtId="49" fontId="15" fillId="0" borderId="33" xfId="0" applyNumberFormat="1" applyFont="1" applyBorder="1" applyAlignment="1">
      <alignment horizontal="center"/>
    </xf>
    <xf numFmtId="49" fontId="15" fillId="0" borderId="45" xfId="0" applyNumberFormat="1" applyFont="1" applyBorder="1" applyAlignment="1">
      <alignment horizontal="center"/>
    </xf>
    <xf numFmtId="49" fontId="15" fillId="0" borderId="34" xfId="0" applyNumberFormat="1" applyFont="1" applyBorder="1" applyAlignment="1">
      <alignment horizontal="center"/>
    </xf>
    <xf numFmtId="49" fontId="16" fillId="0" borderId="30" xfId="0" applyNumberFormat="1" applyFont="1" applyBorder="1" applyAlignment="1">
      <alignment horizontal="center"/>
    </xf>
    <xf numFmtId="49" fontId="16" fillId="0" borderId="22" xfId="0" applyNumberFormat="1" applyFont="1" applyBorder="1" applyAlignment="1">
      <alignment horizontal="center"/>
    </xf>
    <xf numFmtId="49" fontId="17" fillId="0" borderId="22" xfId="0" applyNumberFormat="1" applyFont="1" applyBorder="1" applyAlignment="1">
      <alignment horizontal="center"/>
    </xf>
    <xf numFmtId="49" fontId="15" fillId="0" borderId="35" xfId="0" applyNumberFormat="1" applyFont="1" applyBorder="1" applyAlignment="1">
      <alignment horizontal="center"/>
    </xf>
    <xf numFmtId="49" fontId="16" fillId="0" borderId="23" xfId="0" applyNumberFormat="1" applyFont="1" applyBorder="1" applyAlignment="1">
      <alignment horizontal="center"/>
    </xf>
    <xf numFmtId="49" fontId="17" fillId="0" borderId="24" xfId="0" applyNumberFormat="1" applyFont="1" applyBorder="1" applyAlignment="1">
      <alignment horizontal="center"/>
    </xf>
    <xf numFmtId="49" fontId="17" fillId="0" borderId="23" xfId="0" applyNumberFormat="1" applyFont="1" applyBorder="1" applyAlignment="1">
      <alignment horizontal="center"/>
    </xf>
    <xf numFmtId="49" fontId="15" fillId="0" borderId="21" xfId="0" applyNumberFormat="1" applyFont="1" applyBorder="1" applyAlignment="1">
      <alignment horizontal="center"/>
    </xf>
    <xf numFmtId="49" fontId="15" fillId="0" borderId="24" xfId="0" applyNumberFormat="1" applyFont="1" applyBorder="1" applyAlignment="1">
      <alignment horizontal="center"/>
    </xf>
    <xf numFmtId="49" fontId="15" fillId="0" borderId="12" xfId="0" applyNumberFormat="1" applyFont="1" applyBorder="1" applyAlignment="1">
      <alignment horizontal="center" vertical="center"/>
    </xf>
    <xf numFmtId="49" fontId="15" fillId="0" borderId="12" xfId="0" applyNumberFormat="1" applyFont="1" applyBorder="1" applyAlignment="1">
      <alignment horizontal="center"/>
    </xf>
    <xf numFmtId="49" fontId="15" fillId="0" borderId="46" xfId="0" applyNumberFormat="1" applyFont="1" applyBorder="1" applyAlignment="1">
      <alignment horizontal="center"/>
    </xf>
    <xf numFmtId="3" fontId="18" fillId="0" borderId="40" xfId="0" applyNumberFormat="1" applyFont="1" applyBorder="1"/>
    <xf numFmtId="3" fontId="18" fillId="0" borderId="38" xfId="0" applyNumberFormat="1" applyFont="1" applyBorder="1"/>
    <xf numFmtId="3" fontId="18" fillId="0" borderId="39" xfId="0" applyNumberFormat="1" applyFont="1" applyBorder="1"/>
    <xf numFmtId="49" fontId="17" fillId="0" borderId="5" xfId="0" applyNumberFormat="1" applyFont="1" applyBorder="1" applyAlignment="1">
      <alignment horizontal="left"/>
    </xf>
    <xf numFmtId="164" fontId="17" fillId="0" borderId="4" xfId="0" applyNumberFormat="1" applyFont="1" applyBorder="1"/>
    <xf numFmtId="164" fontId="17" fillId="0" borderId="25" xfId="0" applyNumberFormat="1" applyFont="1" applyBorder="1"/>
    <xf numFmtId="164" fontId="17" fillId="0" borderId="26" xfId="0" applyNumberFormat="1" applyFont="1" applyBorder="1"/>
    <xf numFmtId="49" fontId="17" fillId="2" borderId="22" xfId="0" applyNumberFormat="1" applyFont="1" applyFill="1" applyBorder="1" applyAlignment="1">
      <alignment horizontal="center"/>
    </xf>
    <xf numFmtId="49" fontId="17" fillId="2" borderId="42" xfId="0" applyNumberFormat="1" applyFont="1" applyFill="1" applyBorder="1" applyAlignment="1">
      <alignment horizontal="left" indent="3"/>
    </xf>
    <xf numFmtId="3" fontId="17" fillId="2" borderId="20" xfId="0" applyNumberFormat="1" applyFont="1" applyFill="1" applyBorder="1"/>
    <xf numFmtId="3" fontId="17" fillId="2" borderId="2" xfId="0" applyNumberFormat="1" applyFont="1" applyFill="1" applyBorder="1"/>
    <xf numFmtId="3" fontId="17" fillId="2" borderId="18" xfId="0" applyNumberFormat="1" applyFont="1" applyFill="1" applyBorder="1"/>
    <xf numFmtId="49" fontId="17" fillId="0" borderId="22" xfId="0" applyNumberFormat="1" applyFont="1" applyFill="1" applyBorder="1" applyAlignment="1">
      <alignment horizontal="center"/>
    </xf>
    <xf numFmtId="49" fontId="17" fillId="0" borderId="42" xfId="0" applyNumberFormat="1" applyFont="1" applyFill="1" applyBorder="1" applyAlignment="1">
      <alignment horizontal="left" indent="3"/>
    </xf>
    <xf numFmtId="3" fontId="15" fillId="0" borderId="13" xfId="0" applyNumberFormat="1" applyFont="1" applyFill="1" applyBorder="1"/>
    <xf numFmtId="3" fontId="15" fillId="0" borderId="10" xfId="0" applyNumberFormat="1" applyFont="1" applyFill="1" applyBorder="1"/>
    <xf numFmtId="3" fontId="15" fillId="0" borderId="9" xfId="0" applyNumberFormat="1" applyFont="1" applyFill="1" applyBorder="1"/>
    <xf numFmtId="49" fontId="16" fillId="0" borderId="7" xfId="0" applyNumberFormat="1" applyFont="1" applyFill="1" applyBorder="1" applyAlignment="1">
      <alignment horizontal="left" indent="2"/>
    </xf>
    <xf numFmtId="3" fontId="16" fillId="0" borderId="6" xfId="0" applyNumberFormat="1" applyFont="1" applyFill="1" applyBorder="1"/>
    <xf numFmtId="3" fontId="16" fillId="0" borderId="16" xfId="0" applyNumberFormat="1" applyFont="1" applyFill="1" applyBorder="1"/>
    <xf numFmtId="3" fontId="16" fillId="0" borderId="17" xfId="0" applyNumberFormat="1" applyFont="1" applyFill="1" applyBorder="1"/>
    <xf numFmtId="3" fontId="17" fillId="0" borderId="0" xfId="0" applyNumberFormat="1" applyFont="1" applyFill="1"/>
    <xf numFmtId="3" fontId="16" fillId="0" borderId="0" xfId="0" applyNumberFormat="1" applyFont="1" applyFill="1"/>
    <xf numFmtId="3" fontId="15" fillId="0" borderId="0" xfId="0" applyNumberFormat="1" applyFont="1" applyFill="1"/>
    <xf numFmtId="49" fontId="16" fillId="0" borderId="15" xfId="0" applyNumberFormat="1" applyFont="1" applyBorder="1" applyAlignment="1">
      <alignment horizontal="left" indent="1"/>
    </xf>
    <xf numFmtId="49" fontId="15" fillId="0" borderId="47" xfId="0" applyNumberFormat="1" applyFont="1" applyBorder="1"/>
    <xf numFmtId="49" fontId="17" fillId="0" borderId="42" xfId="0" applyNumberFormat="1" applyFont="1" applyBorder="1" applyAlignment="1">
      <alignment horizontal="left" indent="2"/>
    </xf>
    <xf numFmtId="49" fontId="17" fillId="0" borderId="42" xfId="0" applyNumberFormat="1" applyFont="1" applyBorder="1" applyAlignment="1">
      <alignment horizontal="left" indent="1"/>
    </xf>
    <xf numFmtId="49" fontId="17" fillId="0" borderId="44" xfId="0" applyNumberFormat="1" applyFont="1" applyBorder="1" applyAlignment="1">
      <alignment horizontal="left" indent="1"/>
    </xf>
    <xf numFmtId="49" fontId="16" fillId="0" borderId="21" xfId="0" applyNumberFormat="1" applyFont="1" applyBorder="1" applyAlignment="1">
      <alignment horizontal="center"/>
    </xf>
    <xf numFmtId="49" fontId="16" fillId="0" borderId="48" xfId="0" applyNumberFormat="1" applyFont="1" applyBorder="1" applyAlignment="1">
      <alignment horizontal="left" indent="1"/>
    </xf>
    <xf numFmtId="49" fontId="16" fillId="0" borderId="42" xfId="0" applyNumberFormat="1" applyFont="1" applyBorder="1" applyAlignment="1">
      <alignment horizontal="left" indent="1"/>
    </xf>
    <xf numFmtId="49" fontId="16" fillId="0" borderId="49" xfId="0" applyNumberFormat="1" applyFont="1" applyBorder="1" applyAlignment="1">
      <alignment horizontal="left" inden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5" fillId="0" borderId="13" xfId="0" applyNumberFormat="1" applyFont="1" applyBorder="1" applyAlignment="1">
      <alignment horizontal="center" vertical="center" wrapText="1"/>
    </xf>
    <xf numFmtId="3" fontId="15" fillId="0" borderId="47" xfId="0" applyNumberFormat="1" applyFont="1" applyBorder="1"/>
    <xf numFmtId="3" fontId="15" fillId="0" borderId="50" xfId="0" applyNumberFormat="1" applyFont="1" applyBorder="1"/>
    <xf numFmtId="3" fontId="15" fillId="0" borderId="51" xfId="0" applyNumberFormat="1" applyFont="1" applyBorder="1"/>
    <xf numFmtId="3" fontId="15" fillId="0" borderId="52" xfId="0" applyNumberFormat="1" applyFont="1" applyBorder="1"/>
    <xf numFmtId="49" fontId="15" fillId="0" borderId="45" xfId="0" applyNumberFormat="1" applyFont="1" applyBorder="1"/>
    <xf numFmtId="49" fontId="17" fillId="0" borderId="42" xfId="0" applyNumberFormat="1" applyFont="1" applyBorder="1" applyAlignment="1">
      <alignment horizontal="left" wrapText="1" indent="1"/>
    </xf>
    <xf numFmtId="49" fontId="17" fillId="0" borderId="53" xfId="0" applyNumberFormat="1" applyFont="1" applyBorder="1" applyAlignment="1">
      <alignment horizontal="left" wrapText="1" indent="1"/>
    </xf>
    <xf numFmtId="49" fontId="17" fillId="0" borderId="49" xfId="0" applyNumberFormat="1" applyFont="1" applyBorder="1" applyAlignment="1">
      <alignment horizontal="left" wrapText="1" indent="1"/>
    </xf>
    <xf numFmtId="3" fontId="15" fillId="0" borderId="9" xfId="0" applyNumberFormat="1" applyFont="1" applyBorder="1" applyAlignment="1">
      <alignment horizontal="right"/>
    </xf>
    <xf numFmtId="3" fontId="15" fillId="0" borderId="10" xfId="0" applyNumberFormat="1" applyFont="1" applyBorder="1" applyAlignment="1">
      <alignment horizontal="right"/>
    </xf>
    <xf numFmtId="3" fontId="15" fillId="0" borderId="13" xfId="0" applyNumberFormat="1" applyFont="1" applyBorder="1" applyAlignment="1">
      <alignment horizontal="right"/>
    </xf>
    <xf numFmtId="0" fontId="7" fillId="0" borderId="0" xfId="11" applyFont="1"/>
    <xf numFmtId="4" fontId="7" fillId="0" borderId="0" xfId="11" applyNumberFormat="1" applyFont="1" applyAlignment="1">
      <alignment horizontal="right"/>
    </xf>
    <xf numFmtId="0" fontId="12" fillId="0" borderId="0" xfId="11" applyFont="1"/>
    <xf numFmtId="0" fontId="12" fillId="0" borderId="48" xfId="11" applyFont="1" applyBorder="1" applyAlignment="1">
      <alignment horizontal="center" vertical="center"/>
    </xf>
    <xf numFmtId="164" fontId="12" fillId="0" borderId="48" xfId="11" applyNumberFormat="1" applyFont="1" applyBorder="1" applyAlignment="1">
      <alignment horizontal="center" vertical="center"/>
    </xf>
    <xf numFmtId="164" fontId="12" fillId="0" borderId="54" xfId="11" applyNumberFormat="1" applyFont="1" applyFill="1" applyBorder="1" applyAlignment="1">
      <alignment horizontal="center" vertical="center" wrapText="1"/>
    </xf>
    <xf numFmtId="164" fontId="12" fillId="0" borderId="54" xfId="11" applyNumberFormat="1" applyFont="1" applyBorder="1" applyAlignment="1">
      <alignment horizontal="center" vertical="center" wrapText="1"/>
    </xf>
    <xf numFmtId="164" fontId="11" fillId="0" borderId="21" xfId="11" applyNumberFormat="1" applyFont="1" applyBorder="1" applyAlignment="1">
      <alignment horizontal="center" vertical="center" wrapText="1"/>
    </xf>
    <xf numFmtId="0" fontId="11" fillId="0" borderId="55" xfId="11" applyFont="1" applyBorder="1" applyAlignment="1">
      <alignment horizontal="left"/>
    </xf>
    <xf numFmtId="164" fontId="11" fillId="0" borderId="55" xfId="11" applyNumberFormat="1" applyFont="1" applyBorder="1" applyAlignment="1"/>
    <xf numFmtId="164" fontId="11" fillId="0" borderId="8" xfId="11" applyNumberFormat="1" applyFont="1" applyBorder="1" applyAlignment="1"/>
    <xf numFmtId="164" fontId="11" fillId="0" borderId="30" xfId="11" applyNumberFormat="1" applyFont="1" applyBorder="1" applyAlignment="1"/>
    <xf numFmtId="164" fontId="12" fillId="0" borderId="55" xfId="11" applyNumberFormat="1" applyFont="1" applyBorder="1" applyAlignment="1"/>
    <xf numFmtId="164" fontId="12" fillId="0" borderId="8" xfId="11" applyNumberFormat="1" applyFont="1" applyBorder="1" applyAlignment="1"/>
    <xf numFmtId="164" fontId="12" fillId="0" borderId="49" xfId="11" applyNumberFormat="1" applyFont="1" applyBorder="1" applyAlignment="1"/>
    <xf numFmtId="164" fontId="12" fillId="0" borderId="56" xfId="11" applyNumberFormat="1" applyFont="1" applyBorder="1" applyAlignment="1"/>
    <xf numFmtId="164" fontId="12" fillId="0" borderId="57" xfId="11" applyNumberFormat="1" applyFont="1" applyBorder="1" applyAlignment="1"/>
    <xf numFmtId="164" fontId="12" fillId="0" borderId="3" xfId="11" applyNumberFormat="1" applyFont="1" applyBorder="1" applyAlignment="1"/>
    <xf numFmtId="0" fontId="11" fillId="0" borderId="47" xfId="11" applyFont="1" applyBorder="1" applyAlignment="1">
      <alignment horizontal="left"/>
    </xf>
    <xf numFmtId="164" fontId="11" fillId="0" borderId="47" xfId="11" applyNumberFormat="1" applyFont="1" applyBorder="1" applyAlignment="1"/>
    <xf numFmtId="164" fontId="11" fillId="0" borderId="58" xfId="11" applyNumberFormat="1" applyFont="1" applyBorder="1" applyAlignment="1"/>
    <xf numFmtId="164" fontId="11" fillId="0" borderId="9" xfId="11" applyNumberFormat="1" applyFont="1" applyBorder="1" applyAlignment="1"/>
    <xf numFmtId="164" fontId="11" fillId="0" borderId="10" xfId="11" applyNumberFormat="1" applyFont="1" applyBorder="1" applyAlignment="1"/>
    <xf numFmtId="164" fontId="11" fillId="0" borderId="34" xfId="11" applyNumberFormat="1" applyFont="1" applyBorder="1" applyAlignment="1"/>
    <xf numFmtId="0" fontId="11" fillId="0" borderId="48" xfId="11" applyFont="1" applyBorder="1" applyAlignment="1">
      <alignment horizontal="left"/>
    </xf>
    <xf numFmtId="164" fontId="11" fillId="0" borderId="48" xfId="11" applyNumberFormat="1" applyFont="1" applyBorder="1" applyAlignment="1"/>
    <xf numFmtId="164" fontId="11" fillId="0" borderId="54" xfId="11" applyNumberFormat="1" applyFont="1" applyBorder="1" applyAlignment="1"/>
    <xf numFmtId="164" fontId="11" fillId="0" borderId="21" xfId="11" applyNumberFormat="1" applyFont="1" applyBorder="1" applyAlignment="1"/>
    <xf numFmtId="0" fontId="11" fillId="0" borderId="49" xfId="11" applyFont="1" applyBorder="1" applyAlignment="1">
      <alignment horizontal="left"/>
    </xf>
    <xf numFmtId="164" fontId="11" fillId="0" borderId="54" xfId="11" applyNumberFormat="1" applyFont="1" applyFill="1" applyBorder="1" applyAlignment="1"/>
    <xf numFmtId="0" fontId="11" fillId="0" borderId="47" xfId="11" applyFont="1" applyFill="1" applyBorder="1" applyAlignment="1">
      <alignment horizontal="left"/>
    </xf>
    <xf numFmtId="0" fontId="12" fillId="0" borderId="55" xfId="11" applyFont="1" applyBorder="1" applyAlignment="1">
      <alignment horizontal="left"/>
    </xf>
    <xf numFmtId="164" fontId="12" fillId="0" borderId="16" xfId="11" applyNumberFormat="1" applyFont="1" applyBorder="1" applyAlignment="1"/>
    <xf numFmtId="0" fontId="11" fillId="0" borderId="47" xfId="11" applyFont="1" applyBorder="1"/>
    <xf numFmtId="4" fontId="12" fillId="0" borderId="48" xfId="11" applyNumberFormat="1" applyFont="1" applyBorder="1" applyAlignment="1">
      <alignment horizontal="center" vertical="center"/>
    </xf>
    <xf numFmtId="4" fontId="12" fillId="0" borderId="54" xfId="11" applyNumberFormat="1" applyFont="1" applyFill="1" applyBorder="1" applyAlignment="1">
      <alignment horizontal="center" vertical="center" wrapText="1"/>
    </xf>
    <xf numFmtId="4" fontId="12" fillId="0" borderId="54" xfId="11" applyNumberFormat="1" applyFont="1" applyBorder="1" applyAlignment="1">
      <alignment horizontal="center" vertical="center" wrapText="1"/>
    </xf>
    <xf numFmtId="4" fontId="11" fillId="0" borderId="21" xfId="11" applyNumberFormat="1" applyFont="1" applyBorder="1" applyAlignment="1">
      <alignment horizontal="center" vertical="center" wrapText="1"/>
    </xf>
    <xf numFmtId="164" fontId="12" fillId="0" borderId="59" xfId="11" applyNumberFormat="1" applyFont="1" applyBorder="1" applyAlignment="1"/>
    <xf numFmtId="164" fontId="12" fillId="0" borderId="14" xfId="11" applyNumberFormat="1" applyFont="1" applyBorder="1" applyAlignment="1"/>
    <xf numFmtId="0" fontId="12" fillId="0" borderId="0" xfId="0" applyFont="1"/>
    <xf numFmtId="0" fontId="7" fillId="0" borderId="0" xfId="0" applyFont="1"/>
    <xf numFmtId="0" fontId="9" fillId="0" borderId="0" xfId="0" applyFont="1"/>
    <xf numFmtId="0" fontId="11" fillId="0" borderId="0" xfId="0" applyFont="1"/>
    <xf numFmtId="164" fontId="11" fillId="0" borderId="60" xfId="11" applyNumberFormat="1" applyFont="1" applyBorder="1" applyAlignment="1">
      <alignment horizontal="center" vertical="center"/>
    </xf>
    <xf numFmtId="164" fontId="11" fillId="0" borderId="51" xfId="11" applyNumberFormat="1" applyFont="1" applyFill="1" applyBorder="1" applyAlignment="1">
      <alignment horizontal="center" vertical="center" wrapText="1"/>
    </xf>
    <xf numFmtId="164" fontId="11" fillId="0" borderId="8" xfId="11" applyNumberFormat="1" applyFont="1" applyBorder="1" applyAlignment="1">
      <alignment horizontal="center" vertical="center" wrapText="1"/>
    </xf>
    <xf numFmtId="164" fontId="11" fillId="0" borderId="30" xfId="11" applyNumberFormat="1" applyFont="1" applyBorder="1" applyAlignment="1">
      <alignment horizontal="center" vertical="center" wrapText="1"/>
    </xf>
    <xf numFmtId="0" fontId="11" fillId="0" borderId="47" xfId="0" applyFont="1" applyBorder="1"/>
    <xf numFmtId="3" fontId="7" fillId="0" borderId="0" xfId="31" applyNumberFormat="1" applyFont="1" applyFill="1" applyAlignment="1">
      <alignment horizontal="right"/>
    </xf>
    <xf numFmtId="3" fontId="9" fillId="0" borderId="0" xfId="11" applyNumberFormat="1" applyFont="1" applyFill="1"/>
    <xf numFmtId="3" fontId="11" fillId="0" borderId="11" xfId="11" applyNumberFormat="1" applyFont="1" applyFill="1" applyBorder="1" applyAlignment="1">
      <alignment vertical="center"/>
    </xf>
    <xf numFmtId="3" fontId="11" fillId="0" borderId="0" xfId="11" applyNumberFormat="1" applyFont="1" applyFill="1" applyBorder="1" applyAlignment="1">
      <alignment vertical="center"/>
    </xf>
    <xf numFmtId="3" fontId="9" fillId="0" borderId="0" xfId="11" applyNumberFormat="1" applyFont="1" applyFill="1" applyBorder="1" applyAlignment="1">
      <alignment vertical="center"/>
    </xf>
    <xf numFmtId="3" fontId="11" fillId="0" borderId="47" xfId="11" applyNumberFormat="1" applyFont="1" applyFill="1" applyBorder="1" applyAlignment="1"/>
    <xf numFmtId="3" fontId="11" fillId="0" borderId="0" xfId="11" applyNumberFormat="1" applyFont="1" applyFill="1"/>
    <xf numFmtId="3" fontId="12" fillId="0" borderId="0" xfId="11" applyNumberFormat="1" applyFont="1" applyFill="1"/>
    <xf numFmtId="0" fontId="11" fillId="0" borderId="0" xfId="11" applyFont="1"/>
    <xf numFmtId="3" fontId="12" fillId="0" borderId="61" xfId="11" applyNumberFormat="1" applyFont="1" applyFill="1" applyBorder="1" applyAlignment="1">
      <alignment vertical="center"/>
    </xf>
    <xf numFmtId="3" fontId="12" fillId="0" borderId="15" xfId="11" applyNumberFormat="1" applyFont="1" applyFill="1" applyBorder="1" applyAlignment="1">
      <alignment vertical="center"/>
    </xf>
    <xf numFmtId="3" fontId="12" fillId="0" borderId="40" xfId="11" applyNumberFormat="1" applyFont="1" applyFill="1" applyBorder="1" applyAlignment="1" applyProtection="1">
      <alignment vertical="center"/>
      <protection locked="0"/>
    </xf>
    <xf numFmtId="3" fontId="12" fillId="0" borderId="54" xfId="11" applyNumberFormat="1" applyFont="1" applyFill="1" applyBorder="1" applyAlignment="1" applyProtection="1">
      <alignment vertical="center"/>
      <protection locked="0"/>
    </xf>
    <xf numFmtId="3" fontId="11" fillId="0" borderId="21" xfId="11" applyNumberFormat="1" applyFont="1" applyFill="1" applyBorder="1" applyAlignment="1">
      <alignment vertical="center"/>
    </xf>
    <xf numFmtId="3" fontId="21" fillId="0" borderId="62" xfId="11" quotePrefix="1" applyNumberFormat="1" applyFont="1" applyFill="1" applyBorder="1" applyAlignment="1">
      <alignment horizontal="left" vertical="center" indent="1"/>
    </xf>
    <xf numFmtId="3" fontId="21" fillId="0" borderId="42" xfId="11" quotePrefix="1" applyNumberFormat="1" applyFont="1" applyFill="1" applyBorder="1" applyAlignment="1">
      <alignment horizontal="left" vertical="center" indent="1"/>
    </xf>
    <xf numFmtId="3" fontId="21" fillId="0" borderId="20" xfId="11" applyNumberFormat="1" applyFont="1" applyFill="1" applyBorder="1" applyAlignment="1" applyProtection="1">
      <alignment vertical="center"/>
      <protection locked="0"/>
    </xf>
    <xf numFmtId="3" fontId="21" fillId="0" borderId="56" xfId="11" applyNumberFormat="1" applyFont="1" applyFill="1" applyBorder="1" applyAlignment="1" applyProtection="1">
      <alignment vertical="center"/>
      <protection locked="0"/>
    </xf>
    <xf numFmtId="3" fontId="10" fillId="0" borderId="22" xfId="11" applyNumberFormat="1" applyFont="1" applyFill="1" applyBorder="1" applyAlignment="1">
      <alignment vertical="center"/>
    </xf>
    <xf numFmtId="3" fontId="12" fillId="0" borderId="62" xfId="11" applyNumberFormat="1" applyFont="1" applyFill="1" applyBorder="1" applyAlignment="1">
      <alignment vertical="center"/>
    </xf>
    <xf numFmtId="3" fontId="12" fillId="0" borderId="42" xfId="11" applyNumberFormat="1" applyFont="1" applyFill="1" applyBorder="1" applyAlignment="1">
      <alignment vertical="center"/>
    </xf>
    <xf numFmtId="3" fontId="12" fillId="0" borderId="20" xfId="11" applyNumberFormat="1" applyFont="1" applyFill="1" applyBorder="1" applyAlignment="1" applyProtection="1">
      <alignment vertical="center"/>
      <protection locked="0"/>
    </xf>
    <xf numFmtId="3" fontId="12" fillId="0" borderId="56" xfId="11" applyNumberFormat="1" applyFont="1" applyFill="1" applyBorder="1" applyAlignment="1" applyProtection="1">
      <alignment vertical="center"/>
      <protection locked="0"/>
    </xf>
    <xf numFmtId="3" fontId="11" fillId="0" borderId="22" xfId="11" applyNumberFormat="1" applyFont="1" applyFill="1" applyBorder="1" applyAlignment="1">
      <alignment vertical="center"/>
    </xf>
    <xf numFmtId="3" fontId="11" fillId="0" borderId="58" xfId="11" applyNumberFormat="1" applyFont="1" applyFill="1" applyBorder="1" applyAlignment="1">
      <alignment vertical="center"/>
    </xf>
    <xf numFmtId="3" fontId="11" fillId="0" borderId="34" xfId="11" applyNumberFormat="1" applyFont="1" applyFill="1" applyBorder="1" applyAlignment="1">
      <alignment vertical="center"/>
    </xf>
    <xf numFmtId="3" fontId="11" fillId="0" borderId="13" xfId="11" applyNumberFormat="1" applyFont="1" applyFill="1" applyBorder="1" applyAlignment="1">
      <alignment vertical="center"/>
    </xf>
    <xf numFmtId="3" fontId="12" fillId="0" borderId="0" xfId="11" applyNumberFormat="1" applyFont="1" applyFill="1" applyAlignment="1">
      <alignment vertical="center"/>
    </xf>
    <xf numFmtId="3" fontId="12" fillId="0" borderId="62" xfId="11" applyNumberFormat="1" applyFont="1" applyFill="1" applyBorder="1" applyAlignment="1">
      <alignment horizontal="left" vertical="center"/>
    </xf>
    <xf numFmtId="3" fontId="12" fillId="0" borderId="62" xfId="11" applyNumberFormat="1" applyFont="1" applyFill="1" applyBorder="1" applyAlignment="1" applyProtection="1">
      <alignment vertical="center"/>
      <protection locked="0"/>
    </xf>
    <xf numFmtId="3" fontId="12" fillId="0" borderId="42" xfId="11" applyNumberFormat="1" applyFont="1" applyFill="1" applyBorder="1" applyAlignment="1" applyProtection="1">
      <alignment vertical="center"/>
      <protection locked="0"/>
    </xf>
    <xf numFmtId="3" fontId="12" fillId="0" borderId="63" xfId="11" applyNumberFormat="1" applyFont="1" applyFill="1" applyBorder="1" applyAlignment="1" applyProtection="1">
      <alignment vertical="center"/>
      <protection locked="0"/>
    </xf>
    <xf numFmtId="3" fontId="12" fillId="0" borderId="5" xfId="11" applyNumberFormat="1" applyFont="1" applyFill="1" applyBorder="1" applyAlignment="1" applyProtection="1">
      <alignment vertical="center"/>
      <protection locked="0"/>
    </xf>
    <xf numFmtId="3" fontId="12" fillId="0" borderId="4" xfId="11" applyNumberFormat="1" applyFont="1" applyFill="1" applyBorder="1" applyAlignment="1" applyProtection="1">
      <alignment vertical="center"/>
      <protection locked="0"/>
    </xf>
    <xf numFmtId="3" fontId="12" fillId="0" borderId="14" xfId="11" applyNumberFormat="1" applyFont="1" applyFill="1" applyBorder="1" applyAlignment="1" applyProtection="1">
      <alignment vertical="center"/>
      <protection locked="0"/>
    </xf>
    <xf numFmtId="3" fontId="12" fillId="0" borderId="49" xfId="11" applyNumberFormat="1" applyFont="1" applyFill="1" applyBorder="1" applyAlignment="1" applyProtection="1">
      <alignment horizontal="left" wrapText="1" indent="1"/>
      <protection locked="0"/>
    </xf>
    <xf numFmtId="3" fontId="12" fillId="0" borderId="18" xfId="11" applyNumberFormat="1" applyFont="1" applyFill="1" applyBorder="1" applyAlignment="1" applyProtection="1">
      <protection locked="0"/>
    </xf>
    <xf numFmtId="3" fontId="12" fillId="0" borderId="62" xfId="11" applyNumberFormat="1" applyFont="1" applyFill="1" applyBorder="1" applyAlignment="1" applyProtection="1">
      <protection locked="0"/>
    </xf>
    <xf numFmtId="3" fontId="12" fillId="0" borderId="2" xfId="11" applyNumberFormat="1" applyFont="1" applyFill="1" applyBorder="1" applyAlignment="1" applyProtection="1">
      <protection locked="0"/>
    </xf>
    <xf numFmtId="3" fontId="12" fillId="0" borderId="56" xfId="11" applyNumberFormat="1" applyFont="1" applyFill="1" applyBorder="1" applyAlignment="1"/>
    <xf numFmtId="3" fontId="12" fillId="0" borderId="22" xfId="11" applyNumberFormat="1" applyFont="1" applyFill="1" applyBorder="1" applyAlignment="1"/>
    <xf numFmtId="3" fontId="11" fillId="0" borderId="9" xfId="11" applyNumberFormat="1" applyFont="1" applyFill="1" applyBorder="1" applyAlignment="1"/>
    <xf numFmtId="3" fontId="11" fillId="0" borderId="11" xfId="11" applyNumberFormat="1" applyFont="1" applyFill="1" applyBorder="1" applyAlignment="1"/>
    <xf numFmtId="3" fontId="11" fillId="0" borderId="10" xfId="11" applyNumberFormat="1" applyFont="1" applyFill="1" applyBorder="1" applyAlignment="1"/>
    <xf numFmtId="3" fontId="11" fillId="0" borderId="58" xfId="11" applyNumberFormat="1" applyFont="1" applyFill="1" applyBorder="1" applyAlignment="1"/>
    <xf numFmtId="3" fontId="11" fillId="0" borderId="34" xfId="11" applyNumberFormat="1" applyFont="1" applyFill="1" applyBorder="1" applyAlignment="1"/>
    <xf numFmtId="3" fontId="10" fillId="0" borderId="43" xfId="11" applyNumberFormat="1" applyFont="1" applyFill="1" applyBorder="1" applyAlignment="1">
      <alignment horizontal="right"/>
    </xf>
    <xf numFmtId="0" fontId="12" fillId="0" borderId="64" xfId="11" applyFont="1" applyBorder="1" applyAlignment="1">
      <alignment horizontal="center" wrapText="1"/>
    </xf>
    <xf numFmtId="0" fontId="12" fillId="0" borderId="65" xfId="11" applyFont="1" applyBorder="1" applyAlignment="1">
      <alignment horizontal="center" wrapText="1"/>
    </xf>
    <xf numFmtId="0" fontId="12" fillId="0" borderId="31" xfId="11" applyFont="1" applyBorder="1" applyAlignment="1">
      <alignment horizontal="center" vertical="center"/>
    </xf>
    <xf numFmtId="3" fontId="10" fillId="0" borderId="0" xfId="11" applyNumberFormat="1" applyFont="1" applyFill="1" applyAlignment="1">
      <alignment horizontal="right"/>
    </xf>
    <xf numFmtId="0" fontId="12" fillId="0" borderId="66" xfId="11" applyFont="1" applyBorder="1" applyAlignment="1">
      <alignment horizontal="center" wrapText="1"/>
    </xf>
    <xf numFmtId="0" fontId="11" fillId="0" borderId="34" xfId="11" applyFont="1" applyBorder="1" applyAlignment="1">
      <alignment horizontal="center" wrapText="1"/>
    </xf>
    <xf numFmtId="0" fontId="12" fillId="0" borderId="67" xfId="11" applyFont="1" applyBorder="1" applyAlignment="1">
      <alignment wrapText="1"/>
    </xf>
    <xf numFmtId="3" fontId="12" fillId="0" borderId="69" xfId="11" applyNumberFormat="1" applyFont="1" applyBorder="1" applyAlignment="1">
      <alignment wrapText="1"/>
    </xf>
    <xf numFmtId="3" fontId="11" fillId="0" borderId="70" xfId="11" applyNumberFormat="1" applyFont="1" applyBorder="1" applyAlignment="1">
      <alignment wrapText="1"/>
    </xf>
    <xf numFmtId="0" fontId="12" fillId="0" borderId="71" xfId="11" applyFont="1" applyBorder="1" applyAlignment="1">
      <alignment wrapText="1"/>
    </xf>
    <xf numFmtId="3" fontId="12" fillId="0" borderId="72" xfId="11" applyNumberFormat="1" applyFont="1" applyBorder="1" applyAlignment="1">
      <alignment wrapText="1"/>
    </xf>
    <xf numFmtId="3" fontId="12" fillId="0" borderId="73" xfId="11" applyNumberFormat="1" applyFont="1" applyBorder="1" applyAlignment="1">
      <alignment wrapText="1"/>
    </xf>
    <xf numFmtId="3" fontId="11" fillId="0" borderId="74" xfId="11" applyNumberFormat="1" applyFont="1" applyBorder="1" applyAlignment="1">
      <alignment wrapText="1"/>
    </xf>
    <xf numFmtId="0" fontId="12" fillId="0" borderId="75" xfId="11" applyFont="1" applyFill="1" applyBorder="1" applyAlignment="1">
      <alignment wrapText="1"/>
    </xf>
    <xf numFmtId="3" fontId="12" fillId="0" borderId="76" xfId="11" applyNumberFormat="1" applyFont="1" applyBorder="1" applyAlignment="1">
      <alignment wrapText="1"/>
    </xf>
    <xf numFmtId="3" fontId="11" fillId="0" borderId="77" xfId="11" applyNumberFormat="1" applyFont="1" applyBorder="1" applyAlignment="1">
      <alignment wrapText="1"/>
    </xf>
    <xf numFmtId="0" fontId="11" fillId="0" borderId="64" xfId="11" applyFont="1" applyBorder="1" applyAlignment="1">
      <alignment wrapText="1"/>
    </xf>
    <xf numFmtId="3" fontId="11" fillId="0" borderId="10" xfId="11" applyNumberFormat="1" applyFont="1" applyBorder="1" applyAlignment="1">
      <alignment wrapText="1"/>
    </xf>
    <xf numFmtId="3" fontId="11" fillId="0" borderId="66" xfId="11" applyNumberFormat="1" applyFont="1" applyBorder="1" applyAlignment="1">
      <alignment wrapText="1"/>
    </xf>
    <xf numFmtId="3" fontId="11" fillId="0" borderId="34" xfId="11" applyNumberFormat="1" applyFont="1" applyBorder="1" applyAlignment="1">
      <alignment wrapText="1"/>
    </xf>
    <xf numFmtId="0" fontId="12" fillId="0" borderId="75" xfId="11" applyFont="1" applyBorder="1" applyAlignment="1">
      <alignment wrapText="1"/>
    </xf>
    <xf numFmtId="0" fontId="11" fillId="0" borderId="78" xfId="11" applyFont="1" applyBorder="1" applyAlignment="1">
      <alignment wrapText="1"/>
    </xf>
    <xf numFmtId="3" fontId="11" fillId="0" borderId="79" xfId="11" applyNumberFormat="1" applyFont="1" applyBorder="1" applyAlignment="1">
      <alignment wrapText="1"/>
    </xf>
    <xf numFmtId="3" fontId="11" fillId="0" borderId="35" xfId="11" applyNumberFormat="1" applyFont="1" applyBorder="1" applyAlignment="1">
      <alignment wrapText="1"/>
    </xf>
    <xf numFmtId="165" fontId="11" fillId="0" borderId="0" xfId="31" applyNumberFormat="1" applyFont="1" applyFill="1" applyBorder="1" applyAlignment="1" applyProtection="1">
      <alignment horizontal="center" vertical="center" wrapText="1"/>
    </xf>
    <xf numFmtId="165" fontId="11" fillId="0" borderId="0" xfId="31" applyNumberFormat="1" applyFont="1" applyFill="1" applyBorder="1" applyAlignment="1" applyProtection="1">
      <alignment horizontal="centerContinuous" vertical="center"/>
    </xf>
    <xf numFmtId="0" fontId="10" fillId="0" borderId="0" xfId="11" applyFont="1" applyFill="1" applyBorder="1" applyAlignment="1" applyProtection="1">
      <alignment horizontal="right"/>
    </xf>
    <xf numFmtId="3" fontId="12" fillId="0" borderId="0" xfId="11" applyNumberFormat="1" applyFont="1"/>
    <xf numFmtId="0" fontId="12" fillId="0" borderId="11" xfId="31" applyFont="1" applyFill="1" applyBorder="1" applyAlignment="1" applyProtection="1">
      <alignment horizontal="center" vertical="center"/>
    </xf>
    <xf numFmtId="0" fontId="12" fillId="0" borderId="61" xfId="31" applyFont="1" applyFill="1" applyBorder="1" applyAlignment="1" applyProtection="1">
      <alignment horizontal="center" vertical="center"/>
    </xf>
    <xf numFmtId="0" fontId="12" fillId="0" borderId="62" xfId="31" applyFont="1" applyFill="1" applyBorder="1" applyAlignment="1" applyProtection="1">
      <alignment horizontal="center" vertical="center"/>
    </xf>
    <xf numFmtId="0" fontId="12" fillId="0" borderId="63" xfId="31" applyFont="1" applyFill="1" applyBorder="1" applyAlignment="1" applyProtection="1">
      <alignment horizontal="center" vertical="center"/>
    </xf>
    <xf numFmtId="0" fontId="11" fillId="0" borderId="11" xfId="31" applyFont="1" applyFill="1" applyBorder="1" applyAlignment="1" applyProtection="1">
      <alignment horizontal="center" vertical="center"/>
    </xf>
    <xf numFmtId="0" fontId="12" fillId="0" borderId="58" xfId="31" applyFont="1" applyFill="1" applyBorder="1" applyAlignment="1" applyProtection="1">
      <alignment horizontal="center" vertical="center"/>
    </xf>
    <xf numFmtId="0" fontId="12" fillId="0" borderId="54" xfId="31" applyFont="1" applyFill="1" applyBorder="1" applyAlignment="1" applyProtection="1">
      <alignment horizontal="left" indent="1"/>
      <protection locked="0"/>
    </xf>
    <xf numFmtId="0" fontId="12" fillId="0" borderId="56" xfId="31" applyFont="1" applyFill="1" applyBorder="1" applyAlignment="1" applyProtection="1">
      <alignment horizontal="left" indent="1"/>
      <protection locked="0"/>
    </xf>
    <xf numFmtId="0" fontId="12" fillId="0" borderId="14" xfId="31" applyFont="1" applyFill="1" applyBorder="1" applyAlignment="1" applyProtection="1">
      <alignment horizontal="left" indent="1"/>
      <protection locked="0"/>
    </xf>
    <xf numFmtId="0" fontId="11" fillId="0" borderId="58" xfId="31" applyFont="1" applyFill="1" applyBorder="1" applyAlignment="1" applyProtection="1">
      <alignment horizontal="left" vertical="center" wrapText="1"/>
    </xf>
    <xf numFmtId="0" fontId="12" fillId="0" borderId="80" xfId="11" applyFont="1" applyBorder="1" applyAlignment="1">
      <alignment horizontal="center" wrapText="1"/>
    </xf>
    <xf numFmtId="0" fontId="12" fillId="0" borderId="81" xfId="11" applyFont="1" applyBorder="1" applyAlignment="1">
      <alignment horizontal="center" wrapText="1"/>
    </xf>
    <xf numFmtId="0" fontId="12" fillId="0" borderId="82" xfId="11" applyFont="1" applyBorder="1" applyAlignment="1">
      <alignment horizontal="center" wrapText="1"/>
    </xf>
    <xf numFmtId="0" fontId="11" fillId="0" borderId="65" xfId="11" applyFont="1" applyBorder="1" applyAlignment="1">
      <alignment horizontal="center" wrapText="1"/>
    </xf>
    <xf numFmtId="0" fontId="11" fillId="0" borderId="83" xfId="11" applyFont="1" applyBorder="1" applyAlignment="1">
      <alignment horizontal="center" wrapText="1"/>
    </xf>
    <xf numFmtId="3" fontId="12" fillId="0" borderId="84" xfId="11" applyNumberFormat="1" applyFont="1" applyBorder="1" applyAlignment="1">
      <alignment wrapText="1"/>
    </xf>
    <xf numFmtId="3" fontId="12" fillId="0" borderId="22" xfId="11" applyNumberFormat="1" applyFont="1" applyFill="1" applyBorder="1" applyAlignment="1" applyProtection="1">
      <alignment horizontal="left" vertical="center" wrapText="1" indent="1"/>
      <protection locked="0"/>
    </xf>
    <xf numFmtId="3" fontId="12" fillId="0" borderId="16" xfId="11" applyNumberFormat="1" applyFont="1" applyFill="1" applyBorder="1" applyAlignment="1" applyProtection="1">
      <alignment vertical="center" wrapText="1"/>
      <protection locked="0"/>
    </xf>
    <xf numFmtId="3" fontId="12" fillId="0" borderId="60" xfId="11" applyNumberFormat="1" applyFont="1" applyFill="1" applyBorder="1" applyAlignment="1" applyProtection="1">
      <alignment vertical="center" wrapText="1"/>
      <protection locked="0"/>
    </xf>
    <xf numFmtId="3" fontId="12" fillId="0" borderId="22" xfId="11" applyNumberFormat="1" applyFont="1" applyFill="1" applyBorder="1" applyAlignment="1" applyProtection="1">
      <alignment vertical="center" wrapText="1"/>
      <protection locked="0"/>
    </xf>
    <xf numFmtId="1" fontId="12" fillId="0" borderId="2" xfId="11" applyNumberFormat="1" applyFont="1" applyFill="1" applyBorder="1" applyAlignment="1" applyProtection="1">
      <alignment horizontal="center" vertical="center" wrapText="1"/>
      <protection locked="0"/>
    </xf>
    <xf numFmtId="3" fontId="12" fillId="0" borderId="62" xfId="11" applyNumberFormat="1" applyFont="1" applyFill="1" applyBorder="1" applyAlignment="1">
      <alignment horizontal="center" vertical="center" wrapText="1"/>
    </xf>
    <xf numFmtId="3" fontId="11" fillId="0" borderId="12" xfId="11" applyNumberFormat="1" applyFont="1" applyFill="1" applyBorder="1" applyAlignment="1">
      <alignment vertical="center" wrapText="1"/>
    </xf>
    <xf numFmtId="3" fontId="11" fillId="0" borderId="10" xfId="11" applyNumberFormat="1" applyFont="1" applyFill="1" applyBorder="1" applyAlignment="1" applyProtection="1">
      <alignment vertical="center" wrapText="1"/>
    </xf>
    <xf numFmtId="3" fontId="11" fillId="0" borderId="11" xfId="11" applyNumberFormat="1" applyFont="1" applyFill="1" applyBorder="1" applyAlignment="1" applyProtection="1">
      <alignment vertical="center" wrapText="1"/>
    </xf>
    <xf numFmtId="3" fontId="11" fillId="0" borderId="10" xfId="11" applyNumberFormat="1" applyFont="1" applyFill="1" applyBorder="1" applyAlignment="1" applyProtection="1">
      <alignment horizontal="center" vertical="center" wrapText="1"/>
    </xf>
    <xf numFmtId="3" fontId="11" fillId="0" borderId="46" xfId="11" applyNumberFormat="1" applyFont="1" applyFill="1" applyBorder="1" applyAlignment="1">
      <alignment horizontal="center" vertical="center" wrapText="1"/>
    </xf>
    <xf numFmtId="3" fontId="11" fillId="0" borderId="50" xfId="11" applyNumberFormat="1" applyFont="1" applyFill="1" applyBorder="1" applyAlignment="1">
      <alignment horizontal="center" vertical="center" wrapText="1"/>
    </xf>
    <xf numFmtId="3" fontId="11" fillId="0" borderId="85" xfId="11" applyNumberFormat="1" applyFont="1" applyFill="1" applyBorder="1" applyAlignment="1">
      <alignment horizontal="center" vertical="center" wrapText="1"/>
    </xf>
    <xf numFmtId="3" fontId="11" fillId="0" borderId="86" xfId="11" applyNumberFormat="1" applyFont="1" applyFill="1" applyBorder="1" applyAlignment="1">
      <alignment horizontal="center" vertical="center" wrapText="1"/>
    </xf>
    <xf numFmtId="3" fontId="11" fillId="0" borderId="58" xfId="11" applyNumberFormat="1" applyFont="1" applyFill="1" applyBorder="1" applyAlignment="1">
      <alignment horizontal="center" vertical="center" wrapText="1"/>
    </xf>
    <xf numFmtId="3" fontId="12" fillId="0" borderId="0" xfId="11" applyNumberFormat="1" applyFont="1" applyFill="1" applyAlignment="1">
      <alignment horizontal="center" vertical="center" wrapText="1"/>
    </xf>
    <xf numFmtId="3" fontId="11" fillId="0" borderId="11" xfId="11" applyNumberFormat="1" applyFont="1" applyFill="1" applyBorder="1" applyAlignment="1">
      <alignment horizontal="center" vertical="center" wrapText="1"/>
    </xf>
    <xf numFmtId="3" fontId="7" fillId="0" borderId="0" xfId="11" applyNumberFormat="1" applyFont="1" applyFill="1" applyAlignment="1">
      <alignment vertical="center" wrapText="1"/>
    </xf>
    <xf numFmtId="3" fontId="7" fillId="0" borderId="0" xfId="11" applyNumberFormat="1" applyFont="1" applyFill="1" applyAlignment="1">
      <alignment horizontal="center" vertical="center" wrapText="1"/>
    </xf>
    <xf numFmtId="3" fontId="12" fillId="0" borderId="0" xfId="11" applyNumberFormat="1" applyFont="1" applyFill="1" applyAlignment="1">
      <alignment vertical="center" wrapText="1"/>
    </xf>
    <xf numFmtId="3" fontId="11" fillId="0" borderId="34" xfId="11" applyNumberFormat="1" applyFont="1" applyFill="1" applyBorder="1" applyAlignment="1">
      <alignment horizontal="center" vertical="center" wrapText="1"/>
    </xf>
    <xf numFmtId="3" fontId="11" fillId="0" borderId="34" xfId="11" applyNumberFormat="1" applyFont="1" applyFill="1" applyBorder="1" applyAlignment="1">
      <alignment horizontal="left" vertical="center" wrapText="1" indent="1"/>
    </xf>
    <xf numFmtId="3" fontId="11" fillId="0" borderId="9" xfId="11" applyNumberFormat="1" applyFont="1" applyFill="1" applyBorder="1" applyAlignment="1" applyProtection="1">
      <alignment vertical="center" wrapText="1"/>
    </xf>
    <xf numFmtId="3" fontId="11" fillId="0" borderId="47" xfId="11" applyNumberFormat="1" applyFont="1" applyFill="1" applyBorder="1" applyAlignment="1">
      <alignment horizontal="center" vertical="center" wrapText="1"/>
    </xf>
    <xf numFmtId="3" fontId="11" fillId="0" borderId="58" xfId="11" applyNumberFormat="1" applyFont="1" applyFill="1" applyBorder="1" applyAlignment="1" applyProtection="1">
      <alignment vertical="center" wrapText="1"/>
    </xf>
    <xf numFmtId="3" fontId="11" fillId="0" borderId="11" xfId="11" applyNumberFormat="1" applyFont="1" applyFill="1" applyBorder="1" applyAlignment="1">
      <alignment horizontal="center" vertical="center"/>
    </xf>
    <xf numFmtId="3" fontId="11" fillId="0" borderId="47" xfId="11" applyNumberFormat="1" applyFont="1" applyFill="1" applyBorder="1" applyAlignment="1" applyProtection="1">
      <alignment vertical="center" wrapText="1"/>
    </xf>
    <xf numFmtId="3" fontId="11" fillId="0" borderId="87" xfId="11" applyNumberFormat="1" applyFont="1" applyFill="1" applyBorder="1" applyAlignment="1">
      <alignment horizontal="center" vertical="center"/>
    </xf>
    <xf numFmtId="3" fontId="11" fillId="0" borderId="29" xfId="11" applyNumberFormat="1" applyFont="1" applyFill="1" applyBorder="1" applyAlignment="1">
      <alignment horizontal="center" vertical="center" wrapText="1"/>
    </xf>
    <xf numFmtId="3" fontId="12" fillId="0" borderId="17" xfId="11" applyNumberFormat="1" applyFont="1" applyFill="1" applyBorder="1" applyAlignment="1" applyProtection="1">
      <alignment vertical="center" wrapText="1"/>
      <protection locked="0"/>
    </xf>
    <xf numFmtId="3" fontId="12" fillId="0" borderId="56" xfId="11" applyNumberFormat="1" applyFont="1" applyFill="1" applyBorder="1" applyAlignment="1" applyProtection="1">
      <alignment vertical="center" wrapText="1"/>
      <protection locked="0"/>
    </xf>
    <xf numFmtId="3" fontId="12" fillId="0" borderId="62" xfId="11" applyNumberFormat="1" applyFont="1" applyFill="1" applyBorder="1" applyAlignment="1" applyProtection="1">
      <alignment vertical="center" wrapText="1"/>
      <protection locked="0"/>
    </xf>
    <xf numFmtId="3" fontId="12" fillId="0" borderId="2" xfId="11" applyNumberFormat="1" applyFont="1" applyFill="1" applyBorder="1" applyAlignment="1" applyProtection="1">
      <alignment vertical="center" wrapText="1"/>
      <protection locked="0"/>
    </xf>
    <xf numFmtId="3" fontId="12" fillId="0" borderId="18" xfId="11" applyNumberFormat="1" applyFont="1" applyFill="1" applyBorder="1" applyAlignment="1" applyProtection="1">
      <alignment vertical="center" wrapText="1"/>
      <protection locked="0"/>
    </xf>
    <xf numFmtId="3" fontId="11" fillId="0" borderId="22" xfId="11" applyNumberFormat="1" applyFont="1" applyFill="1" applyBorder="1" applyAlignment="1">
      <alignment vertical="center" wrapText="1"/>
    </xf>
    <xf numFmtId="3" fontId="11" fillId="0" borderId="34" xfId="11" applyNumberFormat="1" applyFont="1" applyFill="1" applyBorder="1" applyAlignment="1" applyProtection="1">
      <alignment horizontal="left" vertical="center" wrapText="1" indent="1"/>
      <protection locked="0"/>
    </xf>
    <xf numFmtId="3" fontId="12" fillId="0" borderId="21" xfId="11" applyNumberFormat="1" applyFont="1" applyFill="1" applyBorder="1" applyAlignment="1" applyProtection="1">
      <alignment vertical="center" wrapText="1"/>
      <protection locked="0"/>
    </xf>
    <xf numFmtId="3" fontId="11" fillId="0" borderId="21" xfId="11" applyNumberFormat="1" applyFont="1" applyFill="1" applyBorder="1" applyAlignment="1">
      <alignment vertical="center" wrapText="1"/>
    </xf>
    <xf numFmtId="3" fontId="11" fillId="0" borderId="41" xfId="11" applyNumberFormat="1" applyFont="1" applyFill="1" applyBorder="1" applyAlignment="1" applyProtection="1">
      <alignment horizontal="left" vertical="center" wrapText="1" indent="1"/>
      <protection locked="0"/>
    </xf>
    <xf numFmtId="3" fontId="11" fillId="0" borderId="34" xfId="11" applyNumberFormat="1" applyFont="1" applyFill="1" applyBorder="1" applyAlignment="1" applyProtection="1">
      <alignment horizontal="center" vertical="center" wrapText="1"/>
    </xf>
    <xf numFmtId="3" fontId="11" fillId="0" borderId="34" xfId="11" applyNumberFormat="1" applyFont="1" applyFill="1" applyBorder="1" applyAlignment="1" applyProtection="1">
      <alignment vertical="center" wrapText="1"/>
      <protection locked="0"/>
    </xf>
    <xf numFmtId="3" fontId="11" fillId="0" borderId="58" xfId="11" applyNumberFormat="1" applyFont="1" applyFill="1" applyBorder="1" applyAlignment="1" applyProtection="1">
      <alignment vertical="center" wrapText="1"/>
      <protection locked="0"/>
    </xf>
    <xf numFmtId="3" fontId="11" fillId="0" borderId="11" xfId="11" applyNumberFormat="1" applyFont="1" applyFill="1" applyBorder="1" applyAlignment="1" applyProtection="1">
      <alignment vertical="center" wrapText="1"/>
      <protection locked="0"/>
    </xf>
    <xf numFmtId="3" fontId="11" fillId="0" borderId="10" xfId="11" applyNumberFormat="1" applyFont="1" applyFill="1" applyBorder="1" applyAlignment="1" applyProtection="1">
      <alignment vertical="center" wrapText="1"/>
      <protection locked="0"/>
    </xf>
    <xf numFmtId="3" fontId="11" fillId="0" borderId="9" xfId="11" applyNumberFormat="1" applyFont="1" applyFill="1" applyBorder="1" applyAlignment="1" applyProtection="1">
      <alignment vertical="center" wrapText="1"/>
      <protection locked="0"/>
    </xf>
    <xf numFmtId="3" fontId="12" fillId="0" borderId="21" xfId="11" applyNumberFormat="1" applyFont="1" applyFill="1" applyBorder="1" applyAlignment="1">
      <alignment horizontal="center" vertical="center" wrapText="1"/>
    </xf>
    <xf numFmtId="3" fontId="12" fillId="0" borderId="21" xfId="11" applyNumberFormat="1" applyFont="1" applyFill="1" applyBorder="1" applyAlignment="1" applyProtection="1">
      <alignment horizontal="left" vertical="center" wrapText="1" indent="1"/>
      <protection locked="0"/>
    </xf>
    <xf numFmtId="1" fontId="12" fillId="0" borderId="54" xfId="11" applyNumberFormat="1" applyFont="1" applyFill="1" applyBorder="1" applyAlignment="1" applyProtection="1">
      <alignment horizontal="center" vertical="center" wrapText="1"/>
      <protection locked="0"/>
    </xf>
    <xf numFmtId="3" fontId="12" fillId="0" borderId="61" xfId="11" applyNumberFormat="1" applyFont="1" applyFill="1" applyBorder="1" applyAlignment="1" applyProtection="1">
      <alignment vertical="center" wrapText="1"/>
      <protection locked="0"/>
    </xf>
    <xf numFmtId="3" fontId="12" fillId="0" borderId="38" xfId="11" applyNumberFormat="1" applyFont="1" applyFill="1" applyBorder="1" applyAlignment="1" applyProtection="1">
      <alignment vertical="center" wrapText="1"/>
      <protection locked="0"/>
    </xf>
    <xf numFmtId="3" fontId="12" fillId="0" borderId="39" xfId="11" applyNumberFormat="1" applyFont="1" applyFill="1" applyBorder="1" applyAlignment="1" applyProtection="1">
      <alignment vertical="center" wrapText="1"/>
      <protection locked="0"/>
    </xf>
    <xf numFmtId="165" fontId="11" fillId="0" borderId="41" xfId="11" applyNumberFormat="1" applyFont="1" applyFill="1" applyBorder="1" applyAlignment="1" applyProtection="1">
      <alignment horizontal="left" vertical="center" wrapText="1" indent="1"/>
      <protection locked="0"/>
    </xf>
    <xf numFmtId="3" fontId="12" fillId="0" borderId="24" xfId="11" applyNumberFormat="1" applyFont="1" applyFill="1" applyBorder="1" applyAlignment="1">
      <alignment horizontal="center" vertical="center" wrapText="1"/>
    </xf>
    <xf numFmtId="3" fontId="12" fillId="0" borderId="5" xfId="11" applyNumberFormat="1" applyFont="1" applyFill="1" applyBorder="1" applyAlignment="1" applyProtection="1">
      <alignment horizontal="left" vertical="center" wrapText="1" indent="1"/>
      <protection locked="0"/>
    </xf>
    <xf numFmtId="1" fontId="12" fillId="0" borderId="24" xfId="11" applyNumberFormat="1" applyFont="1" applyFill="1" applyBorder="1" applyAlignment="1" applyProtection="1">
      <alignment horizontal="center" vertical="center" wrapText="1"/>
      <protection locked="0"/>
    </xf>
    <xf numFmtId="3" fontId="12" fillId="0" borderId="24" xfId="11" applyNumberFormat="1" applyFont="1" applyFill="1" applyBorder="1" applyAlignment="1" applyProtection="1">
      <alignment vertical="center" wrapText="1"/>
      <protection locked="0"/>
    </xf>
    <xf numFmtId="3" fontId="12" fillId="0" borderId="63" xfId="11" applyNumberFormat="1" applyFont="1" applyFill="1" applyBorder="1" applyAlignment="1" applyProtection="1">
      <alignment vertical="center" wrapText="1"/>
      <protection locked="0"/>
    </xf>
    <xf numFmtId="3" fontId="12" fillId="0" borderId="25" xfId="11" applyNumberFormat="1" applyFont="1" applyFill="1" applyBorder="1" applyAlignment="1" applyProtection="1">
      <alignment vertical="center" wrapText="1"/>
      <protection locked="0"/>
    </xf>
    <xf numFmtId="3" fontId="12" fillId="0" borderId="26" xfId="11" applyNumberFormat="1" applyFont="1" applyFill="1" applyBorder="1" applyAlignment="1" applyProtection="1">
      <alignment vertical="center" wrapText="1"/>
      <protection locked="0"/>
    </xf>
    <xf numFmtId="3" fontId="11" fillId="0" borderId="88" xfId="11" applyNumberFormat="1" applyFont="1" applyFill="1" applyBorder="1" applyAlignment="1">
      <alignment vertical="center" wrapText="1"/>
    </xf>
    <xf numFmtId="3" fontId="21" fillId="0" borderId="56" xfId="11" applyNumberFormat="1" applyFont="1" applyFill="1" applyBorder="1" applyAlignment="1" applyProtection="1">
      <alignment vertical="center" wrapText="1"/>
      <protection locked="0"/>
    </xf>
    <xf numFmtId="3" fontId="21" fillId="0" borderId="62" xfId="11" applyNumberFormat="1" applyFont="1" applyFill="1" applyBorder="1" applyAlignment="1" applyProtection="1">
      <alignment vertical="center" wrapText="1"/>
      <protection locked="0"/>
    </xf>
    <xf numFmtId="3" fontId="21" fillId="0" borderId="2" xfId="11" applyNumberFormat="1" applyFont="1" applyFill="1" applyBorder="1" applyAlignment="1" applyProtection="1">
      <alignment vertical="center" wrapText="1"/>
      <protection locked="0"/>
    </xf>
    <xf numFmtId="3" fontId="21" fillId="0" borderId="63" xfId="11" applyNumberFormat="1" applyFont="1" applyFill="1" applyBorder="1" applyAlignment="1">
      <alignment horizontal="center" vertical="center" wrapText="1"/>
    </xf>
    <xf numFmtId="1" fontId="21" fillId="0" borderId="25" xfId="11" applyNumberFormat="1" applyFont="1" applyFill="1" applyBorder="1" applyAlignment="1" applyProtection="1">
      <alignment horizontal="center" vertical="center" wrapText="1"/>
      <protection locked="0"/>
    </xf>
    <xf numFmtId="3" fontId="21" fillId="0" borderId="35" xfId="11" applyNumberFormat="1" applyFont="1" applyFill="1" applyBorder="1" applyAlignment="1" applyProtection="1">
      <alignment vertical="center" wrapText="1"/>
      <protection locked="0"/>
    </xf>
    <xf numFmtId="3" fontId="11" fillId="3" borderId="58" xfId="11" applyNumberFormat="1" applyFont="1" applyFill="1" applyBorder="1" applyAlignment="1" applyProtection="1">
      <alignment horizontal="center" vertical="center" wrapText="1"/>
    </xf>
    <xf numFmtId="3" fontId="11" fillId="0" borderId="34" xfId="11" applyNumberFormat="1" applyFont="1" applyFill="1" applyBorder="1" applyAlignment="1">
      <alignment vertical="center" wrapText="1"/>
    </xf>
    <xf numFmtId="3" fontId="11" fillId="0" borderId="24" xfId="11" applyNumberFormat="1" applyFont="1" applyFill="1" applyBorder="1" applyAlignment="1">
      <alignment vertical="center" wrapText="1"/>
    </xf>
    <xf numFmtId="3" fontId="21" fillId="0" borderId="20" xfId="11" applyNumberFormat="1" applyFont="1" applyFill="1" applyBorder="1" applyAlignment="1" applyProtection="1">
      <alignment vertical="center" wrapText="1"/>
      <protection locked="0"/>
    </xf>
    <xf numFmtId="3" fontId="12" fillId="0" borderId="20" xfId="11" applyNumberFormat="1" applyFont="1" applyFill="1" applyBorder="1" applyAlignment="1" applyProtection="1">
      <alignment vertical="center" wrapText="1"/>
      <protection locked="0"/>
    </xf>
    <xf numFmtId="3" fontId="12" fillId="0" borderId="40" xfId="11" applyNumberFormat="1" applyFont="1" applyFill="1" applyBorder="1" applyAlignment="1" applyProtection="1">
      <alignment vertical="center" wrapText="1"/>
      <protection locked="0"/>
    </xf>
    <xf numFmtId="3" fontId="11" fillId="0" borderId="9" xfId="11" applyNumberFormat="1" applyFont="1" applyFill="1" applyBorder="1" applyAlignment="1">
      <alignment vertical="center" wrapText="1"/>
    </xf>
    <xf numFmtId="49" fontId="11" fillId="0" borderId="11" xfId="11" applyNumberFormat="1" applyFont="1" applyFill="1" applyBorder="1" applyAlignment="1">
      <alignment horizontal="center" vertical="center" wrapText="1"/>
    </xf>
    <xf numFmtId="49" fontId="12" fillId="0" borderId="63" xfId="11" applyNumberFormat="1" applyFont="1" applyFill="1" applyBorder="1" applyAlignment="1">
      <alignment horizontal="center" vertical="center" wrapText="1"/>
    </xf>
    <xf numFmtId="3" fontId="21" fillId="0" borderId="20" xfId="11" applyNumberFormat="1" applyFont="1" applyFill="1" applyBorder="1" applyAlignment="1" applyProtection="1">
      <alignment horizontal="left" vertical="center" wrapText="1" indent="2"/>
      <protection locked="0"/>
    </xf>
    <xf numFmtId="3" fontId="12" fillId="0" borderId="20" xfId="11" applyNumberFormat="1" applyFont="1" applyFill="1" applyBorder="1" applyAlignment="1" applyProtection="1">
      <alignment horizontal="left" vertical="center" wrapText="1" indent="1"/>
      <protection locked="0"/>
    </xf>
    <xf numFmtId="49" fontId="12" fillId="0" borderId="62" xfId="11" applyNumberFormat="1" applyFont="1" applyFill="1" applyBorder="1" applyAlignment="1">
      <alignment horizontal="center" vertical="center" wrapText="1"/>
    </xf>
    <xf numFmtId="3" fontId="12" fillId="0" borderId="40" xfId="11" applyNumberFormat="1" applyFont="1" applyFill="1" applyBorder="1" applyAlignment="1" applyProtection="1">
      <alignment horizontal="left" vertical="center" wrapText="1" indent="1"/>
      <protection locked="0"/>
    </xf>
    <xf numFmtId="49" fontId="12" fillId="0" borderId="61" xfId="11" applyNumberFormat="1" applyFont="1" applyFill="1" applyBorder="1" applyAlignment="1">
      <alignment horizontal="center" vertical="center" wrapText="1"/>
    </xf>
    <xf numFmtId="3" fontId="10" fillId="0" borderId="0" xfId="11" applyNumberFormat="1" applyFont="1" applyFill="1" applyAlignment="1">
      <alignment horizontal="right" vertical="center"/>
    </xf>
    <xf numFmtId="3" fontId="21" fillId="0" borderId="0" xfId="11" applyNumberFormat="1" applyFont="1" applyFill="1" applyAlignment="1">
      <alignment vertical="center" wrapText="1"/>
    </xf>
    <xf numFmtId="3" fontId="21" fillId="0" borderId="0" xfId="11" applyNumberFormat="1" applyFont="1" applyFill="1" applyAlignment="1">
      <alignment horizontal="center" vertical="center" wrapText="1"/>
    </xf>
    <xf numFmtId="3" fontId="11" fillId="0" borderId="9" xfId="11" applyNumberFormat="1" applyFont="1" applyFill="1" applyBorder="1" applyAlignment="1">
      <alignment horizontal="center" vertical="center" wrapText="1"/>
    </xf>
    <xf numFmtId="3" fontId="11" fillId="0" borderId="10" xfId="11" applyNumberFormat="1" applyFont="1" applyFill="1" applyBorder="1" applyAlignment="1">
      <alignment horizontal="center" vertical="center" wrapText="1"/>
    </xf>
    <xf numFmtId="3" fontId="11" fillId="0" borderId="10" xfId="11" applyNumberFormat="1" applyFont="1" applyFill="1" applyBorder="1" applyAlignment="1">
      <alignment vertical="center" wrapText="1"/>
    </xf>
    <xf numFmtId="3" fontId="11" fillId="0" borderId="22" xfId="33" applyNumberFormat="1" applyFont="1" applyFill="1" applyBorder="1" applyAlignment="1" applyProtection="1">
      <alignment vertical="center"/>
    </xf>
    <xf numFmtId="3" fontId="12" fillId="0" borderId="18" xfId="33" applyNumberFormat="1" applyFont="1" applyFill="1" applyBorder="1" applyAlignment="1" applyProtection="1">
      <alignment vertical="center"/>
      <protection locked="0"/>
    </xf>
    <xf numFmtId="3" fontId="12" fillId="0" borderId="62" xfId="33" applyNumberFormat="1" applyFont="1" applyFill="1" applyBorder="1" applyAlignment="1" applyProtection="1">
      <alignment horizontal="left" vertical="center" indent="1"/>
    </xf>
    <xf numFmtId="3" fontId="11" fillId="0" borderId="21" xfId="33" applyNumberFormat="1" applyFont="1" applyFill="1" applyBorder="1" applyAlignment="1" applyProtection="1">
      <alignment vertical="center"/>
    </xf>
    <xf numFmtId="3" fontId="12" fillId="0" borderId="39" xfId="33" applyNumberFormat="1" applyFont="1" applyFill="1" applyBorder="1" applyAlignment="1" applyProtection="1">
      <alignment vertical="center"/>
      <protection locked="0"/>
    </xf>
    <xf numFmtId="3" fontId="12" fillId="0" borderId="61" xfId="33" applyNumberFormat="1" applyFont="1" applyFill="1" applyBorder="1" applyAlignment="1" applyProtection="1">
      <alignment horizontal="left" vertical="center" indent="1"/>
    </xf>
    <xf numFmtId="3" fontId="12" fillId="0" borderId="86" xfId="33" applyNumberFormat="1" applyFont="1" applyFill="1" applyBorder="1" applyAlignment="1" applyProtection="1">
      <alignment horizontal="left" vertical="center" indent="1"/>
    </xf>
    <xf numFmtId="3" fontId="11" fillId="0" borderId="51" xfId="33" applyNumberFormat="1" applyFont="1" applyFill="1" applyBorder="1" applyAlignment="1" applyProtection="1">
      <alignment horizontal="center" vertical="center"/>
    </xf>
    <xf numFmtId="3" fontId="11" fillId="0" borderId="11" xfId="33" applyNumberFormat="1" applyFont="1" applyFill="1" applyBorder="1" applyAlignment="1" applyProtection="1">
      <alignment horizontal="center" vertical="center" wrapText="1"/>
    </xf>
    <xf numFmtId="3" fontId="11" fillId="0" borderId="9" xfId="33" applyNumberFormat="1" applyFont="1" applyFill="1" applyBorder="1" applyAlignment="1" applyProtection="1">
      <alignment horizontal="center" vertical="center"/>
    </xf>
    <xf numFmtId="3" fontId="11" fillId="0" borderId="34" xfId="33" applyNumberFormat="1" applyFont="1" applyFill="1" applyBorder="1" applyAlignment="1" applyProtection="1">
      <alignment horizontal="center" vertical="center"/>
    </xf>
    <xf numFmtId="3" fontId="11" fillId="0" borderId="9" xfId="33" applyNumberFormat="1" applyFont="1" applyFill="1" applyBorder="1" applyAlignment="1" applyProtection="1">
      <alignment vertical="center"/>
    </xf>
    <xf numFmtId="3" fontId="11" fillId="0" borderId="9" xfId="33" applyNumberFormat="1" applyFont="1" applyFill="1" applyBorder="1" applyAlignment="1" applyProtection="1">
      <alignment horizontal="left" indent="1"/>
      <protection locked="0"/>
    </xf>
    <xf numFmtId="3" fontId="11" fillId="0" borderId="52" xfId="11" applyNumberFormat="1" applyFont="1" applyFill="1" applyBorder="1" applyAlignment="1">
      <alignment horizontal="center" vertical="center"/>
    </xf>
    <xf numFmtId="3" fontId="11" fillId="0" borderId="85" xfId="11" applyNumberFormat="1" applyFont="1" applyFill="1" applyBorder="1" applyAlignment="1">
      <alignment horizontal="center" vertical="center"/>
    </xf>
    <xf numFmtId="3" fontId="11" fillId="0" borderId="52" xfId="33" applyNumberFormat="1" applyFont="1" applyFill="1" applyBorder="1" applyAlignment="1" applyProtection="1">
      <alignment horizontal="center" vertical="center"/>
    </xf>
    <xf numFmtId="3" fontId="11" fillId="0" borderId="11" xfId="33" applyNumberFormat="1" applyFont="1" applyFill="1" applyBorder="1" applyAlignment="1" applyProtection="1">
      <alignment horizontal="left" vertical="center" indent="1"/>
    </xf>
    <xf numFmtId="3" fontId="11" fillId="0" borderId="58" xfId="33" applyNumberFormat="1" applyFont="1" applyFill="1" applyBorder="1" applyAlignment="1" applyProtection="1">
      <alignment vertical="center"/>
    </xf>
    <xf numFmtId="3" fontId="11" fillId="0" borderId="11" xfId="33" applyNumberFormat="1" applyFont="1" applyFill="1" applyBorder="1" applyAlignment="1" applyProtection="1">
      <alignment vertical="center"/>
    </xf>
    <xf numFmtId="3" fontId="11" fillId="0" borderId="10" xfId="33" applyNumberFormat="1" applyFont="1" applyFill="1" applyBorder="1" applyAlignment="1" applyProtection="1">
      <alignment vertical="center"/>
    </xf>
    <xf numFmtId="3" fontId="11" fillId="0" borderId="12" xfId="33" applyNumberFormat="1" applyFont="1" applyFill="1" applyBorder="1" applyAlignment="1" applyProtection="1">
      <alignment vertical="center"/>
    </xf>
    <xf numFmtId="3" fontId="11" fillId="0" borderId="86" xfId="33" applyNumberFormat="1" applyFont="1" applyFill="1" applyBorder="1" applyAlignment="1" applyProtection="1">
      <alignment horizontal="left" vertical="center" indent="1"/>
    </xf>
    <xf numFmtId="3" fontId="11" fillId="0" borderId="34" xfId="33" applyNumberFormat="1" applyFont="1" applyFill="1" applyBorder="1" applyAlignment="1" applyProtection="1">
      <alignment vertical="center"/>
    </xf>
    <xf numFmtId="3" fontId="11" fillId="0" borderId="89" xfId="33" applyNumberFormat="1" applyFont="1" applyFill="1" applyBorder="1" applyAlignment="1" applyProtection="1">
      <alignment horizontal="left" vertical="center" indent="1"/>
    </xf>
    <xf numFmtId="3" fontId="11" fillId="0" borderId="58" xfId="33" applyNumberFormat="1" applyFont="1" applyFill="1" applyBorder="1" applyAlignment="1" applyProtection="1"/>
    <xf numFmtId="3" fontId="11" fillId="0" borderId="10" xfId="33" applyNumberFormat="1" applyFont="1" applyFill="1" applyBorder="1" applyAlignment="1" applyProtection="1"/>
    <xf numFmtId="3" fontId="11" fillId="0" borderId="34" xfId="33" applyNumberFormat="1" applyFont="1" applyFill="1" applyBorder="1" applyAlignment="1" applyProtection="1"/>
    <xf numFmtId="3" fontId="12" fillId="0" borderId="0" xfId="33" applyNumberFormat="1" applyFont="1" applyFill="1" applyProtection="1">
      <protection locked="0"/>
    </xf>
    <xf numFmtId="0" fontId="12" fillId="0" borderId="0" xfId="26" applyFont="1"/>
    <xf numFmtId="3" fontId="21" fillId="0" borderId="0" xfId="33" applyNumberFormat="1" applyFont="1" applyFill="1" applyAlignment="1" applyProtection="1">
      <alignment horizontal="right"/>
    </xf>
    <xf numFmtId="3" fontId="12" fillId="0" borderId="63" xfId="33" applyNumberFormat="1" applyFont="1" applyFill="1" applyBorder="1" applyAlignment="1" applyProtection="1">
      <alignment horizontal="left" vertical="center" indent="1"/>
    </xf>
    <xf numFmtId="3" fontId="12" fillId="0" borderId="26" xfId="33" applyNumberFormat="1" applyFont="1" applyFill="1" applyBorder="1" applyAlignment="1" applyProtection="1">
      <alignment vertical="center"/>
      <protection locked="0"/>
    </xf>
    <xf numFmtId="3" fontId="11" fillId="0" borderId="86" xfId="11" applyNumberFormat="1" applyFont="1" applyFill="1" applyBorder="1" applyAlignment="1">
      <alignment horizontal="center" vertical="center"/>
    </xf>
    <xf numFmtId="3" fontId="11" fillId="0" borderId="45" xfId="11" applyNumberFormat="1" applyFont="1" applyFill="1" applyBorder="1" applyAlignment="1">
      <alignment horizontal="center" vertical="center"/>
    </xf>
    <xf numFmtId="3" fontId="17" fillId="0" borderId="53" xfId="0" applyNumberFormat="1" applyFont="1" applyBorder="1"/>
    <xf numFmtId="3" fontId="16" fillId="0" borderId="53" xfId="0" applyNumberFormat="1" applyFont="1" applyBorder="1"/>
    <xf numFmtId="3" fontId="15" fillId="0" borderId="91" xfId="0" applyNumberFormat="1" applyFont="1" applyBorder="1"/>
    <xf numFmtId="3" fontId="17" fillId="2" borderId="49" xfId="0" applyNumberFormat="1" applyFont="1" applyFill="1" applyBorder="1"/>
    <xf numFmtId="3" fontId="17" fillId="0" borderId="49" xfId="0" applyNumberFormat="1" applyFont="1" applyBorder="1"/>
    <xf numFmtId="3" fontId="17" fillId="0" borderId="59" xfId="0" applyNumberFormat="1" applyFont="1" applyBorder="1"/>
    <xf numFmtId="3" fontId="16" fillId="0" borderId="49" xfId="0" applyNumberFormat="1" applyFont="1" applyBorder="1"/>
    <xf numFmtId="3" fontId="16" fillId="0" borderId="59" xfId="0" applyNumberFormat="1" applyFont="1" applyBorder="1"/>
    <xf numFmtId="3" fontId="16" fillId="0" borderId="55" xfId="0" applyNumberFormat="1" applyFont="1" applyBorder="1"/>
    <xf numFmtId="3" fontId="15" fillId="0" borderId="47" xfId="0" applyNumberFormat="1" applyFont="1" applyBorder="1" applyAlignment="1">
      <alignment horizontal="center" vertical="center" wrapText="1"/>
    </xf>
    <xf numFmtId="3" fontId="7" fillId="0" borderId="0" xfId="31" applyNumberFormat="1" applyFont="1" applyFill="1" applyAlignment="1"/>
    <xf numFmtId="3" fontId="15" fillId="0" borderId="95" xfId="0" applyNumberFormat="1" applyFont="1" applyBorder="1"/>
    <xf numFmtId="0" fontId="12" fillId="0" borderId="56" xfId="11" applyFont="1" applyFill="1" applyBorder="1" applyAlignment="1" applyProtection="1">
      <alignment horizontal="left" vertical="center" wrapText="1" indent="1"/>
      <protection locked="0"/>
    </xf>
    <xf numFmtId="0" fontId="12" fillId="0" borderId="8" xfId="11" applyFont="1" applyFill="1" applyBorder="1" applyAlignment="1" applyProtection="1">
      <alignment horizontal="left" vertical="center" wrapText="1" indent="1"/>
      <protection locked="0"/>
    </xf>
    <xf numFmtId="3" fontId="11" fillId="0" borderId="9" xfId="11" applyNumberFormat="1" applyFont="1" applyFill="1" applyBorder="1" applyAlignment="1" applyProtection="1">
      <alignment horizontal="right" vertical="center" wrapText="1"/>
      <protection locked="0"/>
    </xf>
    <xf numFmtId="0" fontId="11" fillId="0" borderId="58" xfId="11" applyFont="1" applyFill="1" applyBorder="1" applyAlignment="1" applyProtection="1">
      <alignment horizontal="left" vertical="center" wrapText="1"/>
      <protection locked="0"/>
    </xf>
    <xf numFmtId="0" fontId="12" fillId="0" borderId="14" xfId="11" applyFont="1" applyFill="1" applyBorder="1" applyAlignment="1">
      <alignment horizontal="left" vertical="center" wrapText="1" indent="1"/>
    </xf>
    <xf numFmtId="0" fontId="11" fillId="0" borderId="54" xfId="11" applyFont="1" applyFill="1" applyBorder="1" applyAlignment="1">
      <alignment horizontal="center" vertical="center" wrapText="1"/>
    </xf>
    <xf numFmtId="0" fontId="11" fillId="0" borderId="3" xfId="11" applyFont="1" applyFill="1" applyBorder="1" applyAlignment="1" applyProtection="1">
      <alignment horizontal="left" vertical="center" wrapText="1"/>
      <protection locked="0"/>
    </xf>
    <xf numFmtId="0" fontId="11" fillId="0" borderId="0" xfId="11" applyFont="1" applyFill="1" applyAlignment="1">
      <alignment horizontal="center" vertical="center"/>
    </xf>
    <xf numFmtId="0" fontId="11" fillId="0" borderId="0" xfId="11" applyFont="1" applyFill="1" applyAlignment="1">
      <alignment horizontal="centerContinuous" vertical="center"/>
    </xf>
    <xf numFmtId="49" fontId="21" fillId="0" borderId="63" xfId="11" applyNumberFormat="1" applyFont="1" applyFill="1" applyBorder="1" applyAlignment="1">
      <alignment horizontal="center" vertical="center" wrapText="1"/>
    </xf>
    <xf numFmtId="49" fontId="12" fillId="0" borderId="60" xfId="11" applyNumberFormat="1" applyFont="1" applyFill="1" applyBorder="1" applyAlignment="1">
      <alignment horizontal="center" vertical="center" wrapText="1"/>
    </xf>
    <xf numFmtId="49" fontId="21" fillId="0" borderId="62" xfId="11" applyNumberFormat="1" applyFont="1" applyFill="1" applyBorder="1" applyAlignment="1">
      <alignment horizontal="center" vertical="center" wrapText="1"/>
    </xf>
    <xf numFmtId="0" fontId="7" fillId="0" borderId="0" xfId="11" applyFont="1" applyFill="1" applyAlignment="1">
      <alignment horizontal="right"/>
    </xf>
    <xf numFmtId="0" fontId="11" fillId="0" borderId="11" xfId="11" applyFont="1" applyFill="1" applyBorder="1" applyAlignment="1">
      <alignment horizontal="center" vertical="center"/>
    </xf>
    <xf numFmtId="0" fontId="12" fillId="0" borderId="97" xfId="11" applyFont="1" applyFill="1" applyBorder="1" applyAlignment="1">
      <alignment horizontal="center" vertical="center"/>
    </xf>
    <xf numFmtId="0" fontId="21" fillId="0" borderId="14" xfId="11" applyFont="1" applyFill="1" applyBorder="1" applyAlignment="1">
      <alignment horizontal="left" vertical="center" wrapText="1" indent="3"/>
    </xf>
    <xf numFmtId="0" fontId="12" fillId="0" borderId="14" xfId="11" applyFont="1" applyFill="1" applyBorder="1" applyAlignment="1">
      <alignment horizontal="left" vertical="center" wrapText="1" indent="2"/>
    </xf>
    <xf numFmtId="0" fontId="12" fillId="0" borderId="56" xfId="11" applyFont="1" applyFill="1" applyBorder="1" applyAlignment="1" applyProtection="1">
      <alignment horizontal="left" vertical="center" wrapText="1" indent="2"/>
      <protection locked="0"/>
    </xf>
    <xf numFmtId="0" fontId="21" fillId="0" borderId="56" xfId="11" applyFont="1" applyFill="1" applyBorder="1" applyAlignment="1" applyProtection="1">
      <alignment horizontal="left" vertical="center" wrapText="1" indent="3"/>
      <protection locked="0"/>
    </xf>
    <xf numFmtId="0" fontId="12" fillId="0" borderId="8" xfId="11" applyFont="1" applyFill="1" applyBorder="1" applyAlignment="1" applyProtection="1">
      <alignment horizontal="left" vertical="center" wrapText="1" indent="2"/>
      <protection locked="0"/>
    </xf>
    <xf numFmtId="0" fontId="10" fillId="0" borderId="11" xfId="11" applyFont="1" applyFill="1" applyBorder="1" applyAlignment="1">
      <alignment horizontal="center" vertical="center"/>
    </xf>
    <xf numFmtId="0" fontId="10" fillId="0" borderId="58" xfId="11" applyFont="1" applyFill="1" applyBorder="1" applyAlignment="1" applyProtection="1">
      <alignment horizontal="left" vertical="center" wrapText="1"/>
      <protection locked="0"/>
    </xf>
    <xf numFmtId="3" fontId="10" fillId="0" borderId="9" xfId="11" applyNumberFormat="1" applyFont="1" applyFill="1" applyBorder="1" applyAlignment="1" applyProtection="1">
      <alignment horizontal="right" vertical="center" wrapText="1"/>
      <protection locked="0"/>
    </xf>
    <xf numFmtId="0" fontId="11" fillId="0" borderId="11" xfId="11" applyFont="1" applyFill="1" applyBorder="1" applyAlignment="1">
      <alignment horizontal="center" vertical="center" wrapText="1"/>
    </xf>
    <xf numFmtId="49" fontId="12" fillId="0" borderId="97" xfId="11" applyNumberFormat="1" applyFont="1" applyFill="1" applyBorder="1" applyAlignment="1">
      <alignment horizontal="center" vertical="center" wrapText="1"/>
    </xf>
    <xf numFmtId="0" fontId="12" fillId="0" borderId="3" xfId="11" applyFont="1" applyFill="1" applyBorder="1" applyAlignment="1">
      <alignment horizontal="left" vertical="center" wrapText="1" indent="1"/>
    </xf>
    <xf numFmtId="0" fontId="12" fillId="0" borderId="0" xfId="0" applyFont="1" applyFill="1"/>
    <xf numFmtId="3" fontId="12" fillId="0" borderId="42" xfId="11" applyNumberFormat="1" applyFont="1" applyFill="1" applyBorder="1" applyAlignment="1" applyProtection="1">
      <alignment vertical="center" wrapText="1"/>
      <protection locked="0"/>
    </xf>
    <xf numFmtId="165" fontId="11" fillId="0" borderId="0" xfId="11" applyNumberFormat="1" applyFont="1" applyFill="1" applyBorder="1" applyAlignment="1" applyProtection="1">
      <alignment horizontal="center" vertical="center" wrapText="1"/>
    </xf>
    <xf numFmtId="165" fontId="11" fillId="0" borderId="3" xfId="11" applyNumberFormat="1" applyFont="1" applyFill="1" applyBorder="1" applyAlignment="1" applyProtection="1">
      <alignment horizontal="center" vertical="center" wrapText="1"/>
    </xf>
    <xf numFmtId="165" fontId="11" fillId="0" borderId="87" xfId="11" applyNumberFormat="1" applyFont="1" applyFill="1" applyBorder="1" applyAlignment="1" applyProtection="1">
      <alignment horizontal="center" vertical="center" wrapText="1"/>
    </xf>
    <xf numFmtId="165" fontId="11" fillId="0" borderId="58" xfId="11" applyNumberFormat="1" applyFont="1" applyFill="1" applyBorder="1" applyAlignment="1">
      <alignment horizontal="center" vertical="center" wrapText="1"/>
    </xf>
    <xf numFmtId="3" fontId="11" fillId="0" borderId="41" xfId="11" applyNumberFormat="1" applyFont="1" applyFill="1" applyBorder="1" applyAlignment="1" applyProtection="1">
      <alignment vertical="center" wrapText="1"/>
      <protection locked="0"/>
    </xf>
    <xf numFmtId="3" fontId="12" fillId="0" borderId="8" xfId="11" applyNumberFormat="1" applyFont="1" applyFill="1" applyBorder="1" applyAlignment="1" applyProtection="1">
      <alignment vertical="center" wrapText="1"/>
      <protection locked="0"/>
    </xf>
    <xf numFmtId="3" fontId="12" fillId="0" borderId="6" xfId="11" applyNumberFormat="1" applyFont="1" applyFill="1" applyBorder="1" applyAlignment="1" applyProtection="1">
      <alignment vertical="center" wrapText="1"/>
      <protection locked="0"/>
    </xf>
    <xf numFmtId="3" fontId="10" fillId="0" borderId="87" xfId="11" applyNumberFormat="1" applyFont="1" applyFill="1" applyBorder="1" applyAlignment="1" applyProtection="1">
      <alignment vertical="center" wrapText="1"/>
      <protection locked="0"/>
    </xf>
    <xf numFmtId="3" fontId="10" fillId="0" borderId="43" xfId="11" applyNumberFormat="1" applyFont="1" applyFill="1" applyBorder="1" applyAlignment="1" applyProtection="1">
      <alignment vertical="center" wrapText="1"/>
      <protection locked="0"/>
    </xf>
    <xf numFmtId="3" fontId="11" fillId="0" borderId="87" xfId="11" applyNumberFormat="1" applyFont="1" applyFill="1" applyBorder="1" applyAlignment="1" applyProtection="1">
      <alignment vertical="center" wrapText="1"/>
    </xf>
    <xf numFmtId="3" fontId="11" fillId="0" borderId="43" xfId="11" applyNumberFormat="1" applyFont="1" applyFill="1" applyBorder="1" applyAlignment="1" applyProtection="1">
      <alignment vertical="center" wrapText="1"/>
    </xf>
    <xf numFmtId="165" fontId="12" fillId="0" borderId="41" xfId="11" applyNumberFormat="1" applyFont="1" applyFill="1" applyBorder="1" applyAlignment="1">
      <alignment vertical="center" wrapText="1"/>
    </xf>
    <xf numFmtId="165" fontId="9" fillId="0" borderId="0" xfId="11" applyNumberFormat="1" applyFont="1" applyFill="1" applyAlignment="1">
      <alignment vertical="center" wrapText="1"/>
    </xf>
    <xf numFmtId="165" fontId="11" fillId="0" borderId="13" xfId="11" applyNumberFormat="1" applyFont="1" applyFill="1" applyBorder="1" applyAlignment="1">
      <alignment horizontal="center" vertical="center" wrapText="1"/>
    </xf>
    <xf numFmtId="165" fontId="11" fillId="0" borderId="27" xfId="11" applyNumberFormat="1" applyFont="1" applyFill="1" applyBorder="1" applyAlignment="1" applyProtection="1">
      <alignment horizontal="center" vertical="center" wrapText="1"/>
    </xf>
    <xf numFmtId="165" fontId="11" fillId="0" borderId="46" xfId="11" applyNumberFormat="1" applyFont="1" applyFill="1" applyBorder="1" applyAlignment="1" applyProtection="1">
      <alignment horizontal="center" vertical="center" wrapText="1"/>
    </xf>
    <xf numFmtId="3" fontId="12" fillId="0" borderId="30" xfId="11" applyNumberFormat="1" applyFont="1" applyFill="1" applyBorder="1" applyAlignment="1" applyProtection="1">
      <alignment vertical="center" wrapText="1"/>
      <protection locked="0"/>
    </xf>
    <xf numFmtId="3" fontId="10" fillId="0" borderId="35" xfId="11" applyNumberFormat="1" applyFont="1" applyFill="1" applyBorder="1" applyAlignment="1" applyProtection="1">
      <alignment vertical="center" wrapText="1"/>
      <protection locked="0"/>
    </xf>
    <xf numFmtId="3" fontId="11" fillId="0" borderId="35" xfId="11" applyNumberFormat="1" applyFont="1" applyFill="1" applyBorder="1" applyAlignment="1" applyProtection="1">
      <alignment vertical="center" wrapText="1"/>
    </xf>
    <xf numFmtId="3" fontId="11" fillId="0" borderId="45" xfId="11" applyNumberFormat="1" applyFont="1" applyFill="1" applyBorder="1" applyAlignment="1" applyProtection="1">
      <alignment vertical="center" wrapText="1"/>
    </xf>
    <xf numFmtId="165" fontId="11" fillId="4" borderId="45" xfId="11" applyNumberFormat="1" applyFont="1" applyFill="1" applyBorder="1" applyAlignment="1" applyProtection="1">
      <alignment horizontal="center" vertical="center" wrapText="1"/>
    </xf>
    <xf numFmtId="165" fontId="11" fillId="0" borderId="54" xfId="11" applyNumberFormat="1" applyFont="1" applyFill="1" applyBorder="1" applyAlignment="1" applyProtection="1">
      <alignment horizontal="center" vertical="center" wrapText="1"/>
    </xf>
    <xf numFmtId="165" fontId="11" fillId="0" borderId="21" xfId="11" applyNumberFormat="1" applyFont="1" applyFill="1" applyBorder="1" applyAlignment="1" applyProtection="1">
      <alignment horizontal="center" vertical="center" wrapText="1"/>
    </xf>
    <xf numFmtId="165" fontId="11" fillId="0" borderId="15" xfId="11" applyNumberFormat="1" applyFont="1" applyFill="1" applyBorder="1" applyAlignment="1" applyProtection="1">
      <alignment horizontal="center" vertical="center" wrapText="1"/>
    </xf>
    <xf numFmtId="165" fontId="11" fillId="0" borderId="45" xfId="11" applyNumberFormat="1" applyFont="1" applyFill="1" applyBorder="1" applyAlignment="1">
      <alignment vertical="center" wrapText="1"/>
    </xf>
    <xf numFmtId="0" fontId="12" fillId="0" borderId="62" xfId="11" applyFont="1" applyBorder="1" applyAlignment="1">
      <alignment horizontal="center" vertical="center"/>
    </xf>
    <xf numFmtId="0" fontId="7" fillId="0" borderId="0" xfId="11" applyFont="1" applyAlignment="1">
      <alignment horizontal="center"/>
    </xf>
    <xf numFmtId="0" fontId="12" fillId="0" borderId="16" xfId="11" applyFont="1" applyBorder="1" applyAlignment="1" applyProtection="1">
      <alignment horizontal="left" vertical="center" indent="1"/>
      <protection locked="0"/>
    </xf>
    <xf numFmtId="0" fontId="12" fillId="0" borderId="56" xfId="11" applyFont="1" applyBorder="1" applyAlignment="1" applyProtection="1">
      <alignment horizontal="left" vertical="center" indent="1"/>
      <protection locked="0"/>
    </xf>
    <xf numFmtId="0" fontId="12" fillId="0" borderId="0" xfId="11" applyFont="1" applyBorder="1" applyAlignment="1">
      <alignment horizontal="center" wrapText="1"/>
    </xf>
    <xf numFmtId="0" fontId="11" fillId="0" borderId="11" xfId="11" applyFont="1" applyBorder="1" applyAlignment="1">
      <alignment horizontal="center" vertical="center" wrapText="1"/>
    </xf>
    <xf numFmtId="0" fontId="11" fillId="0" borderId="41" xfId="11" applyFont="1" applyBorder="1" applyAlignment="1">
      <alignment vertical="center"/>
    </xf>
    <xf numFmtId="0" fontId="11" fillId="0" borderId="97" xfId="11" applyFont="1" applyBorder="1" applyAlignment="1">
      <alignment horizontal="center" vertical="center" wrapText="1"/>
    </xf>
    <xf numFmtId="0" fontId="11" fillId="0" borderId="58" xfId="11" applyFont="1" applyBorder="1" applyAlignment="1">
      <alignment horizontal="center" vertical="center"/>
    </xf>
    <xf numFmtId="0" fontId="11" fillId="0" borderId="15" xfId="11" applyFont="1" applyBorder="1" applyAlignment="1">
      <alignment vertical="center"/>
    </xf>
    <xf numFmtId="0" fontId="11" fillId="0" borderId="3" xfId="11" applyFont="1" applyBorder="1" applyAlignment="1">
      <alignment horizontal="center" vertical="center"/>
    </xf>
    <xf numFmtId="0" fontId="12" fillId="0" borderId="63" xfId="11" applyFont="1" applyBorder="1" applyAlignment="1">
      <alignment horizontal="center" vertical="center"/>
    </xf>
    <xf numFmtId="0" fontId="12" fillId="0" borderId="60" xfId="11" applyFont="1" applyBorder="1" applyAlignment="1">
      <alignment horizontal="center" vertical="center"/>
    </xf>
    <xf numFmtId="0" fontId="11" fillId="0" borderId="3" xfId="11" applyFont="1" applyBorder="1" applyAlignment="1">
      <alignment vertical="center"/>
    </xf>
    <xf numFmtId="0" fontId="11" fillId="0" borderId="13" xfId="11" applyFont="1" applyBorder="1" applyAlignment="1">
      <alignment horizontal="center" vertical="center"/>
    </xf>
    <xf numFmtId="0" fontId="11" fillId="0" borderId="1" xfId="11" applyFont="1" applyBorder="1" applyAlignment="1">
      <alignment vertical="center"/>
    </xf>
    <xf numFmtId="0" fontId="12" fillId="0" borderId="20" xfId="11" applyFont="1" applyBorder="1" applyAlignment="1" applyProtection="1">
      <alignment horizontal="left" vertical="center" indent="1"/>
      <protection locked="0"/>
    </xf>
    <xf numFmtId="0" fontId="12" fillId="0" borderId="4" xfId="11" applyFont="1" applyBorder="1" applyAlignment="1" applyProtection="1">
      <alignment horizontal="left" vertical="center" indent="1"/>
      <protection locked="0"/>
    </xf>
    <xf numFmtId="0" fontId="12" fillId="0" borderId="20" xfId="11" applyFont="1" applyFill="1" applyBorder="1" applyAlignment="1" applyProtection="1">
      <alignment horizontal="left" vertical="center" indent="1"/>
      <protection locked="0"/>
    </xf>
    <xf numFmtId="0" fontId="11" fillId="0" borderId="11" xfId="11" applyFont="1" applyBorder="1" applyAlignment="1">
      <alignment horizontal="center"/>
    </xf>
    <xf numFmtId="0" fontId="11" fillId="0" borderId="61" xfId="11" applyFont="1" applyBorder="1" applyAlignment="1">
      <alignment horizontal="center"/>
    </xf>
    <xf numFmtId="0" fontId="11" fillId="0" borderId="11" xfId="11" applyFont="1" applyBorder="1" applyAlignment="1">
      <alignment horizontal="center" vertical="center"/>
    </xf>
    <xf numFmtId="0" fontId="11" fillId="0" borderId="10" xfId="11" applyFont="1" applyBorder="1" applyAlignment="1">
      <alignment vertical="center"/>
    </xf>
    <xf numFmtId="0" fontId="11" fillId="0" borderId="38" xfId="11" applyFont="1" applyBorder="1" applyAlignment="1">
      <alignment vertical="center"/>
    </xf>
    <xf numFmtId="0" fontId="12" fillId="0" borderId="7" xfId="11" applyFont="1" applyBorder="1" applyAlignment="1" applyProtection="1">
      <alignment horizontal="left" vertical="center" indent="1"/>
      <protection locked="0"/>
    </xf>
    <xf numFmtId="0" fontId="11" fillId="0" borderId="60" xfId="11" applyFont="1" applyBorder="1" applyAlignment="1">
      <alignment horizontal="center"/>
    </xf>
    <xf numFmtId="0" fontId="11" fillId="0" borderId="16" xfId="11" applyFont="1" applyBorder="1" applyAlignment="1">
      <alignment vertical="center"/>
    </xf>
    <xf numFmtId="0" fontId="11" fillId="0" borderId="7" xfId="11" applyFont="1" applyBorder="1" applyAlignment="1">
      <alignment vertical="center"/>
    </xf>
    <xf numFmtId="3" fontId="11" fillId="0" borderId="30" xfId="11" applyNumberFormat="1" applyFont="1" applyFill="1" applyBorder="1" applyAlignment="1">
      <alignment vertical="center"/>
    </xf>
    <xf numFmtId="0" fontId="12" fillId="0" borderId="61" xfId="11" applyFont="1" applyBorder="1" applyAlignment="1">
      <alignment horizontal="center"/>
    </xf>
    <xf numFmtId="3" fontId="9" fillId="0" borderId="0" xfId="11" applyNumberFormat="1" applyFont="1" applyFill="1" applyAlignment="1">
      <alignment vertical="center" wrapText="1"/>
    </xf>
    <xf numFmtId="3" fontId="7" fillId="0" borderId="0" xfId="11" applyNumberFormat="1" applyFont="1" applyFill="1" applyAlignment="1">
      <alignment horizontal="right" vertical="center" wrapText="1"/>
    </xf>
    <xf numFmtId="3" fontId="16" fillId="0" borderId="63" xfId="0" applyNumberFormat="1" applyFont="1" applyBorder="1"/>
    <xf numFmtId="3" fontId="16" fillId="0" borderId="62" xfId="0" applyNumberFormat="1" applyFont="1" applyBorder="1"/>
    <xf numFmtId="3" fontId="17" fillId="0" borderId="62" xfId="0" applyNumberFormat="1" applyFont="1" applyBorder="1"/>
    <xf numFmtId="3" fontId="16" fillId="0" borderId="89" xfId="0" applyNumberFormat="1" applyFont="1" applyBorder="1"/>
    <xf numFmtId="3" fontId="16" fillId="0" borderId="0" xfId="0" applyNumberFormat="1" applyFont="1" applyBorder="1"/>
    <xf numFmtId="3" fontId="18" fillId="0" borderId="0" xfId="0" applyNumberFormat="1" applyFont="1" applyBorder="1"/>
    <xf numFmtId="49" fontId="12" fillId="0" borderId="0" xfId="11" applyNumberFormat="1" applyFont="1" applyFill="1" applyAlignment="1">
      <alignment horizontal="left" vertical="center" wrapText="1"/>
    </xf>
    <xf numFmtId="3" fontId="11" fillId="0" borderId="0" xfId="11" applyNumberFormat="1" applyFont="1" applyFill="1" applyAlignment="1">
      <alignment vertical="center" wrapText="1"/>
    </xf>
    <xf numFmtId="3" fontId="11" fillId="0" borderId="0" xfId="11" applyNumberFormat="1" applyFont="1" applyFill="1" applyAlignment="1">
      <alignment horizontal="right" vertical="center" wrapText="1"/>
    </xf>
    <xf numFmtId="3" fontId="12" fillId="0" borderId="0" xfId="11" applyNumberFormat="1" applyFont="1" applyFill="1" applyBorder="1" applyAlignment="1">
      <alignment vertical="center" wrapText="1"/>
    </xf>
    <xf numFmtId="3" fontId="11" fillId="0" borderId="0" xfId="11" applyNumberFormat="1" applyFont="1" applyFill="1" applyBorder="1" applyAlignment="1">
      <alignment vertical="center" wrapText="1"/>
    </xf>
    <xf numFmtId="0" fontId="11" fillId="0" borderId="0" xfId="11" applyFont="1" applyFill="1" applyAlignment="1">
      <alignment horizontal="center" vertical="center" wrapText="1"/>
    </xf>
    <xf numFmtId="3" fontId="11" fillId="0" borderId="0" xfId="11" applyNumberFormat="1" applyFont="1" applyFill="1" applyBorder="1" applyAlignment="1">
      <alignment horizontal="center" vertical="center" wrapText="1"/>
    </xf>
    <xf numFmtId="0" fontId="11" fillId="0" borderId="0" xfId="11" applyFont="1" applyFill="1" applyAlignment="1">
      <alignment horizontal="center" wrapText="1"/>
    </xf>
    <xf numFmtId="3" fontId="12" fillId="0" borderId="31" xfId="11" applyNumberFormat="1" applyFont="1" applyFill="1" applyBorder="1" applyAlignment="1">
      <alignment vertical="center" wrapText="1"/>
    </xf>
    <xf numFmtId="3" fontId="12" fillId="0" borderId="97" xfId="11" applyNumberFormat="1" applyFont="1" applyFill="1" applyBorder="1" applyAlignment="1">
      <alignment vertical="center" wrapText="1"/>
    </xf>
    <xf numFmtId="0" fontId="12" fillId="0" borderId="0" xfId="11" applyFont="1" applyFill="1" applyAlignment="1">
      <alignment vertical="center" wrapText="1"/>
    </xf>
    <xf numFmtId="0" fontId="11" fillId="0" borderId="9" xfId="11" applyFont="1" applyFill="1" applyBorder="1" applyAlignment="1">
      <alignment horizontal="justify"/>
    </xf>
    <xf numFmtId="3" fontId="11" fillId="0" borderId="47" xfId="11" applyNumberFormat="1" applyFont="1" applyFill="1" applyBorder="1" applyAlignment="1">
      <alignment horizontal="center"/>
    </xf>
    <xf numFmtId="3" fontId="11" fillId="0" borderId="11" xfId="11" applyNumberFormat="1" applyFont="1" applyFill="1" applyBorder="1" applyAlignment="1">
      <alignment vertical="center" wrapText="1"/>
    </xf>
    <xf numFmtId="49" fontId="11" fillId="2" borderId="11" xfId="11" applyNumberFormat="1" applyFont="1" applyFill="1" applyBorder="1" applyAlignment="1">
      <alignment horizontal="center" vertical="center" wrapText="1"/>
    </xf>
    <xf numFmtId="3" fontId="11" fillId="2" borderId="11" xfId="11" applyNumberFormat="1" applyFont="1" applyFill="1" applyBorder="1" applyAlignment="1" applyProtection="1">
      <alignment horizontal="right" vertical="center" wrapText="1"/>
      <protection locked="0"/>
    </xf>
    <xf numFmtId="3" fontId="11" fillId="2" borderId="10" xfId="11" applyNumberFormat="1" applyFont="1" applyFill="1" applyBorder="1" applyAlignment="1" applyProtection="1">
      <alignment horizontal="right" vertical="center" wrapText="1"/>
      <protection locked="0"/>
    </xf>
    <xf numFmtId="0" fontId="11" fillId="0" borderId="85" xfId="11" applyFont="1" applyFill="1" applyBorder="1" applyAlignment="1">
      <alignment horizontal="justify"/>
    </xf>
    <xf numFmtId="3" fontId="12" fillId="0" borderId="95" xfId="11" applyNumberFormat="1" applyFont="1" applyFill="1" applyBorder="1" applyAlignment="1">
      <alignment horizontal="center"/>
    </xf>
    <xf numFmtId="3" fontId="11" fillId="0" borderId="86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51" xfId="11" applyNumberFormat="1" applyFont="1" applyFill="1" applyBorder="1" applyAlignment="1" applyProtection="1">
      <alignment horizontal="right" vertical="center" wrapText="1"/>
      <protection locked="0"/>
    </xf>
    <xf numFmtId="49" fontId="11" fillId="0" borderId="98" xfId="11" applyNumberFormat="1" applyFont="1" applyFill="1" applyBorder="1" applyAlignment="1">
      <alignment horizontal="center" vertical="center" wrapText="1"/>
    </xf>
    <xf numFmtId="0" fontId="11" fillId="0" borderId="29" xfId="11" applyFont="1" applyFill="1" applyBorder="1" applyAlignment="1">
      <alignment horizontal="justify"/>
    </xf>
    <xf numFmtId="3" fontId="11" fillId="0" borderId="98" xfId="11" applyNumberFormat="1" applyFont="1" applyFill="1" applyBorder="1" applyAlignment="1">
      <alignment vertical="center" wrapText="1"/>
    </xf>
    <xf numFmtId="0" fontId="11" fillId="2" borderId="9" xfId="11" applyFont="1" applyFill="1" applyBorder="1" applyAlignment="1">
      <alignment horizontal="justify"/>
    </xf>
    <xf numFmtId="3" fontId="11" fillId="2" borderId="11" xfId="11" applyNumberFormat="1" applyFont="1" applyFill="1" applyBorder="1" applyAlignment="1">
      <alignment vertical="center" wrapText="1"/>
    </xf>
    <xf numFmtId="3" fontId="11" fillId="2" borderId="10" xfId="11" applyNumberFormat="1" applyFont="1" applyFill="1" applyBorder="1" applyAlignment="1">
      <alignment vertical="center" wrapText="1"/>
    </xf>
    <xf numFmtId="0" fontId="12" fillId="0" borderId="32" xfId="11" applyFont="1" applyFill="1" applyBorder="1" applyAlignment="1">
      <alignment horizontal="justify"/>
    </xf>
    <xf numFmtId="3" fontId="12" fillId="0" borderId="57" xfId="11" applyNumberFormat="1" applyFont="1" applyFill="1" applyBorder="1" applyAlignment="1">
      <alignment horizontal="center"/>
    </xf>
    <xf numFmtId="3" fontId="11" fillId="2" borderId="11" xfId="11" applyNumberFormat="1" applyFont="1" applyFill="1" applyBorder="1" applyAlignment="1">
      <alignment horizontal="right" vertical="center" wrapText="1"/>
    </xf>
    <xf numFmtId="3" fontId="11" fillId="2" borderId="10" xfId="11" applyNumberFormat="1" applyFont="1" applyFill="1" applyBorder="1" applyAlignment="1">
      <alignment horizontal="right" vertical="center" wrapText="1"/>
    </xf>
    <xf numFmtId="3" fontId="10" fillId="0" borderId="0" xfId="11" applyNumberFormat="1" applyFont="1" applyFill="1" applyBorder="1" applyAlignment="1">
      <alignment horizontal="right" wrapText="1"/>
    </xf>
    <xf numFmtId="3" fontId="11" fillId="0" borderId="11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10" xfId="11" applyNumberFormat="1" applyFont="1" applyFill="1" applyBorder="1" applyAlignment="1" applyProtection="1">
      <alignment horizontal="right" vertical="center" wrapText="1"/>
      <protection locked="0"/>
    </xf>
    <xf numFmtId="3" fontId="11" fillId="2" borderId="98" xfId="11" applyNumberFormat="1" applyFont="1" applyFill="1" applyBorder="1" applyAlignment="1" applyProtection="1">
      <alignment horizontal="right" vertical="center" wrapText="1"/>
      <protection locked="0"/>
    </xf>
    <xf numFmtId="3" fontId="11" fillId="2" borderId="28" xfId="11" applyNumberFormat="1" applyFont="1" applyFill="1" applyBorder="1" applyAlignment="1" applyProtection="1">
      <alignment horizontal="right" vertical="center" wrapText="1"/>
      <protection locked="0"/>
    </xf>
    <xf numFmtId="49" fontId="11" fillId="0" borderId="97" xfId="11" applyNumberFormat="1" applyFont="1" applyFill="1" applyBorder="1" applyAlignment="1">
      <alignment horizontal="center" vertical="center" wrapText="1"/>
    </xf>
    <xf numFmtId="49" fontId="7" fillId="0" borderId="0" xfId="11" applyNumberFormat="1" applyFont="1" applyFill="1" applyAlignment="1">
      <alignment horizontal="left" vertical="center" wrapText="1"/>
    </xf>
    <xf numFmtId="3" fontId="9" fillId="0" borderId="0" xfId="11" applyNumberFormat="1" applyFont="1" applyFill="1" applyAlignment="1">
      <alignment horizontal="right" vertical="center" wrapText="1"/>
    </xf>
    <xf numFmtId="49" fontId="12" fillId="0" borderId="96" xfId="11" applyNumberFormat="1" applyFont="1" applyFill="1" applyBorder="1" applyAlignment="1">
      <alignment horizontal="left" vertical="center" wrapText="1"/>
    </xf>
    <xf numFmtId="49" fontId="12" fillId="0" borderId="100" xfId="11" applyNumberFormat="1" applyFont="1" applyFill="1" applyBorder="1" applyAlignment="1">
      <alignment horizontal="left" vertical="center" wrapText="1"/>
    </xf>
    <xf numFmtId="49" fontId="11" fillId="0" borderId="12" xfId="11" applyNumberFormat="1" applyFont="1" applyFill="1" applyBorder="1" applyAlignment="1">
      <alignment horizontal="left" vertical="center" wrapText="1"/>
    </xf>
    <xf numFmtId="168" fontId="11" fillId="0" borderId="47" xfId="11" applyNumberFormat="1" applyFont="1" applyFill="1" applyBorder="1" applyAlignment="1">
      <alignment horizontal="center" vertical="center" wrapText="1"/>
    </xf>
    <xf numFmtId="168" fontId="11" fillId="2" borderId="47" xfId="11" applyNumberFormat="1" applyFont="1" applyFill="1" applyBorder="1" applyAlignment="1">
      <alignment horizontal="center" vertical="center" wrapText="1"/>
    </xf>
    <xf numFmtId="168" fontId="7" fillId="0" borderId="0" xfId="11" applyNumberFormat="1" applyFont="1" applyFill="1" applyAlignment="1">
      <alignment horizontal="center" vertical="center" wrapText="1"/>
    </xf>
    <xf numFmtId="168" fontId="12" fillId="0" borderId="0" xfId="11" applyNumberFormat="1" applyFont="1" applyFill="1" applyAlignment="1">
      <alignment horizontal="center" vertical="center" wrapText="1"/>
    </xf>
    <xf numFmtId="168" fontId="12" fillId="0" borderId="49" xfId="11" applyNumberFormat="1" applyFont="1" applyFill="1" applyBorder="1" applyAlignment="1">
      <alignment horizontal="center" vertical="center" wrapText="1"/>
    </xf>
    <xf numFmtId="168" fontId="12" fillId="0" borderId="55" xfId="11" applyNumberFormat="1" applyFont="1" applyFill="1" applyBorder="1" applyAlignment="1">
      <alignment horizontal="center" vertical="center" wrapText="1"/>
    </xf>
    <xf numFmtId="168" fontId="12" fillId="0" borderId="57" xfId="11" applyNumberFormat="1" applyFont="1" applyFill="1" applyBorder="1" applyAlignment="1">
      <alignment horizontal="center" vertical="center" wrapText="1"/>
    </xf>
    <xf numFmtId="49" fontId="7" fillId="0" borderId="0" xfId="11" applyNumberFormat="1" applyFont="1" applyFill="1" applyAlignment="1">
      <alignment horizontal="center" vertical="center" wrapText="1"/>
    </xf>
    <xf numFmtId="49" fontId="12" fillId="0" borderId="0" xfId="11" applyNumberFormat="1" applyFont="1" applyFill="1" applyAlignment="1">
      <alignment horizontal="center" vertical="center" wrapText="1"/>
    </xf>
    <xf numFmtId="49" fontId="12" fillId="0" borderId="86" xfId="11" applyNumberFormat="1" applyFont="1" applyFill="1" applyBorder="1" applyAlignment="1">
      <alignment horizontal="center" vertical="center" wrapText="1"/>
    </xf>
    <xf numFmtId="3" fontId="11" fillId="0" borderId="0" xfId="11" applyNumberFormat="1" applyFont="1"/>
    <xf numFmtId="3" fontId="12" fillId="0" borderId="0" xfId="11" applyNumberFormat="1" applyFont="1" applyAlignment="1">
      <alignment horizontal="center"/>
    </xf>
    <xf numFmtId="3" fontId="11" fillId="0" borderId="34" xfId="11" applyNumberFormat="1" applyFont="1" applyBorder="1" applyAlignment="1">
      <alignment horizontal="center" vertical="center" wrapText="1"/>
    </xf>
    <xf numFmtId="3" fontId="11" fillId="0" borderId="0" xfId="11" applyNumberFormat="1" applyFont="1" applyAlignment="1">
      <alignment vertical="center"/>
    </xf>
    <xf numFmtId="3" fontId="12" fillId="0" borderId="94" xfId="11" applyNumberFormat="1" applyFont="1" applyBorder="1" applyAlignment="1">
      <alignment horizontal="left" indent="1"/>
    </xf>
    <xf numFmtId="3" fontId="12" fillId="0" borderId="6" xfId="11" applyNumberFormat="1" applyFont="1" applyBorder="1"/>
    <xf numFmtId="3" fontId="11" fillId="0" borderId="6" xfId="11" applyNumberFormat="1" applyFont="1" applyBorder="1"/>
    <xf numFmtId="3" fontId="11" fillId="0" borderId="30" xfId="11" applyNumberFormat="1" applyFont="1" applyBorder="1"/>
    <xf numFmtId="3" fontId="12" fillId="0" borderId="93" xfId="11" applyNumberFormat="1" applyFont="1" applyBorder="1" applyAlignment="1">
      <alignment horizontal="left" indent="1"/>
    </xf>
    <xf numFmtId="3" fontId="12" fillId="0" borderId="20" xfId="11" applyNumberFormat="1" applyFont="1" applyBorder="1"/>
    <xf numFmtId="3" fontId="11" fillId="0" borderId="20" xfId="11" applyNumberFormat="1" applyFont="1" applyBorder="1"/>
    <xf numFmtId="3" fontId="11" fillId="0" borderId="22" xfId="11" applyNumberFormat="1" applyFont="1" applyBorder="1"/>
    <xf numFmtId="3" fontId="12" fillId="0" borderId="88" xfId="11" applyNumberFormat="1" applyFont="1" applyBorder="1" applyAlignment="1">
      <alignment horizontal="left" indent="1"/>
    </xf>
    <xf numFmtId="3" fontId="12" fillId="0" borderId="4" xfId="11" applyNumberFormat="1" applyFont="1" applyBorder="1"/>
    <xf numFmtId="3" fontId="11" fillId="0" borderId="11" xfId="11" applyNumberFormat="1" applyFont="1" applyBorder="1" applyAlignment="1">
      <alignment horizontal="center"/>
    </xf>
    <xf numFmtId="3" fontId="11" fillId="0" borderId="12" xfId="11" applyNumberFormat="1" applyFont="1" applyBorder="1"/>
    <xf numFmtId="3" fontId="11" fillId="0" borderId="13" xfId="11" applyNumberFormat="1" applyFont="1" applyBorder="1"/>
    <xf numFmtId="3" fontId="11" fillId="0" borderId="10" xfId="11" applyNumberFormat="1" applyFont="1" applyBorder="1"/>
    <xf numFmtId="3" fontId="11" fillId="0" borderId="9" xfId="11" applyNumberFormat="1" applyFont="1" applyBorder="1"/>
    <xf numFmtId="3" fontId="11" fillId="0" borderId="34" xfId="11" applyNumberFormat="1" applyFont="1" applyBorder="1"/>
    <xf numFmtId="3" fontId="11" fillId="0" borderId="58" xfId="11" applyNumberFormat="1" applyFont="1" applyBorder="1"/>
    <xf numFmtId="3" fontId="12" fillId="0" borderId="96" xfId="11" applyNumberFormat="1" applyFont="1" applyBorder="1" applyAlignment="1">
      <alignment horizontal="left" indent="1"/>
    </xf>
    <xf numFmtId="3" fontId="12" fillId="0" borderId="1" xfId="11" applyNumberFormat="1" applyFont="1" applyBorder="1"/>
    <xf numFmtId="3" fontId="11" fillId="2" borderId="11" xfId="11" applyNumberFormat="1" applyFont="1" applyFill="1" applyBorder="1" applyAlignment="1">
      <alignment horizontal="center"/>
    </xf>
    <xf numFmtId="3" fontId="11" fillId="2" borderId="12" xfId="11" applyNumberFormat="1" applyFont="1" applyFill="1" applyBorder="1"/>
    <xf numFmtId="3" fontId="11" fillId="2" borderId="13" xfId="11" applyNumberFormat="1" applyFont="1" applyFill="1" applyBorder="1"/>
    <xf numFmtId="3" fontId="11" fillId="2" borderId="10" xfId="11" applyNumberFormat="1" applyFont="1" applyFill="1" applyBorder="1"/>
    <xf numFmtId="3" fontId="11" fillId="2" borderId="58" xfId="11" applyNumberFormat="1" applyFont="1" applyFill="1" applyBorder="1"/>
    <xf numFmtId="3" fontId="11" fillId="2" borderId="34" xfId="11" applyNumberFormat="1" applyFont="1" applyFill="1" applyBorder="1"/>
    <xf numFmtId="3" fontId="11" fillId="0" borderId="1" xfId="11" applyNumberFormat="1" applyFont="1" applyFill="1" applyBorder="1"/>
    <xf numFmtId="3" fontId="11" fillId="0" borderId="31" xfId="11" applyNumberFormat="1" applyFont="1" applyFill="1" applyBorder="1"/>
    <xf numFmtId="3" fontId="11" fillId="0" borderId="3" xfId="11" applyNumberFormat="1" applyFont="1" applyFill="1" applyBorder="1"/>
    <xf numFmtId="3" fontId="11" fillId="0" borderId="46" xfId="11" applyNumberFormat="1" applyFont="1" applyFill="1" applyBorder="1"/>
    <xf numFmtId="0" fontId="12" fillId="0" borderId="18" xfId="11" applyFont="1" applyFill="1" applyBorder="1" applyAlignment="1">
      <alignment horizontal="left" indent="1"/>
    </xf>
    <xf numFmtId="3" fontId="11" fillId="0" borderId="11" xfId="11" applyNumberFormat="1" applyFont="1" applyFill="1" applyBorder="1" applyAlignment="1">
      <alignment horizontal="center"/>
    </xf>
    <xf numFmtId="3" fontId="11" fillId="0" borderId="12" xfId="11" applyNumberFormat="1" applyFont="1" applyFill="1" applyBorder="1"/>
    <xf numFmtId="3" fontId="11" fillId="0" borderId="13" xfId="11" applyNumberFormat="1" applyFont="1" applyFill="1" applyBorder="1"/>
    <xf numFmtId="3" fontId="11" fillId="0" borderId="10" xfId="11" applyNumberFormat="1" applyFont="1" applyFill="1" applyBorder="1"/>
    <xf numFmtId="3" fontId="11" fillId="0" borderId="58" xfId="11" applyNumberFormat="1" applyFont="1" applyFill="1" applyBorder="1"/>
    <xf numFmtId="3" fontId="11" fillId="0" borderId="34" xfId="11" applyNumberFormat="1" applyFont="1" applyFill="1" applyBorder="1"/>
    <xf numFmtId="0" fontId="11" fillId="0" borderId="96" xfId="11" applyFont="1" applyFill="1" applyBorder="1" applyAlignment="1">
      <alignment horizontal="justify"/>
    </xf>
    <xf numFmtId="3" fontId="11" fillId="0" borderId="27" xfId="11" applyNumberFormat="1" applyFont="1" applyFill="1" applyBorder="1"/>
    <xf numFmtId="3" fontId="11" fillId="2" borderId="27" xfId="11" applyNumberFormat="1" applyFont="1" applyFill="1" applyBorder="1"/>
    <xf numFmtId="3" fontId="11" fillId="2" borderId="35" xfId="11" applyNumberFormat="1" applyFont="1" applyFill="1" applyBorder="1"/>
    <xf numFmtId="3" fontId="11" fillId="0" borderId="0" xfId="11" applyNumberFormat="1" applyFont="1" applyBorder="1"/>
    <xf numFmtId="3" fontId="11" fillId="2" borderId="88" xfId="11" applyNumberFormat="1" applyFont="1" applyFill="1" applyBorder="1" applyAlignment="1">
      <alignment horizontal="left"/>
    </xf>
    <xf numFmtId="3" fontId="11" fillId="2" borderId="4" xfId="11" applyNumberFormat="1" applyFont="1" applyFill="1" applyBorder="1"/>
    <xf numFmtId="3" fontId="11" fillId="2" borderId="24" xfId="11" applyNumberFormat="1" applyFont="1" applyFill="1" applyBorder="1"/>
    <xf numFmtId="3" fontId="11" fillId="0" borderId="30" xfId="1" applyNumberFormat="1" applyFont="1" applyBorder="1"/>
    <xf numFmtId="3" fontId="11" fillId="0" borderId="22" xfId="1" applyNumberFormat="1" applyFont="1" applyBorder="1"/>
    <xf numFmtId="3" fontId="11" fillId="0" borderId="24" xfId="1" applyNumberFormat="1" applyFont="1" applyBorder="1"/>
    <xf numFmtId="3" fontId="11" fillId="0" borderId="46" xfId="1" applyNumberFormat="1" applyFont="1" applyBorder="1"/>
    <xf numFmtId="3" fontId="11" fillId="2" borderId="24" xfId="1" applyNumberFormat="1" applyFont="1" applyFill="1" applyBorder="1"/>
    <xf numFmtId="3" fontId="11" fillId="2" borderId="63" xfId="11" applyNumberFormat="1" applyFont="1" applyFill="1" applyBorder="1" applyAlignment="1">
      <alignment horizontal="center"/>
    </xf>
    <xf numFmtId="3" fontId="11" fillId="0" borderId="0" xfId="11" applyNumberFormat="1" applyFont="1" applyAlignment="1">
      <alignment horizontal="center"/>
    </xf>
    <xf numFmtId="0" fontId="7" fillId="0" borderId="0" xfId="11" applyFont="1" applyFill="1" applyAlignment="1">
      <alignment horizontal="center" vertical="center"/>
    </xf>
    <xf numFmtId="0" fontId="7" fillId="0" borderId="0" xfId="11" applyFont="1" applyFill="1"/>
    <xf numFmtId="0" fontId="7" fillId="0" borderId="0" xfId="0" applyFont="1" applyFill="1"/>
    <xf numFmtId="0" fontId="12" fillId="0" borderId="0" xfId="11" applyFont="1" applyFill="1" applyAlignment="1">
      <alignment horizontal="center" vertical="center"/>
    </xf>
    <xf numFmtId="0" fontId="21" fillId="0" borderId="0" xfId="0" applyFont="1" applyFill="1"/>
    <xf numFmtId="0" fontId="12" fillId="0" borderId="0" xfId="0" applyFont="1" applyFill="1" applyAlignment="1">
      <alignment horizontal="center" vertical="center"/>
    </xf>
    <xf numFmtId="166" fontId="11" fillId="0" borderId="34" xfId="0" applyNumberFormat="1" applyFont="1" applyBorder="1"/>
    <xf numFmtId="166" fontId="11" fillId="0" borderId="41" xfId="0" applyNumberFormat="1" applyFont="1" applyBorder="1"/>
    <xf numFmtId="166" fontId="11" fillId="0" borderId="10" xfId="0" applyNumberFormat="1" applyFont="1" applyBorder="1"/>
    <xf numFmtId="0" fontId="12" fillId="0" borderId="0" xfId="0" applyFont="1" applyAlignment="1"/>
    <xf numFmtId="0" fontId="12" fillId="0" borderId="0" xfId="0" applyFont="1" applyAlignment="1">
      <alignment horizontal="center"/>
    </xf>
    <xf numFmtId="3" fontId="12" fillId="0" borderId="0" xfId="0" applyNumberFormat="1" applyFont="1"/>
    <xf numFmtId="164" fontId="12" fillId="0" borderId="0" xfId="0" applyNumberFormat="1" applyFont="1"/>
    <xf numFmtId="166" fontId="12" fillId="0" borderId="0" xfId="0" applyNumberFormat="1" applyFont="1"/>
    <xf numFmtId="166" fontId="7" fillId="0" borderId="0" xfId="0" applyNumberFormat="1" applyFont="1"/>
    <xf numFmtId="166" fontId="9" fillId="0" borderId="0" xfId="0" applyNumberFormat="1" applyFont="1"/>
    <xf numFmtId="166" fontId="11" fillId="0" borderId="0" xfId="0" applyNumberFormat="1" applyFont="1"/>
    <xf numFmtId="3" fontId="12" fillId="0" borderId="0" xfId="0" applyNumberFormat="1" applyFont="1" applyFill="1"/>
    <xf numFmtId="3" fontId="16" fillId="0" borderId="61" xfId="0" applyNumberFormat="1" applyFont="1" applyBorder="1"/>
    <xf numFmtId="3" fontId="4" fillId="0" borderId="0" xfId="11" applyNumberFormat="1" applyFont="1" applyFill="1" applyProtection="1">
      <protection locked="0"/>
    </xf>
    <xf numFmtId="3" fontId="4" fillId="0" borderId="0" xfId="11" applyNumberFormat="1" applyFont="1" applyFill="1"/>
    <xf numFmtId="3" fontId="6" fillId="0" borderId="0" xfId="11" applyNumberFormat="1" applyFill="1"/>
    <xf numFmtId="3" fontId="3" fillId="0" borderId="0" xfId="11" applyNumberFormat="1" applyFont="1" applyFill="1" applyProtection="1"/>
    <xf numFmtId="3" fontId="4" fillId="0" borderId="0" xfId="11" applyNumberFormat="1" applyFont="1" applyFill="1" applyProtection="1"/>
    <xf numFmtId="3" fontId="6" fillId="0" borderId="0" xfId="11" applyNumberFormat="1" applyFill="1" applyProtection="1">
      <protection locked="0"/>
    </xf>
    <xf numFmtId="3" fontId="28" fillId="0" borderId="0" xfId="11" applyNumberFormat="1" applyFont="1" applyFill="1"/>
    <xf numFmtId="3" fontId="29" fillId="0" borderId="0" xfId="11" applyNumberFormat="1" applyFont="1" applyFill="1"/>
    <xf numFmtId="3" fontId="30" fillId="0" borderId="11" xfId="11" applyNumberFormat="1" applyFont="1" applyFill="1" applyBorder="1" applyAlignment="1">
      <alignment horizontal="center" vertical="center" wrapText="1"/>
    </xf>
    <xf numFmtId="3" fontId="30" fillId="0" borderId="10" xfId="11" applyNumberFormat="1" applyFont="1" applyFill="1" applyBorder="1" applyAlignment="1">
      <alignment horizontal="center" vertical="center" wrapText="1"/>
    </xf>
    <xf numFmtId="3" fontId="30" fillId="0" borderId="9" xfId="11" applyNumberFormat="1" applyFont="1" applyFill="1" applyBorder="1" applyAlignment="1">
      <alignment horizontal="center" vertical="center" wrapText="1"/>
    </xf>
    <xf numFmtId="3" fontId="31" fillId="0" borderId="0" xfId="11" applyNumberFormat="1" applyFont="1" applyFill="1" applyAlignment="1">
      <alignment horizontal="center" vertical="center" wrapText="1"/>
    </xf>
    <xf numFmtId="3" fontId="8" fillId="0" borderId="60" xfId="11" applyNumberFormat="1" applyFont="1" applyFill="1" applyBorder="1" applyAlignment="1">
      <alignment horizontal="center" vertical="center"/>
    </xf>
    <xf numFmtId="3" fontId="8" fillId="0" borderId="16" xfId="11" applyNumberFormat="1" applyFont="1" applyFill="1" applyBorder="1" applyAlignment="1">
      <alignment vertical="center" wrapText="1"/>
    </xf>
    <xf numFmtId="3" fontId="8" fillId="0" borderId="16" xfId="11" applyNumberFormat="1" applyFont="1" applyFill="1" applyBorder="1" applyAlignment="1" applyProtection="1">
      <alignment vertical="center"/>
      <protection locked="0"/>
    </xf>
    <xf numFmtId="3" fontId="32" fillId="0" borderId="17" xfId="11" applyNumberFormat="1" applyFont="1" applyFill="1" applyBorder="1" applyAlignment="1">
      <alignment vertical="center"/>
    </xf>
    <xf numFmtId="3" fontId="8" fillId="0" borderId="62" xfId="11" applyNumberFormat="1" applyFont="1" applyFill="1" applyBorder="1" applyAlignment="1">
      <alignment horizontal="center" vertical="center"/>
    </xf>
    <xf numFmtId="3" fontId="8" fillId="0" borderId="2" xfId="11" applyNumberFormat="1" applyFont="1" applyFill="1" applyBorder="1" applyAlignment="1">
      <alignment vertical="center" wrapText="1"/>
    </xf>
    <xf numFmtId="3" fontId="8" fillId="0" borderId="2" xfId="11" applyNumberFormat="1" applyFont="1" applyFill="1" applyBorder="1" applyAlignment="1" applyProtection="1">
      <alignment vertical="center"/>
      <protection locked="0"/>
    </xf>
    <xf numFmtId="3" fontId="32" fillId="0" borderId="18" xfId="11" applyNumberFormat="1" applyFont="1" applyFill="1" applyBorder="1" applyAlignment="1">
      <alignment vertical="center"/>
    </xf>
    <xf numFmtId="3" fontId="8" fillId="0" borderId="63" xfId="11" applyNumberFormat="1" applyFont="1" applyFill="1" applyBorder="1" applyAlignment="1">
      <alignment horizontal="center" vertical="center"/>
    </xf>
    <xf numFmtId="3" fontId="8" fillId="0" borderId="25" xfId="11" applyNumberFormat="1" applyFont="1" applyFill="1" applyBorder="1" applyAlignment="1">
      <alignment vertical="center" wrapText="1"/>
    </xf>
    <xf numFmtId="3" fontId="8" fillId="0" borderId="25" xfId="11" applyNumberFormat="1" applyFont="1" applyFill="1" applyBorder="1" applyAlignment="1" applyProtection="1">
      <alignment vertical="center"/>
      <protection locked="0"/>
    </xf>
    <xf numFmtId="3" fontId="32" fillId="0" borderId="26" xfId="11" applyNumberFormat="1" applyFont="1" applyFill="1" applyBorder="1" applyAlignment="1">
      <alignment vertical="center"/>
    </xf>
    <xf numFmtId="3" fontId="32" fillId="0" borderId="11" xfId="11" applyNumberFormat="1" applyFont="1" applyFill="1" applyBorder="1" applyAlignment="1">
      <alignment horizontal="center" vertical="center"/>
    </xf>
    <xf numFmtId="3" fontId="32" fillId="0" borderId="10" xfId="11" applyNumberFormat="1" applyFont="1" applyFill="1" applyBorder="1" applyAlignment="1">
      <alignment vertical="center"/>
    </xf>
    <xf numFmtId="3" fontId="32" fillId="0" borderId="9" xfId="11" applyNumberFormat="1" applyFont="1" applyFill="1" applyBorder="1" applyAlignment="1">
      <alignment vertical="center"/>
    </xf>
    <xf numFmtId="3" fontId="31" fillId="0" borderId="0" xfId="11" applyNumberFormat="1" applyFont="1" applyFill="1"/>
    <xf numFmtId="3" fontId="6" fillId="0" borderId="0" xfId="11" applyNumberFormat="1" applyFill="1" applyAlignment="1">
      <alignment horizontal="center"/>
    </xf>
    <xf numFmtId="3" fontId="6" fillId="0" borderId="101" xfId="11" applyNumberFormat="1" applyFill="1" applyBorder="1" applyAlignment="1"/>
    <xf numFmtId="3" fontId="33" fillId="0" borderId="101" xfId="11" applyNumberFormat="1" applyFont="1" applyFill="1" applyBorder="1" applyAlignment="1"/>
    <xf numFmtId="3" fontId="6" fillId="0" borderId="0" xfId="11" applyNumberFormat="1" applyFill="1" applyBorder="1"/>
    <xf numFmtId="3" fontId="33" fillId="0" borderId="0" xfId="11" applyNumberFormat="1" applyFont="1" applyFill="1" applyBorder="1" applyAlignment="1">
      <alignment horizontal="center"/>
    </xf>
    <xf numFmtId="0" fontId="34" fillId="0" borderId="0" xfId="11" applyFont="1"/>
    <xf numFmtId="3" fontId="19" fillId="0" borderId="0" xfId="31" applyNumberFormat="1" applyFont="1" applyFill="1" applyAlignment="1">
      <alignment horizontal="right" vertical="top"/>
    </xf>
    <xf numFmtId="0" fontId="16" fillId="0" borderId="0" xfId="11" applyNumberFormat="1" applyFont="1" applyAlignment="1">
      <alignment vertical="top"/>
    </xf>
    <xf numFmtId="3" fontId="16" fillId="0" borderId="0" xfId="11" applyNumberFormat="1" applyFont="1" applyAlignment="1">
      <alignment vertical="top"/>
    </xf>
    <xf numFmtId="3" fontId="18" fillId="0" borderId="0" xfId="11" applyNumberFormat="1" applyFont="1" applyFill="1" applyAlignment="1">
      <alignment horizontal="right" vertical="top"/>
    </xf>
    <xf numFmtId="3" fontId="16" fillId="0" borderId="0" xfId="11" applyNumberFormat="1" applyFont="1" applyAlignment="1">
      <alignment vertical="top" wrapText="1"/>
    </xf>
    <xf numFmtId="0" fontId="15" fillId="0" borderId="0" xfId="11" applyNumberFormat="1" applyFont="1" applyAlignment="1">
      <alignment vertical="top"/>
    </xf>
    <xf numFmtId="0" fontId="19" fillId="0" borderId="0" xfId="11" applyNumberFormat="1" applyFont="1" applyAlignment="1">
      <alignment vertical="top"/>
    </xf>
    <xf numFmtId="49" fontId="19" fillId="0" borderId="0" xfId="11" applyNumberFormat="1" applyFont="1" applyAlignment="1">
      <alignment horizontal="center" vertical="top"/>
    </xf>
    <xf numFmtId="49" fontId="15" fillId="0" borderId="0" xfId="11" applyNumberFormat="1" applyFont="1" applyAlignment="1">
      <alignment horizontal="center" vertical="top"/>
    </xf>
    <xf numFmtId="49" fontId="16" fillId="0" borderId="0" xfId="11" applyNumberFormat="1" applyFont="1" applyAlignment="1">
      <alignment horizontal="center" vertical="top" wrapText="1"/>
    </xf>
    <xf numFmtId="49" fontId="16" fillId="0" borderId="0" xfId="11" applyNumberFormat="1" applyFont="1" applyAlignment="1">
      <alignment horizontal="center" vertical="top"/>
    </xf>
    <xf numFmtId="3" fontId="7" fillId="0" borderId="0" xfId="11" applyNumberFormat="1" applyFont="1" applyAlignment="1">
      <alignment horizontal="center"/>
    </xf>
    <xf numFmtId="3" fontId="7" fillId="0" borderId="0" xfId="11" applyNumberFormat="1" applyFont="1"/>
    <xf numFmtId="3" fontId="9" fillId="0" borderId="0" xfId="11" applyNumberFormat="1" applyFont="1"/>
    <xf numFmtId="3" fontId="9" fillId="0" borderId="0" xfId="11" applyNumberFormat="1" applyFont="1" applyAlignment="1">
      <alignment horizontal="center"/>
    </xf>
    <xf numFmtId="0" fontId="36" fillId="0" borderId="0" xfId="32" applyFont="1" applyAlignment="1"/>
    <xf numFmtId="0" fontId="34" fillId="0" borderId="0" xfId="32" applyFont="1"/>
    <xf numFmtId="0" fontId="34" fillId="0" borderId="0" xfId="32" applyFont="1" applyAlignment="1">
      <alignment wrapText="1"/>
    </xf>
    <xf numFmtId="0" fontId="34" fillId="0" borderId="0" xfId="32" applyFont="1" applyAlignment="1">
      <alignment horizontal="left" vertical="top" wrapText="1"/>
    </xf>
    <xf numFmtId="0" fontId="34" fillId="0" borderId="0" xfId="32" applyFont="1" applyAlignment="1"/>
    <xf numFmtId="0" fontId="34" fillId="0" borderId="0" xfId="32" applyFont="1" applyFill="1" applyAlignment="1">
      <alignment horizontal="left" vertical="top" wrapText="1"/>
    </xf>
    <xf numFmtId="0" fontId="34" fillId="0" borderId="0" xfId="30" applyFont="1" applyAlignment="1"/>
    <xf numFmtId="0" fontId="34" fillId="0" borderId="0" xfId="28" applyFont="1"/>
    <xf numFmtId="0" fontId="34" fillId="0" borderId="0" xfId="28" applyFont="1" applyAlignment="1">
      <alignment wrapText="1"/>
    </xf>
    <xf numFmtId="0" fontId="34" fillId="0" borderId="0" xfId="0" applyFont="1"/>
    <xf numFmtId="0" fontId="12" fillId="0" borderId="25" xfId="11" applyFont="1" applyBorder="1" applyAlignment="1">
      <alignment horizontal="center" wrapText="1"/>
    </xf>
    <xf numFmtId="0" fontId="12" fillId="0" borderId="26" xfId="11" applyFont="1" applyBorder="1" applyAlignment="1">
      <alignment horizontal="center"/>
    </xf>
    <xf numFmtId="0" fontId="12" fillId="0" borderId="80" xfId="11" applyFont="1" applyBorder="1" applyAlignment="1">
      <alignment wrapText="1"/>
    </xf>
    <xf numFmtId="3" fontId="12" fillId="0" borderId="80" xfId="11" applyNumberFormat="1" applyFont="1" applyBorder="1" applyAlignment="1">
      <alignment wrapText="1"/>
    </xf>
    <xf numFmtId="3" fontId="12" fillId="0" borderId="67" xfId="11" applyNumberFormat="1" applyFont="1" applyBorder="1" applyAlignment="1">
      <alignment wrapText="1"/>
    </xf>
    <xf numFmtId="0" fontId="12" fillId="0" borderId="81" xfId="11" applyFont="1" applyBorder="1" applyAlignment="1">
      <alignment wrapText="1"/>
    </xf>
    <xf numFmtId="0" fontId="11" fillId="0" borderId="65" xfId="11" applyFont="1" applyBorder="1" applyAlignment="1">
      <alignment wrapText="1"/>
    </xf>
    <xf numFmtId="3" fontId="11" fillId="0" borderId="65" xfId="11" applyNumberFormat="1" applyFont="1" applyBorder="1" applyAlignment="1">
      <alignment wrapText="1"/>
    </xf>
    <xf numFmtId="3" fontId="11" fillId="0" borderId="64" xfId="11" applyNumberFormat="1" applyFont="1" applyBorder="1" applyAlignment="1">
      <alignment wrapText="1"/>
    </xf>
    <xf numFmtId="3" fontId="12" fillId="0" borderId="81" xfId="11" applyNumberFormat="1" applyFont="1" applyBorder="1" applyAlignment="1">
      <alignment wrapText="1"/>
    </xf>
    <xf numFmtId="3" fontId="12" fillId="0" borderId="71" xfId="11" applyNumberFormat="1" applyFont="1" applyBorder="1" applyAlignment="1">
      <alignment wrapText="1"/>
    </xf>
    <xf numFmtId="0" fontId="12" fillId="0" borderId="82" xfId="11" applyFont="1" applyBorder="1" applyAlignment="1">
      <alignment wrapText="1"/>
    </xf>
    <xf numFmtId="3" fontId="12" fillId="0" borderId="75" xfId="11" applyNumberFormat="1" applyFont="1" applyBorder="1" applyAlignment="1">
      <alignment wrapText="1"/>
    </xf>
    <xf numFmtId="3" fontId="12" fillId="0" borderId="82" xfId="11" applyNumberFormat="1" applyFont="1" applyBorder="1" applyAlignment="1">
      <alignment wrapText="1"/>
    </xf>
    <xf numFmtId="0" fontId="11" fillId="0" borderId="83" xfId="11" applyFont="1" applyBorder="1" applyAlignment="1">
      <alignment wrapText="1"/>
    </xf>
    <xf numFmtId="3" fontId="11" fillId="0" borderId="83" xfId="11" applyNumberFormat="1" applyFont="1" applyBorder="1" applyAlignment="1">
      <alignment wrapText="1"/>
    </xf>
    <xf numFmtId="3" fontId="11" fillId="0" borderId="78" xfId="11" applyNumberFormat="1" applyFont="1" applyBorder="1" applyAlignment="1">
      <alignment wrapText="1"/>
    </xf>
    <xf numFmtId="0" fontId="11" fillId="0" borderId="0" xfId="11" applyFont="1" applyAlignment="1">
      <alignment horizontal="center" vertical="center" wrapText="1"/>
    </xf>
    <xf numFmtId="0" fontId="37" fillId="0" borderId="0" xfId="31" applyFont="1" applyFill="1"/>
    <xf numFmtId="0" fontId="11" fillId="0" borderId="0" xfId="31" applyFont="1" applyFill="1"/>
    <xf numFmtId="0" fontId="9" fillId="0" borderId="0" xfId="11" applyFont="1"/>
    <xf numFmtId="10" fontId="15" fillId="0" borderId="0" xfId="36" applyNumberFormat="1" applyFont="1"/>
    <xf numFmtId="3" fontId="17" fillId="0" borderId="0" xfId="0" applyNumberFormat="1" applyFont="1" applyBorder="1"/>
    <xf numFmtId="3" fontId="17" fillId="0" borderId="0" xfId="0" applyNumberFormat="1" applyFont="1" applyBorder="1" applyAlignment="1">
      <alignment horizontal="center"/>
    </xf>
    <xf numFmtId="3" fontId="18" fillId="0" borderId="0" xfId="0" applyNumberFormat="1" applyFont="1" applyBorder="1" applyAlignment="1">
      <alignment horizontal="center"/>
    </xf>
    <xf numFmtId="0" fontId="38" fillId="0" borderId="97" xfId="11" applyFont="1" applyBorder="1" applyAlignment="1"/>
    <xf numFmtId="0" fontId="38" fillId="0" borderId="63" xfId="11" applyFont="1" applyBorder="1" applyAlignment="1"/>
    <xf numFmtId="3" fontId="38" fillId="0" borderId="26" xfId="11" applyNumberFormat="1" applyFont="1" applyBorder="1" applyAlignment="1"/>
    <xf numFmtId="0" fontId="39" fillId="0" borderId="11" xfId="11" applyFont="1" applyBorder="1" applyAlignment="1"/>
    <xf numFmtId="0" fontId="39" fillId="0" borderId="9" xfId="11" applyFont="1" applyBorder="1" applyAlignment="1"/>
    <xf numFmtId="0" fontId="38" fillId="0" borderId="60" xfId="11" applyFont="1" applyBorder="1" applyAlignment="1"/>
    <xf numFmtId="0" fontId="38" fillId="0" borderId="17" xfId="11" applyFont="1" applyBorder="1" applyAlignment="1"/>
    <xf numFmtId="0" fontId="38" fillId="0" borderId="62" xfId="11" applyFont="1" applyBorder="1" applyAlignment="1"/>
    <xf numFmtId="0" fontId="38" fillId="0" borderId="18" xfId="11" applyFont="1" applyBorder="1" applyAlignment="1"/>
    <xf numFmtId="0" fontId="38" fillId="0" borderId="26" xfId="11" applyFont="1" applyBorder="1" applyAlignment="1"/>
    <xf numFmtId="0" fontId="38" fillId="0" borderId="89" xfId="11" applyFont="1" applyBorder="1" applyAlignment="1"/>
    <xf numFmtId="0" fontId="38" fillId="0" borderId="36" xfId="11" applyFont="1" applyBorder="1" applyAlignment="1"/>
    <xf numFmtId="0" fontId="39" fillId="0" borderId="11" xfId="11" applyFont="1" applyFill="1" applyBorder="1" applyAlignment="1"/>
    <xf numFmtId="3" fontId="15" fillId="0" borderId="2" xfId="11" applyNumberFormat="1" applyFont="1" applyBorder="1" applyAlignment="1">
      <alignment vertical="top" wrapText="1"/>
    </xf>
    <xf numFmtId="0" fontId="40" fillId="0" borderId="0" xfId="11" applyNumberFormat="1" applyFont="1" applyAlignment="1">
      <alignment vertical="top"/>
    </xf>
    <xf numFmtId="3" fontId="15" fillId="2" borderId="2" xfId="1" applyNumberFormat="1" applyFont="1" applyFill="1" applyBorder="1" applyAlignment="1">
      <alignment horizontal="right" vertical="top" wrapText="1"/>
    </xf>
    <xf numFmtId="0" fontId="11" fillId="0" borderId="48" xfId="11" applyFont="1" applyFill="1" applyBorder="1" applyAlignment="1">
      <alignment horizontal="left"/>
    </xf>
    <xf numFmtId="164" fontId="11" fillId="0" borderId="48" xfId="11" applyNumberFormat="1" applyFont="1" applyFill="1" applyBorder="1" applyAlignment="1"/>
    <xf numFmtId="164" fontId="11" fillId="0" borderId="21" xfId="11" applyNumberFormat="1" applyFont="1" applyFill="1" applyBorder="1" applyAlignment="1"/>
    <xf numFmtId="164" fontId="12" fillId="0" borderId="0" xfId="0" applyNumberFormat="1" applyFont="1" applyFill="1"/>
    <xf numFmtId="166" fontId="12" fillId="0" borderId="0" xfId="0" applyNumberFormat="1" applyFont="1" applyFill="1"/>
    <xf numFmtId="0" fontId="11" fillId="0" borderId="49" xfId="11" applyFont="1" applyFill="1" applyBorder="1" applyAlignment="1">
      <alignment horizontal="left"/>
    </xf>
    <xf numFmtId="3" fontId="12" fillId="0" borderId="93" xfId="11" applyNumberFormat="1" applyFont="1" applyFill="1" applyBorder="1" applyAlignment="1" applyProtection="1">
      <alignment vertical="center" wrapText="1"/>
      <protection locked="0"/>
    </xf>
    <xf numFmtId="49" fontId="12" fillId="0" borderId="89" xfId="11" applyNumberFormat="1" applyFont="1" applyFill="1" applyBorder="1" applyAlignment="1">
      <alignment horizontal="center" vertical="center" wrapText="1"/>
    </xf>
    <xf numFmtId="3" fontId="12" fillId="0" borderId="37" xfId="11" applyNumberFormat="1" applyFont="1" applyFill="1" applyBorder="1" applyAlignment="1" applyProtection="1">
      <alignment horizontal="left" vertical="center" wrapText="1" indent="1"/>
      <protection locked="0"/>
    </xf>
    <xf numFmtId="3" fontId="12" fillId="0" borderId="37" xfId="11" applyNumberFormat="1" applyFont="1" applyFill="1" applyBorder="1" applyAlignment="1" applyProtection="1">
      <alignment vertical="center" wrapText="1"/>
      <protection locked="0"/>
    </xf>
    <xf numFmtId="3" fontId="12" fillId="0" borderId="36" xfId="11" applyNumberFormat="1" applyFont="1" applyFill="1" applyBorder="1" applyAlignment="1" applyProtection="1">
      <alignment vertical="center" wrapText="1"/>
      <protection locked="0"/>
    </xf>
    <xf numFmtId="3" fontId="17" fillId="0" borderId="20" xfId="0" applyNumberFormat="1" applyFont="1" applyFill="1" applyBorder="1"/>
    <xf numFmtId="3" fontId="17" fillId="0" borderId="2" xfId="0" applyNumberFormat="1" applyFont="1" applyFill="1" applyBorder="1"/>
    <xf numFmtId="3" fontId="17" fillId="0" borderId="18" xfId="0" applyNumberFormat="1" applyFont="1" applyFill="1" applyBorder="1"/>
    <xf numFmtId="0" fontId="42" fillId="0" borderId="0" xfId="0" applyFont="1" applyFill="1"/>
    <xf numFmtId="0" fontId="45" fillId="0" borderId="0" xfId="0" applyFont="1" applyFill="1"/>
    <xf numFmtId="0" fontId="38" fillId="0" borderId="89" xfId="11" applyFont="1" applyBorder="1" applyAlignment="1">
      <alignment horizontal="center"/>
    </xf>
    <xf numFmtId="0" fontId="38" fillId="0" borderId="36" xfId="11" applyFont="1" applyBorder="1" applyAlignment="1">
      <alignment horizontal="center"/>
    </xf>
    <xf numFmtId="9" fontId="38" fillId="0" borderId="89" xfId="11" applyNumberFormat="1" applyFont="1" applyBorder="1" applyAlignment="1">
      <alignment horizontal="center"/>
    </xf>
    <xf numFmtId="9" fontId="38" fillId="0" borderId="36" xfId="11" applyNumberFormat="1" applyFont="1" applyBorder="1" applyAlignment="1">
      <alignment horizontal="center"/>
    </xf>
    <xf numFmtId="0" fontId="38" fillId="0" borderId="32" xfId="11" applyFont="1" applyBorder="1" applyAlignment="1"/>
    <xf numFmtId="0" fontId="39" fillId="0" borderId="9" xfId="11" applyFont="1" applyFill="1" applyBorder="1" applyAlignment="1"/>
    <xf numFmtId="3" fontId="12" fillId="0" borderId="24" xfId="11" applyNumberFormat="1" applyFont="1" applyFill="1" applyBorder="1" applyAlignment="1" applyProtection="1">
      <alignment horizontal="left" vertical="center" wrapText="1" indent="1"/>
      <protection locked="0"/>
    </xf>
    <xf numFmtId="3" fontId="12" fillId="0" borderId="90" xfId="11" applyNumberFormat="1" applyFont="1" applyBorder="1" applyAlignment="1">
      <alignment horizontal="left" indent="1"/>
    </xf>
    <xf numFmtId="3" fontId="11" fillId="0" borderId="21" xfId="1" applyNumberFormat="1" applyFont="1" applyBorder="1"/>
    <xf numFmtId="3" fontId="11" fillId="0" borderId="40" xfId="11" applyNumberFormat="1" applyFont="1" applyBorder="1"/>
    <xf numFmtId="3" fontId="11" fillId="0" borderId="21" xfId="11" applyNumberFormat="1" applyFont="1" applyBorder="1"/>
    <xf numFmtId="165" fontId="11" fillId="0" borderId="47" xfId="11" applyNumberFormat="1" applyFont="1" applyFill="1" applyBorder="1" applyAlignment="1">
      <alignment horizontal="center" vertical="center" wrapText="1"/>
    </xf>
    <xf numFmtId="165" fontId="11" fillId="0" borderId="91" xfId="11" applyNumberFormat="1" applyFont="1" applyFill="1" applyBorder="1" applyAlignment="1" applyProtection="1">
      <alignment horizontal="center" vertical="center" wrapText="1"/>
    </xf>
    <xf numFmtId="165" fontId="11" fillId="0" borderId="57" xfId="11" applyNumberFormat="1" applyFont="1" applyFill="1" applyBorder="1" applyAlignment="1" applyProtection="1">
      <alignment vertical="center" wrapText="1"/>
    </xf>
    <xf numFmtId="165" fontId="12" fillId="0" borderId="49" xfId="11" applyNumberFormat="1" applyFont="1" applyFill="1" applyBorder="1" applyAlignment="1" applyProtection="1">
      <alignment vertical="center" wrapText="1"/>
      <protection locked="0"/>
    </xf>
    <xf numFmtId="165" fontId="11" fillId="0" borderId="47" xfId="11" applyNumberFormat="1" applyFont="1" applyFill="1" applyBorder="1" applyAlignment="1" applyProtection="1">
      <alignment vertical="center" wrapText="1"/>
      <protection locked="0"/>
    </xf>
    <xf numFmtId="165" fontId="11" fillId="0" borderId="55" xfId="11" applyNumberFormat="1" applyFont="1" applyFill="1" applyBorder="1" applyAlignment="1" applyProtection="1">
      <alignment vertical="center" wrapText="1"/>
      <protection locked="0"/>
    </xf>
    <xf numFmtId="165" fontId="10" fillId="0" borderId="91" xfId="11" applyNumberFormat="1" applyFont="1" applyFill="1" applyBorder="1" applyAlignment="1" applyProtection="1">
      <alignment vertical="center" wrapText="1"/>
      <protection locked="0"/>
    </xf>
    <xf numFmtId="165" fontId="11" fillId="0" borderId="91" xfId="11" applyNumberFormat="1" applyFont="1" applyFill="1" applyBorder="1" applyAlignment="1">
      <alignment vertical="center" wrapText="1"/>
    </xf>
    <xf numFmtId="165" fontId="11" fillId="0" borderId="1" xfId="11" applyNumberFormat="1" applyFont="1" applyFill="1" applyBorder="1" applyAlignment="1" applyProtection="1">
      <alignment horizontal="center" vertical="center" wrapText="1"/>
    </xf>
    <xf numFmtId="14" fontId="12" fillId="0" borderId="20" xfId="11" applyNumberFormat="1" applyFont="1" applyFill="1" applyBorder="1" applyAlignment="1" applyProtection="1">
      <alignment horizontal="center" vertical="center" wrapText="1"/>
      <protection locked="0"/>
    </xf>
    <xf numFmtId="165" fontId="11" fillId="4" borderId="13" xfId="11" applyNumberFormat="1" applyFont="1" applyFill="1" applyBorder="1" applyAlignment="1" applyProtection="1">
      <alignment horizontal="center" vertical="center" wrapText="1"/>
    </xf>
    <xf numFmtId="14" fontId="12" fillId="0" borderId="6" xfId="11" applyNumberFormat="1" applyFont="1" applyFill="1" applyBorder="1" applyAlignment="1" applyProtection="1">
      <alignment horizontal="center" vertical="center" wrapText="1"/>
      <protection locked="0"/>
    </xf>
    <xf numFmtId="14" fontId="10" fillId="0" borderId="27" xfId="11" applyNumberFormat="1" applyFont="1" applyFill="1" applyBorder="1" applyAlignment="1" applyProtection="1">
      <alignment horizontal="center" vertical="center" wrapText="1"/>
      <protection locked="0"/>
    </xf>
    <xf numFmtId="165" fontId="11" fillId="0" borderId="34" xfId="11" applyNumberFormat="1" applyFont="1" applyFill="1" applyBorder="1" applyAlignment="1">
      <alignment horizontal="center" vertical="center" wrapText="1"/>
    </xf>
    <xf numFmtId="165" fontId="11" fillId="0" borderId="35" xfId="11" applyNumberFormat="1" applyFont="1" applyFill="1" applyBorder="1" applyAlignment="1" applyProtection="1">
      <alignment horizontal="center" vertical="center" wrapText="1"/>
    </xf>
    <xf numFmtId="165" fontId="11" fillId="0" borderId="48" xfId="11" applyNumberFormat="1" applyFont="1" applyFill="1" applyBorder="1" applyAlignment="1" applyProtection="1">
      <alignment vertical="center" wrapText="1"/>
    </xf>
    <xf numFmtId="165" fontId="11" fillId="0" borderId="40" xfId="11" applyNumberFormat="1" applyFont="1" applyFill="1" applyBorder="1" applyAlignment="1" applyProtection="1">
      <alignment horizontal="center" vertical="center" wrapText="1"/>
    </xf>
    <xf numFmtId="165" fontId="12" fillId="0" borderId="34" xfId="11" applyNumberFormat="1" applyFont="1" applyFill="1" applyBorder="1" applyAlignment="1">
      <alignment vertical="center" wrapText="1"/>
    </xf>
    <xf numFmtId="0" fontId="43" fillId="0" borderId="0" xfId="11" applyNumberFormat="1" applyFont="1" applyAlignment="1">
      <alignment vertical="top"/>
    </xf>
    <xf numFmtId="0" fontId="44" fillId="0" borderId="0" xfId="11" applyNumberFormat="1" applyFont="1" applyAlignment="1">
      <alignment vertical="top"/>
    </xf>
    <xf numFmtId="49" fontId="15" fillId="0" borderId="0" xfId="11" applyNumberFormat="1" applyFont="1" applyAlignment="1">
      <alignment horizontal="center" vertical="top" wrapText="1"/>
    </xf>
    <xf numFmtId="0" fontId="15" fillId="0" borderId="0" xfId="11" applyNumberFormat="1" applyFont="1" applyAlignment="1">
      <alignment vertical="top" wrapText="1"/>
    </xf>
    <xf numFmtId="3" fontId="15" fillId="0" borderId="0" xfId="11" applyNumberFormat="1" applyFont="1" applyBorder="1" applyAlignment="1">
      <alignment vertical="top" wrapText="1"/>
    </xf>
    <xf numFmtId="3" fontId="15" fillId="0" borderId="2" xfId="11" applyNumberFormat="1" applyFont="1" applyFill="1" applyBorder="1" applyAlignment="1">
      <alignment vertical="top" wrapText="1"/>
    </xf>
    <xf numFmtId="3" fontId="15" fillId="2" borderId="34" xfId="11" applyNumberFormat="1" applyFont="1" applyFill="1" applyBorder="1" applyAlignment="1">
      <alignment vertical="top" wrapText="1"/>
    </xf>
    <xf numFmtId="3" fontId="15" fillId="0" borderId="0" xfId="11" applyNumberFormat="1" applyFont="1" applyFill="1" applyBorder="1" applyAlignment="1">
      <alignment vertical="top" wrapText="1"/>
    </xf>
    <xf numFmtId="3" fontId="11" fillId="0" borderId="0" xfId="33" applyNumberFormat="1" applyFont="1" applyFill="1" applyBorder="1" applyAlignment="1" applyProtection="1">
      <alignment horizontal="center" vertical="center"/>
    </xf>
    <xf numFmtId="3" fontId="11" fillId="0" borderId="0" xfId="33" applyNumberFormat="1" applyFont="1" applyFill="1" applyBorder="1" applyAlignment="1" applyProtection="1">
      <alignment vertical="center"/>
    </xf>
    <xf numFmtId="3" fontId="11" fillId="0" borderId="0" xfId="33" applyNumberFormat="1" applyFont="1" applyFill="1" applyBorder="1" applyAlignment="1" applyProtection="1"/>
    <xf numFmtId="3" fontId="8" fillId="0" borderId="0" xfId="33" applyNumberFormat="1" applyFont="1" applyFill="1" applyProtection="1">
      <protection locked="0"/>
    </xf>
    <xf numFmtId="3" fontId="47" fillId="0" borderId="95" xfId="26" applyNumberFormat="1" applyFont="1" applyBorder="1"/>
    <xf numFmtId="3" fontId="47" fillId="0" borderId="86" xfId="26" applyNumberFormat="1" applyFont="1" applyBorder="1"/>
    <xf numFmtId="3" fontId="47" fillId="0" borderId="51" xfId="26" applyNumberFormat="1" applyFont="1" applyBorder="1"/>
    <xf numFmtId="3" fontId="47" fillId="0" borderId="50" xfId="26" applyNumberFormat="1" applyFont="1" applyBorder="1"/>
    <xf numFmtId="3" fontId="47" fillId="0" borderId="100" xfId="26" applyNumberFormat="1" applyFont="1" applyBorder="1"/>
    <xf numFmtId="3" fontId="8" fillId="0" borderId="0" xfId="33" applyNumberFormat="1" applyFont="1" applyFill="1" applyProtection="1"/>
    <xf numFmtId="3" fontId="47" fillId="0" borderId="48" xfId="26" applyNumberFormat="1" applyFont="1" applyBorder="1"/>
    <xf numFmtId="3" fontId="47" fillId="0" borderId="61" xfId="26" applyNumberFormat="1" applyFont="1" applyBorder="1"/>
    <xf numFmtId="3" fontId="47" fillId="0" borderId="38" xfId="26" applyNumberFormat="1" applyFont="1" applyBorder="1"/>
    <xf numFmtId="3" fontId="47" fillId="0" borderId="39" xfId="26" applyNumberFormat="1" applyFont="1" applyBorder="1"/>
    <xf numFmtId="3" fontId="8" fillId="0" borderId="0" xfId="33" applyNumberFormat="1" applyFont="1" applyFill="1" applyAlignment="1" applyProtection="1">
      <alignment vertical="center"/>
    </xf>
    <xf numFmtId="3" fontId="47" fillId="0" borderId="49" xfId="26" applyNumberFormat="1" applyFont="1" applyBorder="1"/>
    <xf numFmtId="3" fontId="47" fillId="0" borderId="62" xfId="26" applyNumberFormat="1" applyFont="1" applyBorder="1"/>
    <xf numFmtId="3" fontId="47" fillId="0" borderId="2" xfId="26" applyNumberFormat="1" applyFont="1" applyBorder="1"/>
    <xf numFmtId="3" fontId="47" fillId="0" borderId="18" xfId="26" applyNumberFormat="1" applyFont="1" applyBorder="1"/>
    <xf numFmtId="3" fontId="8" fillId="0" borderId="0" xfId="33" applyNumberFormat="1" applyFont="1" applyFill="1" applyAlignment="1" applyProtection="1">
      <alignment vertical="center"/>
      <protection locked="0"/>
    </xf>
    <xf numFmtId="3" fontId="49" fillId="0" borderId="62" xfId="26" applyNumberFormat="1" applyFont="1" applyBorder="1"/>
    <xf numFmtId="3" fontId="49" fillId="0" borderId="2" xfId="26" applyNumberFormat="1" applyFont="1" applyBorder="1"/>
    <xf numFmtId="3" fontId="49" fillId="0" borderId="18" xfId="26" applyNumberFormat="1" applyFont="1" applyBorder="1"/>
    <xf numFmtId="3" fontId="47" fillId="0" borderId="91" xfId="26" applyNumberFormat="1" applyFont="1" applyBorder="1"/>
    <xf numFmtId="3" fontId="48" fillId="0" borderId="98" xfId="26" applyNumberFormat="1" applyFont="1" applyBorder="1"/>
    <xf numFmtId="3" fontId="48" fillId="0" borderId="28" xfId="26" applyNumberFormat="1" applyFont="1" applyBorder="1"/>
    <xf numFmtId="3" fontId="48" fillId="0" borderId="29" xfId="26" applyNumberFormat="1" applyFont="1" applyBorder="1"/>
    <xf numFmtId="3" fontId="48" fillId="0" borderId="92" xfId="26" applyNumberFormat="1" applyFont="1" applyBorder="1"/>
    <xf numFmtId="3" fontId="48" fillId="0" borderId="90" xfId="26" applyNumberFormat="1" applyFont="1" applyBorder="1"/>
    <xf numFmtId="3" fontId="48" fillId="0" borderId="93" xfId="26" applyNumberFormat="1" applyFont="1" applyBorder="1"/>
    <xf numFmtId="3" fontId="50" fillId="0" borderId="93" xfId="26" applyNumberFormat="1" applyFont="1" applyBorder="1"/>
    <xf numFmtId="3" fontId="11" fillId="0" borderId="23" xfId="33" applyNumberFormat="1" applyFont="1" applyFill="1" applyBorder="1" applyAlignment="1" applyProtection="1">
      <alignment vertical="center"/>
    </xf>
    <xf numFmtId="3" fontId="21" fillId="0" borderId="21" xfId="11" applyNumberFormat="1" applyFont="1" applyFill="1" applyBorder="1" applyAlignment="1" applyProtection="1">
      <alignment vertical="center" wrapText="1"/>
      <protection locked="0"/>
    </xf>
    <xf numFmtId="49" fontId="17" fillId="0" borderId="5" xfId="0" applyNumberFormat="1" applyFont="1" applyBorder="1" applyAlignment="1">
      <alignment horizontal="left" indent="2"/>
    </xf>
    <xf numFmtId="49" fontId="18" fillId="0" borderId="21" xfId="0" applyNumberFormat="1" applyFont="1" applyBorder="1" applyAlignment="1">
      <alignment horizontal="center"/>
    </xf>
    <xf numFmtId="49" fontId="18" fillId="0" borderId="15" xfId="0" applyNumberFormat="1" applyFont="1" applyBorder="1" applyAlignment="1">
      <alignment horizontal="left" indent="1"/>
    </xf>
    <xf numFmtId="165" fontId="11" fillId="0" borderId="9" xfId="11" applyNumberFormat="1" applyFont="1" applyFill="1" applyBorder="1" applyAlignment="1" applyProtection="1">
      <alignment horizontal="center" vertical="center" wrapText="1"/>
    </xf>
    <xf numFmtId="165" fontId="11" fillId="0" borderId="29" xfId="11" applyNumberFormat="1" applyFont="1" applyFill="1" applyBorder="1" applyAlignment="1" applyProtection="1">
      <alignment horizontal="center" vertical="center" wrapText="1"/>
    </xf>
    <xf numFmtId="3" fontId="11" fillId="0" borderId="32" xfId="11" applyNumberFormat="1" applyFont="1" applyFill="1" applyBorder="1" applyAlignment="1" applyProtection="1">
      <alignment vertical="center" wrapText="1"/>
    </xf>
    <xf numFmtId="3" fontId="12" fillId="0" borderId="18" xfId="11" applyNumberFormat="1" applyFont="1" applyFill="1" applyBorder="1" applyAlignment="1" applyProtection="1">
      <alignment vertical="center" wrapText="1"/>
    </xf>
    <xf numFmtId="3" fontId="12" fillId="0" borderId="17" xfId="11" applyNumberFormat="1" applyFont="1" applyFill="1" applyBorder="1" applyAlignment="1" applyProtection="1">
      <alignment vertical="center" wrapText="1"/>
    </xf>
    <xf numFmtId="3" fontId="10" fillId="0" borderId="29" xfId="11" applyNumberFormat="1" applyFont="1" applyFill="1" applyBorder="1" applyAlignment="1" applyProtection="1">
      <alignment vertical="center" wrapText="1"/>
    </xf>
    <xf numFmtId="3" fontId="11" fillId="0" borderId="29" xfId="11" applyNumberFormat="1" applyFont="1" applyFill="1" applyBorder="1" applyAlignment="1" applyProtection="1">
      <alignment vertical="center" wrapText="1"/>
    </xf>
    <xf numFmtId="3" fontId="11" fillId="0" borderId="39" xfId="11" applyNumberFormat="1" applyFont="1" applyFill="1" applyBorder="1" applyAlignment="1" applyProtection="1">
      <alignment vertical="center" wrapText="1"/>
    </xf>
    <xf numFmtId="0" fontId="12" fillId="0" borderId="5" xfId="0" applyFont="1" applyFill="1" applyBorder="1" applyAlignment="1">
      <alignment horizontal="left" indent="1"/>
    </xf>
    <xf numFmtId="0" fontId="6" fillId="0" borderId="0" xfId="11" applyFont="1"/>
    <xf numFmtId="4" fontId="7" fillId="0" borderId="0" xfId="11" applyNumberFormat="1" applyFont="1" applyFill="1"/>
    <xf numFmtId="4" fontId="9" fillId="0" borderId="0" xfId="11" applyNumberFormat="1" applyFont="1" applyFill="1" applyBorder="1" applyAlignment="1">
      <alignment vertical="center"/>
    </xf>
    <xf numFmtId="0" fontId="12" fillId="0" borderId="55" xfId="11" applyFont="1" applyBorder="1" applyAlignment="1">
      <alignment horizontal="left" indent="1"/>
    </xf>
    <xf numFmtId="0" fontId="12" fillId="0" borderId="49" xfId="11" applyFont="1" applyBorder="1" applyAlignment="1">
      <alignment horizontal="left" indent="1"/>
    </xf>
    <xf numFmtId="0" fontId="12" fillId="0" borderId="59" xfId="11" applyFont="1" applyBorder="1" applyAlignment="1">
      <alignment horizontal="left" indent="1"/>
    </xf>
    <xf numFmtId="0" fontId="34" fillId="0" borderId="0" xfId="32" applyFont="1" applyAlignment="1">
      <alignment vertical="top" wrapText="1"/>
    </xf>
    <xf numFmtId="0" fontId="34" fillId="0" borderId="0" xfId="28" applyFont="1" applyAlignment="1">
      <alignment vertical="top" wrapText="1"/>
    </xf>
    <xf numFmtId="3" fontId="11" fillId="0" borderId="0" xfId="11" applyNumberFormat="1" applyFont="1" applyFill="1" applyBorder="1" applyAlignment="1" applyProtection="1">
      <alignment horizontal="right" vertical="center" wrapText="1"/>
      <protection locked="0"/>
    </xf>
    <xf numFmtId="3" fontId="16" fillId="0" borderId="2" xfId="11" applyNumberFormat="1" applyFont="1" applyBorder="1" applyAlignment="1">
      <alignment vertical="top" wrapText="1"/>
    </xf>
    <xf numFmtId="0" fontId="20" fillId="0" borderId="0" xfId="11" applyNumberFormat="1" applyFont="1" applyFill="1" applyAlignment="1">
      <alignment horizontal="center" vertical="top"/>
    </xf>
    <xf numFmtId="3" fontId="16" fillId="0" borderId="0" xfId="11" applyNumberFormat="1" applyFont="1" applyFill="1" applyAlignment="1">
      <alignment vertical="top" wrapText="1"/>
    </xf>
    <xf numFmtId="3" fontId="16" fillId="0" borderId="0" xfId="11" applyNumberFormat="1" applyFont="1" applyFill="1" applyBorder="1" applyAlignment="1">
      <alignment vertical="top" wrapText="1"/>
    </xf>
    <xf numFmtId="3" fontId="15" fillId="0" borderId="0" xfId="1" applyNumberFormat="1" applyFont="1" applyFill="1" applyBorder="1" applyAlignment="1">
      <alignment horizontal="right" vertical="top" wrapText="1"/>
    </xf>
    <xf numFmtId="3" fontId="16" fillId="0" borderId="0" xfId="11" applyNumberFormat="1" applyFont="1" applyFill="1" applyAlignment="1">
      <alignment vertical="top"/>
    </xf>
    <xf numFmtId="0" fontId="12" fillId="0" borderId="0" xfId="11" applyFont="1" applyFill="1" applyBorder="1" applyAlignment="1"/>
    <xf numFmtId="3" fontId="11" fillId="0" borderId="0" xfId="11" applyNumberFormat="1" applyFont="1" applyFill="1" applyBorder="1" applyAlignment="1">
      <alignment horizontal="right" vertical="center" wrapText="1"/>
    </xf>
    <xf numFmtId="164" fontId="12" fillId="0" borderId="49" xfId="11" applyNumberFormat="1" applyFont="1" applyFill="1" applyBorder="1" applyAlignment="1"/>
    <xf numFmtId="3" fontId="11" fillId="0" borderId="58" xfId="11" applyNumberFormat="1" applyFont="1" applyBorder="1" applyAlignment="1">
      <alignment wrapText="1"/>
    </xf>
    <xf numFmtId="0" fontId="12" fillId="0" borderId="42" xfId="0" applyFont="1" applyFill="1" applyBorder="1" applyAlignment="1">
      <alignment horizontal="left" indent="1"/>
    </xf>
    <xf numFmtId="168" fontId="12" fillId="0" borderId="61" xfId="11" applyNumberFormat="1" applyFont="1" applyFill="1" applyBorder="1" applyAlignment="1">
      <alignment horizontal="center" vertical="center" wrapText="1"/>
    </xf>
    <xf numFmtId="168" fontId="12" fillId="0" borderId="62" xfId="11" applyNumberFormat="1" applyFont="1" applyFill="1" applyBorder="1" applyAlignment="1">
      <alignment horizontal="center" vertical="center" wrapText="1"/>
    </xf>
    <xf numFmtId="168" fontId="12" fillId="0" borderId="34" xfId="11" applyNumberFormat="1" applyFont="1" applyFill="1" applyBorder="1" applyAlignment="1">
      <alignment horizontal="center" vertical="center" wrapText="1"/>
    </xf>
    <xf numFmtId="3" fontId="55" fillId="0" borderId="60" xfId="11" applyNumberFormat="1" applyFont="1" applyFill="1" applyBorder="1" applyAlignment="1">
      <alignment horizontal="center" vertical="center" wrapText="1"/>
    </xf>
    <xf numFmtId="3" fontId="55" fillId="0" borderId="62" xfId="11" applyNumberFormat="1" applyFont="1" applyFill="1" applyBorder="1" applyAlignment="1">
      <alignment horizontal="center" vertical="center" wrapText="1"/>
    </xf>
    <xf numFmtId="3" fontId="55" fillId="0" borderId="63" xfId="11" applyNumberFormat="1" applyFont="1" applyFill="1" applyBorder="1" applyAlignment="1">
      <alignment horizontal="center" vertical="center" wrapText="1"/>
    </xf>
    <xf numFmtId="3" fontId="58" fillId="0" borderId="47" xfId="11" applyNumberFormat="1" applyFont="1" applyFill="1" applyBorder="1" applyAlignment="1">
      <alignment horizontal="center" vertical="center" wrapText="1"/>
    </xf>
    <xf numFmtId="3" fontId="58" fillId="0" borderId="11" xfId="11" applyNumberFormat="1" applyFont="1" applyFill="1" applyBorder="1" applyAlignment="1">
      <alignment horizontal="center" vertical="center" wrapText="1"/>
    </xf>
    <xf numFmtId="3" fontId="55" fillId="0" borderId="97" xfId="11" applyNumberFormat="1" applyFont="1" applyFill="1" applyBorder="1" applyAlignment="1">
      <alignment horizontal="center" vertical="center" wrapText="1"/>
    </xf>
    <xf numFmtId="3" fontId="58" fillId="0" borderId="95" xfId="11" applyNumberFormat="1" applyFont="1" applyFill="1" applyBorder="1" applyAlignment="1">
      <alignment horizontal="center" vertical="center" wrapText="1"/>
    </xf>
    <xf numFmtId="3" fontId="57" fillId="0" borderId="0" xfId="11" applyNumberFormat="1" applyFont="1" applyFill="1" applyAlignment="1">
      <alignment horizontal="center" vertical="center"/>
    </xf>
    <xf numFmtId="3" fontId="55" fillId="0" borderId="0" xfId="11" applyNumberFormat="1" applyFont="1" applyFill="1" applyAlignment="1">
      <alignment horizontal="center" vertical="center"/>
    </xf>
    <xf numFmtId="3" fontId="59" fillId="0" borderId="63" xfId="11" applyNumberFormat="1" applyFont="1" applyFill="1" applyBorder="1" applyAlignment="1">
      <alignment horizontal="center" vertical="center" wrapText="1"/>
    </xf>
    <xf numFmtId="3" fontId="58" fillId="0" borderId="11" xfId="11" applyNumberFormat="1" applyFont="1" applyFill="1" applyBorder="1" applyAlignment="1">
      <alignment horizontal="center" vertical="center"/>
    </xf>
    <xf numFmtId="3" fontId="59" fillId="0" borderId="62" xfId="11" applyNumberFormat="1" applyFont="1" applyFill="1" applyBorder="1" applyAlignment="1">
      <alignment horizontal="center" vertical="center" wrapText="1"/>
    </xf>
    <xf numFmtId="3" fontId="60" fillId="0" borderId="11" xfId="11" applyNumberFormat="1" applyFont="1" applyFill="1" applyBorder="1" applyAlignment="1">
      <alignment horizontal="center" vertical="center"/>
    </xf>
    <xf numFmtId="3" fontId="55" fillId="0" borderId="97" xfId="11" applyNumberFormat="1" applyFont="1" applyFill="1" applyBorder="1" applyAlignment="1">
      <alignment horizontal="center" vertical="center"/>
    </xf>
    <xf numFmtId="3" fontId="55" fillId="0" borderId="0" xfId="0" applyNumberFormat="1" applyFont="1" applyFill="1" applyAlignment="1">
      <alignment horizontal="center" vertical="center"/>
    </xf>
    <xf numFmtId="3" fontId="55" fillId="5" borderId="63" xfId="11" applyNumberFormat="1" applyFont="1" applyFill="1" applyBorder="1" applyAlignment="1">
      <alignment horizontal="center" vertical="center" wrapText="1"/>
    </xf>
    <xf numFmtId="3" fontId="58" fillId="5" borderId="11" xfId="11" applyNumberFormat="1" applyFont="1" applyFill="1" applyBorder="1" applyAlignment="1">
      <alignment horizontal="center" vertical="center" wrapText="1"/>
    </xf>
    <xf numFmtId="0" fontId="56" fillId="0" borderId="0" xfId="11" applyNumberFormat="1" applyFont="1" applyAlignment="1">
      <alignment vertical="top"/>
    </xf>
    <xf numFmtId="3" fontId="19" fillId="0" borderId="0" xfId="11" applyNumberFormat="1" applyFont="1" applyAlignment="1">
      <alignment vertical="top"/>
    </xf>
    <xf numFmtId="3" fontId="15" fillId="0" borderId="0" xfId="11" applyNumberFormat="1" applyFont="1" applyAlignment="1">
      <alignment vertical="top"/>
    </xf>
    <xf numFmtId="3" fontId="43" fillId="0" borderId="0" xfId="11" applyNumberFormat="1" applyFont="1" applyAlignment="1">
      <alignment vertical="top"/>
    </xf>
    <xf numFmtId="3" fontId="56" fillId="0" borderId="0" xfId="11" applyNumberFormat="1" applyFont="1" applyAlignment="1">
      <alignment vertical="top"/>
    </xf>
    <xf numFmtId="0" fontId="12" fillId="0" borderId="49" xfId="11" applyFont="1" applyBorder="1" applyAlignment="1">
      <alignment horizontal="center" vertical="center"/>
    </xf>
    <xf numFmtId="3" fontId="17" fillId="0" borderId="62" xfId="0" applyNumberFormat="1" applyFont="1" applyFill="1" applyBorder="1"/>
    <xf numFmtId="3" fontId="17" fillId="0" borderId="93" xfId="0" applyNumberFormat="1" applyFont="1" applyFill="1" applyBorder="1"/>
    <xf numFmtId="0" fontId="12" fillId="0" borderId="22" xfId="11" applyFont="1" applyBorder="1" applyAlignment="1">
      <alignment horizontal="left" indent="1"/>
    </xf>
    <xf numFmtId="0" fontId="12" fillId="0" borderId="57" xfId="11" applyFont="1" applyBorder="1" applyAlignment="1">
      <alignment horizontal="left" indent="1"/>
    </xf>
    <xf numFmtId="3" fontId="11" fillId="0" borderId="34" xfId="11" applyNumberFormat="1" applyFont="1" applyFill="1" applyBorder="1" applyAlignment="1">
      <alignment horizontal="center" vertical="center"/>
    </xf>
    <xf numFmtId="0" fontId="12" fillId="0" borderId="67" xfId="11" applyFont="1" applyFill="1" applyBorder="1" applyAlignment="1">
      <alignment wrapText="1"/>
    </xf>
    <xf numFmtId="49" fontId="15" fillId="0" borderId="41" xfId="0" applyNumberFormat="1" applyFont="1" applyBorder="1" applyAlignment="1">
      <alignment horizontal="center"/>
    </xf>
    <xf numFmtId="3" fontId="17" fillId="0" borderId="59" xfId="0" applyNumberFormat="1" applyFont="1" applyFill="1" applyBorder="1"/>
    <xf numFmtId="3" fontId="16" fillId="0" borderId="48" xfId="0" applyNumberFormat="1" applyFont="1" applyBorder="1"/>
    <xf numFmtId="3" fontId="16" fillId="0" borderId="59" xfId="0" applyNumberFormat="1" applyFont="1" applyFill="1" applyBorder="1"/>
    <xf numFmtId="3" fontId="18" fillId="0" borderId="48" xfId="0" applyNumberFormat="1" applyFont="1" applyFill="1" applyBorder="1"/>
    <xf numFmtId="164" fontId="15" fillId="0" borderId="48" xfId="0" applyNumberFormat="1" applyFont="1" applyFill="1" applyBorder="1"/>
    <xf numFmtId="164" fontId="17" fillId="0" borderId="59" xfId="0" applyNumberFormat="1" applyFont="1" applyFill="1" applyBorder="1"/>
    <xf numFmtId="164" fontId="15" fillId="0" borderId="59" xfId="0" applyNumberFormat="1" applyFont="1" applyFill="1" applyBorder="1"/>
    <xf numFmtId="164" fontId="15" fillId="0" borderId="47" xfId="0" applyNumberFormat="1" applyFont="1" applyFill="1" applyBorder="1"/>
    <xf numFmtId="0" fontId="61" fillId="0" borderId="8" xfId="11" applyFont="1" applyFill="1" applyBorder="1" applyAlignment="1" applyProtection="1">
      <alignment horizontal="left" vertical="center" wrapText="1" indent="2"/>
      <protection locked="0"/>
    </xf>
    <xf numFmtId="3" fontId="55" fillId="5" borderId="60" xfId="11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wrapText="1" indent="1"/>
    </xf>
    <xf numFmtId="168" fontId="11" fillId="0" borderId="34" xfId="11" applyNumberFormat="1" applyFont="1" applyFill="1" applyBorder="1" applyAlignment="1">
      <alignment horizontal="center" vertical="center" wrapText="1"/>
    </xf>
    <xf numFmtId="3" fontId="12" fillId="0" borderId="11" xfId="11" applyNumberFormat="1" applyFont="1" applyFill="1" applyBorder="1" applyAlignment="1">
      <alignment vertical="center" wrapText="1"/>
    </xf>
    <xf numFmtId="3" fontId="11" fillId="0" borderId="41" xfId="11" applyNumberFormat="1" applyFont="1" applyFill="1" applyBorder="1"/>
    <xf numFmtId="168" fontId="12" fillId="0" borderId="60" xfId="11" applyNumberFormat="1" applyFont="1" applyFill="1" applyBorder="1" applyAlignment="1">
      <alignment horizontal="center" vertical="center" wrapText="1"/>
    </xf>
    <xf numFmtId="0" fontId="12" fillId="0" borderId="17" xfId="11" applyFont="1" applyFill="1" applyBorder="1" applyAlignment="1">
      <alignment horizontal="left" vertical="center" wrapText="1" indent="1"/>
    </xf>
    <xf numFmtId="3" fontId="12" fillId="0" borderId="40" xfId="11" applyNumberFormat="1" applyFont="1" applyBorder="1"/>
    <xf numFmtId="168" fontId="12" fillId="0" borderId="63" xfId="11" applyNumberFormat="1" applyFont="1" applyFill="1" applyBorder="1" applyAlignment="1">
      <alignment horizontal="center" vertical="center" wrapText="1"/>
    </xf>
    <xf numFmtId="3" fontId="11" fillId="0" borderId="4" xfId="11" applyNumberFormat="1" applyFont="1" applyBorder="1"/>
    <xf numFmtId="3" fontId="11" fillId="0" borderId="24" xfId="11" applyNumberFormat="1" applyFont="1" applyBorder="1"/>
    <xf numFmtId="168" fontId="12" fillId="0" borderId="97" xfId="11" applyNumberFormat="1" applyFont="1" applyFill="1" applyBorder="1" applyAlignment="1">
      <alignment horizontal="center" vertical="center" wrapText="1"/>
    </xf>
    <xf numFmtId="3" fontId="11" fillId="0" borderId="1" xfId="11" applyNumberFormat="1" applyFont="1" applyBorder="1"/>
    <xf numFmtId="3" fontId="11" fillId="0" borderId="46" xfId="11" applyNumberFormat="1" applyFont="1" applyBorder="1"/>
    <xf numFmtId="3" fontId="11" fillId="0" borderId="27" xfId="11" applyNumberFormat="1" applyFont="1" applyBorder="1"/>
    <xf numFmtId="3" fontId="11" fillId="0" borderId="35" xfId="11" applyNumberFormat="1" applyFont="1" applyBorder="1"/>
    <xf numFmtId="168" fontId="12" fillId="0" borderId="11" xfId="11" applyNumberFormat="1" applyFont="1" applyFill="1" applyBorder="1" applyAlignment="1">
      <alignment horizontal="center" vertical="center" wrapText="1"/>
    </xf>
    <xf numFmtId="3" fontId="12" fillId="0" borderId="12" xfId="11" applyNumberFormat="1" applyFont="1" applyBorder="1" applyAlignment="1">
      <alignment horizontal="left" indent="1"/>
    </xf>
    <xf numFmtId="3" fontId="12" fillId="0" borderId="13" xfId="11" applyNumberFormat="1" applyFont="1" applyBorder="1"/>
    <xf numFmtId="3" fontId="11" fillId="0" borderId="34" xfId="1" applyNumberFormat="1" applyFont="1" applyBorder="1"/>
    <xf numFmtId="3" fontId="12" fillId="6" borderId="0" xfId="11" applyNumberFormat="1" applyFont="1" applyFill="1"/>
    <xf numFmtId="3" fontId="11" fillId="0" borderId="11" xfId="11" applyNumberFormat="1" applyFont="1" applyBorder="1" applyAlignment="1">
      <alignment horizontal="center" vertical="center" wrapText="1"/>
    </xf>
    <xf numFmtId="3" fontId="11" fillId="0" borderId="12" xfId="11" applyNumberFormat="1" applyFont="1" applyBorder="1" applyAlignment="1">
      <alignment horizontal="center" vertical="center" wrapText="1"/>
    </xf>
    <xf numFmtId="3" fontId="11" fillId="0" borderId="13" xfId="11" applyNumberFormat="1" applyFont="1" applyFill="1" applyBorder="1" applyAlignment="1">
      <alignment horizontal="center" vertical="center" wrapText="1"/>
    </xf>
    <xf numFmtId="3" fontId="11" fillId="0" borderId="13" xfId="11" applyNumberFormat="1" applyFont="1" applyBorder="1" applyAlignment="1">
      <alignment horizontal="center" vertical="center" wrapText="1"/>
    </xf>
    <xf numFmtId="3" fontId="21" fillId="0" borderId="18" xfId="11" applyNumberFormat="1" applyFont="1" applyFill="1" applyBorder="1" applyAlignment="1" applyProtection="1">
      <alignment vertical="center" wrapText="1"/>
      <protection locked="0"/>
    </xf>
    <xf numFmtId="0" fontId="9" fillId="0" borderId="0" xfId="0" applyFont="1" applyFill="1"/>
    <xf numFmtId="168" fontId="12" fillId="0" borderId="48" xfId="1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63" xfId="11" applyFont="1" applyBorder="1" applyAlignment="1">
      <alignment horizontal="center" wrapText="1"/>
    </xf>
    <xf numFmtId="3" fontId="11" fillId="0" borderId="13" xfId="11" applyNumberFormat="1" applyFont="1" applyBorder="1" applyAlignment="1">
      <alignment wrapText="1"/>
    </xf>
    <xf numFmtId="0" fontId="39" fillId="0" borderId="9" xfId="11" applyFont="1" applyBorder="1" applyAlignment="1">
      <alignment horizontal="center"/>
    </xf>
    <xf numFmtId="0" fontId="27" fillId="0" borderId="0" xfId="11" applyNumberFormat="1" applyFont="1" applyAlignment="1">
      <alignment vertical="top"/>
    </xf>
    <xf numFmtId="3" fontId="10" fillId="0" borderId="0" xfId="11" applyNumberFormat="1" applyFont="1" applyFill="1" applyBorder="1" applyAlignment="1">
      <alignment horizontal="right"/>
    </xf>
    <xf numFmtId="3" fontId="11" fillId="0" borderId="0" xfId="11" applyNumberFormat="1" applyFont="1" applyFill="1" applyBorder="1" applyAlignment="1">
      <alignment horizontal="center" vertical="center"/>
    </xf>
    <xf numFmtId="3" fontId="10" fillId="0" borderId="0" xfId="11" applyNumberFormat="1" applyFont="1" applyFill="1" applyBorder="1" applyAlignment="1">
      <alignment vertical="center"/>
    </xf>
    <xf numFmtId="3" fontId="11" fillId="0" borderId="55" xfId="11" applyNumberFormat="1" applyFont="1" applyFill="1" applyBorder="1" applyAlignment="1"/>
    <xf numFmtId="3" fontId="11" fillId="0" borderId="17" xfId="11" applyNumberFormat="1" applyFont="1" applyFill="1" applyBorder="1" applyAlignment="1">
      <alignment vertical="center"/>
    </xf>
    <xf numFmtId="3" fontId="11" fillId="0" borderId="60" xfId="11" applyNumberFormat="1" applyFont="1" applyFill="1" applyBorder="1" applyAlignment="1">
      <alignment vertical="center"/>
    </xf>
    <xf numFmtId="3" fontId="11" fillId="0" borderId="16" xfId="11" applyNumberFormat="1" applyFont="1" applyFill="1" applyBorder="1" applyAlignment="1">
      <alignment vertical="center"/>
    </xf>
    <xf numFmtId="3" fontId="11" fillId="0" borderId="8" xfId="11" applyNumberFormat="1" applyFont="1" applyFill="1" applyBorder="1" applyAlignment="1">
      <alignment vertical="center"/>
    </xf>
    <xf numFmtId="3" fontId="11" fillId="0" borderId="13" xfId="11" applyNumberFormat="1" applyFont="1" applyFill="1" applyBorder="1" applyAlignment="1">
      <alignment horizontal="center" vertical="center"/>
    </xf>
    <xf numFmtId="3" fontId="11" fillId="0" borderId="58" xfId="11" applyNumberFormat="1" applyFont="1" applyFill="1" applyBorder="1" applyAlignment="1">
      <alignment horizontal="center" vertical="center"/>
    </xf>
    <xf numFmtId="0" fontId="19" fillId="0" borderId="0" xfId="0" applyFont="1" applyFill="1"/>
    <xf numFmtId="4" fontId="19" fillId="0" borderId="0" xfId="0" applyNumberFormat="1" applyFont="1" applyFill="1"/>
    <xf numFmtId="0" fontId="11" fillId="0" borderId="0" xfId="11" applyFont="1" applyFill="1"/>
    <xf numFmtId="0" fontId="15" fillId="0" borderId="0" xfId="0" applyFont="1" applyFill="1"/>
    <xf numFmtId="4" fontId="11" fillId="0" borderId="0" xfId="11" applyNumberFormat="1" applyFont="1" applyFill="1"/>
    <xf numFmtId="9" fontId="12" fillId="0" borderId="0" xfId="36" applyNumberFormat="1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4" fontId="12" fillId="0" borderId="0" xfId="11" applyNumberFormat="1" applyFont="1" applyFill="1"/>
    <xf numFmtId="0" fontId="16" fillId="0" borderId="0" xfId="0" applyFont="1" applyFill="1"/>
    <xf numFmtId="4" fontId="12" fillId="0" borderId="0" xfId="11" applyNumberFormat="1" applyFont="1" applyFill="1" applyAlignment="1">
      <alignment horizontal="center"/>
    </xf>
    <xf numFmtId="4" fontId="16" fillId="0" borderId="0" xfId="0" applyNumberFormat="1" applyFont="1" applyFill="1"/>
    <xf numFmtId="4" fontId="12" fillId="0" borderId="0" xfId="11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2" fillId="0" borderId="0" xfId="11" applyFont="1" applyFill="1"/>
    <xf numFmtId="3" fontId="12" fillId="0" borderId="5" xfId="11" applyNumberFormat="1" applyFont="1" applyFill="1" applyBorder="1" applyAlignment="1" applyProtection="1">
      <alignment horizontal="left" vertical="center" wrapText="1"/>
      <protection locked="0"/>
    </xf>
    <xf numFmtId="3" fontId="15" fillId="0" borderId="9" xfId="0" applyNumberFormat="1" applyFont="1" applyBorder="1" applyAlignment="1">
      <alignment horizontal="center"/>
    </xf>
    <xf numFmtId="3" fontId="15" fillId="0" borderId="47" xfId="0" applyNumberFormat="1" applyFont="1" applyBorder="1" applyAlignment="1">
      <alignment horizontal="center"/>
    </xf>
    <xf numFmtId="3" fontId="9" fillId="0" borderId="0" xfId="33" applyNumberFormat="1" applyFont="1" applyFill="1" applyAlignment="1" applyProtection="1">
      <alignment horizontal="center"/>
    </xf>
    <xf numFmtId="3" fontId="11" fillId="0" borderId="0" xfId="33" applyNumberFormat="1" applyFont="1" applyFill="1" applyBorder="1" applyAlignment="1" applyProtection="1">
      <alignment horizontal="left" vertical="center" indent="1"/>
    </xf>
    <xf numFmtId="0" fontId="16" fillId="0" borderId="0" xfId="11" applyNumberFormat="1" applyFont="1" applyAlignment="1">
      <alignment horizontal="left" vertical="top" wrapText="1"/>
    </xf>
    <xf numFmtId="0" fontId="16" fillId="0" borderId="0" xfId="11" applyNumberFormat="1" applyFont="1" applyAlignment="1">
      <alignment horizontal="justify" vertical="top" wrapText="1"/>
    </xf>
    <xf numFmtId="0" fontId="16" fillId="0" borderId="0" xfId="11" applyNumberFormat="1" applyFont="1" applyAlignment="1">
      <alignment horizontal="justify" vertical="top"/>
    </xf>
    <xf numFmtId="0" fontId="16" fillId="0" borderId="0" xfId="11" applyNumberFormat="1" applyFont="1" applyAlignment="1">
      <alignment vertical="top" wrapText="1"/>
    </xf>
    <xf numFmtId="0" fontId="16" fillId="0" borderId="0" xfId="11" applyFont="1" applyAlignment="1">
      <alignment horizontal="justify" vertical="top" wrapText="1"/>
    </xf>
    <xf numFmtId="3" fontId="12" fillId="0" borderId="73" xfId="11" applyNumberFormat="1" applyFont="1" applyFill="1" applyBorder="1" applyAlignment="1">
      <alignment wrapText="1"/>
    </xf>
    <xf numFmtId="3" fontId="12" fillId="0" borderId="61" xfId="33" applyNumberFormat="1" applyFont="1" applyFill="1" applyBorder="1" applyAlignment="1" applyProtection="1">
      <alignment vertical="center"/>
      <protection locked="0"/>
    </xf>
    <xf numFmtId="3" fontId="12" fillId="0" borderId="38" xfId="33" applyNumberFormat="1" applyFont="1" applyFill="1" applyBorder="1" applyAlignment="1" applyProtection="1">
      <alignment vertical="center"/>
      <protection locked="0"/>
    </xf>
    <xf numFmtId="3" fontId="12" fillId="0" borderId="54" xfId="33" applyNumberFormat="1" applyFont="1" applyFill="1" applyBorder="1" applyAlignment="1" applyProtection="1">
      <alignment vertical="center"/>
      <protection locked="0"/>
    </xf>
    <xf numFmtId="3" fontId="12" fillId="0" borderId="62" xfId="33" applyNumberFormat="1" applyFont="1" applyFill="1" applyBorder="1" applyAlignment="1" applyProtection="1">
      <alignment vertical="center"/>
      <protection locked="0"/>
    </xf>
    <xf numFmtId="3" fontId="12" fillId="0" borderId="2" xfId="33" applyNumberFormat="1" applyFont="1" applyFill="1" applyBorder="1" applyAlignment="1" applyProtection="1">
      <alignment vertical="center"/>
      <protection locked="0"/>
    </xf>
    <xf numFmtId="3" fontId="12" fillId="0" borderId="56" xfId="33" applyNumberFormat="1" applyFont="1" applyFill="1" applyBorder="1" applyAlignment="1" applyProtection="1">
      <alignment vertical="center"/>
      <protection locked="0"/>
    </xf>
    <xf numFmtId="3" fontId="12" fillId="0" borderId="63" xfId="33" applyNumberFormat="1" applyFont="1" applyFill="1" applyBorder="1" applyAlignment="1" applyProtection="1">
      <alignment vertical="center"/>
      <protection locked="0"/>
    </xf>
    <xf numFmtId="3" fontId="12" fillId="0" borderId="25" xfId="33" applyNumberFormat="1" applyFont="1" applyFill="1" applyBorder="1" applyAlignment="1" applyProtection="1">
      <alignment vertical="center"/>
      <protection locked="0"/>
    </xf>
    <xf numFmtId="3" fontId="12" fillId="0" borderId="14" xfId="33" applyNumberFormat="1" applyFont="1" applyFill="1" applyBorder="1" applyAlignment="1" applyProtection="1">
      <alignment vertical="center"/>
      <protection locked="0"/>
    </xf>
    <xf numFmtId="4" fontId="12" fillId="0" borderId="55" xfId="11" applyNumberFormat="1" applyFont="1" applyFill="1" applyBorder="1" applyAlignment="1">
      <alignment horizontal="center" vertical="center" wrapText="1"/>
    </xf>
    <xf numFmtId="4" fontId="12" fillId="0" borderId="39" xfId="11" applyNumberFormat="1" applyFont="1" applyFill="1" applyBorder="1" applyAlignment="1">
      <alignment horizontal="left" vertical="center" wrapText="1"/>
    </xf>
    <xf numFmtId="0" fontId="12" fillId="0" borderId="39" xfId="11" applyFont="1" applyFill="1" applyBorder="1" applyAlignment="1"/>
    <xf numFmtId="4" fontId="12" fillId="0" borderId="60" xfId="11" applyNumberFormat="1" applyFont="1" applyFill="1" applyBorder="1" applyAlignment="1">
      <alignment horizontal="center" vertical="center" wrapText="1"/>
    </xf>
    <xf numFmtId="49" fontId="12" fillId="0" borderId="93" xfId="11" applyNumberFormat="1" applyFont="1" applyFill="1" applyBorder="1" applyAlignment="1">
      <alignment horizontal="left" vertical="center" wrapText="1"/>
    </xf>
    <xf numFmtId="3" fontId="12" fillId="0" borderId="55" xfId="11" applyNumberFormat="1" applyFont="1" applyFill="1" applyBorder="1" applyAlignment="1">
      <alignment horizontal="center"/>
    </xf>
    <xf numFmtId="0" fontId="12" fillId="0" borderId="2" xfId="11" applyFont="1" applyFill="1" applyBorder="1" applyAlignment="1"/>
    <xf numFmtId="3" fontId="12" fillId="0" borderId="49" xfId="11" applyNumberFormat="1" applyFont="1" applyFill="1" applyBorder="1" applyAlignment="1">
      <alignment horizontal="center"/>
    </xf>
    <xf numFmtId="0" fontId="12" fillId="0" borderId="31" xfId="11" applyFont="1" applyFill="1" applyBorder="1" applyAlignment="1"/>
    <xf numFmtId="0" fontId="12" fillId="0" borderId="18" xfId="11" applyFont="1" applyFill="1" applyBorder="1" applyAlignment="1"/>
    <xf numFmtId="49" fontId="12" fillId="0" borderId="94" xfId="11" applyNumberFormat="1" applyFont="1" applyFill="1" applyBorder="1" applyAlignment="1">
      <alignment horizontal="left" vertical="center" wrapText="1"/>
    </xf>
    <xf numFmtId="3" fontId="12" fillId="0" borderId="16" xfId="31" applyNumberFormat="1" applyFont="1" applyFill="1" applyBorder="1" applyAlignment="1" applyProtection="1">
      <alignment vertical="center" wrapText="1"/>
    </xf>
    <xf numFmtId="49" fontId="12" fillId="0" borderId="88" xfId="11" applyNumberFormat="1" applyFont="1" applyFill="1" applyBorder="1" applyAlignment="1">
      <alignment horizontal="left" vertical="center" wrapText="1"/>
    </xf>
    <xf numFmtId="3" fontId="12" fillId="0" borderId="59" xfId="11" applyNumberFormat="1" applyFont="1" applyFill="1" applyBorder="1" applyAlignment="1">
      <alignment horizontal="center"/>
    </xf>
    <xf numFmtId="0" fontId="12" fillId="0" borderId="26" xfId="11" applyFont="1" applyFill="1" applyBorder="1" applyAlignment="1"/>
    <xf numFmtId="3" fontId="12" fillId="0" borderId="49" xfId="11" applyNumberFormat="1" applyFont="1" applyFill="1" applyBorder="1" applyAlignment="1">
      <alignment horizontal="center" vertical="center" wrapText="1"/>
    </xf>
    <xf numFmtId="49" fontId="12" fillId="0" borderId="90" xfId="11" applyNumberFormat="1" applyFont="1" applyFill="1" applyBorder="1" applyAlignment="1">
      <alignment horizontal="left" vertical="center" wrapText="1"/>
    </xf>
    <xf numFmtId="3" fontId="12" fillId="0" borderId="48" xfId="11" applyNumberFormat="1" applyFont="1" applyFill="1" applyBorder="1" applyAlignment="1">
      <alignment horizontal="center"/>
    </xf>
    <xf numFmtId="3" fontId="16" fillId="0" borderId="20" xfId="0" applyNumberFormat="1" applyFont="1" applyFill="1" applyBorder="1"/>
    <xf numFmtId="3" fontId="16" fillId="0" borderId="2" xfId="0" applyNumberFormat="1" applyFont="1" applyFill="1" applyBorder="1"/>
    <xf numFmtId="3" fontId="16" fillId="0" borderId="18" xfId="0" applyNumberFormat="1" applyFont="1" applyFill="1" applyBorder="1"/>
    <xf numFmtId="3" fontId="16" fillId="0" borderId="4" xfId="0" applyNumberFormat="1" applyFont="1" applyFill="1" applyBorder="1"/>
    <xf numFmtId="3" fontId="16" fillId="0" borderId="25" xfId="0" applyNumberFormat="1" applyFont="1" applyFill="1" applyBorder="1"/>
    <xf numFmtId="3" fontId="16" fillId="0" borderId="26" xfId="0" applyNumberFormat="1" applyFont="1" applyFill="1" applyBorder="1"/>
    <xf numFmtId="3" fontId="12" fillId="0" borderId="68" xfId="11" applyNumberFormat="1" applyFont="1" applyBorder="1" applyAlignment="1">
      <alignment wrapText="1"/>
    </xf>
    <xf numFmtId="3" fontId="17" fillId="0" borderId="26" xfId="0" applyNumberFormat="1" applyFont="1" applyFill="1" applyBorder="1"/>
    <xf numFmtId="3" fontId="18" fillId="0" borderId="39" xfId="0" applyNumberFormat="1" applyFont="1" applyFill="1" applyBorder="1"/>
    <xf numFmtId="164" fontId="15" fillId="0" borderId="39" xfId="0" applyNumberFormat="1" applyFont="1" applyFill="1" applyBorder="1"/>
    <xf numFmtId="164" fontId="17" fillId="0" borderId="26" xfId="0" applyNumberFormat="1" applyFont="1" applyFill="1" applyBorder="1"/>
    <xf numFmtId="164" fontId="15" fillId="0" borderId="26" xfId="0" applyNumberFormat="1" applyFont="1" applyFill="1" applyBorder="1"/>
    <xf numFmtId="164" fontId="15" fillId="0" borderId="9" xfId="0" applyNumberFormat="1" applyFont="1" applyFill="1" applyBorder="1"/>
    <xf numFmtId="0" fontId="12" fillId="0" borderId="17" xfId="11" applyFont="1" applyFill="1" applyBorder="1" applyAlignment="1"/>
    <xf numFmtId="0" fontId="12" fillId="0" borderId="18" xfId="11" applyFont="1" applyFill="1" applyBorder="1" applyAlignment="1">
      <alignment horizontal="justify"/>
    </xf>
    <xf numFmtId="0" fontId="12" fillId="0" borderId="18" xfId="11" applyFont="1" applyFill="1" applyBorder="1"/>
    <xf numFmtId="0" fontId="12" fillId="0" borderId="2" xfId="11" applyFont="1" applyFill="1" applyBorder="1" applyAlignment="1">
      <alignment horizontal="justify"/>
    </xf>
    <xf numFmtId="0" fontId="12" fillId="0" borderId="38" xfId="11" applyFont="1" applyFill="1" applyBorder="1"/>
    <xf numFmtId="0" fontId="12" fillId="0" borderId="17" xfId="11" applyFont="1" applyFill="1" applyBorder="1"/>
    <xf numFmtId="0" fontId="12" fillId="0" borderId="31" xfId="11" applyFont="1" applyFill="1" applyBorder="1" applyAlignment="1">
      <alignment horizontal="justify"/>
    </xf>
    <xf numFmtId="0" fontId="12" fillId="0" borderId="32" xfId="11" applyFont="1" applyFill="1" applyBorder="1"/>
    <xf numFmtId="0" fontId="12" fillId="0" borderId="39" xfId="11" applyFont="1" applyFill="1" applyBorder="1"/>
    <xf numFmtId="3" fontId="12" fillId="0" borderId="60" xfId="11" applyNumberFormat="1" applyFont="1" applyFill="1" applyBorder="1" applyAlignment="1">
      <alignment vertical="center" wrapText="1"/>
    </xf>
    <xf numFmtId="3" fontId="12" fillId="0" borderId="16" xfId="11" applyNumberFormat="1" applyFont="1" applyFill="1" applyBorder="1" applyAlignment="1">
      <alignment vertical="center" wrapText="1"/>
    </xf>
    <xf numFmtId="3" fontId="12" fillId="0" borderId="61" xfId="11" applyNumberFormat="1" applyFont="1" applyFill="1" applyBorder="1" applyAlignment="1">
      <alignment vertical="center" wrapText="1"/>
    </xf>
    <xf numFmtId="3" fontId="12" fillId="0" borderId="38" xfId="11" applyNumberFormat="1" applyFont="1" applyFill="1" applyBorder="1" applyAlignment="1">
      <alignment vertical="center" wrapText="1"/>
    </xf>
    <xf numFmtId="3" fontId="12" fillId="0" borderId="62" xfId="11" applyNumberFormat="1" applyFont="1" applyFill="1" applyBorder="1" applyAlignment="1">
      <alignment vertical="center" wrapText="1"/>
    </xf>
    <xf numFmtId="3" fontId="12" fillId="0" borderId="2" xfId="11" applyNumberFormat="1" applyFont="1" applyFill="1" applyBorder="1" applyAlignment="1">
      <alignment vertical="center" wrapText="1"/>
    </xf>
    <xf numFmtId="3" fontId="12" fillId="0" borderId="25" xfId="11" applyNumberFormat="1" applyFont="1" applyFill="1" applyBorder="1" applyAlignment="1">
      <alignment vertical="center" wrapText="1"/>
    </xf>
    <xf numFmtId="3" fontId="12" fillId="0" borderId="62" xfId="11" applyNumberFormat="1" applyFont="1" applyFill="1" applyBorder="1" applyAlignment="1">
      <alignment wrapText="1"/>
    </xf>
    <xf numFmtId="3" fontId="12" fillId="0" borderId="63" xfId="11" applyNumberFormat="1" applyFont="1" applyFill="1" applyBorder="1" applyAlignment="1">
      <alignment vertical="center" wrapText="1"/>
    </xf>
    <xf numFmtId="3" fontId="12" fillId="0" borderId="55" xfId="11" applyNumberFormat="1" applyFont="1" applyFill="1" applyBorder="1" applyAlignment="1">
      <alignment horizontal="center" vertical="center" wrapText="1"/>
    </xf>
    <xf numFmtId="3" fontId="12" fillId="0" borderId="60" xfId="11" applyNumberFormat="1" applyFont="1" applyFill="1" applyBorder="1" applyAlignment="1">
      <alignment horizontal="center" vertical="center" wrapText="1"/>
    </xf>
    <xf numFmtId="3" fontId="12" fillId="0" borderId="63" xfId="11" applyNumberFormat="1" applyFont="1" applyFill="1" applyBorder="1" applyAlignment="1">
      <alignment horizontal="center" vertical="center" wrapText="1"/>
    </xf>
    <xf numFmtId="3" fontId="11" fillId="2" borderId="47" xfId="11" applyNumberFormat="1" applyFont="1" applyFill="1" applyBorder="1" applyAlignment="1">
      <alignment horizontal="center" vertical="center" wrapText="1"/>
    </xf>
    <xf numFmtId="3" fontId="12" fillId="0" borderId="86" xfId="11" applyNumberFormat="1" applyFont="1" applyFill="1" applyBorder="1" applyAlignment="1">
      <alignment horizontal="center" vertical="center" wrapText="1"/>
    </xf>
    <xf numFmtId="3" fontId="12" fillId="0" borderId="61" xfId="11" applyNumberFormat="1" applyFont="1" applyFill="1" applyBorder="1" applyAlignment="1">
      <alignment horizontal="center" vertical="center" wrapText="1"/>
    </xf>
    <xf numFmtId="3" fontId="12" fillId="0" borderId="97" xfId="11" applyNumberFormat="1" applyFont="1" applyFill="1" applyBorder="1" applyAlignment="1">
      <alignment horizontal="center" vertical="center" wrapText="1"/>
    </xf>
    <xf numFmtId="3" fontId="12" fillId="0" borderId="0" xfId="11" applyNumberFormat="1" applyFont="1" applyFill="1" applyBorder="1" applyAlignment="1">
      <alignment wrapText="1"/>
    </xf>
    <xf numFmtId="3" fontId="11" fillId="0" borderId="58" xfId="11" applyNumberFormat="1" applyFont="1" applyBorder="1" applyAlignment="1">
      <alignment horizontal="center" vertical="center" wrapText="1"/>
    </xf>
    <xf numFmtId="3" fontId="12" fillId="0" borderId="8" xfId="11" applyNumberFormat="1" applyFont="1" applyBorder="1"/>
    <xf numFmtId="3" fontId="12" fillId="0" borderId="56" xfId="11" applyNumberFormat="1" applyFont="1" applyBorder="1"/>
    <xf numFmtId="3" fontId="12" fillId="0" borderId="54" xfId="11" applyNumberFormat="1" applyFont="1" applyBorder="1"/>
    <xf numFmtId="3" fontId="12" fillId="0" borderId="14" xfId="11" applyNumberFormat="1" applyFont="1" applyBorder="1"/>
    <xf numFmtId="3" fontId="12" fillId="0" borderId="3" xfId="11" applyNumberFormat="1" applyFont="1" applyBorder="1"/>
    <xf numFmtId="3" fontId="12" fillId="0" borderId="58" xfId="11" applyNumberFormat="1" applyFont="1" applyBorder="1"/>
    <xf numFmtId="3" fontId="11" fillId="0" borderId="87" xfId="11" applyNumberFormat="1" applyFont="1" applyBorder="1"/>
    <xf numFmtId="3" fontId="11" fillId="0" borderId="87" xfId="11" applyNumberFormat="1" applyFont="1" applyFill="1" applyBorder="1"/>
    <xf numFmtId="3" fontId="11" fillId="2" borderId="87" xfId="11" applyNumberFormat="1" applyFont="1" applyFill="1" applyBorder="1"/>
    <xf numFmtId="3" fontId="11" fillId="2" borderId="14" xfId="11" applyNumberFormat="1" applyFont="1" applyFill="1" applyBorder="1"/>
    <xf numFmtId="3" fontId="21" fillId="0" borderId="0" xfId="11" applyNumberFormat="1" applyFont="1"/>
    <xf numFmtId="0" fontId="39" fillId="0" borderId="0" xfId="11" applyFont="1" applyBorder="1" applyAlignment="1">
      <alignment horizontal="center" vertical="center" wrapText="1"/>
    </xf>
    <xf numFmtId="0" fontId="39" fillId="0" borderId="0" xfId="11" applyFont="1" applyBorder="1" applyAlignment="1">
      <alignment vertical="center" wrapText="1"/>
    </xf>
    <xf numFmtId="0" fontId="38" fillId="0" borderId="0" xfId="11" applyFont="1" applyBorder="1" applyAlignment="1">
      <alignment vertical="center"/>
    </xf>
    <xf numFmtId="0" fontId="62" fillId="0" borderId="0" xfId="11" applyFont="1" applyBorder="1" applyAlignment="1">
      <alignment horizontal="right" vertical="center"/>
    </xf>
    <xf numFmtId="0" fontId="38" fillId="0" borderId="39" xfId="11" applyFont="1" applyBorder="1" applyAlignment="1"/>
    <xf numFmtId="3" fontId="38" fillId="0" borderId="32" xfId="11" applyNumberFormat="1" applyFont="1" applyBorder="1" applyAlignment="1"/>
    <xf numFmtId="49" fontId="11" fillId="0" borderId="98" xfId="11" applyNumberFormat="1" applyFont="1" applyFill="1" applyBorder="1" applyAlignment="1">
      <alignment horizontal="center" vertical="center" wrapText="1"/>
    </xf>
    <xf numFmtId="3" fontId="9" fillId="0" borderId="0" xfId="11" applyNumberFormat="1" applyFont="1" applyAlignment="1">
      <alignment horizontal="center"/>
    </xf>
    <xf numFmtId="3" fontId="15" fillId="0" borderId="41" xfId="0" applyNumberFormat="1" applyFont="1" applyBorder="1" applyAlignment="1">
      <alignment horizontal="center" vertical="center" wrapText="1"/>
    </xf>
    <xf numFmtId="3" fontId="15" fillId="0" borderId="58" xfId="0" applyNumberFormat="1" applyFont="1" applyBorder="1" applyAlignment="1">
      <alignment horizontal="center" vertical="center" wrapText="1"/>
    </xf>
    <xf numFmtId="3" fontId="15" fillId="0" borderId="86" xfId="0" applyNumberFormat="1" applyFont="1" applyBorder="1"/>
    <xf numFmtId="3" fontId="15" fillId="0" borderId="11" xfId="0" applyNumberFormat="1" applyFont="1" applyBorder="1"/>
    <xf numFmtId="3" fontId="17" fillId="0" borderId="63" xfId="0" applyNumberFormat="1" applyFont="1" applyBorder="1"/>
    <xf numFmtId="3" fontId="16" fillId="0" borderId="60" xfId="0" applyNumberFormat="1" applyFont="1" applyBorder="1"/>
    <xf numFmtId="3" fontId="16" fillId="0" borderId="62" xfId="0" applyNumberFormat="1" applyFont="1" applyFill="1" applyBorder="1"/>
    <xf numFmtId="3" fontId="16" fillId="0" borderId="63" xfId="0" applyNumberFormat="1" applyFont="1" applyFill="1" applyBorder="1"/>
    <xf numFmtId="3" fontId="15" fillId="0" borderId="11" xfId="0" applyNumberFormat="1" applyFont="1" applyFill="1" applyBorder="1"/>
    <xf numFmtId="3" fontId="16" fillId="0" borderId="60" xfId="0" applyNumberFormat="1" applyFont="1" applyFill="1" applyBorder="1"/>
    <xf numFmtId="3" fontId="15" fillId="0" borderId="98" xfId="0" applyNumberFormat="1" applyFont="1" applyBorder="1"/>
    <xf numFmtId="3" fontId="15" fillId="0" borderId="11" xfId="0" applyNumberFormat="1" applyFont="1" applyBorder="1" applyAlignment="1">
      <alignment horizontal="center" vertical="center" wrapText="1"/>
    </xf>
    <xf numFmtId="3" fontId="18" fillId="0" borderId="61" xfId="0" applyNumberFormat="1" applyFont="1" applyBorder="1"/>
    <xf numFmtId="3" fontId="17" fillId="0" borderId="89" xfId="0" applyNumberFormat="1" applyFont="1" applyBorder="1"/>
    <xf numFmtId="164" fontId="15" fillId="0" borderId="61" xfId="0" applyNumberFormat="1" applyFont="1" applyBorder="1"/>
    <xf numFmtId="164" fontId="17" fillId="0" borderId="63" xfId="0" applyNumberFormat="1" applyFont="1" applyBorder="1"/>
    <xf numFmtId="164" fontId="15" fillId="0" borderId="63" xfId="0" applyNumberFormat="1" applyFont="1" applyBorder="1"/>
    <xf numFmtId="164" fontId="15" fillId="0" borderId="11" xfId="0" applyNumberFormat="1" applyFont="1" applyBorder="1"/>
    <xf numFmtId="3" fontId="17" fillId="2" borderId="62" xfId="0" applyNumberFormat="1" applyFont="1" applyFill="1" applyBorder="1"/>
    <xf numFmtId="3" fontId="15" fillId="0" borderId="97" xfId="0" applyNumberFormat="1" applyFont="1" applyBorder="1"/>
    <xf numFmtId="3" fontId="15" fillId="0" borderId="11" xfId="0" applyNumberFormat="1" applyFont="1" applyBorder="1" applyAlignment="1">
      <alignment horizontal="right"/>
    </xf>
    <xf numFmtId="4" fontId="12" fillId="0" borderId="61" xfId="11" applyNumberFormat="1" applyFont="1" applyBorder="1" applyAlignment="1">
      <alignment horizontal="center" vertical="center"/>
    </xf>
    <xf numFmtId="4" fontId="12" fillId="0" borderId="39" xfId="11" applyNumberFormat="1" applyFont="1" applyBorder="1" applyAlignment="1">
      <alignment horizontal="center" vertical="center"/>
    </xf>
    <xf numFmtId="164" fontId="11" fillId="0" borderId="60" xfId="11" applyNumberFormat="1" applyFont="1" applyBorder="1" applyAlignment="1"/>
    <xf numFmtId="164" fontId="11" fillId="0" borderId="17" xfId="11" applyNumberFormat="1" applyFont="1" applyBorder="1" applyAlignment="1"/>
    <xf numFmtId="164" fontId="12" fillId="0" borderId="60" xfId="11" applyNumberFormat="1" applyFont="1" applyFill="1" applyBorder="1" applyAlignment="1"/>
    <xf numFmtId="164" fontId="12" fillId="0" borderId="17" xfId="11" applyNumberFormat="1" applyFont="1" applyFill="1" applyBorder="1" applyAlignment="1"/>
    <xf numFmtId="164" fontId="12" fillId="0" borderId="62" xfId="11" applyNumberFormat="1" applyFont="1" applyBorder="1" applyAlignment="1"/>
    <xf numFmtId="164" fontId="12" fillId="0" borderId="18" xfId="11" applyNumberFormat="1" applyFont="1" applyBorder="1" applyAlignment="1"/>
    <xf numFmtId="164" fontId="12" fillId="0" borderId="63" xfId="11" applyNumberFormat="1" applyFont="1" applyBorder="1" applyAlignment="1"/>
    <xf numFmtId="164" fontId="12" fillId="0" borderId="26" xfId="11" applyNumberFormat="1" applyFont="1" applyBorder="1" applyAlignment="1"/>
    <xf numFmtId="164" fontId="11" fillId="0" borderId="11" xfId="11" applyNumberFormat="1" applyFont="1" applyBorder="1" applyAlignment="1"/>
    <xf numFmtId="166" fontId="11" fillId="0" borderId="11" xfId="0" applyNumberFormat="1" applyFont="1" applyBorder="1"/>
    <xf numFmtId="166" fontId="11" fillId="0" borderId="9" xfId="0" applyNumberFormat="1" applyFont="1" applyBorder="1"/>
    <xf numFmtId="164" fontId="12" fillId="0" borderId="61" xfId="11" applyNumberFormat="1" applyFont="1" applyBorder="1" applyAlignment="1">
      <alignment horizontal="center" vertical="center"/>
    </xf>
    <xf numFmtId="164" fontId="12" fillId="0" borderId="39" xfId="11" applyNumberFormat="1" applyFont="1" applyBorder="1" applyAlignment="1">
      <alignment horizontal="center" vertical="center"/>
    </xf>
    <xf numFmtId="164" fontId="12" fillId="0" borderId="97" xfId="11" applyNumberFormat="1" applyFont="1" applyBorder="1" applyAlignment="1"/>
    <xf numFmtId="164" fontId="12" fillId="0" borderId="32" xfId="11" applyNumberFormat="1" applyFont="1" applyBorder="1" applyAlignment="1"/>
    <xf numFmtId="164" fontId="11" fillId="0" borderId="61" xfId="11" applyNumberFormat="1" applyFont="1" applyBorder="1" applyAlignment="1"/>
    <xf numFmtId="164" fontId="11" fillId="0" borderId="39" xfId="11" applyNumberFormat="1" applyFont="1" applyBorder="1" applyAlignment="1"/>
    <xf numFmtId="164" fontId="11" fillId="0" borderId="61" xfId="11" applyNumberFormat="1" applyFont="1" applyFill="1" applyBorder="1" applyAlignment="1"/>
    <xf numFmtId="164" fontId="11" fillId="0" borderId="39" xfId="11" applyNumberFormat="1" applyFont="1" applyFill="1" applyBorder="1" applyAlignment="1"/>
    <xf numFmtId="164" fontId="12" fillId="0" borderId="60" xfId="11" applyNumberFormat="1" applyFont="1" applyBorder="1" applyAlignment="1"/>
    <xf numFmtId="164" fontId="12" fillId="0" borderId="17" xfId="11" applyNumberFormat="1" applyFont="1" applyBorder="1" applyAlignment="1"/>
    <xf numFmtId="3" fontId="11" fillId="0" borderId="11" xfId="31" applyNumberFormat="1" applyFont="1" applyFill="1" applyBorder="1" applyAlignment="1" applyProtection="1">
      <alignment horizontal="center" vertical="center" wrapText="1"/>
    </xf>
    <xf numFmtId="3" fontId="11" fillId="0" borderId="10" xfId="31" applyNumberFormat="1" applyFont="1" applyFill="1" applyBorder="1" applyAlignment="1" applyProtection="1">
      <alignment horizontal="center" vertical="center" wrapText="1"/>
    </xf>
    <xf numFmtId="3" fontId="12" fillId="0" borderId="61" xfId="11" applyNumberFormat="1" applyFont="1" applyFill="1" applyBorder="1" applyAlignment="1" applyProtection="1">
      <alignment vertical="center"/>
      <protection locked="0"/>
    </xf>
    <xf numFmtId="3" fontId="12" fillId="0" borderId="38" xfId="11" applyNumberFormat="1" applyFont="1" applyFill="1" applyBorder="1" applyAlignment="1" applyProtection="1">
      <alignment vertical="center"/>
      <protection locked="0"/>
    </xf>
    <xf numFmtId="3" fontId="21" fillId="0" borderId="62" xfId="11" applyNumberFormat="1" applyFont="1" applyFill="1" applyBorder="1" applyAlignment="1" applyProtection="1">
      <alignment vertical="center"/>
      <protection locked="0"/>
    </xf>
    <xf numFmtId="3" fontId="21" fillId="0" borderId="2" xfId="11" applyNumberFormat="1" applyFont="1" applyFill="1" applyBorder="1" applyAlignment="1" applyProtection="1">
      <alignment vertical="center"/>
      <protection locked="0"/>
    </xf>
    <xf numFmtId="3" fontId="12" fillId="0" borderId="2" xfId="11" applyNumberFormat="1" applyFont="1" applyFill="1" applyBorder="1" applyAlignment="1" applyProtection="1">
      <alignment vertical="center"/>
      <protection locked="0"/>
    </xf>
    <xf numFmtId="3" fontId="12" fillId="0" borderId="18" xfId="11" applyNumberFormat="1" applyFont="1" applyFill="1" applyBorder="1" applyAlignment="1" applyProtection="1">
      <alignment vertical="center"/>
      <protection locked="0"/>
    </xf>
    <xf numFmtId="3" fontId="11" fillId="0" borderId="10" xfId="11" applyNumberFormat="1" applyFont="1" applyFill="1" applyBorder="1" applyAlignment="1">
      <alignment vertical="center"/>
    </xf>
    <xf numFmtId="3" fontId="12" fillId="0" borderId="25" xfId="11" applyNumberFormat="1" applyFont="1" applyFill="1" applyBorder="1" applyAlignment="1" applyProtection="1">
      <alignment vertical="center"/>
      <protection locked="0"/>
    </xf>
    <xf numFmtId="3" fontId="12" fillId="0" borderId="60" xfId="11" applyNumberFormat="1" applyFont="1" applyFill="1" applyBorder="1" applyAlignment="1">
      <alignment vertical="center"/>
    </xf>
    <xf numFmtId="3" fontId="12" fillId="0" borderId="16" xfId="11" applyNumberFormat="1" applyFont="1" applyFill="1" applyBorder="1" applyAlignment="1">
      <alignment vertical="center"/>
    </xf>
    <xf numFmtId="3" fontId="12" fillId="0" borderId="102" xfId="11" applyNumberFormat="1" applyFont="1" applyBorder="1" applyAlignment="1">
      <alignment wrapText="1"/>
    </xf>
    <xf numFmtId="3" fontId="12" fillId="0" borderId="103" xfId="11" applyNumberFormat="1" applyFont="1" applyBorder="1" applyAlignment="1">
      <alignment wrapText="1"/>
    </xf>
    <xf numFmtId="3" fontId="12" fillId="0" borderId="104" xfId="11" applyNumberFormat="1" applyFont="1" applyBorder="1" applyAlignment="1">
      <alignment wrapText="1"/>
    </xf>
    <xf numFmtId="3" fontId="12" fillId="0" borderId="105" xfId="11" applyNumberFormat="1" applyFont="1" applyBorder="1" applyAlignment="1">
      <alignment wrapText="1"/>
    </xf>
    <xf numFmtId="3" fontId="12" fillId="0" borderId="104" xfId="11" applyNumberFormat="1" applyFont="1" applyFill="1" applyBorder="1" applyAlignment="1">
      <alignment wrapText="1"/>
    </xf>
    <xf numFmtId="3" fontId="12" fillId="0" borderId="105" xfId="11" applyNumberFormat="1" applyFont="1" applyFill="1" applyBorder="1" applyAlignment="1">
      <alignment wrapText="1"/>
    </xf>
    <xf numFmtId="3" fontId="12" fillId="0" borderId="107" xfId="11" applyNumberFormat="1" applyFont="1" applyBorder="1" applyAlignment="1">
      <alignment wrapText="1"/>
    </xf>
    <xf numFmtId="3" fontId="12" fillId="0" borderId="108" xfId="11" applyNumberFormat="1" applyFont="1" applyBorder="1" applyAlignment="1">
      <alignment wrapText="1"/>
    </xf>
    <xf numFmtId="3" fontId="11" fillId="0" borderId="11" xfId="11" applyNumberFormat="1" applyFont="1" applyBorder="1" applyAlignment="1">
      <alignment wrapText="1"/>
    </xf>
    <xf numFmtId="3" fontId="12" fillId="0" borderId="110" xfId="11" applyNumberFormat="1" applyFont="1" applyBorder="1" applyAlignment="1">
      <alignment wrapText="1"/>
    </xf>
    <xf numFmtId="3" fontId="12" fillId="0" borderId="111" xfId="11" applyNumberFormat="1" applyFont="1" applyBorder="1" applyAlignment="1">
      <alignment wrapText="1"/>
    </xf>
    <xf numFmtId="3" fontId="11" fillId="0" borderId="98" xfId="11" applyNumberFormat="1" applyFont="1" applyBorder="1" applyAlignment="1">
      <alignment wrapText="1"/>
    </xf>
    <xf numFmtId="3" fontId="11" fillId="0" borderId="28" xfId="11" applyNumberFormat="1" applyFont="1" applyBorder="1" applyAlignment="1">
      <alignment wrapText="1"/>
    </xf>
    <xf numFmtId="167" fontId="12" fillId="0" borderId="61" xfId="1" applyNumberFormat="1" applyFont="1" applyFill="1" applyBorder="1" applyProtection="1">
      <protection locked="0"/>
    </xf>
    <xf numFmtId="167" fontId="12" fillId="0" borderId="38" xfId="1" applyNumberFormat="1" applyFont="1" applyFill="1" applyBorder="1" applyProtection="1">
      <protection locked="0"/>
    </xf>
    <xf numFmtId="167" fontId="12" fillId="0" borderId="62" xfId="1" applyNumberFormat="1" applyFont="1" applyFill="1" applyBorder="1" applyProtection="1">
      <protection locked="0"/>
    </xf>
    <xf numFmtId="167" fontId="12" fillId="0" borderId="2" xfId="1" applyNumberFormat="1" applyFont="1" applyFill="1" applyBorder="1" applyProtection="1">
      <protection locked="0"/>
    </xf>
    <xf numFmtId="167" fontId="12" fillId="0" borderId="63" xfId="1" applyNumberFormat="1" applyFont="1" applyFill="1" applyBorder="1" applyProtection="1">
      <protection locked="0"/>
    </xf>
    <xf numFmtId="167" fontId="12" fillId="0" borderId="25" xfId="1" applyNumberFormat="1" applyFont="1" applyFill="1" applyBorder="1" applyProtection="1">
      <protection locked="0"/>
    </xf>
    <xf numFmtId="167" fontId="11" fillId="0" borderId="11" xfId="1" applyNumberFormat="1" applyFont="1" applyFill="1" applyBorder="1" applyProtection="1"/>
    <xf numFmtId="167" fontId="11" fillId="0" borderId="10" xfId="1" applyNumberFormat="1" applyFont="1" applyFill="1" applyBorder="1" applyProtection="1"/>
    <xf numFmtId="3" fontId="11" fillId="0" borderId="61" xfId="33" applyNumberFormat="1" applyFont="1" applyFill="1" applyBorder="1" applyAlignment="1" applyProtection="1">
      <alignment vertical="center"/>
      <protection locked="0"/>
    </xf>
    <xf numFmtId="3" fontId="11" fillId="0" borderId="38" xfId="33" applyNumberFormat="1" applyFont="1" applyFill="1" applyBorder="1" applyAlignment="1" applyProtection="1">
      <alignment vertical="center"/>
      <protection locked="0"/>
    </xf>
    <xf numFmtId="3" fontId="11" fillId="0" borderId="60" xfId="33" applyNumberFormat="1" applyFont="1" applyFill="1" applyBorder="1" applyAlignment="1" applyProtection="1">
      <alignment vertical="center"/>
      <protection locked="0"/>
    </xf>
    <xf numFmtId="3" fontId="11" fillId="0" borderId="16" xfId="33" applyNumberFormat="1" applyFont="1" applyFill="1" applyBorder="1" applyAlignment="1" applyProtection="1">
      <alignment vertical="center"/>
      <protection locked="0"/>
    </xf>
    <xf numFmtId="3" fontId="11" fillId="0" borderId="62" xfId="33" applyNumberFormat="1" applyFont="1" applyFill="1" applyBorder="1" applyAlignment="1" applyProtection="1">
      <alignment vertical="center"/>
      <protection locked="0"/>
    </xf>
    <xf numFmtId="3" fontId="11" fillId="0" borderId="2" xfId="33" applyNumberFormat="1" applyFont="1" applyFill="1" applyBorder="1" applyAlignment="1" applyProtection="1">
      <alignment vertical="center"/>
      <protection locked="0"/>
    </xf>
    <xf numFmtId="3" fontId="11" fillId="0" borderId="63" xfId="33" applyNumberFormat="1" applyFont="1" applyFill="1" applyBorder="1" applyAlignment="1" applyProtection="1">
      <alignment vertical="center"/>
      <protection locked="0"/>
    </xf>
    <xf numFmtId="3" fontId="11" fillId="0" borderId="25" xfId="33" applyNumberFormat="1" applyFont="1" applyFill="1" applyBorder="1" applyAlignment="1" applyProtection="1">
      <alignment vertical="center"/>
      <protection locked="0"/>
    </xf>
    <xf numFmtId="3" fontId="11" fillId="0" borderId="11" xfId="33" applyNumberFormat="1" applyFont="1" applyFill="1" applyBorder="1" applyAlignment="1" applyProtection="1"/>
    <xf numFmtId="0" fontId="12" fillId="0" borderId="56" xfId="0" applyFont="1" applyFill="1" applyBorder="1" applyAlignment="1">
      <alignment horizontal="left" indent="1"/>
    </xf>
    <xf numFmtId="0" fontId="12" fillId="0" borderId="56" xfId="11" applyFont="1" applyFill="1" applyBorder="1" applyAlignment="1">
      <alignment horizontal="left" vertical="center" wrapText="1" indent="2"/>
    </xf>
    <xf numFmtId="3" fontId="12" fillId="0" borderId="86" xfId="11" applyNumberFormat="1" applyFont="1" applyFill="1" applyBorder="1" applyAlignment="1">
      <alignment vertical="center" wrapText="1"/>
    </xf>
    <xf numFmtId="3" fontId="12" fillId="0" borderId="51" xfId="11" applyNumberFormat="1" applyFont="1" applyFill="1" applyBorder="1" applyAlignment="1">
      <alignment vertical="center" wrapText="1"/>
    </xf>
    <xf numFmtId="3" fontId="21" fillId="0" borderId="63" xfId="11" applyNumberFormat="1" applyFont="1" applyFill="1" applyBorder="1" applyAlignment="1">
      <alignment vertical="center" wrapText="1"/>
    </xf>
    <xf numFmtId="3" fontId="21" fillId="0" borderId="25" xfId="11" applyNumberFormat="1" applyFont="1" applyFill="1" applyBorder="1" applyAlignment="1">
      <alignment vertical="center" wrapText="1"/>
    </xf>
    <xf numFmtId="3" fontId="61" fillId="0" borderId="63" xfId="11" applyNumberFormat="1" applyFont="1" applyFill="1" applyBorder="1" applyAlignment="1">
      <alignment vertical="center" wrapText="1"/>
    </xf>
    <xf numFmtId="3" fontId="61" fillId="0" borderId="25" xfId="11" applyNumberFormat="1" applyFont="1" applyFill="1" applyBorder="1" applyAlignment="1">
      <alignment vertical="center" wrapText="1"/>
    </xf>
    <xf numFmtId="3" fontId="12" fillId="0" borderId="60" xfId="11" applyNumberFormat="1" applyFont="1" applyFill="1" applyBorder="1" applyAlignment="1" applyProtection="1">
      <alignment horizontal="right" vertical="center" wrapText="1"/>
      <protection locked="0"/>
    </xf>
    <xf numFmtId="3" fontId="12" fillId="0" borderId="16" xfId="11" applyNumberFormat="1" applyFont="1" applyFill="1" applyBorder="1" applyAlignment="1" applyProtection="1">
      <alignment horizontal="right" vertical="center" wrapText="1"/>
      <protection locked="0"/>
    </xf>
    <xf numFmtId="3" fontId="12" fillId="0" borderId="62" xfId="11" applyNumberFormat="1" applyFont="1" applyFill="1" applyBorder="1" applyAlignment="1" applyProtection="1">
      <alignment horizontal="right" vertical="center" wrapText="1"/>
      <protection locked="0"/>
    </xf>
    <xf numFmtId="3" fontId="12" fillId="0" borderId="2" xfId="11" applyNumberFormat="1" applyFont="1" applyFill="1" applyBorder="1" applyAlignment="1" applyProtection="1">
      <alignment horizontal="right" vertical="center" wrapText="1"/>
      <protection locked="0"/>
    </xf>
    <xf numFmtId="3" fontId="51" fillId="0" borderId="60" xfId="11" applyNumberFormat="1" applyFont="1" applyFill="1" applyBorder="1" applyAlignment="1" applyProtection="1">
      <alignment horizontal="right" vertical="center" wrapText="1"/>
      <protection locked="0"/>
    </xf>
    <xf numFmtId="3" fontId="21" fillId="0" borderId="62" xfId="11" applyNumberFormat="1" applyFont="1" applyFill="1" applyBorder="1" applyAlignment="1" applyProtection="1">
      <alignment horizontal="right" vertical="center" wrapText="1"/>
      <protection locked="0"/>
    </xf>
    <xf numFmtId="3" fontId="21" fillId="0" borderId="2" xfId="11" applyNumberFormat="1" applyFont="1" applyFill="1" applyBorder="1" applyAlignment="1" applyProtection="1">
      <alignment horizontal="right" vertical="center" wrapText="1"/>
      <protection locked="0"/>
    </xf>
    <xf numFmtId="3" fontId="10" fillId="0" borderId="11" xfId="11" applyNumberFormat="1" applyFont="1" applyFill="1" applyBorder="1" applyAlignment="1" applyProtection="1">
      <alignment horizontal="right" vertical="center" wrapText="1"/>
      <protection locked="0"/>
    </xf>
    <xf numFmtId="3" fontId="10" fillId="0" borderId="10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98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28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29" xfId="11" applyNumberFormat="1" applyFont="1" applyFill="1" applyBorder="1" applyAlignment="1" applyProtection="1">
      <alignment horizontal="right" vertical="center" wrapText="1"/>
      <protection locked="0"/>
    </xf>
    <xf numFmtId="3" fontId="12" fillId="0" borderId="61" xfId="11" applyNumberFormat="1" applyFont="1" applyFill="1" applyBorder="1" applyAlignment="1" applyProtection="1">
      <alignment horizontal="right" vertical="center" wrapText="1"/>
      <protection locked="0"/>
    </xf>
    <xf numFmtId="3" fontId="12" fillId="0" borderId="38" xfId="11" applyNumberFormat="1" applyFont="1" applyFill="1" applyBorder="1" applyAlignment="1" applyProtection="1">
      <alignment horizontal="right" vertical="center" wrapText="1"/>
      <protection locked="0"/>
    </xf>
    <xf numFmtId="3" fontId="12" fillId="0" borderId="63" xfId="11" applyNumberFormat="1" applyFont="1" applyFill="1" applyBorder="1" applyAlignment="1" applyProtection="1">
      <alignment horizontal="right" vertical="center" wrapText="1"/>
      <protection locked="0"/>
    </xf>
    <xf numFmtId="3" fontId="12" fillId="0" borderId="25" xfId="11" applyNumberFormat="1" applyFont="1" applyFill="1" applyBorder="1" applyAlignment="1" applyProtection="1">
      <alignment horizontal="right" vertical="center" wrapText="1"/>
      <protection locked="0"/>
    </xf>
    <xf numFmtId="165" fontId="11" fillId="0" borderId="97" xfId="11" applyNumberFormat="1" applyFont="1" applyFill="1" applyBorder="1" applyAlignment="1" applyProtection="1">
      <alignment horizontal="center" vertical="center" wrapText="1"/>
    </xf>
    <xf numFmtId="165" fontId="11" fillId="0" borderId="31" xfId="11" applyNumberFormat="1" applyFont="1" applyFill="1" applyBorder="1" applyAlignment="1" applyProtection="1">
      <alignment horizontal="center" vertical="center" wrapText="1"/>
    </xf>
    <xf numFmtId="3" fontId="10" fillId="0" borderId="98" xfId="11" applyNumberFormat="1" applyFont="1" applyFill="1" applyBorder="1" applyAlignment="1" applyProtection="1">
      <alignment vertical="center" wrapText="1"/>
      <protection locked="0"/>
    </xf>
    <xf numFmtId="3" fontId="10" fillId="0" borderId="28" xfId="11" applyNumberFormat="1" applyFont="1" applyFill="1" applyBorder="1" applyAlignment="1" applyProtection="1">
      <alignment vertical="center" wrapText="1"/>
      <protection locked="0"/>
    </xf>
    <xf numFmtId="3" fontId="10" fillId="0" borderId="29" xfId="11" applyNumberFormat="1" applyFont="1" applyFill="1" applyBorder="1" applyAlignment="1" applyProtection="1">
      <alignment vertical="center" wrapText="1"/>
      <protection locked="0"/>
    </xf>
    <xf numFmtId="3" fontId="11" fillId="0" borderId="98" xfId="11" applyNumberFormat="1" applyFont="1" applyFill="1" applyBorder="1" applyAlignment="1" applyProtection="1">
      <alignment vertical="center" wrapText="1"/>
    </xf>
    <xf numFmtId="3" fontId="11" fillId="0" borderId="28" xfId="11" applyNumberFormat="1" applyFont="1" applyFill="1" applyBorder="1" applyAlignment="1" applyProtection="1">
      <alignment vertical="center" wrapText="1"/>
    </xf>
    <xf numFmtId="3" fontId="11" fillId="0" borderId="86" xfId="11" applyNumberFormat="1" applyFont="1" applyFill="1" applyBorder="1" applyAlignment="1" applyProtection="1">
      <alignment vertical="center" wrapText="1"/>
    </xf>
    <xf numFmtId="3" fontId="11" fillId="0" borderId="51" xfId="11" applyNumberFormat="1" applyFont="1" applyFill="1" applyBorder="1" applyAlignment="1" applyProtection="1">
      <alignment vertical="center" wrapText="1"/>
    </xf>
    <xf numFmtId="165" fontId="11" fillId="0" borderId="61" xfId="11" applyNumberFormat="1" applyFont="1" applyFill="1" applyBorder="1" applyAlignment="1" applyProtection="1">
      <alignment horizontal="center" vertical="center" wrapText="1"/>
    </xf>
    <xf numFmtId="165" fontId="11" fillId="0" borderId="38" xfId="11" applyNumberFormat="1" applyFont="1" applyFill="1" applyBorder="1" applyAlignment="1" applyProtection="1">
      <alignment horizontal="center" vertical="center" wrapText="1"/>
    </xf>
    <xf numFmtId="165" fontId="11" fillId="0" borderId="86" xfId="11" applyNumberFormat="1" applyFont="1" applyFill="1" applyBorder="1" applyAlignment="1" applyProtection="1">
      <alignment horizontal="center" vertical="center" wrapText="1"/>
    </xf>
    <xf numFmtId="165" fontId="11" fillId="0" borderId="51" xfId="11" applyNumberFormat="1" applyFont="1" applyFill="1" applyBorder="1" applyAlignment="1" applyProtection="1">
      <alignment horizontal="center" vertical="center" wrapText="1"/>
    </xf>
    <xf numFmtId="0" fontId="11" fillId="0" borderId="97" xfId="11" applyFont="1" applyBorder="1" applyAlignment="1">
      <alignment vertical="center" wrapText="1"/>
    </xf>
    <xf numFmtId="0" fontId="11" fillId="0" borderId="31" xfId="11" applyFont="1" applyBorder="1" applyAlignment="1">
      <alignment vertical="center" wrapText="1"/>
    </xf>
    <xf numFmtId="3" fontId="12" fillId="0" borderId="62" xfId="11" applyNumberFormat="1" applyFont="1" applyBorder="1" applyAlignment="1" applyProtection="1">
      <alignment vertical="center"/>
      <protection locked="0"/>
    </xf>
    <xf numFmtId="3" fontId="12" fillId="0" borderId="2" xfId="11" applyNumberFormat="1" applyFont="1" applyBorder="1" applyAlignment="1" applyProtection="1">
      <alignment vertical="center"/>
      <protection locked="0"/>
    </xf>
    <xf numFmtId="3" fontId="12" fillId="0" borderId="63" xfId="11" applyNumberFormat="1" applyFont="1" applyBorder="1" applyAlignment="1" applyProtection="1">
      <alignment vertical="center"/>
      <protection locked="0"/>
    </xf>
    <xf numFmtId="3" fontId="12" fillId="0" borderId="25" xfId="11" applyNumberFormat="1" applyFont="1" applyBorder="1" applyAlignment="1" applyProtection="1">
      <alignment vertical="center"/>
      <protection locked="0"/>
    </xf>
    <xf numFmtId="3" fontId="11" fillId="0" borderId="61" xfId="11" applyNumberFormat="1" applyFont="1" applyFill="1" applyBorder="1" applyAlignment="1">
      <alignment vertical="center"/>
    </xf>
    <xf numFmtId="3" fontId="11" fillId="0" borderId="38" xfId="11" applyNumberFormat="1" applyFont="1" applyFill="1" applyBorder="1" applyAlignment="1">
      <alignment vertical="center"/>
    </xf>
    <xf numFmtId="0" fontId="11" fillId="0" borderId="31" xfId="11" applyFont="1" applyBorder="1" applyAlignment="1">
      <alignment horizontal="center" vertical="center" wrapText="1"/>
    </xf>
    <xf numFmtId="3" fontId="12" fillId="0" borderId="60" xfId="11" applyNumberFormat="1" applyFont="1" applyBorder="1" applyAlignment="1" applyProtection="1">
      <alignment vertical="center"/>
      <protection locked="0"/>
    </xf>
    <xf numFmtId="3" fontId="12" fillId="0" borderId="16" xfId="11" applyNumberFormat="1" applyFont="1" applyBorder="1" applyAlignment="1" applyProtection="1">
      <alignment vertical="center"/>
      <protection locked="0"/>
    </xf>
    <xf numFmtId="3" fontId="11" fillId="0" borderId="60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16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60" xfId="11" applyNumberFormat="1" applyFont="1" applyFill="1" applyBorder="1" applyAlignment="1" applyProtection="1">
      <alignment horizontal="right" wrapText="1"/>
      <protection locked="0"/>
    </xf>
    <xf numFmtId="3" fontId="11" fillId="0" borderId="16" xfId="11" applyNumberFormat="1" applyFont="1" applyFill="1" applyBorder="1" applyAlignment="1" applyProtection="1">
      <alignment horizontal="right" wrapText="1"/>
      <protection locked="0"/>
    </xf>
    <xf numFmtId="3" fontId="11" fillId="0" borderId="62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2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63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25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61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38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97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31" xfId="11" applyNumberFormat="1" applyFont="1" applyFill="1" applyBorder="1" applyAlignment="1" applyProtection="1">
      <alignment horizontal="right" vertical="center" wrapText="1"/>
      <protection locked="0"/>
    </xf>
    <xf numFmtId="0" fontId="12" fillId="0" borderId="56" xfId="11" applyFont="1" applyBorder="1" applyAlignment="1" applyProtection="1">
      <alignment horizontal="left" vertical="center" wrapText="1" indent="1"/>
      <protection locked="0"/>
    </xf>
    <xf numFmtId="3" fontId="21" fillId="0" borderId="22" xfId="11" applyNumberFormat="1" applyFont="1" applyFill="1" applyBorder="1" applyAlignment="1" applyProtection="1">
      <alignment vertical="center" wrapText="1"/>
      <protection locked="0"/>
    </xf>
    <xf numFmtId="3" fontId="9" fillId="0" borderId="0" xfId="11" applyNumberFormat="1" applyFont="1" applyFill="1" applyAlignment="1">
      <alignment horizontal="center"/>
    </xf>
    <xf numFmtId="3" fontId="11" fillId="0" borderId="0" xfId="11" applyNumberFormat="1" applyFont="1" applyFill="1" applyBorder="1"/>
    <xf numFmtId="3" fontId="9" fillId="0" borderId="0" xfId="11" applyNumberFormat="1" applyFont="1" applyFill="1" applyAlignment="1" applyProtection="1">
      <alignment horizontal="left"/>
      <protection locked="0"/>
    </xf>
    <xf numFmtId="3" fontId="9" fillId="0" borderId="0" xfId="11" applyNumberFormat="1" applyFont="1" applyFill="1" applyAlignment="1">
      <alignment horizontal="center" vertical="center" wrapText="1"/>
    </xf>
    <xf numFmtId="3" fontId="9" fillId="0" borderId="0" xfId="11" applyNumberFormat="1" applyFont="1" applyFill="1" applyAlignment="1">
      <alignment horizontal="center"/>
    </xf>
    <xf numFmtId="3" fontId="9" fillId="0" borderId="0" xfId="11" applyNumberFormat="1" applyFont="1" applyFill="1" applyAlignment="1" applyProtection="1">
      <protection locked="0"/>
    </xf>
    <xf numFmtId="3" fontId="12" fillId="0" borderId="0" xfId="11" applyNumberFormat="1" applyFont="1" applyFill="1" applyAlignment="1">
      <alignment horizontal="center" vertical="center" wrapText="1"/>
    </xf>
    <xf numFmtId="3" fontId="11" fillId="0" borderId="33" xfId="11" applyNumberFormat="1" applyFont="1" applyFill="1" applyBorder="1" applyAlignment="1">
      <alignment horizontal="center" vertical="center" wrapText="1"/>
    </xf>
    <xf numFmtId="3" fontId="11" fillId="0" borderId="33" xfId="11" applyNumberFormat="1" applyFont="1" applyFill="1" applyBorder="1" applyAlignment="1">
      <alignment horizontal="center" vertical="center"/>
    </xf>
    <xf numFmtId="3" fontId="11" fillId="0" borderId="41" xfId="11" applyNumberFormat="1" applyFont="1" applyFill="1" applyBorder="1" applyAlignment="1">
      <alignment horizontal="center" vertical="center"/>
    </xf>
    <xf numFmtId="3" fontId="11" fillId="0" borderId="47" xfId="11" applyNumberFormat="1" applyFont="1" applyFill="1" applyBorder="1" applyAlignment="1">
      <alignment horizontal="center" vertical="center" wrapText="1"/>
    </xf>
    <xf numFmtId="49" fontId="11" fillId="0" borderId="47" xfId="11" applyNumberFormat="1" applyFont="1" applyFill="1" applyBorder="1" applyAlignment="1">
      <alignment horizontal="center" vertical="center" wrapText="1"/>
    </xf>
    <xf numFmtId="0" fontId="11" fillId="0" borderId="58" xfId="11" applyFont="1" applyFill="1" applyBorder="1" applyAlignment="1">
      <alignment horizontal="center" vertical="center" wrapText="1"/>
    </xf>
    <xf numFmtId="165" fontId="9" fillId="0" borderId="0" xfId="11" applyNumberFormat="1" applyFont="1" applyFill="1" applyAlignment="1">
      <alignment horizontal="center" vertical="center" wrapText="1"/>
    </xf>
    <xf numFmtId="3" fontId="11" fillId="0" borderId="95" xfId="11" applyNumberFormat="1" applyFont="1" applyFill="1" applyBorder="1" applyAlignment="1">
      <alignment horizontal="center" vertical="center" wrapText="1"/>
    </xf>
    <xf numFmtId="3" fontId="11" fillId="0" borderId="51" xfId="11" applyNumberFormat="1" applyFont="1" applyFill="1" applyBorder="1" applyAlignment="1">
      <alignment horizontal="center" vertical="center" wrapText="1"/>
    </xf>
    <xf numFmtId="3" fontId="11" fillId="0" borderId="50" xfId="11" applyNumberFormat="1" applyFont="1" applyFill="1" applyBorder="1" applyAlignment="1">
      <alignment horizontal="center" vertical="center" wrapText="1"/>
    </xf>
    <xf numFmtId="3" fontId="11" fillId="0" borderId="11" xfId="11" applyNumberFormat="1" applyFont="1" applyFill="1" applyBorder="1" applyAlignment="1">
      <alignment horizontal="center" vertical="center" wrapText="1"/>
    </xf>
    <xf numFmtId="3" fontId="11" fillId="0" borderId="10" xfId="11" applyNumberFormat="1" applyFont="1" applyFill="1" applyBorder="1" applyAlignment="1">
      <alignment horizontal="center" vertical="center" wrapText="1"/>
    </xf>
    <xf numFmtId="3" fontId="11" fillId="0" borderId="9" xfId="11" applyNumberFormat="1" applyFont="1" applyFill="1" applyBorder="1" applyAlignment="1">
      <alignment horizontal="center" vertical="center" wrapText="1"/>
    </xf>
    <xf numFmtId="3" fontId="9" fillId="0" borderId="0" xfId="11" applyNumberFormat="1" applyFont="1" applyAlignment="1">
      <alignment horizontal="center"/>
    </xf>
    <xf numFmtId="0" fontId="35" fillId="0" borderId="0" xfId="32" applyFont="1" applyAlignment="1">
      <alignment horizontal="center"/>
    </xf>
    <xf numFmtId="3" fontId="20" fillId="0" borderId="0" xfId="0" applyNumberFormat="1" applyFont="1" applyAlignment="1">
      <alignment horizontal="center"/>
    </xf>
    <xf numFmtId="3" fontId="9" fillId="0" borderId="0" xfId="31" applyNumberFormat="1" applyFont="1" applyFill="1" applyAlignment="1">
      <alignment horizontal="center"/>
    </xf>
    <xf numFmtId="3" fontId="15" fillId="0" borderId="13" xfId="0" applyNumberFormat="1" applyFont="1" applyBorder="1" applyAlignment="1">
      <alignment horizontal="center"/>
    </xf>
    <xf numFmtId="3" fontId="15" fillId="0" borderId="10" xfId="0" applyNumberFormat="1" applyFont="1" applyBorder="1" applyAlignment="1">
      <alignment horizontal="center"/>
    </xf>
    <xf numFmtId="3" fontId="15" fillId="0" borderId="9" xfId="0" applyNumberFormat="1" applyFont="1" applyBorder="1" applyAlignment="1">
      <alignment horizontal="center"/>
    </xf>
    <xf numFmtId="3" fontId="15" fillId="0" borderId="86" xfId="0" applyNumberFormat="1" applyFont="1" applyBorder="1" applyAlignment="1">
      <alignment horizontal="center"/>
    </xf>
    <xf numFmtId="3" fontId="15" fillId="0" borderId="52" xfId="0" applyNumberFormat="1" applyFont="1" applyBorder="1" applyAlignment="1">
      <alignment horizontal="center"/>
    </xf>
    <xf numFmtId="3" fontId="15" fillId="0" borderId="51" xfId="0" applyNumberFormat="1" applyFont="1" applyBorder="1" applyAlignment="1">
      <alignment horizontal="center"/>
    </xf>
    <xf numFmtId="3" fontId="15" fillId="0" borderId="50" xfId="0" applyNumberFormat="1" applyFont="1" applyBorder="1" applyAlignment="1">
      <alignment horizontal="center"/>
    </xf>
    <xf numFmtId="3" fontId="15" fillId="0" borderId="47" xfId="0" applyNumberFormat="1" applyFont="1" applyBorder="1" applyAlignment="1">
      <alignment horizontal="center"/>
    </xf>
    <xf numFmtId="3" fontId="15" fillId="0" borderId="41" xfId="0" applyNumberFormat="1" applyFont="1" applyBorder="1" applyAlignment="1">
      <alignment horizontal="center"/>
    </xf>
    <xf numFmtId="3" fontId="15" fillId="0" borderId="12" xfId="0" applyNumberFormat="1" applyFont="1" applyBorder="1" applyAlignment="1">
      <alignment horizontal="center"/>
    </xf>
    <xf numFmtId="49" fontId="15" fillId="0" borderId="13" xfId="0" applyNumberFormat="1" applyFont="1" applyBorder="1" applyAlignment="1">
      <alignment horizontal="center"/>
    </xf>
    <xf numFmtId="49" fontId="15" fillId="0" borderId="10" xfId="0" applyNumberFormat="1" applyFont="1" applyBorder="1" applyAlignment="1">
      <alignment horizontal="center"/>
    </xf>
    <xf numFmtId="49" fontId="15" fillId="0" borderId="9" xfId="0" applyNumberFormat="1" applyFont="1" applyBorder="1" applyAlignment="1">
      <alignment horizontal="center"/>
    </xf>
    <xf numFmtId="49" fontId="15" fillId="0" borderId="86" xfId="0" applyNumberFormat="1" applyFont="1" applyBorder="1" applyAlignment="1">
      <alignment horizontal="center"/>
    </xf>
    <xf numFmtId="49" fontId="15" fillId="0" borderId="52" xfId="0" applyNumberFormat="1" applyFont="1" applyBorder="1" applyAlignment="1">
      <alignment horizontal="center"/>
    </xf>
    <xf numFmtId="49" fontId="15" fillId="0" borderId="51" xfId="0" applyNumberFormat="1" applyFont="1" applyBorder="1" applyAlignment="1">
      <alignment horizontal="center"/>
    </xf>
    <xf numFmtId="49" fontId="15" fillId="0" borderId="50" xfId="0" applyNumberFormat="1" applyFont="1" applyBorder="1" applyAlignment="1">
      <alignment horizontal="center"/>
    </xf>
    <xf numFmtId="0" fontId="11" fillId="0" borderId="95" xfId="11" applyFont="1" applyBorder="1" applyAlignment="1">
      <alignment horizontal="center" vertical="center"/>
    </xf>
    <xf numFmtId="0" fontId="11" fillId="0" borderId="57" xfId="11" applyFont="1" applyBorder="1" applyAlignment="1">
      <alignment horizontal="center" vertical="center"/>
    </xf>
    <xf numFmtId="49" fontId="7" fillId="0" borderId="0" xfId="11" applyNumberFormat="1" applyFont="1" applyAlignment="1">
      <alignment horizontal="center"/>
    </xf>
    <xf numFmtId="3" fontId="11" fillId="0" borderId="95" xfId="31" applyNumberFormat="1" applyFont="1" applyFill="1" applyBorder="1" applyAlignment="1" applyProtection="1">
      <alignment horizontal="center" vertical="center" wrapText="1"/>
    </xf>
    <xf numFmtId="3" fontId="11" fillId="0" borderId="57" xfId="31" applyNumberFormat="1" applyFont="1" applyFill="1" applyBorder="1" applyAlignment="1" applyProtection="1">
      <alignment horizontal="center" vertical="center" wrapText="1"/>
    </xf>
    <xf numFmtId="4" fontId="11" fillId="0" borderId="11" xfId="11" applyNumberFormat="1" applyFont="1" applyBorder="1" applyAlignment="1">
      <alignment horizontal="center" vertical="center" wrapText="1"/>
    </xf>
    <xf numFmtId="4" fontId="11" fillId="0" borderId="10" xfId="11" applyNumberFormat="1" applyFont="1" applyBorder="1" applyAlignment="1">
      <alignment horizontal="center" vertical="center" wrapText="1"/>
    </xf>
    <xf numFmtId="4" fontId="11" fillId="0" borderId="9" xfId="11" applyNumberFormat="1" applyFont="1" applyBorder="1" applyAlignment="1">
      <alignment horizontal="center" vertical="center" wrapText="1"/>
    </xf>
    <xf numFmtId="49" fontId="9" fillId="0" borderId="0" xfId="11" applyNumberFormat="1" applyFont="1" applyAlignment="1">
      <alignment horizontal="center"/>
    </xf>
    <xf numFmtId="3" fontId="11" fillId="0" borderId="50" xfId="31" applyNumberFormat="1" applyFont="1" applyFill="1" applyBorder="1" applyAlignment="1" applyProtection="1">
      <alignment horizontal="center" vertical="center" wrapText="1"/>
    </xf>
    <xf numFmtId="3" fontId="9" fillId="0" borderId="0" xfId="11" applyNumberFormat="1" applyFont="1" applyFill="1" applyAlignment="1">
      <alignment horizontal="center"/>
    </xf>
    <xf numFmtId="3" fontId="9" fillId="0" borderId="0" xfId="11" applyNumberFormat="1" applyFont="1" applyFill="1" applyAlignment="1" applyProtection="1">
      <alignment horizontal="left"/>
      <protection locked="0"/>
    </xf>
    <xf numFmtId="3" fontId="9" fillId="0" borderId="0" xfId="11" applyNumberFormat="1" applyFont="1" applyFill="1" applyAlignment="1" applyProtection="1">
      <protection locked="0"/>
    </xf>
    <xf numFmtId="3" fontId="9" fillId="0" borderId="0" xfId="11" applyNumberFormat="1" applyFont="1" applyFill="1" applyAlignment="1">
      <alignment horizontal="center" vertical="center" wrapText="1"/>
    </xf>
    <xf numFmtId="3" fontId="9" fillId="0" borderId="0" xfId="11" applyNumberFormat="1" applyFont="1" applyFill="1" applyBorder="1" applyAlignment="1">
      <alignment horizontal="center" vertical="center"/>
    </xf>
    <xf numFmtId="3" fontId="9" fillId="0" borderId="0" xfId="11" applyNumberFormat="1" applyFont="1" applyFill="1" applyAlignment="1" applyProtection="1">
      <alignment horizontal="left" wrapText="1"/>
      <protection locked="0"/>
    </xf>
    <xf numFmtId="0" fontId="12" fillId="0" borderId="47" xfId="31" applyFont="1" applyFill="1" applyBorder="1" applyAlignment="1" applyProtection="1">
      <alignment horizontal="center" vertical="center"/>
    </xf>
    <xf numFmtId="0" fontId="12" fillId="0" borderId="41" xfId="31" applyFont="1" applyFill="1" applyBorder="1" applyAlignment="1" applyProtection="1">
      <alignment horizontal="center" vertical="center"/>
    </xf>
    <xf numFmtId="0" fontId="12" fillId="0" borderId="12" xfId="31" applyFont="1" applyFill="1" applyBorder="1" applyAlignment="1" applyProtection="1">
      <alignment horizontal="center" vertical="center"/>
    </xf>
    <xf numFmtId="0" fontId="11" fillId="0" borderId="86" xfId="31" applyFont="1" applyFill="1" applyBorder="1" applyAlignment="1" applyProtection="1">
      <alignment horizontal="center" vertical="center" wrapText="1"/>
    </xf>
    <xf numFmtId="0" fontId="11" fillId="0" borderId="98" xfId="31" applyFont="1" applyFill="1" applyBorder="1" applyAlignment="1" applyProtection="1">
      <alignment horizontal="center" vertical="center" wrapText="1"/>
    </xf>
    <xf numFmtId="0" fontId="11" fillId="0" borderId="50" xfId="31" applyFont="1" applyFill="1" applyBorder="1" applyAlignment="1" applyProtection="1">
      <alignment horizontal="center" vertical="center" wrapText="1"/>
    </xf>
    <xf numFmtId="0" fontId="11" fillId="0" borderId="29" xfId="31" applyFont="1" applyFill="1" applyBorder="1" applyAlignment="1" applyProtection="1">
      <alignment horizontal="center" vertical="center" wrapText="1"/>
    </xf>
    <xf numFmtId="0" fontId="11" fillId="0" borderId="47" xfId="31" applyFont="1" applyFill="1" applyBorder="1" applyAlignment="1" applyProtection="1">
      <alignment horizontal="center" vertical="center" wrapText="1"/>
    </xf>
    <xf numFmtId="0" fontId="11" fillId="0" borderId="41" xfId="31" applyFont="1" applyFill="1" applyBorder="1" applyAlignment="1" applyProtection="1">
      <alignment horizontal="center" vertical="center" wrapText="1"/>
    </xf>
    <xf numFmtId="0" fontId="11" fillId="0" borderId="12" xfId="31" applyFont="1" applyFill="1" applyBorder="1" applyAlignment="1" applyProtection="1">
      <alignment horizontal="center" vertical="center" wrapText="1"/>
    </xf>
    <xf numFmtId="0" fontId="12" fillId="0" borderId="0" xfId="11" applyFont="1" applyBorder="1" applyAlignment="1"/>
    <xf numFmtId="0" fontId="12" fillId="0" borderId="0" xfId="11" applyFont="1" applyAlignment="1"/>
    <xf numFmtId="0" fontId="12" fillId="0" borderId="0" xfId="11" applyFont="1" applyAlignment="1">
      <alignment wrapText="1"/>
    </xf>
    <xf numFmtId="165" fontId="9" fillId="0" borderId="0" xfId="31" applyNumberFormat="1" applyFont="1" applyFill="1" applyBorder="1" applyAlignment="1" applyProtection="1">
      <alignment horizontal="left" vertical="center" wrapText="1"/>
    </xf>
    <xf numFmtId="0" fontId="12" fillId="0" borderId="47" xfId="11" applyFont="1" applyBorder="1" applyAlignment="1">
      <alignment horizontal="center" wrapText="1"/>
    </xf>
    <xf numFmtId="0" fontId="12" fillId="0" borderId="41" xfId="11" applyFont="1" applyBorder="1" applyAlignment="1">
      <alignment horizontal="center" wrapText="1"/>
    </xf>
    <xf numFmtId="0" fontId="12" fillId="0" borderId="12" xfId="11" applyFont="1" applyBorder="1" applyAlignment="1">
      <alignment horizontal="center" wrapText="1"/>
    </xf>
    <xf numFmtId="0" fontId="9" fillId="0" borderId="0" xfId="11" applyFont="1" applyAlignment="1">
      <alignment horizontal="center"/>
    </xf>
    <xf numFmtId="0" fontId="12" fillId="0" borderId="61" xfId="11" applyFont="1" applyBorder="1" applyAlignment="1">
      <alignment horizontal="center" vertical="center" wrapText="1"/>
    </xf>
    <xf numFmtId="0" fontId="12" fillId="0" borderId="63" xfId="11" applyFont="1" applyBorder="1" applyAlignment="1">
      <alignment horizontal="center" vertical="center" wrapText="1"/>
    </xf>
    <xf numFmtId="0" fontId="12" fillId="0" borderId="39" xfId="11" applyFont="1" applyBorder="1" applyAlignment="1">
      <alignment horizontal="center" vertical="center" wrapText="1"/>
    </xf>
    <xf numFmtId="0" fontId="12" fillId="0" borderId="14" xfId="11" applyFont="1" applyBorder="1" applyAlignment="1">
      <alignment horizontal="center" vertical="center" wrapText="1"/>
    </xf>
    <xf numFmtId="0" fontId="11" fillId="0" borderId="33" xfId="11" applyFont="1" applyBorder="1" applyAlignment="1">
      <alignment horizontal="center" vertical="center"/>
    </xf>
    <xf numFmtId="0" fontId="11" fillId="0" borderId="35" xfId="11" applyFont="1" applyBorder="1" applyAlignment="1">
      <alignment horizontal="center" vertical="center"/>
    </xf>
    <xf numFmtId="0" fontId="12" fillId="0" borderId="47" xfId="11" applyFont="1" applyBorder="1" applyAlignment="1"/>
    <xf numFmtId="0" fontId="12" fillId="0" borderId="41" xfId="11" applyFont="1" applyBorder="1" applyAlignment="1"/>
    <xf numFmtId="0" fontId="12" fillId="0" borderId="12" xfId="11" applyFont="1" applyBorder="1" applyAlignment="1"/>
    <xf numFmtId="3" fontId="11" fillId="0" borderId="47" xfId="11" applyNumberFormat="1" applyFont="1" applyFill="1" applyBorder="1" applyAlignment="1">
      <alignment horizontal="left" vertical="center" wrapText="1" indent="2"/>
    </xf>
    <xf numFmtId="3" fontId="11" fillId="0" borderId="12" xfId="11" applyNumberFormat="1" applyFont="1" applyFill="1" applyBorder="1" applyAlignment="1">
      <alignment horizontal="left" vertical="center" wrapText="1" indent="2"/>
    </xf>
    <xf numFmtId="3" fontId="12" fillId="0" borderId="0" xfId="11" applyNumberFormat="1" applyFont="1" applyFill="1" applyAlignment="1">
      <alignment horizontal="center" vertical="center" wrapText="1"/>
    </xf>
    <xf numFmtId="3" fontId="11" fillId="0" borderId="33" xfId="11" applyNumberFormat="1" applyFont="1" applyFill="1" applyBorder="1" applyAlignment="1">
      <alignment horizontal="center" vertical="center" wrapText="1"/>
    </xf>
    <xf numFmtId="3" fontId="11" fillId="0" borderId="35" xfId="11" applyNumberFormat="1" applyFont="1" applyFill="1" applyBorder="1" applyAlignment="1">
      <alignment horizontal="center" vertical="center" wrapText="1"/>
    </xf>
    <xf numFmtId="3" fontId="11" fillId="0" borderId="33" xfId="11" applyNumberFormat="1" applyFont="1" applyFill="1" applyBorder="1" applyAlignment="1">
      <alignment horizontal="center" vertical="center"/>
    </xf>
    <xf numFmtId="3" fontId="11" fillId="0" borderId="35" xfId="11" applyNumberFormat="1" applyFont="1" applyFill="1" applyBorder="1" applyAlignment="1">
      <alignment horizontal="center" vertical="center"/>
    </xf>
    <xf numFmtId="3" fontId="11" fillId="0" borderId="47" xfId="11" applyNumberFormat="1" applyFont="1" applyFill="1" applyBorder="1" applyAlignment="1">
      <alignment horizontal="center" vertical="center"/>
    </xf>
    <xf numFmtId="3" fontId="11" fillId="0" borderId="41" xfId="11" applyNumberFormat="1" applyFont="1" applyFill="1" applyBorder="1" applyAlignment="1">
      <alignment horizontal="center" vertical="center"/>
    </xf>
    <xf numFmtId="3" fontId="11" fillId="0" borderId="12" xfId="11" applyNumberFormat="1" applyFont="1" applyFill="1" applyBorder="1" applyAlignment="1">
      <alignment horizontal="center" vertical="center"/>
    </xf>
    <xf numFmtId="3" fontId="11" fillId="0" borderId="47" xfId="11" applyNumberFormat="1" applyFont="1" applyFill="1" applyBorder="1" applyAlignment="1">
      <alignment horizontal="center" vertical="center" wrapText="1"/>
    </xf>
    <xf numFmtId="3" fontId="11" fillId="0" borderId="41" xfId="11" applyNumberFormat="1" applyFont="1" applyFill="1" applyBorder="1" applyAlignment="1">
      <alignment horizontal="center" vertical="center" wrapText="1"/>
    </xf>
    <xf numFmtId="3" fontId="11" fillId="0" borderId="12" xfId="11" applyNumberFormat="1" applyFont="1" applyFill="1" applyBorder="1" applyAlignment="1">
      <alignment horizontal="center" vertical="center" wrapText="1"/>
    </xf>
    <xf numFmtId="3" fontId="24" fillId="0" borderId="0" xfId="11" applyNumberFormat="1" applyFont="1" applyFill="1" applyAlignment="1">
      <alignment horizontal="center" vertical="center" wrapText="1"/>
    </xf>
    <xf numFmtId="3" fontId="9" fillId="0" borderId="0" xfId="33" applyNumberFormat="1" applyFont="1" applyFill="1" applyAlignment="1" applyProtection="1">
      <alignment horizontal="center"/>
    </xf>
    <xf numFmtId="3" fontId="11" fillId="0" borderId="85" xfId="33" applyNumberFormat="1" applyFont="1" applyFill="1" applyBorder="1" applyAlignment="1" applyProtection="1">
      <alignment horizontal="left" vertical="center" indent="1"/>
    </xf>
    <xf numFmtId="3" fontId="11" fillId="0" borderId="41" xfId="33" applyNumberFormat="1" applyFont="1" applyFill="1" applyBorder="1" applyAlignment="1" applyProtection="1">
      <alignment horizontal="left" vertical="center" indent="1"/>
    </xf>
    <xf numFmtId="3" fontId="11" fillId="0" borderId="45" xfId="33" applyNumberFormat="1" applyFont="1" applyFill="1" applyBorder="1" applyAlignment="1" applyProtection="1">
      <alignment horizontal="left" vertical="center" indent="1"/>
    </xf>
    <xf numFmtId="3" fontId="11" fillId="0" borderId="12" xfId="33" applyNumberFormat="1" applyFont="1" applyFill="1" applyBorder="1" applyAlignment="1" applyProtection="1">
      <alignment horizontal="left" vertical="center" indent="1"/>
    </xf>
    <xf numFmtId="3" fontId="11" fillId="0" borderId="0" xfId="33" applyNumberFormat="1" applyFont="1" applyFill="1" applyBorder="1" applyAlignment="1" applyProtection="1">
      <alignment horizontal="left" vertical="center" indent="1"/>
    </xf>
    <xf numFmtId="3" fontId="7" fillId="0" borderId="0" xfId="31" applyNumberFormat="1" applyFont="1" applyFill="1" applyAlignment="1">
      <alignment horizontal="center"/>
    </xf>
    <xf numFmtId="0" fontId="9" fillId="0" borderId="0" xfId="11" applyFont="1" applyFill="1" applyAlignment="1">
      <alignment horizontal="center" vertical="center" wrapText="1"/>
    </xf>
    <xf numFmtId="49" fontId="11" fillId="0" borderId="47" xfId="11" applyNumberFormat="1" applyFont="1" applyFill="1" applyBorder="1" applyAlignment="1">
      <alignment horizontal="center" vertical="center" wrapText="1"/>
    </xf>
    <xf numFmtId="49" fontId="11" fillId="0" borderId="41" xfId="11" applyNumberFormat="1" applyFont="1" applyFill="1" applyBorder="1" applyAlignment="1">
      <alignment horizontal="center" vertical="center" wrapText="1"/>
    </xf>
    <xf numFmtId="49" fontId="11" fillId="0" borderId="12" xfId="11" applyNumberFormat="1" applyFont="1" applyFill="1" applyBorder="1" applyAlignment="1">
      <alignment horizontal="center" vertical="center" wrapText="1"/>
    </xf>
    <xf numFmtId="0" fontId="11" fillId="0" borderId="58" xfId="11" applyFont="1" applyFill="1" applyBorder="1" applyAlignment="1">
      <alignment horizontal="center" vertical="center" wrapText="1"/>
    </xf>
    <xf numFmtId="0" fontId="11" fillId="0" borderId="41" xfId="11" applyFont="1" applyFill="1" applyBorder="1" applyAlignment="1">
      <alignment horizontal="center" vertical="center" wrapText="1"/>
    </xf>
    <xf numFmtId="0" fontId="11" fillId="0" borderId="12" xfId="11" applyFont="1" applyFill="1" applyBorder="1" applyAlignment="1">
      <alignment horizontal="center" vertical="center" wrapText="1"/>
    </xf>
    <xf numFmtId="165" fontId="9" fillId="0" borderId="0" xfId="11" applyNumberFormat="1" applyFont="1" applyFill="1" applyAlignment="1">
      <alignment horizontal="center" vertical="center" wrapText="1"/>
    </xf>
    <xf numFmtId="165" fontId="10" fillId="0" borderId="43" xfId="11" applyNumberFormat="1" applyFont="1" applyFill="1" applyBorder="1" applyAlignment="1" applyProtection="1">
      <alignment horizontal="right" wrapText="1"/>
    </xf>
    <xf numFmtId="0" fontId="9" fillId="0" borderId="0" xfId="11" applyFont="1" applyBorder="1" applyAlignment="1">
      <alignment horizontal="center" wrapText="1"/>
    </xf>
    <xf numFmtId="3" fontId="11" fillId="0" borderId="11" xfId="11" applyNumberFormat="1" applyFont="1" applyFill="1" applyBorder="1" applyAlignment="1">
      <alignment horizontal="center" vertical="center" wrapText="1"/>
    </xf>
    <xf numFmtId="3" fontId="11" fillId="0" borderId="10" xfId="11" applyNumberFormat="1" applyFont="1" applyFill="1" applyBorder="1" applyAlignment="1">
      <alignment horizontal="center" vertical="center" wrapText="1"/>
    </xf>
    <xf numFmtId="3" fontId="11" fillId="0" borderId="9" xfId="11" applyNumberFormat="1" applyFont="1" applyFill="1" applyBorder="1" applyAlignment="1">
      <alignment horizontal="center" vertical="center" wrapText="1"/>
    </xf>
    <xf numFmtId="3" fontId="11" fillId="0" borderId="47" xfId="11" applyNumberFormat="1" applyFont="1" applyFill="1" applyBorder="1" applyAlignment="1">
      <alignment vertical="center" wrapText="1"/>
    </xf>
    <xf numFmtId="3" fontId="11" fillId="0" borderId="41" xfId="11" applyNumberFormat="1" applyFont="1" applyFill="1" applyBorder="1" applyAlignment="1">
      <alignment vertical="center" wrapText="1"/>
    </xf>
    <xf numFmtId="3" fontId="11" fillId="0" borderId="12" xfId="11" applyNumberFormat="1" applyFont="1" applyFill="1" applyBorder="1" applyAlignment="1">
      <alignment vertical="center" wrapText="1"/>
    </xf>
    <xf numFmtId="3" fontId="11" fillId="0" borderId="86" xfId="11" applyNumberFormat="1" applyFont="1" applyFill="1" applyBorder="1" applyAlignment="1">
      <alignment horizontal="center" vertical="center" wrapText="1"/>
    </xf>
    <xf numFmtId="3" fontId="11" fillId="0" borderId="51" xfId="11" applyNumberFormat="1" applyFont="1" applyFill="1" applyBorder="1" applyAlignment="1">
      <alignment horizontal="center" vertical="center" wrapText="1"/>
    </xf>
    <xf numFmtId="3" fontId="11" fillId="0" borderId="50" xfId="11" applyNumberFormat="1" applyFont="1" applyFill="1" applyBorder="1" applyAlignment="1">
      <alignment horizontal="center" vertical="center" wrapText="1"/>
    </xf>
    <xf numFmtId="3" fontId="11" fillId="0" borderId="97" xfId="11" applyNumberFormat="1" applyFont="1" applyFill="1" applyBorder="1" applyAlignment="1">
      <alignment horizontal="center" vertical="center" wrapText="1"/>
    </xf>
    <xf numFmtId="3" fontId="11" fillId="0" borderId="31" xfId="11" applyNumberFormat="1" applyFont="1" applyFill="1" applyBorder="1" applyAlignment="1">
      <alignment horizontal="center" vertical="center" wrapText="1"/>
    </xf>
    <xf numFmtId="3" fontId="11" fillId="0" borderId="32" xfId="11" applyNumberFormat="1" applyFont="1" applyFill="1" applyBorder="1" applyAlignment="1">
      <alignment horizontal="center" vertical="center" wrapText="1"/>
    </xf>
    <xf numFmtId="0" fontId="11" fillId="0" borderId="47" xfId="11" applyFont="1" applyFill="1" applyBorder="1" applyAlignment="1">
      <alignment vertical="center" wrapText="1"/>
    </xf>
    <xf numFmtId="0" fontId="11" fillId="0" borderId="41" xfId="11" applyFont="1" applyFill="1" applyBorder="1" applyAlignment="1">
      <alignment vertical="center" wrapText="1"/>
    </xf>
    <xf numFmtId="0" fontId="11" fillId="0" borderId="12" xfId="11" applyFont="1" applyFill="1" applyBorder="1" applyAlignment="1">
      <alignment vertical="center" wrapText="1"/>
    </xf>
    <xf numFmtId="0" fontId="11" fillId="2" borderId="47" xfId="11" applyFont="1" applyFill="1" applyBorder="1" applyAlignment="1">
      <alignment vertical="center" wrapText="1"/>
    </xf>
    <xf numFmtId="0" fontId="11" fillId="2" borderId="41" xfId="11" applyFont="1" applyFill="1" applyBorder="1" applyAlignment="1">
      <alignment vertical="center" wrapText="1"/>
    </xf>
    <xf numFmtId="0" fontId="11" fillId="2" borderId="12" xfId="11" applyFont="1" applyFill="1" applyBorder="1" applyAlignment="1">
      <alignment vertical="center" wrapText="1"/>
    </xf>
    <xf numFmtId="0" fontId="11" fillId="0" borderId="47" xfId="11" applyFont="1" applyFill="1" applyBorder="1" applyAlignment="1"/>
    <xf numFmtId="0" fontId="11" fillId="0" borderId="41" xfId="11" applyFont="1" applyFill="1" applyBorder="1" applyAlignment="1"/>
    <xf numFmtId="0" fontId="11" fillId="0" borderId="12" xfId="11" applyFont="1" applyFill="1" applyBorder="1" applyAlignment="1"/>
    <xf numFmtId="168" fontId="11" fillId="0" borderId="95" xfId="11" applyNumberFormat="1" applyFont="1" applyFill="1" applyBorder="1" applyAlignment="1">
      <alignment horizontal="center" vertical="center" wrapText="1"/>
    </xf>
    <xf numFmtId="168" fontId="11" fillId="0" borderId="57" xfId="11" applyNumberFormat="1" applyFont="1" applyFill="1" applyBorder="1" applyAlignment="1">
      <alignment horizontal="center" vertical="center" wrapText="1"/>
    </xf>
    <xf numFmtId="168" fontId="11" fillId="0" borderId="91" xfId="11" applyNumberFormat="1" applyFont="1" applyFill="1" applyBorder="1" applyAlignment="1">
      <alignment horizontal="center" vertical="center" wrapText="1"/>
    </xf>
    <xf numFmtId="3" fontId="11" fillId="0" borderId="95" xfId="11" applyNumberFormat="1" applyFont="1" applyFill="1" applyBorder="1" applyAlignment="1">
      <alignment horizontal="center" vertical="center" wrapText="1"/>
    </xf>
    <xf numFmtId="3" fontId="11" fillId="0" borderId="57" xfId="11" applyNumberFormat="1" applyFont="1" applyFill="1" applyBorder="1" applyAlignment="1">
      <alignment horizontal="center" vertical="center" wrapText="1"/>
    </xf>
    <xf numFmtId="3" fontId="11" fillId="0" borderId="91" xfId="11" applyNumberFormat="1" applyFont="1" applyFill="1" applyBorder="1" applyAlignment="1">
      <alignment horizontal="center" vertical="center" wrapText="1"/>
    </xf>
    <xf numFmtId="0" fontId="11" fillId="2" borderId="47" xfId="11" applyFont="1" applyFill="1" applyBorder="1" applyAlignment="1"/>
    <xf numFmtId="0" fontId="11" fillId="2" borderId="41" xfId="11" applyFont="1" applyFill="1" applyBorder="1" applyAlignment="1"/>
    <xf numFmtId="0" fontId="11" fillId="2" borderId="12" xfId="11" applyFont="1" applyFill="1" applyBorder="1" applyAlignment="1"/>
    <xf numFmtId="49" fontId="11" fillId="0" borderId="86" xfId="11" applyNumberFormat="1" applyFont="1" applyFill="1" applyBorder="1" applyAlignment="1">
      <alignment horizontal="center" vertical="center" wrapText="1"/>
    </xf>
    <xf numFmtId="49" fontId="11" fillId="0" borderId="97" xfId="11" applyNumberFormat="1" applyFont="1" applyFill="1" applyBorder="1" applyAlignment="1">
      <alignment horizontal="center" vertical="center" wrapText="1"/>
    </xf>
    <xf numFmtId="49" fontId="11" fillId="0" borderId="98" xfId="11" applyNumberFormat="1" applyFont="1" applyFill="1" applyBorder="1" applyAlignment="1">
      <alignment horizontal="center" vertical="center" wrapText="1"/>
    </xf>
    <xf numFmtId="49" fontId="11" fillId="0" borderId="50" xfId="11" applyNumberFormat="1" applyFont="1" applyFill="1" applyBorder="1" applyAlignment="1">
      <alignment horizontal="center" vertical="center" wrapText="1"/>
    </xf>
    <xf numFmtId="49" fontId="11" fillId="0" borderId="32" xfId="11" applyNumberFormat="1" applyFont="1" applyFill="1" applyBorder="1" applyAlignment="1">
      <alignment horizontal="center" vertical="center" wrapText="1"/>
    </xf>
    <xf numFmtId="49" fontId="11" fillId="0" borderId="29" xfId="11" applyNumberFormat="1" applyFont="1" applyFill="1" applyBorder="1" applyAlignment="1">
      <alignment horizontal="center" vertical="center" wrapText="1"/>
    </xf>
    <xf numFmtId="0" fontId="11" fillId="0" borderId="51" xfId="11" applyFont="1" applyFill="1" applyBorder="1" applyAlignment="1">
      <alignment horizontal="center" vertical="center" wrapText="1"/>
    </xf>
    <xf numFmtId="0" fontId="11" fillId="0" borderId="31" xfId="11" applyFont="1" applyFill="1" applyBorder="1" applyAlignment="1">
      <alignment horizontal="center" vertical="center" wrapText="1"/>
    </xf>
    <xf numFmtId="0" fontId="11" fillId="0" borderId="28" xfId="11" applyFont="1" applyFill="1" applyBorder="1" applyAlignment="1">
      <alignment horizontal="center" vertical="center" wrapText="1"/>
    </xf>
    <xf numFmtId="3" fontId="11" fillId="0" borderId="98" xfId="11" applyNumberFormat="1" applyFont="1" applyFill="1" applyBorder="1" applyAlignment="1">
      <alignment horizontal="center" vertical="center" wrapText="1"/>
    </xf>
    <xf numFmtId="3" fontId="9" fillId="0" borderId="0" xfId="11" applyNumberFormat="1" applyFont="1" applyAlignment="1">
      <alignment horizontal="center"/>
    </xf>
    <xf numFmtId="3" fontId="4" fillId="0" borderId="0" xfId="11" applyNumberFormat="1" applyFont="1" applyFill="1" applyAlignment="1" applyProtection="1">
      <alignment horizontal="center"/>
      <protection locked="0"/>
    </xf>
    <xf numFmtId="3" fontId="4" fillId="0" borderId="0" xfId="11" applyNumberFormat="1" applyFont="1" applyFill="1" applyAlignment="1" applyProtection="1">
      <alignment horizontal="left"/>
      <protection locked="0"/>
    </xf>
    <xf numFmtId="0" fontId="39" fillId="0" borderId="61" xfId="11" applyFont="1" applyBorder="1" applyAlignment="1">
      <alignment horizontal="center"/>
    </xf>
    <xf numFmtId="0" fontId="39" fillId="0" borderId="39" xfId="11" applyFont="1" applyBorder="1" applyAlignment="1">
      <alignment horizontal="center"/>
    </xf>
    <xf numFmtId="0" fontId="38" fillId="0" borderId="55" xfId="11" applyFont="1" applyBorder="1" applyAlignment="1">
      <alignment horizontal="left" vertical="center"/>
    </xf>
    <xf numFmtId="0" fontId="38" fillId="0" borderId="7" xfId="11" applyFont="1" applyBorder="1" applyAlignment="1">
      <alignment horizontal="left" vertical="center"/>
    </xf>
    <xf numFmtId="0" fontId="38" fillId="0" borderId="49" xfId="11" applyFont="1" applyBorder="1" applyAlignment="1">
      <alignment horizontal="left" vertical="center"/>
    </xf>
    <xf numFmtId="0" fontId="38" fillId="0" borderId="42" xfId="11" applyFont="1" applyBorder="1" applyAlignment="1">
      <alignment horizontal="left" vertical="center"/>
    </xf>
    <xf numFmtId="0" fontId="39" fillId="0" borderId="0" xfId="11" applyFont="1" applyBorder="1" applyAlignment="1">
      <alignment horizontal="center" vertical="center" wrapText="1"/>
    </xf>
    <xf numFmtId="0" fontId="39" fillId="0" borderId="47" xfId="11" applyFont="1" applyBorder="1" applyAlignment="1">
      <alignment horizontal="center" vertical="center" wrapText="1"/>
    </xf>
    <xf numFmtId="0" fontId="39" fillId="0" borderId="12" xfId="11" applyFont="1" applyBorder="1" applyAlignment="1">
      <alignment horizontal="center" vertical="center" wrapText="1"/>
    </xf>
    <xf numFmtId="0" fontId="39" fillId="0" borderId="47" xfId="11" applyFont="1" applyBorder="1" applyAlignment="1">
      <alignment horizontal="left" vertical="center" wrapText="1"/>
    </xf>
    <xf numFmtId="0" fontId="39" fillId="0" borderId="41" xfId="11" applyFont="1" applyBorder="1" applyAlignment="1">
      <alignment horizontal="left" vertical="center" wrapText="1"/>
    </xf>
    <xf numFmtId="0" fontId="39" fillId="0" borderId="61" xfId="11" applyFont="1" applyBorder="1" applyAlignment="1">
      <alignment horizontal="center" vertical="center"/>
    </xf>
    <xf numFmtId="0" fontId="39" fillId="0" borderId="54" xfId="11" applyFont="1" applyBorder="1" applyAlignment="1">
      <alignment horizontal="center" vertical="center"/>
    </xf>
    <xf numFmtId="0" fontId="39" fillId="0" borderId="89" xfId="11" applyFont="1" applyBorder="1" applyAlignment="1">
      <alignment horizontal="center" vertical="center"/>
    </xf>
    <xf numFmtId="0" fontId="39" fillId="0" borderId="99" xfId="11" applyFont="1" applyBorder="1" applyAlignment="1">
      <alignment horizontal="center" vertical="center"/>
    </xf>
    <xf numFmtId="0" fontId="39" fillId="0" borderId="11" xfId="11" applyFont="1" applyBorder="1" applyAlignment="1">
      <alignment horizontal="left"/>
    </xf>
    <xf numFmtId="0" fontId="39" fillId="0" borderId="58" xfId="11" applyFont="1" applyBorder="1" applyAlignment="1">
      <alignment horizontal="left"/>
    </xf>
    <xf numFmtId="0" fontId="39" fillId="0" borderId="47" xfId="11" applyFont="1" applyBorder="1" applyAlignment="1">
      <alignment horizontal="left" vertical="top" wrapText="1"/>
    </xf>
    <xf numFmtId="0" fontId="39" fillId="0" borderId="41" xfId="11" applyFont="1" applyBorder="1" applyAlignment="1">
      <alignment horizontal="left" vertical="top" wrapText="1"/>
    </xf>
    <xf numFmtId="0" fontId="39" fillId="0" borderId="47" xfId="11" applyFont="1" applyBorder="1" applyAlignment="1">
      <alignment horizontal="left"/>
    </xf>
    <xf numFmtId="0" fontId="38" fillId="0" borderId="41" xfId="11" applyFont="1" applyBorder="1" applyAlignment="1">
      <alignment horizontal="left"/>
    </xf>
    <xf numFmtId="0" fontId="38" fillId="0" borderId="49" xfId="11" applyFont="1" applyBorder="1" applyAlignment="1">
      <alignment horizontal="left"/>
    </xf>
    <xf numFmtId="0" fontId="38" fillId="0" borderId="42" xfId="11" applyFont="1" applyBorder="1" applyAlignment="1">
      <alignment horizontal="left"/>
    </xf>
    <xf numFmtId="0" fontId="38" fillId="0" borderId="53" xfId="11" applyFont="1" applyBorder="1" applyAlignment="1">
      <alignment horizontal="left"/>
    </xf>
    <xf numFmtId="0" fontId="38" fillId="0" borderId="44" xfId="11" applyFont="1" applyBorder="1" applyAlignment="1">
      <alignment horizontal="left"/>
    </xf>
    <xf numFmtId="0" fontId="16" fillId="0" borderId="0" xfId="11" applyFont="1" applyAlignment="1">
      <alignment horizontal="justify" vertical="top" wrapText="1"/>
    </xf>
    <xf numFmtId="0" fontId="16" fillId="0" borderId="0" xfId="11" applyNumberFormat="1" applyFont="1" applyAlignment="1">
      <alignment horizontal="justify" vertical="top" wrapText="1"/>
    </xf>
    <xf numFmtId="0" fontId="16" fillId="0" borderId="0" xfId="11" applyNumberFormat="1" applyFont="1" applyAlignment="1">
      <alignment horizontal="left" vertical="top" wrapText="1"/>
    </xf>
    <xf numFmtId="0" fontId="20" fillId="0" borderId="0" xfId="11" applyNumberFormat="1" applyFont="1" applyAlignment="1">
      <alignment horizontal="center" vertical="top"/>
    </xf>
    <xf numFmtId="0" fontId="16" fillId="0" borderId="0" xfId="11" applyNumberFormat="1" applyFont="1" applyAlignment="1">
      <alignment horizontal="justify" vertical="top"/>
    </xf>
    <xf numFmtId="0" fontId="16" fillId="0" borderId="0" xfId="11" applyNumberFormat="1" applyFont="1" applyAlignment="1">
      <alignment vertical="top" wrapText="1"/>
    </xf>
    <xf numFmtId="0" fontId="16" fillId="0" borderId="0" xfId="11" applyNumberFormat="1" applyFont="1" applyAlignment="1">
      <alignment horizontal="left" vertical="top"/>
    </xf>
    <xf numFmtId="0" fontId="16" fillId="0" borderId="0" xfId="11" applyNumberFormat="1" applyFont="1" applyBorder="1" applyAlignment="1">
      <alignment horizontal="left" vertical="top" wrapText="1"/>
    </xf>
    <xf numFmtId="0" fontId="46" fillId="0" borderId="0" xfId="11" applyNumberFormat="1" applyFont="1" applyAlignment="1">
      <alignment horizontal="justify" vertical="top" wrapText="1"/>
    </xf>
    <xf numFmtId="0" fontId="9" fillId="0" borderId="0" xfId="11" applyFont="1" applyAlignment="1">
      <alignment horizontal="center" vertical="center" wrapText="1"/>
    </xf>
    <xf numFmtId="0" fontId="12" fillId="0" borderId="61" xfId="11" applyFont="1" applyBorder="1" applyAlignment="1">
      <alignment horizontal="center" wrapText="1"/>
    </xf>
    <xf numFmtId="0" fontId="12" fillId="0" borderId="63" xfId="11" applyFont="1" applyBorder="1" applyAlignment="1">
      <alignment horizontal="center" wrapText="1"/>
    </xf>
    <xf numFmtId="0" fontId="12" fillId="0" borderId="39" xfId="11" applyFont="1" applyBorder="1" applyAlignment="1">
      <alignment horizontal="center" wrapText="1"/>
    </xf>
    <xf numFmtId="0" fontId="12" fillId="0" borderId="26" xfId="11" applyFont="1" applyBorder="1" applyAlignment="1">
      <alignment horizontal="center" wrapText="1"/>
    </xf>
    <xf numFmtId="0" fontId="12" fillId="0" borderId="61" xfId="11" applyFont="1" applyBorder="1" applyAlignment="1">
      <alignment horizontal="center"/>
    </xf>
    <xf numFmtId="0" fontId="12" fillId="0" borderId="38" xfId="11" applyFont="1" applyBorder="1" applyAlignment="1">
      <alignment horizontal="center"/>
    </xf>
    <xf numFmtId="0" fontId="12" fillId="0" borderId="39" xfId="11" applyFont="1" applyBorder="1" applyAlignment="1">
      <alignment horizontal="center"/>
    </xf>
    <xf numFmtId="0" fontId="20" fillId="0" borderId="0" xfId="32" applyFont="1" applyAlignment="1">
      <alignment horizontal="center"/>
    </xf>
    <xf numFmtId="0" fontId="34" fillId="0" borderId="0" xfId="28" applyFont="1" applyAlignment="1">
      <alignment horizontal="left" wrapText="1"/>
    </xf>
    <xf numFmtId="10" fontId="63" fillId="0" borderId="0" xfId="36" applyNumberFormat="1" applyFont="1" applyAlignment="1">
      <alignment horizontal="center"/>
    </xf>
    <xf numFmtId="10" fontId="18" fillId="0" borderId="0" xfId="36" applyNumberFormat="1" applyFont="1" applyAlignment="1">
      <alignment horizontal="center"/>
    </xf>
    <xf numFmtId="10" fontId="18" fillId="0" borderId="12" xfId="36" applyNumberFormat="1" applyFont="1" applyBorder="1" applyAlignment="1">
      <alignment horizontal="center" vertical="center" wrapText="1"/>
    </xf>
    <xf numFmtId="10" fontId="18" fillId="0" borderId="100" xfId="36" applyNumberFormat="1" applyFont="1" applyBorder="1" applyAlignment="1">
      <alignment horizontal="center"/>
    </xf>
    <xf numFmtId="10" fontId="18" fillId="0" borderId="12" xfId="36" applyNumberFormat="1" applyFont="1" applyBorder="1" applyAlignment="1">
      <alignment horizontal="center"/>
    </xf>
    <xf numFmtId="10" fontId="17" fillId="0" borderId="94" xfId="36" applyNumberFormat="1" applyFont="1" applyBorder="1" applyAlignment="1">
      <alignment horizontal="center"/>
    </xf>
    <xf numFmtId="10" fontId="17" fillId="0" borderId="93" xfId="36" applyNumberFormat="1" applyFont="1" applyBorder="1" applyAlignment="1">
      <alignment horizontal="center"/>
    </xf>
    <xf numFmtId="10" fontId="17" fillId="0" borderId="93" xfId="36" applyNumberFormat="1" applyFont="1" applyFill="1" applyBorder="1" applyAlignment="1">
      <alignment horizontal="center"/>
    </xf>
    <xf numFmtId="10" fontId="17" fillId="0" borderId="88" xfId="36" applyNumberFormat="1" applyFont="1" applyBorder="1" applyAlignment="1">
      <alignment horizontal="center"/>
    </xf>
    <xf numFmtId="10" fontId="17" fillId="2" borderId="93" xfId="36" applyNumberFormat="1" applyFont="1" applyFill="1" applyBorder="1" applyAlignment="1">
      <alignment horizontal="center"/>
    </xf>
    <xf numFmtId="10" fontId="18" fillId="0" borderId="92" xfId="36" applyNumberFormat="1" applyFont="1" applyBorder="1" applyAlignment="1">
      <alignment horizontal="center"/>
    </xf>
    <xf numFmtId="10" fontId="18" fillId="0" borderId="0" xfId="36" applyNumberFormat="1" applyFont="1" applyBorder="1" applyAlignment="1">
      <alignment horizontal="center"/>
    </xf>
    <xf numFmtId="10" fontId="18" fillId="0" borderId="9" xfId="36" applyNumberFormat="1" applyFont="1" applyBorder="1" applyAlignment="1">
      <alignment horizontal="center"/>
    </xf>
    <xf numFmtId="10" fontId="18" fillId="0" borderId="39" xfId="36" applyNumberFormat="1" applyFont="1" applyBorder="1" applyAlignment="1">
      <alignment horizontal="center"/>
    </xf>
    <xf numFmtId="10" fontId="17" fillId="0" borderId="17" xfId="36" applyNumberFormat="1" applyFont="1" applyBorder="1" applyAlignment="1">
      <alignment horizontal="center"/>
    </xf>
    <xf numFmtId="10" fontId="17" fillId="0" borderId="26" xfId="36" applyNumberFormat="1" applyFont="1" applyBorder="1" applyAlignment="1">
      <alignment horizontal="center"/>
    </xf>
    <xf numFmtId="10" fontId="17" fillId="0" borderId="18" xfId="36" applyNumberFormat="1" applyFont="1" applyBorder="1" applyAlignment="1">
      <alignment horizontal="center"/>
    </xf>
    <xf numFmtId="10" fontId="17" fillId="2" borderId="18" xfId="36" applyNumberFormat="1" applyFont="1" applyFill="1" applyBorder="1" applyAlignment="1">
      <alignment horizontal="center"/>
    </xf>
    <xf numFmtId="10" fontId="18" fillId="0" borderId="29" xfId="36" applyNumberFormat="1" applyFont="1" applyBorder="1" applyAlignment="1">
      <alignment horizontal="center"/>
    </xf>
    <xf numFmtId="10" fontId="17" fillId="0" borderId="0" xfId="36" applyNumberFormat="1" applyFont="1" applyAlignment="1">
      <alignment horizontal="center"/>
    </xf>
    <xf numFmtId="10" fontId="17" fillId="0" borderId="36" xfId="36" applyNumberFormat="1" applyFont="1" applyBorder="1" applyAlignment="1">
      <alignment horizontal="center"/>
    </xf>
    <xf numFmtId="10" fontId="18" fillId="0" borderId="26" xfId="36" applyNumberFormat="1" applyFont="1" applyBorder="1" applyAlignment="1">
      <alignment horizontal="center"/>
    </xf>
    <xf numFmtId="10" fontId="17" fillId="0" borderId="18" xfId="36" applyNumberFormat="1" applyFont="1" applyFill="1" applyBorder="1" applyAlignment="1">
      <alignment horizontal="center"/>
    </xf>
    <xf numFmtId="3" fontId="64" fillId="0" borderId="2" xfId="0" applyNumberFormat="1" applyFont="1" applyBorder="1"/>
    <xf numFmtId="3" fontId="56" fillId="0" borderId="2" xfId="0" applyNumberFormat="1" applyFont="1" applyBorder="1"/>
    <xf numFmtId="10" fontId="18" fillId="0" borderId="50" xfId="36" applyNumberFormat="1" applyFont="1" applyBorder="1" applyAlignment="1">
      <alignment horizontal="center"/>
    </xf>
    <xf numFmtId="10" fontId="17" fillId="0" borderId="39" xfId="36" applyNumberFormat="1" applyFont="1" applyBorder="1" applyAlignment="1">
      <alignment horizontal="center"/>
    </xf>
    <xf numFmtId="3" fontId="11" fillId="0" borderId="29" xfId="31" applyNumberFormat="1" applyFont="1" applyFill="1" applyBorder="1" applyAlignment="1" applyProtection="1">
      <alignment horizontal="center" vertical="center" wrapText="1"/>
    </xf>
    <xf numFmtId="3" fontId="11" fillId="0" borderId="51" xfId="31" applyNumberFormat="1" applyFont="1" applyFill="1" applyBorder="1" applyAlignment="1" applyProtection="1">
      <alignment horizontal="center" vertical="center" wrapText="1"/>
    </xf>
    <xf numFmtId="10" fontId="10" fillId="0" borderId="100" xfId="36" applyNumberFormat="1" applyFont="1" applyFill="1" applyBorder="1" applyAlignment="1" applyProtection="1">
      <alignment horizontal="center" vertical="center" wrapText="1"/>
    </xf>
    <xf numFmtId="3" fontId="11" fillId="0" borderId="31" xfId="31" applyNumberFormat="1" applyFont="1" applyFill="1" applyBorder="1" applyAlignment="1" applyProtection="1">
      <alignment horizontal="center" vertical="center" wrapText="1"/>
    </xf>
    <xf numFmtId="10" fontId="10" fillId="0" borderId="96" xfId="36" applyNumberFormat="1" applyFont="1" applyFill="1" applyBorder="1" applyAlignment="1" applyProtection="1">
      <alignment horizontal="center" vertical="center" wrapText="1"/>
    </xf>
    <xf numFmtId="164" fontId="12" fillId="0" borderId="54" xfId="11" applyNumberFormat="1" applyFont="1" applyBorder="1" applyAlignment="1">
      <alignment horizontal="center" vertical="center"/>
    </xf>
    <xf numFmtId="10" fontId="10" fillId="0" borderId="18" xfId="36" applyNumberFormat="1" applyFont="1" applyBorder="1" applyAlignment="1">
      <alignment horizontal="center"/>
    </xf>
    <xf numFmtId="10" fontId="21" fillId="0" borderId="18" xfId="36" applyNumberFormat="1" applyFont="1" applyBorder="1" applyAlignment="1">
      <alignment horizontal="center"/>
    </xf>
    <xf numFmtId="10" fontId="10" fillId="0" borderId="17" xfId="36" applyNumberFormat="1" applyFont="1" applyBorder="1" applyAlignment="1">
      <alignment horizontal="center"/>
    </xf>
    <xf numFmtId="10" fontId="21" fillId="0" borderId="36" xfId="36" applyNumberFormat="1" applyFont="1" applyBorder="1" applyAlignment="1">
      <alignment horizontal="center"/>
    </xf>
    <xf numFmtId="10" fontId="10" fillId="0" borderId="9" xfId="36" applyNumberFormat="1" applyFont="1" applyBorder="1" applyAlignment="1">
      <alignment horizontal="center"/>
    </xf>
    <xf numFmtId="10" fontId="10" fillId="0" borderId="50" xfId="36" applyNumberFormat="1" applyFont="1" applyFill="1" applyBorder="1" applyAlignment="1" applyProtection="1">
      <alignment horizontal="center" vertical="center" wrapText="1"/>
    </xf>
    <xf numFmtId="10" fontId="10" fillId="0" borderId="29" xfId="36" applyNumberFormat="1" applyFont="1" applyFill="1" applyBorder="1" applyAlignment="1" applyProtection="1">
      <alignment horizontal="center" vertical="center" wrapText="1"/>
    </xf>
    <xf numFmtId="4" fontId="12" fillId="0" borderId="54" xfId="11" applyNumberFormat="1" applyFont="1" applyBorder="1" applyAlignment="1">
      <alignment horizontal="center" vertical="center"/>
    </xf>
    <xf numFmtId="164" fontId="12" fillId="0" borderId="8" xfId="11" applyNumberFormat="1" applyFont="1" applyFill="1" applyBorder="1" applyAlignment="1"/>
    <xf numFmtId="166" fontId="11" fillId="0" borderId="58" xfId="0" applyNumberFormat="1" applyFont="1" applyBorder="1"/>
    <xf numFmtId="10" fontId="21" fillId="0" borderId="39" xfId="36" applyNumberFormat="1" applyFont="1" applyFill="1" applyBorder="1" applyAlignment="1" applyProtection="1">
      <alignment horizontal="center" vertical="center"/>
      <protection locked="0"/>
    </xf>
    <xf numFmtId="10" fontId="21" fillId="0" borderId="18" xfId="36" applyNumberFormat="1" applyFont="1" applyFill="1" applyBorder="1" applyAlignment="1" applyProtection="1">
      <alignment horizontal="center" vertical="center"/>
      <protection locked="0"/>
    </xf>
    <xf numFmtId="10" fontId="10" fillId="0" borderId="9" xfId="36" applyNumberFormat="1" applyFont="1" applyFill="1" applyBorder="1" applyAlignment="1">
      <alignment horizontal="center" vertical="center"/>
    </xf>
    <xf numFmtId="10" fontId="21" fillId="0" borderId="26" xfId="36" applyNumberFormat="1" applyFont="1" applyFill="1" applyBorder="1" applyAlignment="1" applyProtection="1">
      <alignment horizontal="center" vertical="center"/>
      <protection locked="0"/>
    </xf>
    <xf numFmtId="3" fontId="12" fillId="0" borderId="17" xfId="11" applyNumberFormat="1" applyFont="1" applyFill="1" applyBorder="1" applyAlignment="1" applyProtection="1">
      <alignment vertical="center"/>
      <protection locked="0"/>
    </xf>
    <xf numFmtId="10" fontId="65" fillId="0" borderId="0" xfId="36" applyNumberFormat="1" applyFont="1" applyAlignment="1">
      <alignment horizontal="center"/>
    </xf>
    <xf numFmtId="10" fontId="21" fillId="0" borderId="0" xfId="36" applyNumberFormat="1" applyFont="1" applyAlignment="1">
      <alignment horizontal="center"/>
    </xf>
    <xf numFmtId="10" fontId="21" fillId="0" borderId="112" xfId="36" applyNumberFormat="1" applyFont="1" applyBorder="1" applyAlignment="1">
      <alignment horizontal="center" wrapText="1"/>
    </xf>
    <xf numFmtId="10" fontId="21" fillId="0" borderId="106" xfId="36" applyNumberFormat="1" applyFont="1" applyBorder="1" applyAlignment="1">
      <alignment horizontal="center" wrapText="1"/>
    </xf>
    <xf numFmtId="10" fontId="21" fillId="0" borderId="109" xfId="36" applyNumberFormat="1" applyFont="1" applyBorder="1" applyAlignment="1">
      <alignment horizontal="center" wrapText="1"/>
    </xf>
    <xf numFmtId="10" fontId="10" fillId="0" borderId="9" xfId="36" applyNumberFormat="1" applyFont="1" applyBorder="1" applyAlignment="1">
      <alignment horizontal="center" wrapText="1"/>
    </xf>
    <xf numFmtId="10" fontId="10" fillId="0" borderId="29" xfId="36" applyNumberFormat="1" applyFont="1" applyBorder="1" applyAlignment="1">
      <alignment horizontal="center" wrapText="1"/>
    </xf>
    <xf numFmtId="10" fontId="10" fillId="0" borderId="0" xfId="36" applyNumberFormat="1" applyFont="1" applyFill="1" applyBorder="1" applyAlignment="1" applyProtection="1">
      <alignment horizontal="center" vertical="center" wrapText="1"/>
    </xf>
    <xf numFmtId="10" fontId="10" fillId="0" borderId="0" xfId="36" applyNumberFormat="1" applyFont="1" applyFill="1" applyBorder="1" applyAlignment="1" applyProtection="1">
      <alignment horizontal="center"/>
    </xf>
    <xf numFmtId="10" fontId="21" fillId="0" borderId="39" xfId="36" applyNumberFormat="1" applyFont="1" applyFill="1" applyBorder="1" applyAlignment="1" applyProtection="1">
      <alignment horizontal="center"/>
      <protection locked="0"/>
    </xf>
    <xf numFmtId="10" fontId="21" fillId="0" borderId="18" xfId="36" applyNumberFormat="1" applyFont="1" applyFill="1" applyBorder="1" applyAlignment="1" applyProtection="1">
      <alignment horizontal="center"/>
      <protection locked="0"/>
    </xf>
    <xf numFmtId="10" fontId="21" fillId="0" borderId="26" xfId="36" applyNumberFormat="1" applyFont="1" applyFill="1" applyBorder="1" applyAlignment="1" applyProtection="1">
      <alignment horizontal="center"/>
      <protection locked="0"/>
    </xf>
    <xf numFmtId="10" fontId="10" fillId="0" borderId="9" xfId="36" applyNumberFormat="1" applyFont="1" applyFill="1" applyBorder="1" applyAlignment="1" applyProtection="1">
      <alignment horizontal="center"/>
    </xf>
    <xf numFmtId="10" fontId="10" fillId="0" borderId="9" xfId="36" applyNumberFormat="1" applyFont="1" applyFill="1" applyBorder="1" applyAlignment="1" applyProtection="1">
      <alignment horizontal="center" vertical="center" wrapText="1"/>
    </xf>
    <xf numFmtId="10" fontId="21" fillId="0" borderId="17" xfId="36" applyNumberFormat="1" applyFont="1" applyFill="1" applyBorder="1" applyAlignment="1" applyProtection="1">
      <alignment horizontal="center" vertical="center" wrapText="1"/>
      <protection locked="0"/>
    </xf>
    <xf numFmtId="10" fontId="10" fillId="0" borderId="9" xfId="36" applyNumberFormat="1" applyFont="1" applyFill="1" applyBorder="1" applyAlignment="1" applyProtection="1">
      <alignment horizontal="center" vertical="center" wrapText="1"/>
      <protection locked="0"/>
    </xf>
    <xf numFmtId="10" fontId="21" fillId="0" borderId="26" xfId="36" applyNumberFormat="1" applyFont="1" applyFill="1" applyBorder="1" applyAlignment="1" applyProtection="1">
      <alignment horizontal="center" vertical="center" wrapText="1"/>
      <protection locked="0"/>
    </xf>
    <xf numFmtId="10" fontId="10" fillId="0" borderId="10" xfId="36" applyNumberFormat="1" applyFont="1" applyFill="1" applyBorder="1" applyAlignment="1">
      <alignment horizontal="center" vertical="center" wrapText="1"/>
    </xf>
    <xf numFmtId="10" fontId="10" fillId="0" borderId="9" xfId="36" applyNumberFormat="1" applyFont="1" applyFill="1" applyBorder="1" applyAlignment="1">
      <alignment horizontal="center" vertical="center" wrapText="1"/>
    </xf>
    <xf numFmtId="10" fontId="21" fillId="0" borderId="40" xfId="36" applyNumberFormat="1" applyFont="1" applyFill="1" applyBorder="1" applyAlignment="1" applyProtection="1">
      <alignment horizontal="center" vertical="center" wrapText="1"/>
      <protection locked="0"/>
    </xf>
    <xf numFmtId="10" fontId="21" fillId="0" borderId="39" xfId="36" applyNumberFormat="1" applyFont="1" applyFill="1" applyBorder="1" applyAlignment="1" applyProtection="1">
      <alignment horizontal="center" vertical="center" wrapText="1"/>
      <protection locked="0"/>
    </xf>
    <xf numFmtId="10" fontId="21" fillId="0" borderId="20" xfId="36" applyNumberFormat="1" applyFont="1" applyFill="1" applyBorder="1" applyAlignment="1" applyProtection="1">
      <alignment horizontal="center" vertical="center" wrapText="1"/>
      <protection locked="0"/>
    </xf>
    <xf numFmtId="10" fontId="21" fillId="0" borderId="18" xfId="36" applyNumberFormat="1" applyFont="1" applyFill="1" applyBorder="1" applyAlignment="1" applyProtection="1">
      <alignment horizontal="center" vertical="center" wrapText="1"/>
      <protection locked="0"/>
    </xf>
    <xf numFmtId="10" fontId="21" fillId="0" borderId="93" xfId="36" applyNumberFormat="1" applyFont="1" applyFill="1" applyBorder="1" applyAlignment="1" applyProtection="1">
      <alignment horizontal="center" vertical="center" wrapText="1"/>
      <protection locked="0"/>
    </xf>
    <xf numFmtId="10" fontId="21" fillId="0" borderId="37" xfId="36" applyNumberFormat="1" applyFont="1" applyFill="1" applyBorder="1" applyAlignment="1" applyProtection="1">
      <alignment horizontal="center" vertical="center" wrapText="1"/>
      <protection locked="0"/>
    </xf>
    <xf numFmtId="10" fontId="21" fillId="0" borderId="36" xfId="36" applyNumberFormat="1" applyFont="1" applyFill="1" applyBorder="1" applyAlignment="1" applyProtection="1">
      <alignment horizontal="center" vertical="center" wrapText="1"/>
      <protection locked="0"/>
    </xf>
    <xf numFmtId="10" fontId="10" fillId="0" borderId="39" xfId="36" applyNumberFormat="1" applyFont="1" applyFill="1" applyBorder="1" applyAlignment="1" applyProtection="1">
      <alignment horizontal="center" vertical="center"/>
      <protection locked="0"/>
    </xf>
    <xf numFmtId="10" fontId="10" fillId="0" borderId="17" xfId="36" applyNumberFormat="1" applyFont="1" applyFill="1" applyBorder="1" applyAlignment="1" applyProtection="1">
      <alignment horizontal="center" vertical="center"/>
      <protection locked="0"/>
    </xf>
    <xf numFmtId="10" fontId="10" fillId="0" borderId="18" xfId="36" applyNumberFormat="1" applyFont="1" applyFill="1" applyBorder="1" applyAlignment="1" applyProtection="1">
      <alignment horizontal="center" vertical="center"/>
      <protection locked="0"/>
    </xf>
    <xf numFmtId="10" fontId="10" fillId="0" borderId="9" xfId="36" applyNumberFormat="1" applyFont="1" applyFill="1" applyBorder="1" applyAlignment="1" applyProtection="1">
      <alignment horizontal="center" vertical="center"/>
    </xf>
    <xf numFmtId="10" fontId="10" fillId="0" borderId="26" xfId="36" applyNumberFormat="1" applyFont="1" applyFill="1" applyBorder="1" applyAlignment="1" applyProtection="1">
      <alignment horizontal="center" vertical="center"/>
      <protection locked="0"/>
    </xf>
    <xf numFmtId="3" fontId="21" fillId="0" borderId="0" xfId="36" applyNumberFormat="1" applyFont="1" applyAlignment="1">
      <alignment horizontal="center"/>
    </xf>
    <xf numFmtId="10" fontId="19" fillId="0" borderId="0" xfId="36" applyNumberFormat="1" applyFont="1" applyAlignment="1">
      <alignment horizontal="right"/>
    </xf>
    <xf numFmtId="10" fontId="18" fillId="0" borderId="0" xfId="36" applyNumberFormat="1" applyFont="1" applyAlignment="1">
      <alignment horizontal="right"/>
    </xf>
    <xf numFmtId="10" fontId="18" fillId="0" borderId="32" xfId="36" applyNumberFormat="1" applyFont="1" applyBorder="1" applyAlignment="1">
      <alignment horizontal="center"/>
    </xf>
    <xf numFmtId="10" fontId="17" fillId="0" borderId="0" xfId="36" applyNumberFormat="1" applyFont="1" applyBorder="1" applyAlignment="1">
      <alignment horizontal="center"/>
    </xf>
    <xf numFmtId="10" fontId="21" fillId="0" borderId="26" xfId="36" applyNumberFormat="1" applyFont="1" applyFill="1" applyBorder="1" applyAlignment="1">
      <alignment horizontal="center" vertical="center" wrapText="1"/>
    </xf>
    <xf numFmtId="10" fontId="66" fillId="0" borderId="26" xfId="36" applyNumberFormat="1" applyFont="1" applyFill="1" applyBorder="1" applyAlignment="1">
      <alignment horizontal="center" vertical="center" wrapText="1"/>
    </xf>
    <xf numFmtId="3" fontId="15" fillId="0" borderId="10" xfId="0" applyNumberFormat="1" applyFont="1" applyFill="1" applyBorder="1" applyAlignment="1">
      <alignment horizontal="center" vertical="center" wrapText="1"/>
    </xf>
    <xf numFmtId="10" fontId="18" fillId="0" borderId="12" xfId="36" applyNumberFormat="1" applyFont="1" applyFill="1" applyBorder="1" applyAlignment="1">
      <alignment horizontal="center" vertical="center" wrapText="1"/>
    </xf>
    <xf numFmtId="165" fontId="11" fillId="0" borderId="47" xfId="11" applyNumberFormat="1" applyFont="1" applyFill="1" applyBorder="1" applyAlignment="1" applyProtection="1">
      <alignment horizontal="center" vertical="center" wrapText="1"/>
    </xf>
    <xf numFmtId="165" fontId="11" fillId="0" borderId="41" xfId="11" applyNumberFormat="1" applyFont="1" applyFill="1" applyBorder="1" applyAlignment="1" applyProtection="1">
      <alignment horizontal="center" vertical="center" wrapText="1"/>
    </xf>
    <xf numFmtId="165" fontId="11" fillId="0" borderId="12" xfId="11" applyNumberFormat="1" applyFont="1" applyFill="1" applyBorder="1" applyAlignment="1" applyProtection="1">
      <alignment horizontal="center" vertical="center" wrapText="1"/>
    </xf>
    <xf numFmtId="165" fontId="24" fillId="0" borderId="0" xfId="11" applyNumberFormat="1" applyFont="1" applyFill="1" applyAlignment="1">
      <alignment vertical="center" wrapText="1"/>
    </xf>
    <xf numFmtId="0" fontId="21" fillId="0" borderId="0" xfId="11" applyFont="1"/>
    <xf numFmtId="165" fontId="10" fillId="0" borderId="32" xfId="11" applyNumberFormat="1" applyFont="1" applyFill="1" applyBorder="1" applyAlignment="1" applyProtection="1">
      <alignment horizontal="center" vertical="center" wrapText="1"/>
    </xf>
    <xf numFmtId="3" fontId="21" fillId="0" borderId="17" xfId="11" applyNumberFormat="1" applyFont="1" applyFill="1" applyBorder="1" applyAlignment="1" applyProtection="1">
      <alignment vertical="center" wrapText="1"/>
      <protection locked="0"/>
    </xf>
    <xf numFmtId="3" fontId="10" fillId="0" borderId="50" xfId="11" applyNumberFormat="1" applyFont="1" applyFill="1" applyBorder="1" applyAlignment="1" applyProtection="1">
      <alignment vertical="center" wrapText="1"/>
    </xf>
    <xf numFmtId="165" fontId="10" fillId="0" borderId="39" xfId="11" applyNumberFormat="1" applyFont="1" applyFill="1" applyBorder="1" applyAlignment="1" applyProtection="1">
      <alignment horizontal="center" vertical="center" wrapText="1"/>
    </xf>
    <xf numFmtId="165" fontId="10" fillId="0" borderId="50" xfId="11" applyNumberFormat="1" applyFont="1" applyFill="1" applyBorder="1" applyAlignment="1" applyProtection="1">
      <alignment horizontal="center" vertical="center" wrapText="1"/>
    </xf>
    <xf numFmtId="0" fontId="21" fillId="0" borderId="0" xfId="0" applyFont="1"/>
    <xf numFmtId="10" fontId="21" fillId="0" borderId="18" xfId="36" applyNumberFormat="1" applyFont="1" applyBorder="1" applyAlignment="1" applyProtection="1">
      <alignment horizontal="center" vertical="center"/>
      <protection locked="0"/>
    </xf>
    <xf numFmtId="3" fontId="65" fillId="0" borderId="0" xfId="31" applyNumberFormat="1" applyFont="1" applyFill="1" applyAlignment="1">
      <alignment horizontal="right"/>
    </xf>
    <xf numFmtId="0" fontId="10" fillId="0" borderId="32" xfId="11" applyFont="1" applyBorder="1" applyAlignment="1">
      <alignment vertical="center" wrapText="1"/>
    </xf>
    <xf numFmtId="3" fontId="10" fillId="0" borderId="39" xfId="11" applyNumberFormat="1" applyFont="1" applyFill="1" applyBorder="1" applyAlignment="1">
      <alignment vertical="center"/>
    </xf>
    <xf numFmtId="3" fontId="10" fillId="0" borderId="17" xfId="11" applyNumberFormat="1" applyFont="1" applyFill="1" applyBorder="1" applyAlignment="1">
      <alignment vertical="center"/>
    </xf>
    <xf numFmtId="0" fontId="10" fillId="0" borderId="32" xfId="11" applyFont="1" applyBorder="1" applyAlignment="1">
      <alignment horizontal="center" vertical="center" wrapText="1"/>
    </xf>
    <xf numFmtId="3" fontId="12" fillId="0" borderId="59" xfId="11" applyNumberFormat="1" applyFont="1" applyBorder="1" applyAlignment="1" applyProtection="1">
      <alignment vertical="center"/>
      <protection locked="0"/>
    </xf>
    <xf numFmtId="3" fontId="12" fillId="0" borderId="14" xfId="11" applyNumberFormat="1" applyFont="1" applyBorder="1" applyAlignment="1" applyProtection="1">
      <alignment vertical="center"/>
      <protection locked="0"/>
    </xf>
    <xf numFmtId="3" fontId="12" fillId="0" borderId="49" xfId="11" applyNumberFormat="1" applyFont="1" applyBorder="1" applyAlignment="1" applyProtection="1">
      <alignment vertical="center"/>
      <protection locked="0"/>
    </xf>
    <xf numFmtId="3" fontId="12" fillId="0" borderId="56" xfId="11" applyNumberFormat="1" applyFont="1" applyBorder="1" applyAlignment="1" applyProtection="1">
      <alignment vertical="center"/>
      <protection locked="0"/>
    </xf>
    <xf numFmtId="10" fontId="21" fillId="0" borderId="26" xfId="36" applyNumberFormat="1" applyFont="1" applyBorder="1" applyAlignment="1" applyProtection="1">
      <alignment horizontal="center" vertical="center"/>
      <protection locked="0"/>
    </xf>
    <xf numFmtId="0" fontId="21" fillId="0" borderId="20" xfId="11" applyFont="1" applyBorder="1" applyAlignment="1" applyProtection="1">
      <alignment horizontal="left" vertical="center" indent="1"/>
      <protection locked="0"/>
    </xf>
    <xf numFmtId="3" fontId="11" fillId="0" borderId="47" xfId="11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top" wrapText="1"/>
    </xf>
    <xf numFmtId="0" fontId="20" fillId="0" borderId="0" xfId="0" applyFont="1" applyFill="1" applyBorder="1"/>
    <xf numFmtId="0" fontId="20" fillId="0" borderId="0" xfId="0" applyFont="1" applyFill="1" applyBorder="1"/>
    <xf numFmtId="0" fontId="16" fillId="0" borderId="0" xfId="0" applyFont="1" applyFill="1" applyBorder="1" applyAlignment="1">
      <alignment horizontal="center" vertical="top" wrapText="1"/>
    </xf>
    <xf numFmtId="0" fontId="16" fillId="0" borderId="0" xfId="0" applyFont="1" applyFill="1" applyBorder="1"/>
    <xf numFmtId="0" fontId="15" fillId="0" borderId="61" xfId="0" applyFont="1" applyFill="1" applyBorder="1" applyAlignment="1">
      <alignment horizontal="center" vertical="center" wrapText="1"/>
    </xf>
    <xf numFmtId="0" fontId="15" fillId="0" borderId="38" xfId="0" applyFont="1" applyFill="1" applyBorder="1" applyAlignment="1">
      <alignment horizontal="center" vertical="center" wrapText="1"/>
    </xf>
    <xf numFmtId="0" fontId="15" fillId="0" borderId="39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/>
    </xf>
    <xf numFmtId="0" fontId="16" fillId="0" borderId="63" xfId="0" applyFont="1" applyFill="1" applyBorder="1" applyAlignment="1">
      <alignment horizontal="center" vertical="top" wrapText="1"/>
    </xf>
    <xf numFmtId="0" fontId="16" fillId="0" borderId="25" xfId="0" applyFont="1" applyFill="1" applyBorder="1" applyAlignment="1">
      <alignment horizontal="center" vertical="top" wrapText="1"/>
    </xf>
    <xf numFmtId="0" fontId="16" fillId="0" borderId="26" xfId="0" applyFont="1" applyFill="1" applyBorder="1" applyAlignment="1">
      <alignment horizontal="center" vertical="top" wrapText="1"/>
    </xf>
    <xf numFmtId="0" fontId="16" fillId="0" borderId="61" xfId="0" applyFont="1" applyFill="1" applyBorder="1" applyAlignment="1">
      <alignment horizontal="center" vertical="top" wrapText="1"/>
    </xf>
    <xf numFmtId="0" fontId="16" fillId="0" borderId="38" xfId="0" applyFont="1" applyFill="1" applyBorder="1" applyAlignment="1">
      <alignment horizontal="left" vertical="top" wrapText="1"/>
    </xf>
    <xf numFmtId="3" fontId="16" fillId="0" borderId="38" xfId="0" applyNumberFormat="1" applyFont="1" applyFill="1" applyBorder="1" applyAlignment="1">
      <alignment horizontal="right" vertical="top" wrapText="1"/>
    </xf>
    <xf numFmtId="3" fontId="16" fillId="0" borderId="39" xfId="0" applyNumberFormat="1" applyFont="1" applyFill="1" applyBorder="1" applyAlignment="1">
      <alignment horizontal="right" vertical="top" wrapText="1"/>
    </xf>
    <xf numFmtId="0" fontId="16" fillId="0" borderId="62" xfId="0" applyFont="1" applyFill="1" applyBorder="1" applyAlignment="1">
      <alignment horizontal="center" vertical="top" wrapText="1"/>
    </xf>
    <xf numFmtId="0" fontId="16" fillId="0" borderId="2" xfId="0" applyFont="1" applyFill="1" applyBorder="1" applyAlignment="1">
      <alignment horizontal="left" vertical="top" wrapText="1"/>
    </xf>
    <xf numFmtId="3" fontId="16" fillId="0" borderId="2" xfId="0" applyNumberFormat="1" applyFont="1" applyFill="1" applyBorder="1" applyAlignment="1">
      <alignment horizontal="right" vertical="top" wrapText="1"/>
    </xf>
    <xf numFmtId="3" fontId="16" fillId="0" borderId="18" xfId="0" applyNumberFormat="1" applyFont="1" applyFill="1" applyBorder="1" applyAlignment="1">
      <alignment horizontal="right" vertical="top" wrapText="1"/>
    </xf>
    <xf numFmtId="0" fontId="16" fillId="0" borderId="25" xfId="0" applyFont="1" applyFill="1" applyBorder="1" applyAlignment="1">
      <alignment horizontal="left" vertical="top" wrapText="1"/>
    </xf>
    <xf numFmtId="3" fontId="16" fillId="0" borderId="25" xfId="0" applyNumberFormat="1" applyFont="1" applyFill="1" applyBorder="1" applyAlignment="1">
      <alignment horizontal="right" vertical="top" wrapText="1"/>
    </xf>
    <xf numFmtId="3" fontId="16" fillId="0" borderId="26" xfId="0" applyNumberFormat="1" applyFont="1" applyFill="1" applyBorder="1" applyAlignment="1">
      <alignment horizontal="right" vertical="top" wrapText="1"/>
    </xf>
    <xf numFmtId="0" fontId="15" fillId="0" borderId="11" xfId="0" applyFont="1" applyFill="1" applyBorder="1" applyAlignment="1">
      <alignment horizontal="center" vertical="top" wrapText="1"/>
    </xf>
    <xf numFmtId="0" fontId="15" fillId="0" borderId="10" xfId="0" applyFont="1" applyFill="1" applyBorder="1" applyAlignment="1">
      <alignment horizontal="left" vertical="top" wrapText="1"/>
    </xf>
    <xf numFmtId="3" fontId="15" fillId="0" borderId="10" xfId="0" applyNumberFormat="1" applyFont="1" applyFill="1" applyBorder="1" applyAlignment="1">
      <alignment horizontal="right" vertical="top" wrapText="1"/>
    </xf>
    <xf numFmtId="3" fontId="15" fillId="0" borderId="9" xfId="0" applyNumberFormat="1" applyFont="1" applyFill="1" applyBorder="1" applyAlignment="1">
      <alignment horizontal="right" vertical="top" wrapText="1"/>
    </xf>
    <xf numFmtId="0" fontId="16" fillId="0" borderId="60" xfId="0" applyFont="1" applyFill="1" applyBorder="1" applyAlignment="1">
      <alignment horizontal="center" vertical="top" wrapText="1"/>
    </xf>
    <xf numFmtId="0" fontId="16" fillId="0" borderId="16" xfId="0" applyFont="1" applyFill="1" applyBorder="1" applyAlignment="1">
      <alignment horizontal="left" vertical="top" wrapText="1"/>
    </xf>
    <xf numFmtId="3" fontId="16" fillId="0" borderId="16" xfId="0" applyNumberFormat="1" applyFont="1" applyFill="1" applyBorder="1" applyAlignment="1">
      <alignment horizontal="right" vertical="top" wrapText="1"/>
    </xf>
    <xf numFmtId="3" fontId="16" fillId="0" borderId="17" xfId="0" applyNumberFormat="1" applyFont="1" applyFill="1" applyBorder="1" applyAlignment="1">
      <alignment horizontal="right" vertical="top" wrapText="1"/>
    </xf>
    <xf numFmtId="0" fontId="15" fillId="0" borderId="97" xfId="0" applyFont="1" applyFill="1" applyBorder="1" applyAlignment="1">
      <alignment horizontal="center" vertical="top" wrapText="1"/>
    </xf>
    <xf numFmtId="0" fontId="15" fillId="0" borderId="31" xfId="0" applyFont="1" applyFill="1" applyBorder="1" applyAlignment="1">
      <alignment horizontal="left" vertical="top" wrapText="1"/>
    </xf>
    <xf numFmtId="3" fontId="15" fillId="0" borderId="31" xfId="0" applyNumberFormat="1" applyFont="1" applyFill="1" applyBorder="1" applyAlignment="1">
      <alignment horizontal="right" vertical="top" wrapText="1"/>
    </xf>
    <xf numFmtId="3" fontId="15" fillId="0" borderId="32" xfId="0" applyNumberFormat="1" applyFont="1" applyFill="1" applyBorder="1" applyAlignment="1">
      <alignment horizontal="right" vertical="top" wrapText="1"/>
    </xf>
    <xf numFmtId="0" fontId="16" fillId="0" borderId="97" xfId="0" applyFont="1" applyFill="1" applyBorder="1" applyAlignment="1">
      <alignment horizontal="center" vertical="top" wrapText="1"/>
    </xf>
    <xf numFmtId="0" fontId="16" fillId="0" borderId="31" xfId="0" applyFont="1" applyFill="1" applyBorder="1" applyAlignment="1">
      <alignment horizontal="left" vertical="top" wrapText="1"/>
    </xf>
    <xf numFmtId="3" fontId="16" fillId="0" borderId="31" xfId="0" applyNumberFormat="1" applyFont="1" applyFill="1" applyBorder="1" applyAlignment="1">
      <alignment horizontal="right" vertical="top" wrapText="1"/>
    </xf>
    <xf numFmtId="3" fontId="16" fillId="0" borderId="32" xfId="0" applyNumberFormat="1" applyFont="1" applyFill="1" applyBorder="1" applyAlignment="1">
      <alignment horizontal="right" vertical="top" wrapText="1"/>
    </xf>
    <xf numFmtId="0" fontId="16" fillId="0" borderId="2" xfId="0" applyFont="1" applyFill="1" applyBorder="1"/>
    <xf numFmtId="0" fontId="16" fillId="0" borderId="25" xfId="0" applyFont="1" applyFill="1" applyBorder="1"/>
    <xf numFmtId="0" fontId="15" fillId="0" borderId="10" xfId="0" applyFont="1" applyFill="1" applyBorder="1"/>
    <xf numFmtId="0" fontId="20" fillId="0" borderId="0" xfId="0" applyFont="1" applyFill="1" applyAlignment="1">
      <alignment horizontal="center" vertical="top" wrapText="1"/>
    </xf>
    <xf numFmtId="0" fontId="20" fillId="0" borderId="0" xfId="0" applyFont="1" applyFill="1"/>
    <xf numFmtId="0" fontId="20" fillId="0" borderId="0" xfId="0" applyFont="1" applyFill="1"/>
    <xf numFmtId="0" fontId="16" fillId="0" borderId="0" xfId="0" applyFont="1" applyFill="1" applyAlignment="1">
      <alignment horizontal="center" vertical="top" wrapText="1"/>
    </xf>
    <xf numFmtId="0" fontId="16" fillId="0" borderId="89" xfId="0" applyFont="1" applyFill="1" applyBorder="1" applyAlignment="1">
      <alignment horizontal="center" vertical="top" wrapText="1"/>
    </xf>
    <xf numFmtId="0" fontId="16" fillId="0" borderId="19" xfId="0" applyFont="1" applyFill="1" applyBorder="1" applyAlignment="1">
      <alignment horizontal="center" vertical="top" wrapText="1"/>
    </xf>
    <xf numFmtId="0" fontId="16" fillId="0" borderId="36" xfId="0" applyFont="1" applyFill="1" applyBorder="1" applyAlignment="1">
      <alignment horizontal="center" vertical="top" wrapText="1"/>
    </xf>
    <xf numFmtId="0" fontId="15" fillId="0" borderId="86" xfId="0" applyFont="1" applyFill="1" applyBorder="1" applyAlignment="1">
      <alignment horizontal="center" vertical="top" wrapText="1"/>
    </xf>
    <xf numFmtId="0" fontId="15" fillId="0" borderId="51" xfId="0" applyFont="1" applyFill="1" applyBorder="1" applyAlignment="1">
      <alignment horizontal="left" vertical="top" wrapText="1"/>
    </xf>
    <xf numFmtId="3" fontId="15" fillId="0" borderId="51" xfId="0" applyNumberFormat="1" applyFont="1" applyFill="1" applyBorder="1" applyAlignment="1">
      <alignment horizontal="right" vertical="top" wrapText="1"/>
    </xf>
    <xf numFmtId="3" fontId="15" fillId="0" borderId="50" xfId="0" applyNumberFormat="1" applyFont="1" applyFill="1" applyBorder="1" applyAlignment="1">
      <alignment horizontal="right" vertical="top" wrapText="1"/>
    </xf>
    <xf numFmtId="0" fontId="15" fillId="0" borderId="98" xfId="0" applyFont="1" applyFill="1" applyBorder="1" applyAlignment="1">
      <alignment horizontal="center" vertical="top" wrapText="1"/>
    </xf>
    <xf numFmtId="0" fontId="15" fillId="0" borderId="28" xfId="0" applyFont="1" applyFill="1" applyBorder="1" applyAlignment="1">
      <alignment horizontal="left" vertical="top" wrapText="1"/>
    </xf>
    <xf numFmtId="3" fontId="15" fillId="0" borderId="28" xfId="0" applyNumberFormat="1" applyFont="1" applyFill="1" applyBorder="1" applyAlignment="1">
      <alignment horizontal="right" vertical="top" wrapText="1"/>
    </xf>
    <xf numFmtId="3" fontId="15" fillId="0" borderId="29" xfId="0" applyNumberFormat="1" applyFont="1" applyFill="1" applyBorder="1" applyAlignment="1">
      <alignment horizontal="right" vertical="top" wrapText="1"/>
    </xf>
    <xf numFmtId="0" fontId="67" fillId="0" borderId="0" xfId="0" applyFont="1" applyFill="1"/>
    <xf numFmtId="0" fontId="0" fillId="0" borderId="0" xfId="0" applyFont="1" applyFill="1"/>
    <xf numFmtId="3" fontId="19" fillId="0" borderId="0" xfId="13" applyNumberFormat="1" applyFont="1"/>
    <xf numFmtId="3" fontId="20" fillId="0" borderId="0" xfId="13" applyNumberFormat="1" applyFont="1"/>
    <xf numFmtId="3" fontId="19" fillId="0" borderId="0" xfId="31" applyNumberFormat="1" applyFont="1" applyFill="1" applyAlignment="1">
      <alignment horizontal="right"/>
    </xf>
    <xf numFmtId="3" fontId="20" fillId="0" borderId="0" xfId="13" applyNumberFormat="1" applyFont="1" applyAlignment="1">
      <alignment horizontal="center"/>
    </xf>
    <xf numFmtId="3" fontId="20" fillId="0" borderId="0" xfId="13" applyNumberFormat="1" applyFont="1" applyAlignment="1">
      <alignment horizontal="center"/>
    </xf>
    <xf numFmtId="3" fontId="34" fillId="0" borderId="0" xfId="13" applyNumberFormat="1" applyFont="1"/>
    <xf numFmtId="3" fontId="68" fillId="0" borderId="0" xfId="13" applyNumberFormat="1" applyFont="1" applyFill="1" applyAlignment="1">
      <alignment horizontal="right"/>
    </xf>
    <xf numFmtId="3" fontId="68" fillId="0" borderId="0" xfId="13" applyNumberFormat="1" applyFont="1" applyBorder="1" applyAlignment="1">
      <alignment horizontal="right"/>
    </xf>
    <xf numFmtId="3" fontId="69" fillId="0" borderId="0" xfId="13" applyNumberFormat="1" applyFont="1"/>
    <xf numFmtId="3" fontId="34" fillId="0" borderId="33" xfId="13" applyNumberFormat="1" applyFont="1" applyBorder="1" applyAlignment="1">
      <alignment horizontal="center" vertical="center"/>
    </xf>
    <xf numFmtId="3" fontId="34" fillId="0" borderId="48" xfId="13" applyNumberFormat="1" applyFont="1" applyBorder="1" applyAlignment="1">
      <alignment horizontal="center" vertical="center"/>
    </xf>
    <xf numFmtId="3" fontId="34" fillId="0" borderId="15" xfId="13" applyNumberFormat="1" applyFont="1" applyBorder="1" applyAlignment="1">
      <alignment horizontal="center" vertical="center"/>
    </xf>
    <xf numFmtId="3" fontId="34" fillId="0" borderId="90" xfId="13" applyNumberFormat="1" applyFont="1" applyBorder="1" applyAlignment="1">
      <alignment horizontal="center" vertical="center"/>
    </xf>
    <xf numFmtId="3" fontId="34" fillId="0" borderId="33" xfId="13" applyNumberFormat="1" applyFont="1" applyBorder="1" applyAlignment="1">
      <alignment horizontal="center" vertical="center" wrapText="1"/>
    </xf>
    <xf numFmtId="3" fontId="36" fillId="0" borderId="33" xfId="13" applyNumberFormat="1" applyFont="1" applyFill="1" applyBorder="1" applyAlignment="1">
      <alignment horizontal="center" vertical="center" wrapText="1"/>
    </xf>
    <xf numFmtId="3" fontId="36" fillId="0" borderId="96" xfId="13" applyNumberFormat="1" applyFont="1" applyBorder="1" applyAlignment="1">
      <alignment horizontal="center" vertical="center" wrapText="1"/>
    </xf>
    <xf numFmtId="3" fontId="69" fillId="0" borderId="33" xfId="13" applyNumberFormat="1" applyFont="1" applyBorder="1" applyAlignment="1">
      <alignment horizontal="center" vertical="center" wrapText="1"/>
    </xf>
    <xf numFmtId="3" fontId="34" fillId="0" borderId="35" xfId="13" applyNumberFormat="1" applyFont="1" applyBorder="1" applyAlignment="1">
      <alignment horizontal="center" vertical="center"/>
    </xf>
    <xf numFmtId="3" fontId="34" fillId="0" borderId="98" xfId="13" applyNumberFormat="1" applyFont="1" applyBorder="1" applyAlignment="1">
      <alignment horizontal="center" vertical="center" wrapText="1"/>
    </xf>
    <xf numFmtId="3" fontId="34" fillId="0" borderId="28" xfId="13" applyNumberFormat="1" applyFont="1" applyBorder="1" applyAlignment="1">
      <alignment horizontal="center" vertical="center" wrapText="1"/>
    </xf>
    <xf numFmtId="3" fontId="36" fillId="0" borderId="29" xfId="13" applyNumberFormat="1" applyFont="1" applyBorder="1" applyAlignment="1">
      <alignment horizontal="center" vertical="center" wrapText="1"/>
    </xf>
    <xf numFmtId="3" fontId="34" fillId="0" borderId="35" xfId="13" applyNumberFormat="1" applyFont="1" applyBorder="1" applyAlignment="1">
      <alignment horizontal="center" vertical="center" wrapText="1"/>
    </xf>
    <xf numFmtId="3" fontId="36" fillId="0" borderId="35" xfId="13" applyNumberFormat="1" applyFont="1" applyFill="1" applyBorder="1" applyAlignment="1">
      <alignment horizontal="center" vertical="center" wrapText="1"/>
    </xf>
    <xf numFmtId="3" fontId="69" fillId="0" borderId="35" xfId="13" applyNumberFormat="1" applyFont="1" applyBorder="1" applyAlignment="1">
      <alignment horizontal="center" vertical="center" wrapText="1"/>
    </xf>
    <xf numFmtId="3" fontId="34" fillId="0" borderId="0" xfId="13" applyNumberFormat="1" applyFont="1" applyAlignment="1">
      <alignment horizontal="center" vertical="center" wrapText="1"/>
    </xf>
    <xf numFmtId="49" fontId="34" fillId="0" borderId="57" xfId="13" applyNumberFormat="1" applyFont="1" applyBorder="1" applyAlignment="1">
      <alignment wrapText="1"/>
    </xf>
    <xf numFmtId="3" fontId="34" fillId="0" borderId="97" xfId="13" applyNumberFormat="1" applyFont="1" applyBorder="1"/>
    <xf numFmtId="3" fontId="34" fillId="0" borderId="31" xfId="13" applyNumberFormat="1" applyFont="1" applyBorder="1"/>
    <xf numFmtId="3" fontId="36" fillId="0" borderId="32" xfId="13" applyNumberFormat="1" applyFont="1" applyBorder="1"/>
    <xf numFmtId="3" fontId="34" fillId="0" borderId="46" xfId="13" applyNumberFormat="1" applyFont="1" applyBorder="1"/>
    <xf numFmtId="3" fontId="36" fillId="0" borderId="96" xfId="13" applyNumberFormat="1" applyFont="1" applyFill="1" applyBorder="1"/>
    <xf numFmtId="3" fontId="36" fillId="0" borderId="96" xfId="13" applyNumberFormat="1" applyFont="1" applyBorder="1"/>
    <xf numFmtId="3" fontId="69" fillId="0" borderId="46" xfId="13" applyNumberFormat="1" applyFont="1" applyBorder="1"/>
    <xf numFmtId="49" fontId="36" fillId="0" borderId="57" xfId="13" applyNumberFormat="1" applyFont="1" applyBorder="1" applyAlignment="1">
      <alignment wrapText="1"/>
    </xf>
    <xf numFmtId="3" fontId="36" fillId="0" borderId="97" xfId="13" applyNumberFormat="1" applyFont="1" applyBorder="1"/>
    <xf numFmtId="3" fontId="36" fillId="0" borderId="31" xfId="13" applyNumberFormat="1" applyFont="1" applyBorder="1"/>
    <xf numFmtId="3" fontId="36" fillId="0" borderId="46" xfId="13" applyNumberFormat="1" applyFont="1" applyBorder="1"/>
    <xf numFmtId="3" fontId="68" fillId="0" borderId="46" xfId="13" applyNumberFormat="1" applyFont="1" applyBorder="1"/>
    <xf numFmtId="3" fontId="36" fillId="0" borderId="0" xfId="13" applyNumberFormat="1" applyFont="1"/>
    <xf numFmtId="49" fontId="34" fillId="0" borderId="57" xfId="13" applyNumberFormat="1" applyFont="1" applyBorder="1" applyAlignment="1">
      <alignment horizontal="left" wrapText="1" indent="2"/>
    </xf>
    <xf numFmtId="3" fontId="34" fillId="0" borderId="97" xfId="13" applyNumberFormat="1" applyFont="1" applyFill="1" applyBorder="1"/>
    <xf numFmtId="3" fontId="34" fillId="0" borderId="3" xfId="13" applyNumberFormat="1" applyFont="1" applyFill="1" applyBorder="1"/>
    <xf numFmtId="3" fontId="34" fillId="0" borderId="31" xfId="13" applyNumberFormat="1" applyFont="1" applyFill="1" applyBorder="1"/>
    <xf numFmtId="3" fontId="34" fillId="0" borderId="46" xfId="13" applyNumberFormat="1" applyFont="1" applyFill="1" applyBorder="1"/>
    <xf numFmtId="3" fontId="36" fillId="0" borderId="32" xfId="13" applyNumberFormat="1" applyFont="1" applyFill="1" applyBorder="1"/>
    <xf numFmtId="3" fontId="69" fillId="0" borderId="46" xfId="13" applyNumberFormat="1" applyFont="1" applyFill="1" applyBorder="1"/>
    <xf numFmtId="3" fontId="34" fillId="0" borderId="57" xfId="13" applyNumberFormat="1" applyFont="1" applyBorder="1"/>
    <xf numFmtId="3" fontId="36" fillId="0" borderId="97" xfId="13" applyNumberFormat="1" applyFont="1" applyFill="1" applyBorder="1"/>
    <xf numFmtId="3" fontId="36" fillId="0" borderId="31" xfId="13" applyNumberFormat="1" applyFont="1" applyFill="1" applyBorder="1"/>
    <xf numFmtId="3" fontId="36" fillId="0" borderId="46" xfId="13" applyNumberFormat="1" applyFont="1" applyFill="1" applyBorder="1"/>
    <xf numFmtId="3" fontId="68" fillId="0" borderId="46" xfId="13" applyNumberFormat="1" applyFont="1" applyFill="1" applyBorder="1"/>
    <xf numFmtId="49" fontId="34" fillId="0" borderId="57" xfId="13" applyNumberFormat="1" applyFont="1" applyBorder="1" applyAlignment="1">
      <alignment horizontal="left" wrapText="1" indent="1"/>
    </xf>
    <xf numFmtId="49" fontId="36" fillId="0" borderId="57" xfId="13" applyNumberFormat="1" applyFont="1" applyBorder="1" applyAlignment="1">
      <alignment horizontal="left" wrapText="1"/>
    </xf>
    <xf numFmtId="49" fontId="34" fillId="0" borderId="57" xfId="13" applyNumberFormat="1" applyFont="1" applyBorder="1" applyAlignment="1">
      <alignment horizontal="left" wrapText="1"/>
    </xf>
    <xf numFmtId="3" fontId="34" fillId="0" borderId="32" xfId="13" applyNumberFormat="1" applyFont="1" applyFill="1" applyBorder="1"/>
    <xf numFmtId="3" fontId="34" fillId="0" borderId="96" xfId="13" applyNumberFormat="1" applyFont="1" applyFill="1" applyBorder="1"/>
    <xf numFmtId="3" fontId="34" fillId="0" borderId="35" xfId="13" applyNumberFormat="1" applyFont="1" applyFill="1" applyBorder="1"/>
    <xf numFmtId="3" fontId="34" fillId="0" borderId="92" xfId="13" applyNumberFormat="1" applyFont="1" applyFill="1" applyBorder="1"/>
    <xf numFmtId="3" fontId="34" fillId="0" borderId="96" xfId="13" applyNumberFormat="1" applyFont="1" applyBorder="1"/>
    <xf numFmtId="49" fontId="36" fillId="0" borderId="47" xfId="13" applyNumberFormat="1" applyFont="1" applyBorder="1" applyAlignment="1">
      <alignment wrapText="1"/>
    </xf>
    <xf numFmtId="3" fontId="36" fillId="0" borderId="11" xfId="13" applyNumberFormat="1" applyFont="1" applyBorder="1"/>
    <xf numFmtId="3" fontId="36" fillId="0" borderId="10" xfId="13" applyNumberFormat="1" applyFont="1" applyBorder="1"/>
    <xf numFmtId="3" fontId="36" fillId="0" borderId="9" xfId="13" applyNumberFormat="1" applyFont="1" applyBorder="1"/>
    <xf numFmtId="3" fontId="36" fillId="0" borderId="34" xfId="13" applyNumberFormat="1" applyFont="1" applyBorder="1"/>
    <xf numFmtId="3" fontId="36" fillId="0" borderId="12" xfId="13" applyNumberFormat="1" applyFont="1" applyFill="1" applyBorder="1"/>
    <xf numFmtId="3" fontId="68" fillId="0" borderId="34" xfId="13" applyNumberFormat="1" applyFont="1" applyBorder="1"/>
    <xf numFmtId="49" fontId="34" fillId="0" borderId="0" xfId="13" applyNumberFormat="1" applyFont="1" applyAlignment="1">
      <alignment wrapText="1"/>
    </xf>
    <xf numFmtId="3" fontId="36" fillId="0" borderId="0" xfId="13" applyNumberFormat="1" applyFont="1" applyFill="1"/>
    <xf numFmtId="3" fontId="36" fillId="0" borderId="0" xfId="13" applyNumberFormat="1" applyFont="1" applyBorder="1"/>
    <xf numFmtId="49" fontId="34" fillId="0" borderId="33" xfId="13" applyNumberFormat="1" applyFont="1" applyBorder="1" applyAlignment="1">
      <alignment horizontal="center" vertical="center" wrapText="1"/>
    </xf>
    <xf numFmtId="3" fontId="34" fillId="0" borderId="61" xfId="13" applyNumberFormat="1" applyFont="1" applyBorder="1" applyAlignment="1">
      <alignment horizontal="center" vertical="center"/>
    </xf>
    <xf numFmtId="3" fontId="34" fillId="0" borderId="38" xfId="13" applyNumberFormat="1" applyFont="1" applyBorder="1" applyAlignment="1">
      <alignment horizontal="center" vertical="center"/>
    </xf>
    <xf numFmtId="3" fontId="34" fillId="0" borderId="39" xfId="13" applyNumberFormat="1" applyFont="1" applyBorder="1" applyAlignment="1">
      <alignment horizontal="center" vertical="center"/>
    </xf>
    <xf numFmtId="3" fontId="36" fillId="0" borderId="100" xfId="13" applyNumberFormat="1" applyFont="1" applyFill="1" applyBorder="1" applyAlignment="1">
      <alignment horizontal="center" vertical="center" wrapText="1"/>
    </xf>
    <xf numFmtId="3" fontId="36" fillId="0" borderId="0" xfId="13" applyNumberFormat="1" applyFont="1" applyBorder="1" applyAlignment="1">
      <alignment horizontal="center" vertical="center" wrapText="1"/>
    </xf>
    <xf numFmtId="49" fontId="34" fillId="0" borderId="35" xfId="13" applyNumberFormat="1" applyFont="1" applyBorder="1" applyAlignment="1">
      <alignment horizontal="center" vertical="center" wrapText="1"/>
    </xf>
    <xf numFmtId="3" fontId="36" fillId="0" borderId="92" xfId="13" applyNumberFormat="1" applyFont="1" applyFill="1" applyBorder="1" applyAlignment="1">
      <alignment horizontal="center" vertical="center" wrapText="1"/>
    </xf>
    <xf numFmtId="3" fontId="36" fillId="8" borderId="97" xfId="13" applyNumberFormat="1" applyFont="1" applyFill="1" applyBorder="1"/>
    <xf numFmtId="3" fontId="36" fillId="8" borderId="31" xfId="13" applyNumberFormat="1" applyFont="1" applyFill="1" applyBorder="1"/>
    <xf numFmtId="3" fontId="36" fillId="8" borderId="32" xfId="13" applyNumberFormat="1" applyFont="1" applyFill="1" applyBorder="1"/>
    <xf numFmtId="3" fontId="36" fillId="8" borderId="46" xfId="13" applyNumberFormat="1" applyFont="1" applyFill="1" applyBorder="1"/>
    <xf numFmtId="3" fontId="68" fillId="0" borderId="0" xfId="13" applyNumberFormat="1" applyFont="1"/>
    <xf numFmtId="3" fontId="34" fillId="8" borderId="97" xfId="13" applyNumberFormat="1" applyFont="1" applyFill="1" applyBorder="1"/>
    <xf numFmtId="3" fontId="34" fillId="8" borderId="31" xfId="13" applyNumberFormat="1" applyFont="1" applyFill="1" applyBorder="1"/>
    <xf numFmtId="3" fontId="34" fillId="8" borderId="46" xfId="13" applyNumberFormat="1" applyFont="1" applyFill="1" applyBorder="1"/>
    <xf numFmtId="3" fontId="34" fillId="8" borderId="32" xfId="13" applyNumberFormat="1" applyFont="1" applyFill="1" applyBorder="1"/>
    <xf numFmtId="3" fontId="36" fillId="0" borderId="11" xfId="13" applyNumberFormat="1" applyFont="1" applyFill="1" applyBorder="1"/>
    <xf numFmtId="3" fontId="36" fillId="0" borderId="10" xfId="13" applyNumberFormat="1" applyFont="1" applyFill="1" applyBorder="1"/>
    <xf numFmtId="3" fontId="36" fillId="0" borderId="9" xfId="13" applyNumberFormat="1" applyFont="1" applyFill="1" applyBorder="1"/>
    <xf numFmtId="3" fontId="36" fillId="0" borderId="34" xfId="13" applyNumberFormat="1" applyFont="1" applyFill="1" applyBorder="1"/>
    <xf numFmtId="3" fontId="69" fillId="0" borderId="0" xfId="13" applyNumberFormat="1" applyFont="1" applyAlignment="1"/>
    <xf numFmtId="3" fontId="9" fillId="0" borderId="0" xfId="11" applyNumberFormat="1" applyFont="1" applyFill="1" applyAlignment="1" applyProtection="1">
      <alignment horizontal="center" vertical="center" wrapText="1"/>
      <protection locked="0"/>
    </xf>
    <xf numFmtId="3" fontId="70" fillId="0" borderId="0" xfId="11" applyNumberFormat="1" applyFont="1" applyFill="1"/>
    <xf numFmtId="3" fontId="33" fillId="0" borderId="0" xfId="11" applyNumberFormat="1" applyFont="1" applyFill="1" applyAlignment="1">
      <alignment horizontal="right"/>
    </xf>
    <xf numFmtId="3" fontId="31" fillId="0" borderId="11" xfId="11" applyNumberFormat="1" applyFont="1" applyFill="1" applyBorder="1" applyAlignment="1">
      <alignment horizontal="center" vertical="center" wrapText="1"/>
    </xf>
    <xf numFmtId="3" fontId="31" fillId="0" borderId="58" xfId="11" applyNumberFormat="1" applyFont="1" applyFill="1" applyBorder="1" applyAlignment="1">
      <alignment horizontal="center" vertical="center" wrapText="1"/>
    </xf>
    <xf numFmtId="3" fontId="31" fillId="0" borderId="34" xfId="11" applyNumberFormat="1" applyFont="1" applyFill="1" applyBorder="1" applyAlignment="1">
      <alignment horizontal="center" vertical="center" wrapText="1"/>
    </xf>
    <xf numFmtId="3" fontId="31" fillId="0" borderId="41" xfId="11" applyNumberFormat="1" applyFont="1" applyFill="1" applyBorder="1" applyAlignment="1">
      <alignment horizontal="center" vertical="center" wrapText="1"/>
    </xf>
    <xf numFmtId="3" fontId="71" fillId="0" borderId="9" xfId="11" applyNumberFormat="1" applyFont="1" applyFill="1" applyBorder="1" applyAlignment="1">
      <alignment horizontal="center" vertical="center" wrapText="1"/>
    </xf>
    <xf numFmtId="3" fontId="33" fillId="0" borderId="34" xfId="11" applyNumberFormat="1" applyFont="1" applyFill="1" applyBorder="1" applyAlignment="1">
      <alignment horizontal="center" vertical="center" wrapText="1"/>
    </xf>
    <xf numFmtId="3" fontId="70" fillId="0" borderId="60" xfId="11" applyNumberFormat="1" applyFont="1" applyFill="1" applyBorder="1" applyAlignment="1">
      <alignment horizontal="center" vertical="center"/>
    </xf>
    <xf numFmtId="3" fontId="70" fillId="0" borderId="8" xfId="11" applyNumberFormat="1" applyFont="1" applyFill="1" applyBorder="1" applyAlignment="1">
      <alignment vertical="center" wrapText="1"/>
    </xf>
    <xf numFmtId="3" fontId="70" fillId="0" borderId="30" xfId="11" applyNumberFormat="1" applyFont="1" applyFill="1" applyBorder="1" applyAlignment="1" applyProtection="1">
      <alignment vertical="center"/>
      <protection locked="0"/>
    </xf>
    <xf numFmtId="3" fontId="70" fillId="0" borderId="7" xfId="11" applyNumberFormat="1" applyFont="1" applyFill="1" applyBorder="1" applyAlignment="1" applyProtection="1">
      <alignment vertical="center"/>
      <protection locked="0"/>
    </xf>
    <xf numFmtId="3" fontId="72" fillId="0" borderId="17" xfId="11" applyNumberFormat="1" applyFont="1" applyFill="1" applyBorder="1" applyAlignment="1" applyProtection="1">
      <alignment vertical="center"/>
      <protection locked="0"/>
    </xf>
    <xf numFmtId="3" fontId="31" fillId="0" borderId="30" xfId="11" applyNumberFormat="1" applyFont="1" applyFill="1" applyBorder="1" applyAlignment="1" applyProtection="1">
      <alignment vertical="center"/>
      <protection locked="0"/>
    </xf>
    <xf numFmtId="10" fontId="70" fillId="0" borderId="7" xfId="41" applyNumberFormat="1" applyFont="1" applyFill="1" applyBorder="1" applyAlignment="1" applyProtection="1">
      <alignment vertical="center"/>
      <protection locked="0"/>
    </xf>
    <xf numFmtId="3" fontId="73" fillId="0" borderId="30" xfId="11" applyNumberFormat="1" applyFont="1" applyFill="1" applyBorder="1" applyAlignment="1">
      <alignment vertical="center"/>
    </xf>
    <xf numFmtId="3" fontId="70" fillId="0" borderId="62" xfId="11" applyNumberFormat="1" applyFont="1" applyFill="1" applyBorder="1" applyAlignment="1">
      <alignment horizontal="center" vertical="center"/>
    </xf>
    <xf numFmtId="3" fontId="70" fillId="0" borderId="56" xfId="11" applyNumberFormat="1" applyFont="1" applyFill="1" applyBorder="1" applyAlignment="1">
      <alignment vertical="center" wrapText="1"/>
    </xf>
    <xf numFmtId="3" fontId="70" fillId="0" borderId="22" xfId="11" applyNumberFormat="1" applyFont="1" applyFill="1" applyBorder="1" applyAlignment="1" applyProtection="1">
      <alignment vertical="center"/>
      <protection locked="0"/>
    </xf>
    <xf numFmtId="3" fontId="70" fillId="0" borderId="42" xfId="11" applyNumberFormat="1" applyFont="1" applyFill="1" applyBorder="1" applyAlignment="1" applyProtection="1">
      <alignment vertical="center"/>
      <protection locked="0"/>
    </xf>
    <xf numFmtId="3" fontId="72" fillId="0" borderId="17" xfId="11" applyNumberFormat="1" applyFont="1" applyFill="1" applyBorder="1" applyAlignment="1" applyProtection="1">
      <alignment vertical="center" wrapText="1"/>
      <protection locked="0"/>
    </xf>
    <xf numFmtId="3" fontId="73" fillId="0" borderId="22" xfId="11" applyNumberFormat="1" applyFont="1" applyFill="1" applyBorder="1" applyAlignment="1">
      <alignment vertical="center"/>
    </xf>
    <xf numFmtId="3" fontId="31" fillId="0" borderId="47" xfId="11" applyNumberFormat="1" applyFont="1" applyFill="1" applyBorder="1" applyAlignment="1">
      <alignment horizontal="left" vertical="center" indent="1"/>
    </xf>
    <xf numFmtId="3" fontId="31" fillId="0" borderId="41" xfId="11" applyNumberFormat="1" applyFont="1" applyFill="1" applyBorder="1" applyAlignment="1">
      <alignment horizontal="left" vertical="center" indent="1"/>
    </xf>
    <xf numFmtId="3" fontId="31" fillId="0" borderId="34" xfId="11" applyNumberFormat="1" applyFont="1" applyFill="1" applyBorder="1" applyAlignment="1">
      <alignment vertical="center"/>
    </xf>
    <xf numFmtId="3" fontId="31" fillId="0" borderId="41" xfId="11" applyNumberFormat="1" applyFont="1" applyFill="1" applyBorder="1" applyAlignment="1">
      <alignment vertical="center"/>
    </xf>
    <xf numFmtId="3" fontId="72" fillId="0" borderId="9" xfId="11" applyNumberFormat="1" applyFont="1" applyFill="1" applyBorder="1" applyAlignment="1">
      <alignment vertical="center"/>
    </xf>
    <xf numFmtId="3" fontId="70" fillId="0" borderId="41" xfId="11" applyNumberFormat="1" applyFont="1" applyFill="1" applyBorder="1" applyAlignment="1">
      <alignment horizontal="center" vertical="center"/>
    </xf>
    <xf numFmtId="3" fontId="73" fillId="0" borderId="34" xfId="11" applyNumberFormat="1" applyFont="1" applyFill="1" applyBorder="1" applyAlignment="1">
      <alignment vertical="center"/>
    </xf>
    <xf numFmtId="3" fontId="9" fillId="0" borderId="0" xfId="11" applyNumberFormat="1" applyFont="1" applyFill="1" applyAlignment="1" applyProtection="1">
      <alignment horizontal="center"/>
      <protection locked="0"/>
    </xf>
    <xf numFmtId="3" fontId="31" fillId="0" borderId="61" xfId="11" applyNumberFormat="1" applyFont="1" applyFill="1" applyBorder="1" applyAlignment="1">
      <alignment horizontal="center" vertical="center" wrapText="1"/>
    </xf>
    <xf numFmtId="3" fontId="31" fillId="0" borderId="38" xfId="11" applyNumberFormat="1" applyFont="1" applyFill="1" applyBorder="1" applyAlignment="1">
      <alignment horizontal="center" vertical="center" wrapText="1"/>
    </xf>
    <xf numFmtId="3" fontId="31" fillId="0" borderId="38" xfId="11" applyNumberFormat="1" applyFont="1" applyFill="1" applyBorder="1" applyAlignment="1">
      <alignment horizontal="center"/>
    </xf>
    <xf numFmtId="3" fontId="31" fillId="0" borderId="39" xfId="11" applyNumberFormat="1" applyFont="1" applyFill="1" applyBorder="1" applyAlignment="1">
      <alignment horizontal="center" vertical="center" wrapText="1"/>
    </xf>
    <xf numFmtId="3" fontId="31" fillId="0" borderId="89" xfId="11" applyNumberFormat="1" applyFont="1" applyFill="1" applyBorder="1" applyAlignment="1">
      <alignment horizontal="center" vertical="center" wrapText="1"/>
    </xf>
    <xf numFmtId="3" fontId="31" fillId="0" borderId="19" xfId="11" applyNumberFormat="1" applyFont="1" applyFill="1" applyBorder="1" applyAlignment="1">
      <alignment horizontal="center" vertical="center" wrapText="1"/>
    </xf>
    <xf numFmtId="3" fontId="31" fillId="0" borderId="19" xfId="11" applyNumberFormat="1" applyFont="1" applyFill="1" applyBorder="1" applyAlignment="1">
      <alignment horizontal="center" vertical="center" wrapText="1"/>
    </xf>
    <xf numFmtId="3" fontId="31" fillId="0" borderId="36" xfId="11" applyNumberFormat="1" applyFont="1" applyFill="1" applyBorder="1" applyAlignment="1">
      <alignment horizontal="center" vertical="center" wrapText="1"/>
    </xf>
    <xf numFmtId="3" fontId="31" fillId="0" borderId="10" xfId="11" applyNumberFormat="1" applyFont="1" applyFill="1" applyBorder="1" applyAlignment="1">
      <alignment horizontal="center" vertical="center" wrapText="1"/>
    </xf>
    <xf numFmtId="3" fontId="31" fillId="0" borderId="9" xfId="11" applyNumberFormat="1" applyFont="1" applyFill="1" applyBorder="1" applyAlignment="1">
      <alignment horizontal="center" vertical="center" wrapText="1"/>
    </xf>
    <xf numFmtId="3" fontId="31" fillId="0" borderId="48" xfId="11" applyNumberFormat="1" applyFont="1" applyFill="1" applyBorder="1" applyAlignment="1">
      <alignment horizontal="left" vertical="center" wrapText="1" indent="1"/>
    </xf>
    <xf numFmtId="3" fontId="31" fillId="0" borderId="15" xfId="11" applyNumberFormat="1" applyFont="1" applyFill="1" applyBorder="1" applyAlignment="1">
      <alignment horizontal="left" vertical="center" wrapText="1" indent="1"/>
    </xf>
    <xf numFmtId="3" fontId="31" fillId="0" borderId="90" xfId="11" applyNumberFormat="1" applyFont="1" applyFill="1" applyBorder="1" applyAlignment="1">
      <alignment horizontal="left" vertical="center" wrapText="1" indent="1"/>
    </xf>
    <xf numFmtId="3" fontId="70" fillId="0" borderId="16" xfId="11" applyNumberFormat="1" applyFont="1" applyFill="1" applyBorder="1" applyAlignment="1">
      <alignment vertical="center" wrapText="1"/>
    </xf>
    <xf numFmtId="3" fontId="31" fillId="0" borderId="16" xfId="11" applyNumberFormat="1" applyFont="1" applyFill="1" applyBorder="1" applyAlignment="1" applyProtection="1">
      <alignment vertical="center"/>
      <protection locked="0"/>
    </xf>
    <xf numFmtId="3" fontId="70" fillId="0" borderId="16" xfId="11" applyNumberFormat="1" applyFont="1" applyFill="1" applyBorder="1" applyAlignment="1" applyProtection="1">
      <alignment vertical="center"/>
      <protection locked="0"/>
    </xf>
    <xf numFmtId="3" fontId="31" fillId="0" borderId="17" xfId="11" applyNumberFormat="1" applyFont="1" applyFill="1" applyBorder="1" applyAlignment="1">
      <alignment vertical="center"/>
    </xf>
    <xf numFmtId="3" fontId="70" fillId="0" borderId="2" xfId="11" applyNumberFormat="1" applyFont="1" applyFill="1" applyBorder="1" applyAlignment="1">
      <alignment vertical="center" wrapText="1"/>
    </xf>
    <xf numFmtId="3" fontId="31" fillId="0" borderId="2" xfId="11" applyNumberFormat="1" applyFont="1" applyFill="1" applyBorder="1" applyAlignment="1" applyProtection="1">
      <alignment vertical="center"/>
      <protection locked="0"/>
    </xf>
    <xf numFmtId="3" fontId="70" fillId="0" borderId="2" xfId="11" applyNumberFormat="1" applyFont="1" applyFill="1" applyBorder="1" applyAlignment="1" applyProtection="1">
      <alignment vertical="center"/>
      <protection locked="0"/>
    </xf>
    <xf numFmtId="3" fontId="31" fillId="0" borderId="18" xfId="11" applyNumberFormat="1" applyFont="1" applyFill="1" applyBorder="1" applyAlignment="1">
      <alignment vertical="center"/>
    </xf>
    <xf numFmtId="3" fontId="70" fillId="0" borderId="63" xfId="11" applyNumberFormat="1" applyFont="1" applyFill="1" applyBorder="1" applyAlignment="1">
      <alignment horizontal="center" vertical="center"/>
    </xf>
    <xf numFmtId="3" fontId="70" fillId="0" borderId="25" xfId="11" applyNumberFormat="1" applyFont="1" applyFill="1" applyBorder="1" applyAlignment="1">
      <alignment vertical="center" wrapText="1"/>
    </xf>
    <xf numFmtId="3" fontId="31" fillId="0" borderId="25" xfId="11" applyNumberFormat="1" applyFont="1" applyFill="1" applyBorder="1" applyAlignment="1" applyProtection="1">
      <alignment vertical="center"/>
      <protection locked="0"/>
    </xf>
    <xf numFmtId="3" fontId="70" fillId="0" borderId="25" xfId="11" applyNumberFormat="1" applyFont="1" applyFill="1" applyBorder="1" applyAlignment="1" applyProtection="1">
      <alignment vertical="center"/>
      <protection locked="0"/>
    </xf>
    <xf numFmtId="3" fontId="31" fillId="0" borderId="26" xfId="11" applyNumberFormat="1" applyFont="1" applyFill="1" applyBorder="1" applyAlignment="1">
      <alignment vertical="center"/>
    </xf>
    <xf numFmtId="3" fontId="70" fillId="0" borderId="89" xfId="11" applyNumberFormat="1" applyFont="1" applyFill="1" applyBorder="1" applyAlignment="1">
      <alignment horizontal="center" vertical="center"/>
    </xf>
    <xf numFmtId="3" fontId="70" fillId="0" borderId="19" xfId="11" applyNumberFormat="1" applyFont="1" applyFill="1" applyBorder="1" applyAlignment="1">
      <alignment vertical="center" wrapText="1"/>
    </xf>
    <xf numFmtId="3" fontId="31" fillId="0" borderId="19" xfId="11" applyNumberFormat="1" applyFont="1" applyFill="1" applyBorder="1" applyAlignment="1" applyProtection="1">
      <alignment vertical="center"/>
      <protection locked="0"/>
    </xf>
    <xf numFmtId="3" fontId="70" fillId="0" borderId="19" xfId="11" applyNumberFormat="1" applyFont="1" applyFill="1" applyBorder="1" applyAlignment="1" applyProtection="1">
      <alignment vertical="center"/>
      <protection locked="0"/>
    </xf>
    <xf numFmtId="3" fontId="31" fillId="0" borderId="36" xfId="11" applyNumberFormat="1" applyFont="1" applyFill="1" applyBorder="1" applyAlignment="1">
      <alignment vertical="center"/>
    </xf>
    <xf numFmtId="3" fontId="31" fillId="0" borderId="13" xfId="11" applyNumberFormat="1" applyFont="1" applyFill="1" applyBorder="1" applyAlignment="1">
      <alignment horizontal="left" vertical="center" indent="1"/>
    </xf>
    <xf numFmtId="3" fontId="31" fillId="0" borderId="10" xfId="11" applyNumberFormat="1" applyFont="1" applyFill="1" applyBorder="1" applyAlignment="1">
      <alignment vertical="center"/>
    </xf>
    <xf numFmtId="3" fontId="31" fillId="0" borderId="9" xfId="11" applyNumberFormat="1" applyFont="1" applyFill="1" applyBorder="1" applyAlignment="1">
      <alignment vertical="center"/>
    </xf>
    <xf numFmtId="3" fontId="74" fillId="0" borderId="0" xfId="11" applyNumberFormat="1" applyFont="1" applyFill="1"/>
    <xf numFmtId="3" fontId="74" fillId="7" borderId="0" xfId="11" applyNumberFormat="1" applyFont="1" applyFill="1"/>
    <xf numFmtId="3" fontId="75" fillId="0" borderId="0" xfId="11" applyNumberFormat="1" applyFont="1" applyFill="1"/>
    <xf numFmtId="3" fontId="74" fillId="9" borderId="0" xfId="11" applyNumberFormat="1" applyFont="1" applyFill="1"/>
    <xf numFmtId="3" fontId="70" fillId="9" borderId="0" xfId="11" applyNumberFormat="1" applyFont="1" applyFill="1"/>
    <xf numFmtId="0" fontId="19" fillId="0" borderId="0" xfId="13" applyFont="1" applyFill="1"/>
    <xf numFmtId="0" fontId="20" fillId="0" borderId="0" xfId="13" applyFont="1" applyFill="1"/>
    <xf numFmtId="0" fontId="63" fillId="0" borderId="0" xfId="13" applyFont="1" applyFill="1"/>
    <xf numFmtId="0" fontId="20" fillId="0" borderId="0" xfId="13" applyFont="1" applyFill="1" applyAlignment="1">
      <alignment horizontal="center"/>
    </xf>
    <xf numFmtId="0" fontId="20" fillId="0" borderId="0" xfId="13" applyFont="1" applyFill="1" applyAlignment="1"/>
    <xf numFmtId="14" fontId="19" fillId="0" borderId="0" xfId="13" applyNumberFormat="1" applyFont="1" applyFill="1" applyAlignment="1">
      <alignment horizontal="center"/>
    </xf>
    <xf numFmtId="0" fontId="19" fillId="0" borderId="0" xfId="13" applyFont="1" applyFill="1" applyAlignment="1">
      <alignment horizontal="center"/>
    </xf>
    <xf numFmtId="0" fontId="34" fillId="0" borderId="0" xfId="13" applyFont="1" applyFill="1"/>
    <xf numFmtId="0" fontId="36" fillId="0" borderId="0" xfId="13" applyFont="1" applyFill="1"/>
    <xf numFmtId="0" fontId="69" fillId="0" borderId="0" xfId="13" applyFont="1" applyFill="1"/>
    <xf numFmtId="0" fontId="68" fillId="0" borderId="0" xfId="23" applyFont="1" applyFill="1" applyAlignment="1">
      <alignment horizontal="right"/>
    </xf>
    <xf numFmtId="0" fontId="36" fillId="0" borderId="95" xfId="13" applyFont="1" applyFill="1" applyBorder="1" applyAlignment="1">
      <alignment horizontal="center" vertical="center" wrapText="1"/>
    </xf>
    <xf numFmtId="0" fontId="36" fillId="0" borderId="51" xfId="13" applyFont="1" applyFill="1" applyBorder="1" applyAlignment="1">
      <alignment horizontal="center" vertical="center" wrapText="1"/>
    </xf>
    <xf numFmtId="0" fontId="36" fillId="0" borderId="85" xfId="13" applyFont="1" applyFill="1" applyBorder="1" applyAlignment="1">
      <alignment horizontal="center" vertical="center" wrapText="1"/>
    </xf>
    <xf numFmtId="0" fontId="36" fillId="0" borderId="33" xfId="13" applyFont="1" applyFill="1" applyBorder="1" applyAlignment="1">
      <alignment horizontal="center" vertical="center" wrapText="1"/>
    </xf>
    <xf numFmtId="0" fontId="36" fillId="0" borderId="15" xfId="13" applyFont="1" applyFill="1" applyBorder="1" applyAlignment="1">
      <alignment horizontal="center" vertical="center" wrapText="1"/>
    </xf>
    <xf numFmtId="0" fontId="36" fillId="0" borderId="57" xfId="13" applyFont="1" applyFill="1" applyBorder="1" applyAlignment="1">
      <alignment horizontal="center" vertical="center" wrapText="1"/>
    </xf>
    <xf numFmtId="0" fontId="36" fillId="0" borderId="31" xfId="13" applyFont="1" applyFill="1" applyBorder="1" applyAlignment="1">
      <alignment horizontal="center" vertical="center" wrapText="1"/>
    </xf>
    <xf numFmtId="0" fontId="36" fillId="0" borderId="3" xfId="13" applyFont="1" applyFill="1" applyBorder="1" applyAlignment="1">
      <alignment horizontal="center" vertical="center" wrapText="1"/>
    </xf>
    <xf numFmtId="0" fontId="36" fillId="0" borderId="46" xfId="13" applyFont="1" applyFill="1" applyBorder="1" applyAlignment="1">
      <alignment horizontal="center" vertical="center" wrapText="1"/>
    </xf>
    <xf numFmtId="0" fontId="36" fillId="0" borderId="25" xfId="13" applyFont="1" applyFill="1" applyBorder="1" applyAlignment="1">
      <alignment horizontal="center" vertical="center" wrapText="1"/>
    </xf>
    <xf numFmtId="0" fontId="68" fillId="0" borderId="14" xfId="13" applyFont="1" applyFill="1" applyBorder="1" applyAlignment="1">
      <alignment horizontal="center" vertical="center" wrapText="1"/>
    </xf>
    <xf numFmtId="0" fontId="68" fillId="0" borderId="3" xfId="13" applyFont="1" applyFill="1" applyBorder="1" applyAlignment="1">
      <alignment horizontal="center" vertical="center" wrapText="1"/>
    </xf>
    <xf numFmtId="0" fontId="36" fillId="0" borderId="91" xfId="13" applyFont="1" applyFill="1" applyBorder="1" applyAlignment="1">
      <alignment horizontal="center" vertical="center" wrapText="1"/>
    </xf>
    <xf numFmtId="0" fontId="36" fillId="0" borderId="28" xfId="13" applyFont="1" applyFill="1" applyBorder="1" applyAlignment="1">
      <alignment horizontal="center" vertical="center" wrapText="1"/>
    </xf>
    <xf numFmtId="0" fontId="36" fillId="0" borderId="87" xfId="13" applyFont="1" applyFill="1" applyBorder="1" applyAlignment="1">
      <alignment horizontal="center" vertical="center" wrapText="1"/>
    </xf>
    <xf numFmtId="0" fontId="36" fillId="0" borderId="35" xfId="13" applyFont="1" applyFill="1" applyBorder="1" applyAlignment="1">
      <alignment horizontal="center" vertical="center" wrapText="1"/>
    </xf>
    <xf numFmtId="0" fontId="68" fillId="0" borderId="87" xfId="13" applyFont="1" applyFill="1" applyBorder="1" applyAlignment="1">
      <alignment horizontal="center" vertical="center" wrapText="1"/>
    </xf>
    <xf numFmtId="0" fontId="34" fillId="0" borderId="57" xfId="13" applyFont="1" applyFill="1" applyBorder="1" applyAlignment="1">
      <alignment horizontal="center"/>
    </xf>
    <xf numFmtId="0" fontId="34" fillId="0" borderId="31" xfId="13" applyFont="1" applyFill="1" applyBorder="1"/>
    <xf numFmtId="14" fontId="36" fillId="0" borderId="31" xfId="13" applyNumberFormat="1" applyFont="1" applyFill="1" applyBorder="1"/>
    <xf numFmtId="3" fontId="69" fillId="0" borderId="3" xfId="13" applyNumberFormat="1" applyFont="1" applyFill="1" applyBorder="1"/>
    <xf numFmtId="0" fontId="34" fillId="0" borderId="31" xfId="13" applyFont="1" applyFill="1" applyBorder="1" applyAlignment="1">
      <alignment horizontal="left" vertical="top" wrapText="1"/>
    </xf>
    <xf numFmtId="49" fontId="36" fillId="0" borderId="47" xfId="13" applyNumberFormat="1" applyFont="1" applyFill="1" applyBorder="1" applyAlignment="1">
      <alignment horizontal="center"/>
    </xf>
    <xf numFmtId="0" fontId="36" fillId="0" borderId="10" xfId="13" applyFont="1" applyFill="1" applyBorder="1"/>
    <xf numFmtId="0" fontId="36" fillId="0" borderId="10" xfId="13" applyFont="1" applyFill="1" applyBorder="1" applyAlignment="1">
      <alignment horizontal="center"/>
    </xf>
    <xf numFmtId="14" fontId="36" fillId="0" borderId="10" xfId="13" applyNumberFormat="1" applyFont="1" applyFill="1" applyBorder="1" applyAlignment="1">
      <alignment horizontal="center"/>
    </xf>
    <xf numFmtId="3" fontId="36" fillId="0" borderId="58" xfId="13" applyNumberFormat="1" applyFont="1" applyFill="1" applyBorder="1"/>
    <xf numFmtId="3" fontId="68" fillId="0" borderId="58" xfId="13" applyNumberFormat="1" applyFont="1" applyFill="1" applyBorder="1"/>
    <xf numFmtId="0" fontId="34" fillId="0" borderId="31" xfId="13" applyFont="1" applyFill="1" applyBorder="1" applyAlignment="1">
      <alignment wrapText="1"/>
    </xf>
    <xf numFmtId="14" fontId="34" fillId="0" borderId="31" xfId="13" applyNumberFormat="1" applyFont="1" applyFill="1" applyBorder="1"/>
    <xf numFmtId="3" fontId="34" fillId="0" borderId="31" xfId="13" applyNumberFormat="1" applyFont="1" applyFill="1" applyBorder="1" applyAlignment="1">
      <alignment horizontal="right" wrapText="1"/>
    </xf>
    <xf numFmtId="3" fontId="69" fillId="0" borderId="3" xfId="13" applyNumberFormat="1" applyFont="1" applyFill="1" applyBorder="1" applyAlignment="1">
      <alignment horizontal="right" wrapText="1"/>
    </xf>
    <xf numFmtId="0" fontId="34" fillId="0" borderId="91" xfId="13" applyFont="1" applyFill="1" applyBorder="1" applyAlignment="1">
      <alignment horizontal="center"/>
    </xf>
    <xf numFmtId="0" fontId="34" fillId="0" borderId="28" xfId="13" applyFont="1" applyFill="1" applyBorder="1"/>
    <xf numFmtId="14" fontId="36" fillId="0" borderId="28" xfId="13" applyNumberFormat="1" applyFont="1" applyFill="1" applyBorder="1"/>
    <xf numFmtId="3" fontId="34" fillId="0" borderId="87" xfId="13" applyNumberFormat="1" applyFont="1" applyFill="1" applyBorder="1"/>
    <xf numFmtId="3" fontId="36" fillId="0" borderId="35" xfId="13" applyNumberFormat="1" applyFont="1" applyFill="1" applyBorder="1"/>
    <xf numFmtId="3" fontId="34" fillId="0" borderId="28" xfId="13" applyNumberFormat="1" applyFont="1" applyFill="1" applyBorder="1" applyAlignment="1">
      <alignment horizontal="right" wrapText="1"/>
    </xf>
    <xf numFmtId="3" fontId="69" fillId="0" borderId="87" xfId="13" applyNumberFormat="1" applyFont="1" applyFill="1" applyBorder="1" applyAlignment="1">
      <alignment horizontal="right" wrapText="1"/>
    </xf>
    <xf numFmtId="0" fontId="36" fillId="0" borderId="0" xfId="13" applyFont="1" applyFill="1" applyAlignment="1"/>
    <xf numFmtId="0" fontId="68" fillId="0" borderId="0" xfId="13" applyFont="1" applyFill="1" applyAlignment="1"/>
    <xf numFmtId="0" fontId="34" fillId="0" borderId="0" xfId="13" applyFont="1" applyFill="1" applyAlignment="1"/>
    <xf numFmtId="0" fontId="69" fillId="0" borderId="0" xfId="13" applyFont="1" applyFill="1" applyAlignment="1"/>
    <xf numFmtId="0" fontId="15" fillId="0" borderId="54" xfId="0" applyFont="1" applyFill="1" applyBorder="1" applyAlignment="1">
      <alignment horizontal="center" vertical="top" wrapText="1"/>
    </xf>
    <xf numFmtId="0" fontId="15" fillId="0" borderId="21" xfId="0" applyFont="1" applyFill="1" applyBorder="1" applyAlignment="1">
      <alignment horizontal="center" vertical="top" wrapText="1"/>
    </xf>
    <xf numFmtId="3" fontId="15" fillId="0" borderId="61" xfId="22" applyNumberFormat="1" applyFont="1" applyFill="1" applyBorder="1" applyAlignment="1">
      <alignment horizontal="center" vertical="center" wrapText="1"/>
    </xf>
    <xf numFmtId="3" fontId="15" fillId="0" borderId="38" xfId="22" applyNumberFormat="1" applyFont="1" applyFill="1" applyBorder="1" applyAlignment="1">
      <alignment horizontal="center" vertical="center" wrapText="1"/>
    </xf>
    <xf numFmtId="0" fontId="15" fillId="0" borderId="38" xfId="22" applyFont="1" applyFill="1" applyBorder="1" applyAlignment="1">
      <alignment horizontal="center" vertical="center"/>
    </xf>
    <xf numFmtId="0" fontId="15" fillId="0" borderId="39" xfId="22" applyFont="1" applyFill="1" applyBorder="1" applyAlignment="1">
      <alignment horizontal="center" vertical="center"/>
    </xf>
    <xf numFmtId="0" fontId="16" fillId="0" borderId="99" xfId="0" applyFont="1" applyFill="1" applyBorder="1" applyAlignment="1">
      <alignment horizontal="center" vertical="top" wrapText="1"/>
    </xf>
    <xf numFmtId="0" fontId="16" fillId="0" borderId="23" xfId="0" applyFont="1" applyFill="1" applyBorder="1" applyAlignment="1">
      <alignment horizontal="center" vertical="top" wrapText="1"/>
    </xf>
    <xf numFmtId="3" fontId="16" fillId="0" borderId="98" xfId="22" applyNumberFormat="1" applyFont="1" applyFill="1" applyBorder="1" applyAlignment="1">
      <alignment horizontal="center" vertical="center" wrapText="1"/>
    </xf>
    <xf numFmtId="3" fontId="16" fillId="0" borderId="28" xfId="22" applyNumberFormat="1" applyFont="1" applyFill="1" applyBorder="1" applyAlignment="1">
      <alignment horizontal="center" vertical="center" wrapText="1"/>
    </xf>
    <xf numFmtId="0" fontId="16" fillId="0" borderId="28" xfId="22" applyFont="1" applyFill="1" applyBorder="1" applyAlignment="1">
      <alignment horizontal="center" vertical="center"/>
    </xf>
    <xf numFmtId="0" fontId="16" fillId="0" borderId="29" xfId="22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left" vertical="top" wrapText="1"/>
    </xf>
    <xf numFmtId="3" fontId="16" fillId="0" borderId="30" xfId="0" applyNumberFormat="1" applyFont="1" applyFill="1" applyBorder="1" applyAlignment="1">
      <alignment horizontal="right" vertical="top" wrapText="1"/>
    </xf>
    <xf numFmtId="3" fontId="16" fillId="0" borderId="61" xfId="0" applyNumberFormat="1" applyFont="1" applyFill="1" applyBorder="1" applyAlignment="1">
      <alignment horizontal="right" vertical="top" wrapText="1"/>
    </xf>
    <xf numFmtId="0" fontId="16" fillId="0" borderId="14" xfId="0" applyFont="1" applyFill="1" applyBorder="1" applyAlignment="1">
      <alignment horizontal="left" vertical="top" wrapText="1"/>
    </xf>
    <xf numFmtId="3" fontId="16" fillId="0" borderId="24" xfId="0" applyNumberFormat="1" applyFont="1" applyFill="1" applyBorder="1" applyAlignment="1">
      <alignment horizontal="right" vertical="top" wrapText="1"/>
    </xf>
    <xf numFmtId="3" fontId="16" fillId="0" borderId="63" xfId="0" applyNumberFormat="1" applyFont="1" applyFill="1" applyBorder="1" applyAlignment="1">
      <alignment horizontal="right" vertical="top" wrapText="1"/>
    </xf>
    <xf numFmtId="0" fontId="15" fillId="0" borderId="58" xfId="0" applyFont="1" applyFill="1" applyBorder="1" applyAlignment="1">
      <alignment horizontal="left" vertical="top" wrapText="1"/>
    </xf>
    <xf numFmtId="3" fontId="15" fillId="0" borderId="34" xfId="0" applyNumberFormat="1" applyFont="1" applyFill="1" applyBorder="1" applyAlignment="1">
      <alignment horizontal="right" vertical="top" wrapText="1"/>
    </xf>
    <xf numFmtId="3" fontId="15" fillId="0" borderId="11" xfId="0" applyNumberFormat="1" applyFont="1" applyFill="1" applyBorder="1" applyAlignment="1">
      <alignment horizontal="right" vertical="top" wrapText="1"/>
    </xf>
    <xf numFmtId="3" fontId="16" fillId="0" borderId="60" xfId="0" applyNumberFormat="1" applyFont="1" applyFill="1" applyBorder="1" applyAlignment="1">
      <alignment horizontal="right" vertical="top" wrapText="1"/>
    </xf>
    <xf numFmtId="0" fontId="15" fillId="0" borderId="3" xfId="0" applyFont="1" applyFill="1" applyBorder="1" applyAlignment="1">
      <alignment horizontal="left" vertical="top" wrapText="1"/>
    </xf>
    <xf numFmtId="3" fontId="15" fillId="0" borderId="46" xfId="0" applyNumberFormat="1" applyFont="1" applyFill="1" applyBorder="1" applyAlignment="1">
      <alignment horizontal="right" vertical="top" wrapText="1"/>
    </xf>
    <xf numFmtId="3" fontId="15" fillId="0" borderId="97" xfId="0" applyNumberFormat="1" applyFont="1" applyFill="1" applyBorder="1" applyAlignment="1">
      <alignment horizontal="right" vertical="top" wrapText="1"/>
    </xf>
    <xf numFmtId="3" fontId="19" fillId="0" borderId="0" xfId="13" applyNumberFormat="1" applyFont="1" applyFill="1"/>
    <xf numFmtId="3" fontId="20" fillId="0" borderId="0" xfId="13" applyNumberFormat="1" applyFont="1" applyFill="1" applyAlignment="1">
      <alignment horizontal="center"/>
    </xf>
    <xf numFmtId="0" fontId="36" fillId="0" borderId="0" xfId="13" applyFont="1" applyFill="1" applyAlignment="1">
      <alignment horizontal="center"/>
    </xf>
    <xf numFmtId="3" fontId="36" fillId="0" borderId="0" xfId="13" applyNumberFormat="1" applyFont="1" applyFill="1" applyAlignment="1">
      <alignment horizontal="center"/>
    </xf>
    <xf numFmtId="3" fontId="34" fillId="0" borderId="0" xfId="13" applyNumberFormat="1" applyFont="1" applyFill="1"/>
    <xf numFmtId="3" fontId="36" fillId="0" borderId="0" xfId="13" applyNumberFormat="1" applyFont="1" applyFill="1" applyBorder="1"/>
    <xf numFmtId="3" fontId="68" fillId="0" borderId="0" xfId="13" applyNumberFormat="1" applyFont="1" applyFill="1"/>
    <xf numFmtId="0" fontId="68" fillId="0" borderId="0" xfId="13" applyFont="1" applyFill="1"/>
    <xf numFmtId="3" fontId="69" fillId="0" borderId="0" xfId="13" applyNumberFormat="1" applyFont="1" applyFill="1"/>
    <xf numFmtId="0" fontId="34" fillId="0" borderId="0" xfId="13" applyFont="1" applyFill="1" applyAlignment="1">
      <alignment vertical="top" wrapText="1"/>
    </xf>
    <xf numFmtId="10" fontId="21" fillId="0" borderId="61" xfId="36" applyNumberFormat="1" applyFont="1" applyBorder="1" applyAlignment="1">
      <alignment horizontal="center"/>
    </xf>
    <xf numFmtId="3" fontId="12" fillId="0" borderId="15" xfId="11" applyNumberFormat="1" applyFont="1" applyBorder="1" applyAlignment="1">
      <alignment horizontal="left" indent="1"/>
    </xf>
    <xf numFmtId="3" fontId="12" fillId="0" borderId="7" xfId="11" applyNumberFormat="1" applyFont="1" applyBorder="1" applyAlignment="1">
      <alignment horizontal="left" indent="1"/>
    </xf>
    <xf numFmtId="3" fontId="12" fillId="0" borderId="42" xfId="11" applyNumberFormat="1" applyFont="1" applyBorder="1" applyAlignment="1">
      <alignment horizontal="left" indent="1"/>
    </xf>
    <xf numFmtId="3" fontId="12" fillId="0" borderId="5" xfId="11" applyNumberFormat="1" applyFont="1" applyBorder="1" applyAlignment="1">
      <alignment horizontal="left" indent="1"/>
    </xf>
    <xf numFmtId="3" fontId="11" fillId="0" borderId="52" xfId="11" applyNumberFormat="1" applyFont="1" applyFill="1" applyBorder="1" applyAlignment="1">
      <alignment horizontal="center" vertical="center" wrapText="1"/>
    </xf>
    <xf numFmtId="10" fontId="21" fillId="0" borderId="2" xfId="36" applyNumberFormat="1" applyFont="1" applyBorder="1" applyAlignment="1">
      <alignment horizontal="center"/>
    </xf>
    <xf numFmtId="10" fontId="21" fillId="0" borderId="38" xfId="36" applyNumberFormat="1" applyFont="1" applyBorder="1" applyAlignment="1">
      <alignment horizontal="center"/>
    </xf>
    <xf numFmtId="10" fontId="21" fillId="0" borderId="39" xfId="36" applyNumberFormat="1" applyFont="1" applyBorder="1" applyAlignment="1">
      <alignment horizontal="center"/>
    </xf>
    <xf numFmtId="10" fontId="21" fillId="0" borderId="62" xfId="36" applyNumberFormat="1" applyFont="1" applyBorder="1" applyAlignment="1">
      <alignment horizontal="center"/>
    </xf>
    <xf numFmtId="3" fontId="10" fillId="0" borderId="12" xfId="11" applyNumberFormat="1" applyFont="1" applyBorder="1" applyAlignment="1">
      <alignment horizontal="center" vertical="center" wrapText="1"/>
    </xf>
    <xf numFmtId="10" fontId="21" fillId="0" borderId="63" xfId="36" applyNumberFormat="1" applyFont="1" applyBorder="1" applyAlignment="1">
      <alignment horizontal="center"/>
    </xf>
    <xf numFmtId="10" fontId="21" fillId="0" borderId="25" xfId="36" applyNumberFormat="1" applyFont="1" applyBorder="1" applyAlignment="1">
      <alignment horizontal="center"/>
    </xf>
    <xf numFmtId="10" fontId="21" fillId="0" borderId="26" xfId="36" applyNumberFormat="1" applyFont="1" applyBorder="1" applyAlignment="1">
      <alignment horizontal="center"/>
    </xf>
    <xf numFmtId="3" fontId="11" fillId="0" borderId="52" xfId="11" applyNumberFormat="1" applyFont="1" applyBorder="1" applyAlignment="1">
      <alignment horizontal="center" vertical="center" wrapText="1"/>
    </xf>
    <xf numFmtId="3" fontId="11" fillId="0" borderId="85" xfId="11" applyNumberFormat="1" applyFont="1" applyBorder="1" applyAlignment="1">
      <alignment horizontal="center" vertical="center" wrapText="1"/>
    </xf>
    <xf numFmtId="10" fontId="10" fillId="0" borderId="61" xfId="36" applyNumberFormat="1" applyFont="1" applyBorder="1" applyAlignment="1">
      <alignment horizontal="center"/>
    </xf>
    <xf numFmtId="10" fontId="10" fillId="0" borderId="62" xfId="36" applyNumberFormat="1" applyFont="1" applyBorder="1" applyAlignment="1">
      <alignment horizontal="center"/>
    </xf>
    <xf numFmtId="10" fontId="21" fillId="0" borderId="54" xfId="36" applyNumberFormat="1" applyFont="1" applyBorder="1" applyAlignment="1">
      <alignment horizontal="center"/>
    </xf>
    <xf numFmtId="10" fontId="21" fillId="0" borderId="56" xfId="36" applyNumberFormat="1" applyFont="1" applyBorder="1" applyAlignment="1">
      <alignment horizontal="center"/>
    </xf>
    <xf numFmtId="10" fontId="21" fillId="0" borderId="40" xfId="36" applyNumberFormat="1" applyFont="1" applyBorder="1" applyAlignment="1">
      <alignment horizontal="center"/>
    </xf>
    <xf numFmtId="10" fontId="21" fillId="0" borderId="20" xfId="36" applyNumberFormat="1" applyFont="1" applyBorder="1" applyAlignment="1">
      <alignment horizontal="center"/>
    </xf>
    <xf numFmtId="10" fontId="10" fillId="0" borderId="21" xfId="36" applyNumberFormat="1" applyFont="1" applyBorder="1" applyAlignment="1">
      <alignment horizontal="center"/>
    </xf>
    <xf numFmtId="10" fontId="10" fillId="0" borderId="22" xfId="36" applyNumberFormat="1" applyFont="1" applyBorder="1" applyAlignment="1">
      <alignment horizontal="center"/>
    </xf>
    <xf numFmtId="10" fontId="10" fillId="0" borderId="23" xfId="36" applyNumberFormat="1" applyFont="1" applyBorder="1" applyAlignment="1">
      <alignment horizontal="center"/>
    </xf>
    <xf numFmtId="10" fontId="10" fillId="0" borderId="34" xfId="36" applyNumberFormat="1" applyFont="1" applyBorder="1" applyAlignment="1">
      <alignment horizontal="center"/>
    </xf>
    <xf numFmtId="10" fontId="10" fillId="0" borderId="11" xfId="36" applyNumberFormat="1" applyFont="1" applyBorder="1" applyAlignment="1">
      <alignment horizontal="center"/>
    </xf>
    <xf numFmtId="3" fontId="11" fillId="0" borderId="41" xfId="11" applyNumberFormat="1" applyFont="1" applyBorder="1"/>
    <xf numFmtId="10" fontId="21" fillId="0" borderId="14" xfId="36" applyNumberFormat="1" applyFont="1" applyBorder="1" applyAlignment="1">
      <alignment horizontal="center"/>
    </xf>
    <xf numFmtId="10" fontId="10" fillId="0" borderId="10" xfId="36" applyNumberFormat="1" applyFont="1" applyBorder="1" applyAlignment="1">
      <alignment horizontal="center"/>
    </xf>
    <xf numFmtId="10" fontId="10" fillId="0" borderId="41" xfId="36" applyNumberFormat="1" applyFont="1" applyBorder="1" applyAlignment="1">
      <alignment horizontal="center"/>
    </xf>
    <xf numFmtId="10" fontId="21" fillId="0" borderId="4" xfId="36" applyNumberFormat="1" applyFont="1" applyBorder="1" applyAlignment="1">
      <alignment horizontal="center"/>
    </xf>
    <xf numFmtId="10" fontId="10" fillId="0" borderId="63" xfId="36" applyNumberFormat="1" applyFont="1" applyBorder="1" applyAlignment="1">
      <alignment horizontal="center"/>
    </xf>
    <xf numFmtId="10" fontId="10" fillId="8" borderId="11" xfId="36" applyNumberFormat="1" applyFont="1" applyFill="1" applyBorder="1" applyAlignment="1">
      <alignment horizontal="center"/>
    </xf>
    <xf numFmtId="10" fontId="10" fillId="8" borderId="10" xfId="36" applyNumberFormat="1" applyFont="1" applyFill="1" applyBorder="1" applyAlignment="1">
      <alignment horizontal="center"/>
    </xf>
    <xf numFmtId="10" fontId="10" fillId="8" borderId="9" xfId="36" applyNumberFormat="1" applyFont="1" applyFill="1" applyBorder="1" applyAlignment="1">
      <alignment horizontal="center"/>
    </xf>
    <xf numFmtId="10" fontId="10" fillId="8" borderId="41" xfId="36" applyNumberFormat="1" applyFont="1" applyFill="1" applyBorder="1" applyAlignment="1">
      <alignment horizontal="center"/>
    </xf>
    <xf numFmtId="10" fontId="10" fillId="8" borderId="34" xfId="36" applyNumberFormat="1" applyFont="1" applyFill="1" applyBorder="1" applyAlignment="1">
      <alignment horizontal="center"/>
    </xf>
    <xf numFmtId="10" fontId="21" fillId="0" borderId="11" xfId="36" applyNumberFormat="1" applyFont="1" applyBorder="1" applyAlignment="1">
      <alignment horizontal="center"/>
    </xf>
    <xf numFmtId="10" fontId="21" fillId="0" borderId="10" xfId="36" applyNumberFormat="1" applyFont="1" applyBorder="1" applyAlignment="1">
      <alignment horizontal="center"/>
    </xf>
    <xf numFmtId="10" fontId="21" fillId="0" borderId="58" xfId="36" applyNumberFormat="1" applyFont="1" applyBorder="1" applyAlignment="1">
      <alignment horizontal="center"/>
    </xf>
    <xf numFmtId="10" fontId="10" fillId="8" borderId="58" xfId="36" applyNumberFormat="1" applyFont="1" applyFill="1" applyBorder="1" applyAlignment="1">
      <alignment horizontal="center"/>
    </xf>
    <xf numFmtId="10" fontId="10" fillId="8" borderId="13" xfId="36" applyNumberFormat="1" applyFont="1" applyFill="1" applyBorder="1" applyAlignment="1">
      <alignment horizontal="center"/>
    </xf>
    <xf numFmtId="10" fontId="10" fillId="0" borderId="17" xfId="36" applyNumberFormat="1" applyFont="1" applyFill="1" applyBorder="1" applyAlignment="1" applyProtection="1">
      <alignment horizontal="center" vertical="center" wrapText="1"/>
      <protection locked="0"/>
    </xf>
    <xf numFmtId="10" fontId="10" fillId="0" borderId="32" xfId="36" applyNumberFormat="1" applyFont="1" applyFill="1" applyBorder="1" applyAlignment="1" applyProtection="1">
      <alignment horizontal="center" vertical="center" wrapText="1"/>
      <protection locked="0"/>
    </xf>
    <xf numFmtId="10" fontId="10" fillId="0" borderId="39" xfId="36" applyNumberFormat="1" applyFont="1" applyFill="1" applyBorder="1" applyAlignment="1" applyProtection="1">
      <alignment horizontal="center" vertical="center" wrapText="1"/>
      <protection locked="0"/>
    </xf>
    <xf numFmtId="3" fontId="11" fillId="0" borderId="89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19" xfId="11" applyNumberFormat="1" applyFont="1" applyFill="1" applyBorder="1" applyAlignment="1" applyProtection="1">
      <alignment horizontal="right" vertical="center" wrapText="1"/>
      <protection locked="0"/>
    </xf>
    <xf numFmtId="10" fontId="10" fillId="0" borderId="29" xfId="36" applyNumberFormat="1" applyFont="1" applyFill="1" applyBorder="1" applyAlignment="1" applyProtection="1">
      <alignment horizontal="center" vertical="center" wrapText="1"/>
      <protection locked="0"/>
    </xf>
    <xf numFmtId="3" fontId="24" fillId="0" borderId="0" xfId="11" applyNumberFormat="1" applyFont="1" applyFill="1" applyAlignment="1">
      <alignment vertical="center" wrapText="1"/>
    </xf>
    <xf numFmtId="3" fontId="10" fillId="0" borderId="0" xfId="11" applyNumberFormat="1" applyFont="1" applyFill="1" applyAlignment="1">
      <alignment vertical="center" wrapText="1"/>
    </xf>
    <xf numFmtId="3" fontId="10" fillId="0" borderId="32" xfId="11" applyNumberFormat="1" applyFont="1" applyFill="1" applyBorder="1" applyAlignment="1" applyProtection="1">
      <alignment horizontal="right" vertical="center" wrapText="1"/>
      <protection locked="0"/>
    </xf>
    <xf numFmtId="10" fontId="10" fillId="8" borderId="9" xfId="36" applyNumberFormat="1" applyFont="1" applyFill="1" applyBorder="1" applyAlignment="1" applyProtection="1">
      <alignment horizontal="center" vertical="center" wrapText="1"/>
      <protection locked="0"/>
    </xf>
    <xf numFmtId="10" fontId="21" fillId="0" borderId="29" xfId="36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left" vertical="top" wrapText="1"/>
    </xf>
    <xf numFmtId="3" fontId="15" fillId="0" borderId="0" xfId="0" applyNumberFormat="1" applyFont="1" applyFill="1" applyBorder="1" applyAlignment="1">
      <alignment horizontal="right" vertical="top" wrapText="1"/>
    </xf>
    <xf numFmtId="0" fontId="16" fillId="0" borderId="0" xfId="0" applyFont="1" applyFill="1" applyAlignment="1">
      <alignment vertical="center"/>
    </xf>
    <xf numFmtId="3" fontId="69" fillId="0" borderId="0" xfId="13" applyNumberFormat="1" applyFont="1" applyAlignment="1"/>
    <xf numFmtId="0" fontId="68" fillId="0" borderId="0" xfId="13" applyFont="1"/>
    <xf numFmtId="14" fontId="12" fillId="0" borderId="0" xfId="0" applyNumberFormat="1" applyFont="1"/>
    <xf numFmtId="10" fontId="12" fillId="0" borderId="26" xfId="36" applyNumberFormat="1" applyFont="1" applyBorder="1" applyAlignment="1" applyProtection="1">
      <alignment horizontal="center" vertical="center"/>
      <protection locked="0"/>
    </xf>
    <xf numFmtId="10" fontId="10" fillId="8" borderId="29" xfId="36" applyNumberFormat="1" applyFont="1" applyFill="1" applyBorder="1" applyAlignment="1" applyProtection="1">
      <alignment horizontal="center" vertical="center" wrapText="1"/>
      <protection locked="0"/>
    </xf>
    <xf numFmtId="10" fontId="10" fillId="0" borderId="18" xfId="36" applyNumberFormat="1" applyFont="1" applyFill="1" applyBorder="1" applyAlignment="1" applyProtection="1">
      <alignment horizontal="center" vertical="center" wrapText="1"/>
      <protection locked="0"/>
    </xf>
    <xf numFmtId="0" fontId="21" fillId="0" borderId="49" xfId="11" applyFont="1" applyBorder="1" applyAlignment="1">
      <alignment horizontal="left" indent="1"/>
    </xf>
    <xf numFmtId="164" fontId="21" fillId="0" borderId="49" xfId="11" applyNumberFormat="1" applyFont="1" applyBorder="1" applyAlignment="1"/>
    <xf numFmtId="164" fontId="21" fillId="0" borderId="56" xfId="11" applyNumberFormat="1" applyFont="1" applyBorder="1" applyAlignment="1"/>
    <xf numFmtId="164" fontId="10" fillId="0" borderId="30" xfId="11" applyNumberFormat="1" applyFont="1" applyBorder="1" applyAlignment="1"/>
    <xf numFmtId="164" fontId="21" fillId="0" borderId="0" xfId="0" applyNumberFormat="1" applyFont="1"/>
    <xf numFmtId="166" fontId="21" fillId="0" borderId="0" xfId="0" applyNumberFormat="1" applyFont="1"/>
    <xf numFmtId="3" fontId="15" fillId="0" borderId="11" xfId="0" applyNumberFormat="1" applyFont="1" applyFill="1" applyBorder="1" applyAlignment="1">
      <alignment horizontal="center" vertical="center" wrapText="1"/>
    </xf>
    <xf numFmtId="49" fontId="12" fillId="0" borderId="18" xfId="11" applyNumberFormat="1" applyFont="1" applyFill="1" applyBorder="1" applyAlignment="1">
      <alignment horizontal="left" vertical="center" wrapText="1"/>
    </xf>
    <xf numFmtId="3" fontId="12" fillId="0" borderId="62" xfId="11" applyNumberFormat="1" applyFont="1" applyFill="1" applyBorder="1" applyAlignment="1">
      <alignment horizontal="center"/>
    </xf>
    <xf numFmtId="3" fontId="12" fillId="0" borderId="60" xfId="11" applyNumberFormat="1" applyFont="1" applyFill="1" applyBorder="1" applyAlignment="1">
      <alignment horizontal="center"/>
    </xf>
  </cellXfs>
  <cellStyles count="43">
    <cellStyle name="Ezres 2" xfId="1"/>
    <cellStyle name="Ezres 2 2" xfId="2"/>
    <cellStyle name="Ezres 2 3" xfId="3"/>
    <cellStyle name="Ezres 3" xfId="4"/>
    <cellStyle name="Ezres 4" xfId="5"/>
    <cellStyle name="Hiperhivatkozás" xfId="6"/>
    <cellStyle name="ktsgv" xfId="7"/>
    <cellStyle name="Már látott hiperhivatkozás" xfId="8"/>
    <cellStyle name="Normál" xfId="0" builtinId="0"/>
    <cellStyle name="Normál 10" xfId="9"/>
    <cellStyle name="Normál 2" xfId="10"/>
    <cellStyle name="Normál 2 2" xfId="11"/>
    <cellStyle name="Normál 2 3" xfId="12"/>
    <cellStyle name="Normál 2 4" xfId="13"/>
    <cellStyle name="Normál 3" xfId="14"/>
    <cellStyle name="Normál 3 2" xfId="15"/>
    <cellStyle name="Normál 4" xfId="16"/>
    <cellStyle name="Normál 4 2" xfId="17"/>
    <cellStyle name="Normál 4 3" xfId="18"/>
    <cellStyle name="Normál 5" xfId="19"/>
    <cellStyle name="Normál 5 2" xfId="20"/>
    <cellStyle name="Normál 6" xfId="21"/>
    <cellStyle name="Normál 6 2" xfId="22"/>
    <cellStyle name="Normál 7" xfId="23"/>
    <cellStyle name="Normál 8" xfId="24"/>
    <cellStyle name="Normál 9" xfId="25"/>
    <cellStyle name="Normál_adótelj_terv04" xfId="26"/>
    <cellStyle name="Normal_KARSZJ3" xfId="27"/>
    <cellStyle name="Normál_ktgv2008_másodikforduló" xfId="28"/>
    <cellStyle name="Normal_KTRSZJ" xfId="29"/>
    <cellStyle name="Normál_kv05első" xfId="30"/>
    <cellStyle name="Normál_KVRENMUNKA" xfId="31"/>
    <cellStyle name="Normál_Munkafüzet1" xfId="32"/>
    <cellStyle name="Normál_SEGEDLETEK" xfId="33"/>
    <cellStyle name="Normál12" xfId="34"/>
    <cellStyle name="SIMA" xfId="35"/>
    <cellStyle name="Százalék" xfId="36" builtinId="5"/>
    <cellStyle name="Százalék 2" xfId="37"/>
    <cellStyle name="Százalék 2 2" xfId="38"/>
    <cellStyle name="Százalék 2 3" xfId="39"/>
    <cellStyle name="Százalék 2 4" xfId="40"/>
    <cellStyle name="Százalék 3" xfId="41"/>
    <cellStyle name="Százalék 4" xfId="42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4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2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5.xml"/><Relationship Id="rId48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6\BMelfogadott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7\normat&#237;vafelm&#233;r&#233;s200611h&#243;\4002_kit&#246;lt&#246;tt1204(V&#201;GLEGES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csegi.gabor/My%20Documents/Dokumentumok/PH/Besz&#225;mol&#243;2017/2017.%20&#233;vi%20z&#225;rsz&#225;mad&#225;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csegi/My%20Documents/Dokumentumok/PH/Besz&#225;mol&#243;2014/2014.%20&#233;vi%20z&#225;rsz&#225;mad&#225;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T&#246;bbc&#233;l&#250;Kist&#233;rs&#233;giT&#225;rsul&#225;s/Normat&#237;va_2006/BMelfogadott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T&#246;bbc&#233;l&#250;Kist&#233;rs&#233;giT&#225;rsul&#225;s/Normat&#237;va_2007/normat&#237;vafelm&#233;r&#233;s200611h&#243;/4002_kit&#246;lt&#246;tt1204(V&#201;GLEGES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1.mell._Össz_Mérleg2017"/>
      <sheetName val="1.1.mell._ÖNK_Mérleg2017"/>
      <sheetName val="1.2.mell._HKÖH_Mérleg2017"/>
      <sheetName val="1.3.mell._HVÓBKI_Mérleg2017"/>
      <sheetName val="1.4.mell._HKK_Mérleg2017"/>
      <sheetName val="1.5._mell._MŐSZ_Mérleg2017"/>
      <sheetName val="1.6._mell._HVGYKCSSZ_Mérleg2017"/>
      <sheetName val="2.a.mell._MMérleg2017"/>
      <sheetName val="2.b.mell._FMérleg2017"/>
      <sheetName val="3. mell._létszám2017"/>
      <sheetName val="4. mell. EUprojektek2017"/>
      <sheetName val="5.mell_adósság2017"/>
      <sheetName val="6.mell_Többévesköt.2017"/>
      <sheetName val="7. mell_KözvetettTám2017"/>
      <sheetName val="8.mell_EIfelhterv2017"/>
      <sheetName val="9.mell_ÖsszMérleg(telj)2017"/>
      <sheetName val="10.mell_támogatások2017"/>
      <sheetName val="11.mell_felhKiad2017"/>
      <sheetName val="12.mell_céltámogatások2017"/>
      <sheetName val="13.mell_ÖNKfeladatok2017"/>
      <sheetName val="14.mell_Önk kiegészítés2017"/>
      <sheetName val="15.mell_Tartozások2017"/>
      <sheetName val="15.mell 2017K01"/>
      <sheetName val="16.mell 2017K02"/>
      <sheetName val="17.mell 2017K03"/>
      <sheetName val="18.mell 2017K04"/>
      <sheetName val="19.mell 2017K12"/>
      <sheetName val="20.mell 2017K13"/>
      <sheetName val="21.mell Vagyonkim2017"/>
      <sheetName val="22.mell Részesedések2017"/>
      <sheetName val="23.mell_Adósságáll2017"/>
      <sheetName val="24.Hitelek2017"/>
      <sheetName val="25.mell_maradvány2017"/>
      <sheetName val="26.mell_maradványfeloszt2017"/>
      <sheetName val="16.mell_Étkezésdíj2017"/>
      <sheetName val="1.függVárosüzem2017"/>
      <sheetName val="2.függ_adósság2016 (határozat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 refreshError="1"/>
      <sheetData sheetId="28" refreshError="1"/>
      <sheetData sheetId="29"/>
      <sheetData sheetId="30" refreshError="1"/>
      <sheetData sheetId="3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1.mell._Össz_Mérleg2014"/>
      <sheetName val="1.1.mell._ÖNK_Mérleg2014"/>
      <sheetName val="1.2.mell._PH_Mérleg2014"/>
      <sheetName val="1.3.mell._HVÓBKI_Mérleg2014"/>
      <sheetName val="1.4.mell._HKK_Mérleg2014"/>
      <sheetName val="1.5.mell._MŐSZ_Mérleg2014"/>
      <sheetName val="2.a.mell._MMérleg2014"/>
      <sheetName val="2.b.mell._FMérleg2014"/>
      <sheetName val="3. mell._létszám2014"/>
      <sheetName val="4. mell. EUprojektek2014"/>
      <sheetName val="5.mell_adósság2014"/>
      <sheetName val="6.mell_Többévesköt.2014"/>
      <sheetName val="7. mell_KözvetettTám2014"/>
      <sheetName val="8.mell_EIfelhterv2014"/>
      <sheetName val="9.mell_ÖsszMérleg(telj)2014"/>
      <sheetName val="10.mell_támogatások2014"/>
      <sheetName val="11.mell_felhKiad2014"/>
      <sheetName val="12.mell_céltámogatások2014"/>
      <sheetName val="13.mell_ÖNKfeladatok2014"/>
      <sheetName val="14.mell_Önk kiegészítés2014"/>
      <sheetName val="15.mell 2014K01"/>
      <sheetName val="16.mell 2014K02"/>
      <sheetName val="17.mell 2014K03"/>
      <sheetName val="18.mell 2014K04"/>
      <sheetName val="19.mell 2014K12"/>
      <sheetName val="20.mell 2014K13"/>
      <sheetName val="21.mell Vagyonkim2014"/>
      <sheetName val="22.mell Részesedések2014"/>
      <sheetName val="23.mell_Adósságáll2014"/>
      <sheetName val="24.mell Hitelek2014"/>
      <sheetName val="25.mell_maradvány2014"/>
      <sheetName val="26.mell_maradványfeloszt2014"/>
    </sheetNames>
    <sheetDataSet>
      <sheetData sheetId="0" refreshError="1"/>
      <sheetData sheetId="1" refreshError="1"/>
      <sheetData sheetId="2" refreshError="1">
        <row r="65">
          <cell r="E65">
            <v>2608911</v>
          </cell>
        </row>
        <row r="92">
          <cell r="E92">
            <v>355925</v>
          </cell>
        </row>
        <row r="165">
          <cell r="E165">
            <v>1511926</v>
          </cell>
        </row>
        <row r="192">
          <cell r="E192">
            <v>841906</v>
          </cell>
        </row>
      </sheetData>
      <sheetData sheetId="3" refreshError="1">
        <row r="65">
          <cell r="E65">
            <v>42075</v>
          </cell>
        </row>
        <row r="92">
          <cell r="E92">
            <v>258886</v>
          </cell>
        </row>
        <row r="165">
          <cell r="E165">
            <v>299391</v>
          </cell>
        </row>
      </sheetData>
      <sheetData sheetId="4" refreshError="1">
        <row r="65">
          <cell r="E65">
            <v>31566</v>
          </cell>
        </row>
        <row r="92">
          <cell r="E92">
            <v>369677</v>
          </cell>
        </row>
        <row r="165">
          <cell r="E165">
            <v>400777</v>
          </cell>
        </row>
      </sheetData>
      <sheetData sheetId="5" refreshError="1">
        <row r="65">
          <cell r="E65">
            <v>7274</v>
          </cell>
        </row>
        <row r="92">
          <cell r="E92">
            <v>71386</v>
          </cell>
        </row>
        <row r="165">
          <cell r="E165">
            <v>78096</v>
          </cell>
        </row>
      </sheetData>
      <sheetData sheetId="6" refreshError="1">
        <row r="65">
          <cell r="E65">
            <v>0</v>
          </cell>
        </row>
        <row r="92">
          <cell r="E92">
            <v>4894</v>
          </cell>
        </row>
        <row r="165">
          <cell r="E165">
            <v>4890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K37"/>
  <sheetViews>
    <sheetView zoomScaleNormal="100" workbookViewId="0">
      <selection sqref="A1:C1"/>
    </sheetView>
  </sheetViews>
  <sheetFormatPr defaultColWidth="79" defaultRowHeight="12.75"/>
  <cols>
    <col min="1" max="1" width="2.42578125" style="688" bestFit="1" customWidth="1"/>
    <col min="2" max="2" width="23.28515625" style="837" customWidth="1"/>
    <col min="3" max="3" width="89.7109375" style="689" customWidth="1"/>
    <col min="4" max="16384" width="79" style="688"/>
  </cols>
  <sheetData>
    <row r="1" spans="1:11" s="682" customFormat="1" ht="18.75">
      <c r="A1" s="1215" t="s">
        <v>895</v>
      </c>
      <c r="B1" s="1215"/>
      <c r="C1" s="1215"/>
      <c r="D1" s="681"/>
      <c r="E1" s="681"/>
      <c r="F1" s="681"/>
      <c r="G1" s="681"/>
      <c r="H1" s="681"/>
      <c r="I1" s="681"/>
      <c r="J1" s="681"/>
      <c r="K1" s="681"/>
    </row>
    <row r="2" spans="1:11" s="682" customFormat="1">
      <c r="B2" s="836"/>
      <c r="C2" s="683"/>
    </row>
    <row r="3" spans="1:11" s="682" customFormat="1" ht="15.75">
      <c r="A3" s="1394" t="s">
        <v>1522</v>
      </c>
      <c r="B3" s="1394"/>
      <c r="C3" s="1394"/>
      <c r="D3" s="681"/>
      <c r="E3" s="681"/>
      <c r="F3" s="681"/>
      <c r="G3" s="681"/>
      <c r="H3" s="681"/>
      <c r="I3" s="681"/>
      <c r="J3" s="681"/>
      <c r="K3" s="681"/>
    </row>
    <row r="4" spans="1:11" s="682" customFormat="1">
      <c r="B4" s="836"/>
      <c r="C4" s="683"/>
    </row>
    <row r="5" spans="1:11" s="682" customFormat="1">
      <c r="B5" s="684" t="s">
        <v>47</v>
      </c>
      <c r="C5" s="684" t="s">
        <v>1305</v>
      </c>
      <c r="F5" s="685"/>
      <c r="G5" s="685"/>
      <c r="H5" s="685"/>
      <c r="I5" s="685"/>
      <c r="J5" s="685"/>
      <c r="K5" s="685"/>
    </row>
    <row r="6" spans="1:11" s="682" customFormat="1">
      <c r="B6" s="684" t="s">
        <v>353</v>
      </c>
      <c r="C6" s="684" t="s">
        <v>1306</v>
      </c>
      <c r="F6" s="685"/>
      <c r="G6" s="685"/>
      <c r="H6" s="685"/>
      <c r="I6" s="685"/>
      <c r="J6" s="685"/>
      <c r="K6" s="685"/>
    </row>
    <row r="7" spans="1:11" s="682" customFormat="1">
      <c r="B7" s="684" t="s">
        <v>355</v>
      </c>
      <c r="C7" s="684" t="s">
        <v>1307</v>
      </c>
      <c r="F7" s="685"/>
      <c r="G7" s="685"/>
      <c r="H7" s="685"/>
      <c r="I7" s="685"/>
      <c r="J7" s="685"/>
      <c r="K7" s="685"/>
    </row>
    <row r="8" spans="1:11" s="682" customFormat="1">
      <c r="B8" s="684" t="s">
        <v>356</v>
      </c>
      <c r="C8" s="684" t="s">
        <v>1308</v>
      </c>
      <c r="F8" s="685"/>
      <c r="G8" s="685"/>
      <c r="H8" s="685"/>
      <c r="I8" s="685"/>
      <c r="J8" s="685"/>
      <c r="K8" s="685"/>
    </row>
    <row r="9" spans="1:11" s="682" customFormat="1">
      <c r="B9" s="684" t="s">
        <v>358</v>
      </c>
      <c r="C9" s="684" t="s">
        <v>1309</v>
      </c>
      <c r="F9" s="685"/>
      <c r="G9" s="685"/>
      <c r="H9" s="685"/>
      <c r="I9" s="685"/>
      <c r="J9" s="685"/>
      <c r="K9" s="685"/>
    </row>
    <row r="10" spans="1:11" s="682" customFormat="1">
      <c r="B10" s="684" t="s">
        <v>930</v>
      </c>
      <c r="C10" s="684" t="s">
        <v>1310</v>
      </c>
      <c r="F10" s="685"/>
      <c r="G10" s="685"/>
      <c r="H10" s="685"/>
      <c r="I10" s="685"/>
      <c r="J10" s="685"/>
      <c r="K10" s="685"/>
    </row>
    <row r="11" spans="1:11" s="682" customFormat="1">
      <c r="B11" s="684" t="s">
        <v>1169</v>
      </c>
      <c r="C11" s="684" t="s">
        <v>1311</v>
      </c>
      <c r="F11" s="685"/>
      <c r="G11" s="685"/>
      <c r="H11" s="685"/>
      <c r="I11" s="685"/>
      <c r="J11" s="685"/>
      <c r="K11" s="685"/>
    </row>
    <row r="12" spans="1:11" s="682" customFormat="1">
      <c r="B12" s="684" t="s">
        <v>388</v>
      </c>
      <c r="C12" s="684" t="s">
        <v>896</v>
      </c>
      <c r="F12" s="685"/>
      <c r="G12" s="685"/>
      <c r="H12" s="685"/>
      <c r="I12" s="685"/>
      <c r="J12" s="685"/>
      <c r="K12" s="685"/>
    </row>
    <row r="13" spans="1:11" s="682" customFormat="1">
      <c r="B13" s="684" t="s">
        <v>391</v>
      </c>
      <c r="C13" s="684" t="s">
        <v>897</v>
      </c>
      <c r="F13" s="685"/>
      <c r="G13" s="685"/>
      <c r="H13" s="685"/>
      <c r="I13" s="685"/>
      <c r="J13" s="685"/>
      <c r="K13" s="685"/>
    </row>
    <row r="14" spans="1:11" s="682" customFormat="1">
      <c r="B14" s="684" t="s">
        <v>425</v>
      </c>
      <c r="C14" s="686" t="s">
        <v>1312</v>
      </c>
      <c r="F14" s="685"/>
      <c r="G14" s="685"/>
      <c r="H14" s="685"/>
      <c r="I14" s="685"/>
      <c r="J14" s="685"/>
      <c r="K14" s="685"/>
    </row>
    <row r="15" spans="1:11" s="682" customFormat="1">
      <c r="B15" s="684" t="s">
        <v>444</v>
      </c>
      <c r="C15" s="686" t="s">
        <v>898</v>
      </c>
      <c r="F15" s="685"/>
      <c r="G15" s="685"/>
      <c r="H15" s="685"/>
      <c r="I15" s="685"/>
      <c r="J15" s="685"/>
      <c r="K15" s="685"/>
    </row>
    <row r="16" spans="1:11" s="682" customFormat="1" ht="25.5">
      <c r="B16" s="684" t="s">
        <v>456</v>
      </c>
      <c r="C16" s="684" t="s">
        <v>899</v>
      </c>
      <c r="F16" s="685"/>
    </row>
    <row r="17" spans="2:11" s="682" customFormat="1">
      <c r="B17" s="684" t="s">
        <v>492</v>
      </c>
      <c r="C17" s="684" t="s">
        <v>481</v>
      </c>
    </row>
    <row r="18" spans="2:11" s="682" customFormat="1">
      <c r="B18" s="686" t="s">
        <v>493</v>
      </c>
      <c r="C18" s="686" t="s">
        <v>1313</v>
      </c>
      <c r="F18" s="685"/>
      <c r="G18" s="685"/>
      <c r="H18" s="685"/>
      <c r="I18" s="685"/>
      <c r="J18" s="685"/>
      <c r="K18" s="685"/>
    </row>
    <row r="19" spans="2:11" s="682" customFormat="1">
      <c r="B19" s="684" t="s">
        <v>900</v>
      </c>
      <c r="C19" s="684" t="s">
        <v>1523</v>
      </c>
      <c r="F19" s="685"/>
      <c r="G19" s="685"/>
      <c r="H19" s="685"/>
      <c r="I19" s="685"/>
      <c r="J19" s="685"/>
      <c r="K19" s="685"/>
    </row>
    <row r="20" spans="2:11" s="682" customFormat="1" ht="25.5">
      <c r="B20" s="686" t="s">
        <v>429</v>
      </c>
      <c r="C20" s="684" t="s">
        <v>1315</v>
      </c>
      <c r="E20" s="685"/>
      <c r="F20" s="687"/>
      <c r="G20" s="687"/>
      <c r="H20" s="687"/>
      <c r="I20" s="687"/>
      <c r="J20" s="687"/>
      <c r="K20" s="687"/>
    </row>
    <row r="21" spans="2:11" s="682" customFormat="1" ht="25.5">
      <c r="B21" s="686" t="s">
        <v>480</v>
      </c>
      <c r="C21" s="683" t="s">
        <v>1316</v>
      </c>
      <c r="E21" s="685"/>
      <c r="F21" s="687"/>
      <c r="G21" s="687"/>
      <c r="H21" s="687"/>
      <c r="I21" s="687"/>
      <c r="J21" s="687"/>
      <c r="K21" s="687"/>
    </row>
    <row r="22" spans="2:11" s="682" customFormat="1">
      <c r="B22" s="686" t="s">
        <v>512</v>
      </c>
      <c r="C22" s="682" t="s">
        <v>1317</v>
      </c>
      <c r="E22" s="685"/>
      <c r="F22" s="687"/>
      <c r="G22" s="687"/>
      <c r="H22" s="687"/>
      <c r="I22" s="687"/>
      <c r="J22" s="687"/>
      <c r="K22" s="687"/>
    </row>
    <row r="23" spans="2:11">
      <c r="B23" s="686" t="s">
        <v>837</v>
      </c>
      <c r="C23" s="688" t="s">
        <v>1318</v>
      </c>
    </row>
    <row r="24" spans="2:11">
      <c r="B24" s="686" t="s">
        <v>797</v>
      </c>
      <c r="C24" s="688" t="s">
        <v>901</v>
      </c>
    </row>
    <row r="25" spans="2:11">
      <c r="B25" s="686" t="s">
        <v>600</v>
      </c>
      <c r="C25" s="688" t="s">
        <v>902</v>
      </c>
    </row>
    <row r="26" spans="2:11">
      <c r="B26" s="686" t="s">
        <v>838</v>
      </c>
      <c r="C26" s="688" t="s">
        <v>1503</v>
      </c>
    </row>
    <row r="27" spans="2:11">
      <c r="B27" s="686" t="s">
        <v>903</v>
      </c>
      <c r="C27" s="688" t="s">
        <v>1504</v>
      </c>
    </row>
    <row r="28" spans="2:11">
      <c r="B28" s="686" t="s">
        <v>1505</v>
      </c>
      <c r="C28" s="688" t="s">
        <v>1506</v>
      </c>
    </row>
    <row r="29" spans="2:11">
      <c r="B29" s="686" t="s">
        <v>1507</v>
      </c>
      <c r="C29" s="688" t="s">
        <v>1508</v>
      </c>
    </row>
    <row r="30" spans="2:11">
      <c r="B30" s="686" t="s">
        <v>1509</v>
      </c>
      <c r="C30" s="688" t="s">
        <v>1510</v>
      </c>
    </row>
    <row r="31" spans="2:11">
      <c r="B31" s="686" t="s">
        <v>1511</v>
      </c>
      <c r="C31" s="1395" t="s">
        <v>1512</v>
      </c>
    </row>
    <row r="32" spans="2:11">
      <c r="B32" s="686" t="s">
        <v>1513</v>
      </c>
      <c r="C32" s="689" t="s">
        <v>1524</v>
      </c>
    </row>
    <row r="33" spans="2:3" ht="25.5">
      <c r="B33" s="686" t="s">
        <v>1514</v>
      </c>
      <c r="C33" s="689" t="s">
        <v>1515</v>
      </c>
    </row>
    <row r="34" spans="2:3">
      <c r="B34" s="686" t="s">
        <v>1516</v>
      </c>
      <c r="C34" s="689" t="s">
        <v>1517</v>
      </c>
    </row>
    <row r="35" spans="2:3">
      <c r="B35" s="686" t="s">
        <v>1518</v>
      </c>
      <c r="C35" s="686" t="s">
        <v>1525</v>
      </c>
    </row>
    <row r="36" spans="2:3">
      <c r="B36" s="684" t="s">
        <v>1519</v>
      </c>
      <c r="C36" s="686" t="s">
        <v>1520</v>
      </c>
    </row>
    <row r="37" spans="2:3">
      <c r="B37" s="686" t="s">
        <v>1521</v>
      </c>
      <c r="C37" s="689" t="s">
        <v>1526</v>
      </c>
    </row>
  </sheetData>
  <mergeCells count="2">
    <mergeCell ref="A1:C1"/>
    <mergeCell ref="A3:C3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8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Munka14">
    <tabColor rgb="FF00B0F0"/>
    <pageSetUpPr fitToPage="1"/>
  </sheetPr>
  <dimension ref="A1:Q39"/>
  <sheetViews>
    <sheetView zoomScaleNormal="100" workbookViewId="0"/>
  </sheetViews>
  <sheetFormatPr defaultRowHeight="12"/>
  <cols>
    <col min="1" max="1" width="6.5703125" style="4" customWidth="1"/>
    <col min="2" max="2" width="70.42578125" style="4" customWidth="1"/>
    <col min="3" max="5" width="9.28515625" style="4" customWidth="1"/>
    <col min="6" max="6" width="9.28515625" style="1415" customWidth="1"/>
    <col min="7" max="9" width="9.28515625" style="4" customWidth="1"/>
    <col min="10" max="10" width="60" style="4" customWidth="1"/>
    <col min="11" max="13" width="9.28515625" style="4" customWidth="1"/>
    <col min="14" max="14" width="9.28515625" style="1415" customWidth="1"/>
    <col min="15" max="17" width="9.28515625" style="4" customWidth="1"/>
    <col min="18" max="16384" width="9.140625" style="4"/>
  </cols>
  <sheetData>
    <row r="1" spans="1:17" s="50" customFormat="1" ht="15.75">
      <c r="F1" s="1396"/>
      <c r="N1" s="1396"/>
      <c r="Q1" s="51" t="s">
        <v>391</v>
      </c>
    </row>
    <row r="2" spans="1:17" s="50" customFormat="1" ht="15.75">
      <c r="F2" s="1396"/>
      <c r="N2" s="1396"/>
    </row>
    <row r="3" spans="1:17" s="52" customFormat="1" ht="15.75">
      <c r="A3" s="1216" t="s">
        <v>331</v>
      </c>
      <c r="B3" s="1216"/>
      <c r="C3" s="1216"/>
      <c r="D3" s="1216"/>
      <c r="E3" s="1216"/>
      <c r="F3" s="1216"/>
      <c r="G3" s="1216"/>
      <c r="H3" s="1216"/>
      <c r="I3" s="1216"/>
      <c r="J3" s="1216"/>
      <c r="K3" s="1216"/>
      <c r="L3" s="1216"/>
      <c r="M3" s="1216"/>
      <c r="N3" s="1216"/>
      <c r="O3" s="1216"/>
      <c r="P3" s="1216"/>
      <c r="Q3" s="1216"/>
    </row>
    <row r="4" spans="1:17" s="52" customFormat="1" ht="15.75">
      <c r="A4" s="1216" t="s">
        <v>1326</v>
      </c>
      <c r="B4" s="1216"/>
      <c r="C4" s="1216"/>
      <c r="D4" s="1216"/>
      <c r="E4" s="1216"/>
      <c r="F4" s="1216"/>
      <c r="G4" s="1216"/>
      <c r="H4" s="1216"/>
      <c r="I4" s="1216"/>
      <c r="J4" s="1216"/>
      <c r="K4" s="1216"/>
      <c r="L4" s="1216"/>
      <c r="M4" s="1216"/>
      <c r="N4" s="1216"/>
      <c r="O4" s="1216"/>
      <c r="P4" s="1216"/>
      <c r="Q4" s="1216"/>
    </row>
    <row r="5" spans="1:17" s="36" customFormat="1" ht="12.75" thickBot="1">
      <c r="A5" s="38"/>
      <c r="F5" s="1397"/>
      <c r="N5" s="1397"/>
      <c r="Q5" s="37" t="s">
        <v>281</v>
      </c>
    </row>
    <row r="6" spans="1:17" s="8" customFormat="1" ht="54" customHeight="1" thickBot="1">
      <c r="A6" s="79" t="s">
        <v>17</v>
      </c>
      <c r="B6" s="93" t="s">
        <v>328</v>
      </c>
      <c r="C6" s="1057" t="s">
        <v>1474</v>
      </c>
      <c r="D6" s="6" t="s">
        <v>1475</v>
      </c>
      <c r="E6" s="6" t="s">
        <v>1529</v>
      </c>
      <c r="F6" s="1398" t="s">
        <v>1527</v>
      </c>
      <c r="G6" s="131" t="s">
        <v>51</v>
      </c>
      <c r="H6" s="130" t="s">
        <v>52</v>
      </c>
      <c r="I6" s="129" t="s">
        <v>53</v>
      </c>
      <c r="J6" s="80" t="s">
        <v>329</v>
      </c>
      <c r="K6" s="1057" t="s">
        <v>1474</v>
      </c>
      <c r="L6" s="6" t="s">
        <v>1475</v>
      </c>
      <c r="M6" s="6" t="s">
        <v>1529</v>
      </c>
      <c r="N6" s="1398" t="s">
        <v>1527</v>
      </c>
      <c r="O6" s="131" t="s">
        <v>51</v>
      </c>
      <c r="P6" s="130" t="s">
        <v>52</v>
      </c>
      <c r="Q6" s="129" t="s">
        <v>53</v>
      </c>
    </row>
    <row r="7" spans="1:17" s="3" customFormat="1" ht="12.75" thickBot="1">
      <c r="A7" s="83" t="s">
        <v>253</v>
      </c>
      <c r="B7" s="94" t="s">
        <v>254</v>
      </c>
      <c r="C7" s="1228" t="s">
        <v>255</v>
      </c>
      <c r="D7" s="1228"/>
      <c r="E7" s="1228"/>
      <c r="F7" s="1228"/>
      <c r="G7" s="1229"/>
      <c r="H7" s="1229"/>
      <c r="I7" s="1230"/>
      <c r="J7" s="82" t="s">
        <v>361</v>
      </c>
      <c r="K7" s="1231" t="s">
        <v>362</v>
      </c>
      <c r="L7" s="1232"/>
      <c r="M7" s="1232"/>
      <c r="N7" s="1232"/>
      <c r="O7" s="1233"/>
      <c r="P7" s="1233"/>
      <c r="Q7" s="1234"/>
    </row>
    <row r="8" spans="1:17" s="3" customFormat="1" ht="12.75" thickBot="1">
      <c r="A8" s="95" t="s">
        <v>4</v>
      </c>
      <c r="B8" s="63" t="s">
        <v>402</v>
      </c>
      <c r="C8" s="1048">
        <f t="shared" ref="C8:F8" si="0">+C9+C11+C13+C15</f>
        <v>88682</v>
      </c>
      <c r="D8" s="134">
        <f t="shared" si="0"/>
        <v>1349480</v>
      </c>
      <c r="E8" s="134">
        <f t="shared" si="0"/>
        <v>1341037</v>
      </c>
      <c r="F8" s="1421">
        <f>IF(ISERROR(E8/D8),"-",E8/D8)</f>
        <v>0.99374351602098587</v>
      </c>
      <c r="G8" s="31">
        <f>+G9+G11+G13+G15</f>
        <v>1340148</v>
      </c>
      <c r="H8" s="32">
        <f>+H9+H11+H13+H15</f>
        <v>889</v>
      </c>
      <c r="I8" s="33">
        <f>+I9+I11+I13+I15</f>
        <v>0</v>
      </c>
      <c r="J8" s="69" t="s">
        <v>403</v>
      </c>
      <c r="K8" s="1049">
        <f t="shared" ref="K8:N8" si="1">+K9+K11+K13+K15+K16</f>
        <v>1716878</v>
      </c>
      <c r="L8" s="28">
        <f t="shared" si="1"/>
        <v>760213</v>
      </c>
      <c r="M8" s="28">
        <f t="shared" si="1"/>
        <v>706531</v>
      </c>
      <c r="N8" s="1421">
        <f>IF(ISERROR(M8/L8),"-",M8/L8)</f>
        <v>0.92938558009399996</v>
      </c>
      <c r="O8" s="27">
        <f>+O9+O11+O13+O15+O16</f>
        <v>706109</v>
      </c>
      <c r="P8" s="28">
        <f>+P9+P11+P13+P15+P16</f>
        <v>422</v>
      </c>
      <c r="Q8" s="29">
        <f>+Q9+Q11+Q13+Q15+Q16</f>
        <v>0</v>
      </c>
    </row>
    <row r="9" spans="1:17" ht="12.75" customHeight="1">
      <c r="A9" s="125" t="s">
        <v>5</v>
      </c>
      <c r="B9" s="120" t="s">
        <v>399</v>
      </c>
      <c r="C9" s="631">
        <f>+'1.mell._Össz_Mérleg2018'!C51</f>
        <v>71832</v>
      </c>
      <c r="D9" s="47">
        <f>+'1.mell._Össz_Mérleg2018'!D51</f>
        <v>1331164</v>
      </c>
      <c r="E9" s="47">
        <f>+'1.mell._Össz_Mérleg2018'!E51</f>
        <v>1331164</v>
      </c>
      <c r="F9" s="1422">
        <f>IF(ISERROR(E9/D9),"-",E9/D9)</f>
        <v>1</v>
      </c>
      <c r="G9" s="49">
        <f>+'1.mell._Össz_Mérleg2018'!G51</f>
        <v>1331164</v>
      </c>
      <c r="H9" s="47">
        <f>+'1.mell._Össz_Mérleg2018'!H51</f>
        <v>0</v>
      </c>
      <c r="I9" s="48">
        <f>+'1.mell._Össz_Mérleg2018'!I51</f>
        <v>0</v>
      </c>
      <c r="J9" s="126" t="s">
        <v>404</v>
      </c>
      <c r="K9" s="631">
        <f>+'1.mell._Össz_Mérleg2018'!C150</f>
        <v>908654</v>
      </c>
      <c r="L9" s="47">
        <f>+'1.mell._Össz_Mérleg2018'!D150</f>
        <v>530213</v>
      </c>
      <c r="M9" s="47">
        <f>+'1.mell._Össz_Mérleg2018'!E150</f>
        <v>476531</v>
      </c>
      <c r="N9" s="1422">
        <f>IF(ISERROR(M9/L9),"-",M9/L9)</f>
        <v>0.89875389701874531</v>
      </c>
      <c r="O9" s="49">
        <f>+'1.mell._Össz_Mérleg2018'!G150</f>
        <v>476109</v>
      </c>
      <c r="P9" s="47">
        <f>+'1.mell._Össz_Mérleg2018'!H150</f>
        <v>422</v>
      </c>
      <c r="Q9" s="48">
        <f>+'1.mell._Össz_Mérleg2018'!I150</f>
        <v>0</v>
      </c>
    </row>
    <row r="10" spans="1:17" s="13" customFormat="1" ht="24">
      <c r="A10" s="86" t="s">
        <v>349</v>
      </c>
      <c r="B10" s="137"/>
      <c r="C10" s="502"/>
      <c r="D10" s="12"/>
      <c r="E10" s="12"/>
      <c r="F10" s="1412"/>
      <c r="G10" s="19"/>
      <c r="H10" s="12"/>
      <c r="I10" s="15"/>
      <c r="J10" s="139" t="s">
        <v>342</v>
      </c>
      <c r="K10" s="502">
        <f>+'1.mell._Össz_Mérleg2018'!C151</f>
        <v>867373</v>
      </c>
      <c r="L10" s="12">
        <f>+'1.mell._Össz_Mérleg2018'!D151</f>
        <v>384122</v>
      </c>
      <c r="M10" s="12">
        <f>+'1.mell._Össz_Mérleg2018'!E151</f>
        <v>377145</v>
      </c>
      <c r="N10" s="1412"/>
      <c r="O10" s="19">
        <f>+'1.mell._Össz_Mérleg2018'!G151</f>
        <v>377145</v>
      </c>
      <c r="P10" s="12">
        <f>+'1.mell._Össz_Mérleg2018'!H151</f>
        <v>0</v>
      </c>
      <c r="Q10" s="15">
        <f>+'1.mell._Össz_Mérleg2018'!I151</f>
        <v>0</v>
      </c>
    </row>
    <row r="11" spans="1:17" ht="12.75" customHeight="1">
      <c r="A11" s="85" t="s">
        <v>6</v>
      </c>
      <c r="B11" s="127" t="s">
        <v>400</v>
      </c>
      <c r="C11" s="501">
        <f>+'1.mell._Össz_Mérleg2018'!C58</f>
        <v>15350</v>
      </c>
      <c r="D11" s="11">
        <f>+'1.mell._Össz_Mérleg2018'!D58</f>
        <v>8386</v>
      </c>
      <c r="E11" s="11">
        <f>+'1.mell._Össz_Mérleg2018'!E58</f>
        <v>6864</v>
      </c>
      <c r="F11" s="1412">
        <f>IF(ISERROR(E11/D11),"-",E11/D11)</f>
        <v>0.81850703553541615</v>
      </c>
      <c r="G11" s="20">
        <f>+'1.mell._Össz_Mérleg2018'!G58</f>
        <v>6864</v>
      </c>
      <c r="H11" s="11">
        <f>+'1.mell._Össz_Mérleg2018'!H58</f>
        <v>0</v>
      </c>
      <c r="I11" s="16">
        <f>+'1.mell._Össz_Mérleg2018'!I58</f>
        <v>0</v>
      </c>
      <c r="J11" s="128" t="s">
        <v>405</v>
      </c>
      <c r="K11" s="501">
        <f>+'1.mell._Össz_Mérleg2018'!C159</f>
        <v>808224</v>
      </c>
      <c r="L11" s="11">
        <f>+'1.mell._Össz_Mérleg2018'!D159</f>
        <v>228800</v>
      </c>
      <c r="M11" s="11">
        <f>+'1.mell._Össz_Mérleg2018'!E159</f>
        <v>228800</v>
      </c>
      <c r="N11" s="1412">
        <f>IF(ISERROR(M11/L11),"-",M11/L11)</f>
        <v>1</v>
      </c>
      <c r="O11" s="20">
        <f>+'1.mell._Össz_Mérleg2018'!G159</f>
        <v>228800</v>
      </c>
      <c r="P11" s="11">
        <f>+'1.mell._Össz_Mérleg2018'!H159</f>
        <v>0</v>
      </c>
      <c r="Q11" s="16">
        <f>+'1.mell._Össz_Mérleg2018'!I159</f>
        <v>0</v>
      </c>
    </row>
    <row r="12" spans="1:17" s="13" customFormat="1" ht="24">
      <c r="A12" s="86" t="s">
        <v>346</v>
      </c>
      <c r="B12" s="122"/>
      <c r="C12" s="502"/>
      <c r="D12" s="12"/>
      <c r="E12" s="12"/>
      <c r="F12" s="1412"/>
      <c r="G12" s="19"/>
      <c r="H12" s="12"/>
      <c r="I12" s="15"/>
      <c r="J12" s="139" t="s">
        <v>345</v>
      </c>
      <c r="K12" s="502">
        <f>+'1.mell._Össz_Mérleg2018'!C160</f>
        <v>792788</v>
      </c>
      <c r="L12" s="12">
        <f>+'1.mell._Össz_Mérleg2018'!D160</f>
        <v>212673</v>
      </c>
      <c r="M12" s="12">
        <f>+'1.mell._Össz_Mérleg2018'!E160</f>
        <v>212673</v>
      </c>
      <c r="N12" s="1412"/>
      <c r="O12" s="19">
        <f>+'1.mell._Össz_Mérleg2018'!G160</f>
        <v>212673</v>
      </c>
      <c r="P12" s="12">
        <f>+'1.mell._Össz_Mérleg2018'!H160</f>
        <v>0</v>
      </c>
      <c r="Q12" s="15">
        <f>+'1.mell._Össz_Mérleg2018'!I160</f>
        <v>0</v>
      </c>
    </row>
    <row r="13" spans="1:17">
      <c r="A13" s="85" t="s">
        <v>3</v>
      </c>
      <c r="B13" s="127" t="s">
        <v>401</v>
      </c>
      <c r="C13" s="501">
        <f>+'1.mell._Össz_Mérleg2018'!C64</f>
        <v>1500</v>
      </c>
      <c r="D13" s="11">
        <f>+'1.mell._Össz_Mérleg2018'!D64</f>
        <v>9930</v>
      </c>
      <c r="E13" s="11">
        <f>+'1.mell._Össz_Mérleg2018'!E64</f>
        <v>3009</v>
      </c>
      <c r="F13" s="1412">
        <f>IF(ISERROR(E13/D13),"-",E13/D13)</f>
        <v>0.3030211480362538</v>
      </c>
      <c r="G13" s="20">
        <f>+'1.mell._Össz_Mérleg2018'!G64</f>
        <v>2120</v>
      </c>
      <c r="H13" s="11">
        <f>+'1.mell._Össz_Mérleg2018'!H64</f>
        <v>889</v>
      </c>
      <c r="I13" s="16">
        <f>+'1.mell._Össz_Mérleg2018'!I64</f>
        <v>0</v>
      </c>
      <c r="J13" s="128" t="s">
        <v>406</v>
      </c>
      <c r="K13" s="501">
        <f>+'1.mell._Össz_Mérleg2018'!C165</f>
        <v>0</v>
      </c>
      <c r="L13" s="11">
        <f>+'1.mell._Össz_Mérleg2018'!D165</f>
        <v>1200</v>
      </c>
      <c r="M13" s="11">
        <f>+'1.mell._Össz_Mérleg2018'!E165</f>
        <v>1200</v>
      </c>
      <c r="N13" s="1412">
        <f>IF(ISERROR(M13/L13),"-",M13/L13)</f>
        <v>1</v>
      </c>
      <c r="O13" s="20">
        <f>+'1.mell._Össz_Mérleg2018'!G165</f>
        <v>1200</v>
      </c>
      <c r="P13" s="11">
        <f>+'1.mell._Össz_Mérleg2018'!H165</f>
        <v>0</v>
      </c>
      <c r="Q13" s="16">
        <f>+'1.mell._Össz_Mérleg2018'!I165</f>
        <v>0</v>
      </c>
    </row>
    <row r="14" spans="1:17" s="13" customFormat="1" ht="24">
      <c r="A14" s="86" t="s">
        <v>341</v>
      </c>
      <c r="B14" s="123"/>
      <c r="C14" s="502"/>
      <c r="D14" s="12"/>
      <c r="E14" s="12"/>
      <c r="F14" s="1412"/>
      <c r="G14" s="19"/>
      <c r="H14" s="12"/>
      <c r="I14" s="15"/>
      <c r="J14" s="139" t="s">
        <v>340</v>
      </c>
      <c r="K14" s="502">
        <f>+'1.mell._Össz_Mérleg2018'!C170</f>
        <v>0</v>
      </c>
      <c r="L14" s="12">
        <f>+'1.mell._Össz_Mérleg2018'!D170</f>
        <v>0</v>
      </c>
      <c r="M14" s="12">
        <f>+'1.mell._Össz_Mérleg2018'!E170</f>
        <v>0</v>
      </c>
      <c r="N14" s="1412"/>
      <c r="O14" s="19">
        <f>+'1.mell._Össz_Mérleg2018'!G170</f>
        <v>0</v>
      </c>
      <c r="P14" s="12">
        <f>+'1.mell._Össz_Mérleg2018'!H170</f>
        <v>0</v>
      </c>
      <c r="Q14" s="15">
        <f>+'1.mell._Össz_Mérleg2018'!I170</f>
        <v>0</v>
      </c>
    </row>
    <row r="15" spans="1:17" ht="12.75" customHeight="1">
      <c r="A15" s="85" t="s">
        <v>16</v>
      </c>
      <c r="B15" s="127"/>
      <c r="C15" s="501"/>
      <c r="D15" s="11"/>
      <c r="E15" s="11"/>
      <c r="F15" s="1412"/>
      <c r="G15" s="20"/>
      <c r="H15" s="11"/>
      <c r="I15" s="16"/>
      <c r="J15" s="128"/>
      <c r="K15" s="501"/>
      <c r="L15" s="11"/>
      <c r="M15" s="11"/>
      <c r="N15" s="1412"/>
      <c r="O15" s="20"/>
      <c r="P15" s="11"/>
      <c r="Q15" s="16"/>
    </row>
    <row r="16" spans="1:17" s="13" customFormat="1">
      <c r="A16" s="85" t="s">
        <v>15</v>
      </c>
      <c r="B16" s="127"/>
      <c r="C16" s="501"/>
      <c r="D16" s="11"/>
      <c r="E16" s="11"/>
      <c r="F16" s="1412"/>
      <c r="G16" s="20"/>
      <c r="H16" s="11"/>
      <c r="I16" s="16"/>
      <c r="J16" s="128"/>
      <c r="K16" s="501"/>
      <c r="L16" s="11"/>
      <c r="M16" s="11"/>
      <c r="N16" s="1412"/>
      <c r="O16" s="20"/>
      <c r="P16" s="11"/>
      <c r="Q16" s="16"/>
    </row>
    <row r="17" spans="1:17" s="13" customFormat="1" ht="12.75" thickBot="1">
      <c r="A17" s="90" t="s">
        <v>360</v>
      </c>
      <c r="B17" s="124"/>
      <c r="C17" s="1059"/>
      <c r="D17" s="41"/>
      <c r="E17" s="41"/>
      <c r="F17" s="1416"/>
      <c r="G17" s="46"/>
      <c r="H17" s="41"/>
      <c r="I17" s="42"/>
      <c r="J17" s="138"/>
      <c r="K17" s="1059"/>
      <c r="L17" s="41"/>
      <c r="M17" s="41"/>
      <c r="N17" s="1416"/>
      <c r="O17" s="46"/>
      <c r="P17" s="41"/>
      <c r="Q17" s="42"/>
    </row>
    <row r="18" spans="1:17" s="3" customFormat="1" ht="12.75" thickBot="1">
      <c r="A18" s="83" t="s">
        <v>14</v>
      </c>
      <c r="B18" s="70" t="s">
        <v>392</v>
      </c>
      <c r="C18" s="1049">
        <f t="shared" ref="C18:F18" si="2">+C19</f>
        <v>8000</v>
      </c>
      <c r="D18" s="28">
        <f t="shared" si="2"/>
        <v>1857788</v>
      </c>
      <c r="E18" s="28">
        <f t="shared" si="2"/>
        <v>1857788</v>
      </c>
      <c r="F18" s="1408">
        <f t="shared" ref="F18:F35" si="3">IF(ISERROR(E18/D18),"-",E18/D18)</f>
        <v>1</v>
      </c>
      <c r="G18" s="27">
        <f>+G19</f>
        <v>1857788</v>
      </c>
      <c r="H18" s="28">
        <f>+H19</f>
        <v>0</v>
      </c>
      <c r="I18" s="29">
        <f>+I19</f>
        <v>0</v>
      </c>
      <c r="J18" s="70" t="s">
        <v>398</v>
      </c>
      <c r="K18" s="1049">
        <f t="shared" ref="K18:N18" si="4">+K19</f>
        <v>0</v>
      </c>
      <c r="L18" s="28">
        <f t="shared" si="4"/>
        <v>0</v>
      </c>
      <c r="M18" s="28">
        <f t="shared" si="4"/>
        <v>0</v>
      </c>
      <c r="N18" s="1408" t="str">
        <f t="shared" ref="N18:N35" si="5">IF(ISERROR(M18/L18),"-",M18/L18)</f>
        <v>-</v>
      </c>
      <c r="O18" s="27">
        <f>+O19</f>
        <v>0</v>
      </c>
      <c r="P18" s="28">
        <f>+P19</f>
        <v>0</v>
      </c>
      <c r="Q18" s="29">
        <f>+Q19</f>
        <v>0</v>
      </c>
    </row>
    <row r="19" spans="1:17">
      <c r="A19" s="125" t="s">
        <v>13</v>
      </c>
      <c r="B19" s="120" t="s">
        <v>1012</v>
      </c>
      <c r="C19" s="631">
        <f t="shared" ref="C19:F19" si="6">+C20+C30+C31</f>
        <v>8000</v>
      </c>
      <c r="D19" s="47">
        <f t="shared" si="6"/>
        <v>1857788</v>
      </c>
      <c r="E19" s="47">
        <f t="shared" si="6"/>
        <v>1857788</v>
      </c>
      <c r="F19" s="1422">
        <f t="shared" si="3"/>
        <v>1</v>
      </c>
      <c r="G19" s="49">
        <f>+G20+G30+G31</f>
        <v>1857788</v>
      </c>
      <c r="H19" s="47">
        <f>+H20+H30+H31</f>
        <v>0</v>
      </c>
      <c r="I19" s="48">
        <f>+I20+I30+I31</f>
        <v>0</v>
      </c>
      <c r="J19" s="120" t="s">
        <v>1013</v>
      </c>
      <c r="K19" s="631">
        <f t="shared" ref="K19:N19" si="7">+K20+K30+K31</f>
        <v>0</v>
      </c>
      <c r="L19" s="47">
        <f t="shared" si="7"/>
        <v>0</v>
      </c>
      <c r="M19" s="47">
        <f t="shared" si="7"/>
        <v>0</v>
      </c>
      <c r="N19" s="1422" t="str">
        <f t="shared" si="5"/>
        <v>-</v>
      </c>
      <c r="O19" s="49">
        <f>+O20+O30+O31</f>
        <v>0</v>
      </c>
      <c r="P19" s="47">
        <f>+P20+P30+P31</f>
        <v>0</v>
      </c>
      <c r="Q19" s="48">
        <f>+Q20+Q30+Q31</f>
        <v>0</v>
      </c>
    </row>
    <row r="20" spans="1:17" s="13" customFormat="1">
      <c r="A20" s="84" t="s">
        <v>66</v>
      </c>
      <c r="B20" s="65" t="s">
        <v>1008</v>
      </c>
      <c r="C20" s="1051">
        <f t="shared" ref="C20:F20" si="8">+C21+C22+C23+C24+C25+C26+C27+C28</f>
        <v>8000</v>
      </c>
      <c r="D20" s="10">
        <f t="shared" si="8"/>
        <v>1857788</v>
      </c>
      <c r="E20" s="10">
        <f t="shared" si="8"/>
        <v>1857788</v>
      </c>
      <c r="F20" s="1410">
        <f t="shared" si="3"/>
        <v>1</v>
      </c>
      <c r="G20" s="34">
        <f>+G21+G22+G23+G24+G25+G26+G27+G28</f>
        <v>1857788</v>
      </c>
      <c r="H20" s="10">
        <f>+H21+H22+H23+H24+H25+H26+H27+H28</f>
        <v>0</v>
      </c>
      <c r="I20" s="35">
        <f>+I21+I22+I23+I24+I25+I26+I27+I28</f>
        <v>0</v>
      </c>
      <c r="J20" s="65" t="s">
        <v>1009</v>
      </c>
      <c r="K20" s="1051">
        <f t="shared" ref="K20:N20" si="9">+K21+K22+K23+K24+K25+K26+K27+K28</f>
        <v>0</v>
      </c>
      <c r="L20" s="10">
        <f t="shared" si="9"/>
        <v>0</v>
      </c>
      <c r="M20" s="10">
        <f t="shared" si="9"/>
        <v>0</v>
      </c>
      <c r="N20" s="1410" t="str">
        <f t="shared" si="5"/>
        <v>-</v>
      </c>
      <c r="O20" s="34">
        <f>+O21+O22+O23+O24+O25+O26+O27+O28</f>
        <v>0</v>
      </c>
      <c r="P20" s="10">
        <f>+P21+P22+P23+P24+P25+P26+P27+P28</f>
        <v>0</v>
      </c>
      <c r="Q20" s="35">
        <f>+Q21+Q22+Q23+Q24+Q25+Q26+Q27+Q28</f>
        <v>0</v>
      </c>
    </row>
    <row r="21" spans="1:17" s="13" customFormat="1">
      <c r="A21" s="86" t="s">
        <v>363</v>
      </c>
      <c r="B21" s="66" t="s">
        <v>246</v>
      </c>
      <c r="C21" s="502">
        <f>+'1.mell._Össz_Mérleg2018'!C89</f>
        <v>8000</v>
      </c>
      <c r="D21" s="12">
        <f>+'1.mell._Össz_Mérleg2018'!D89</f>
        <v>0</v>
      </c>
      <c r="E21" s="12">
        <f>+'1.mell._Össz_Mérleg2018'!E89</f>
        <v>0</v>
      </c>
      <c r="F21" s="1412" t="str">
        <f t="shared" si="3"/>
        <v>-</v>
      </c>
      <c r="G21" s="19">
        <f>+'1.mell._Össz_Mérleg2018'!G89</f>
        <v>0</v>
      </c>
      <c r="H21" s="12">
        <f>+'1.mell._Össz_Mérleg2018'!H89</f>
        <v>0</v>
      </c>
      <c r="I21" s="15">
        <f>+'1.mell._Össz_Mérleg2018'!I89</f>
        <v>0</v>
      </c>
      <c r="J21" s="66" t="s">
        <v>170</v>
      </c>
      <c r="K21" s="502">
        <f>+'1.mell._Össz_Mérleg2018'!C195</f>
        <v>0</v>
      </c>
      <c r="L21" s="12">
        <f>+'1.mell._Össz_Mérleg2018'!D195</f>
        <v>0</v>
      </c>
      <c r="M21" s="12">
        <f>+'1.mell._Össz_Mérleg2018'!E195</f>
        <v>0</v>
      </c>
      <c r="N21" s="1412" t="str">
        <f t="shared" si="5"/>
        <v>-</v>
      </c>
      <c r="O21" s="19">
        <f>+'1.mell._Össz_Mérleg2018'!G195</f>
        <v>0</v>
      </c>
      <c r="P21" s="12">
        <f>+'1.mell._Össz_Mérleg2018'!H195</f>
        <v>0</v>
      </c>
      <c r="Q21" s="15">
        <f>+'1.mell._Össz_Mérleg2018'!I195</f>
        <v>0</v>
      </c>
    </row>
    <row r="22" spans="1:17" s="13" customFormat="1">
      <c r="A22" s="86" t="s">
        <v>364</v>
      </c>
      <c r="B22" s="66" t="s">
        <v>247</v>
      </c>
      <c r="C22" s="502">
        <f>+'1.mell._Össz_Mérleg2018'!C90</f>
        <v>0</v>
      </c>
      <c r="D22" s="12">
        <f>+'1.mell._Össz_Mérleg2018'!D90</f>
        <v>0</v>
      </c>
      <c r="E22" s="12">
        <f>+'1.mell._Össz_Mérleg2018'!E90</f>
        <v>0</v>
      </c>
      <c r="F22" s="1412" t="str">
        <f t="shared" si="3"/>
        <v>-</v>
      </c>
      <c r="G22" s="19">
        <f>+'1.mell._Össz_Mérleg2018'!G90</f>
        <v>0</v>
      </c>
      <c r="H22" s="12">
        <f>+'1.mell._Össz_Mérleg2018'!H90</f>
        <v>0</v>
      </c>
      <c r="I22" s="15">
        <f>+'1.mell._Össz_Mérleg2018'!I90</f>
        <v>0</v>
      </c>
      <c r="J22" s="66" t="s">
        <v>171</v>
      </c>
      <c r="K22" s="502">
        <f>+'1.mell._Össz_Mérleg2018'!C196</f>
        <v>0</v>
      </c>
      <c r="L22" s="12">
        <f>+'1.mell._Össz_Mérleg2018'!D196</f>
        <v>0</v>
      </c>
      <c r="M22" s="12">
        <f>+'1.mell._Össz_Mérleg2018'!E196</f>
        <v>0</v>
      </c>
      <c r="N22" s="1412" t="str">
        <f t="shared" si="5"/>
        <v>-</v>
      </c>
      <c r="O22" s="19">
        <f>+'1.mell._Össz_Mérleg2018'!G196</f>
        <v>0</v>
      </c>
      <c r="P22" s="12">
        <f>+'1.mell._Össz_Mérleg2018'!H196</f>
        <v>0</v>
      </c>
      <c r="Q22" s="15">
        <f>+'1.mell._Össz_Mérleg2018'!I196</f>
        <v>0</v>
      </c>
    </row>
    <row r="23" spans="1:17" s="13" customFormat="1">
      <c r="A23" s="86" t="s">
        <v>365</v>
      </c>
      <c r="B23" s="66" t="s">
        <v>248</v>
      </c>
      <c r="C23" s="502">
        <f>+'1.mell._Össz_Mérleg2018'!C91</f>
        <v>0</v>
      </c>
      <c r="D23" s="12">
        <f>+'1.mell._Össz_Mérleg2018'!D91</f>
        <v>1857788</v>
      </c>
      <c r="E23" s="12">
        <f>+'1.mell._Össz_Mérleg2018'!E91</f>
        <v>1857788</v>
      </c>
      <c r="F23" s="1412">
        <f t="shared" si="3"/>
        <v>1</v>
      </c>
      <c r="G23" s="19">
        <f>+'1.mell._Össz_Mérleg2018'!G91</f>
        <v>1857788</v>
      </c>
      <c r="H23" s="12">
        <f>+'1.mell._Össz_Mérleg2018'!H91</f>
        <v>0</v>
      </c>
      <c r="I23" s="15">
        <f>+'1.mell._Össz_Mérleg2018'!I91</f>
        <v>0</v>
      </c>
      <c r="J23" s="66" t="s">
        <v>172</v>
      </c>
      <c r="K23" s="502">
        <f>+'1.mell._Össz_Mérleg2018'!C197</f>
        <v>0</v>
      </c>
      <c r="L23" s="12">
        <f>+'1.mell._Össz_Mérleg2018'!D197</f>
        <v>0</v>
      </c>
      <c r="M23" s="12">
        <f>+'1.mell._Össz_Mérleg2018'!E197</f>
        <v>0</v>
      </c>
      <c r="N23" s="1412" t="str">
        <f t="shared" si="5"/>
        <v>-</v>
      </c>
      <c r="O23" s="19">
        <f>+'1.mell._Össz_Mérleg2018'!G197</f>
        <v>0</v>
      </c>
      <c r="P23" s="12">
        <f>+'1.mell._Össz_Mérleg2018'!H197</f>
        <v>0</v>
      </c>
      <c r="Q23" s="15">
        <f>+'1.mell._Össz_Mérleg2018'!I197</f>
        <v>0</v>
      </c>
    </row>
    <row r="24" spans="1:17" s="13" customFormat="1">
      <c r="A24" s="86" t="s">
        <v>366</v>
      </c>
      <c r="B24" s="66" t="s">
        <v>249</v>
      </c>
      <c r="C24" s="502">
        <f>+'1.mell._Össz_Mérleg2018'!C92</f>
        <v>0</v>
      </c>
      <c r="D24" s="12">
        <f>+'1.mell._Össz_Mérleg2018'!D92</f>
        <v>0</v>
      </c>
      <c r="E24" s="12">
        <f>+'1.mell._Össz_Mérleg2018'!E92</f>
        <v>0</v>
      </c>
      <c r="F24" s="1412" t="str">
        <f t="shared" si="3"/>
        <v>-</v>
      </c>
      <c r="G24" s="19">
        <f>+'1.mell._Össz_Mérleg2018'!G92</f>
        <v>0</v>
      </c>
      <c r="H24" s="12">
        <f>+'1.mell._Össz_Mérleg2018'!H92</f>
        <v>0</v>
      </c>
      <c r="I24" s="15">
        <f>+'1.mell._Össz_Mérleg2018'!I92</f>
        <v>0</v>
      </c>
      <c r="J24" s="66" t="s">
        <v>173</v>
      </c>
      <c r="K24" s="502">
        <f>+'1.mell._Össz_Mérleg2018'!C198</f>
        <v>0</v>
      </c>
      <c r="L24" s="12">
        <f>+'1.mell._Össz_Mérleg2018'!D198</f>
        <v>0</v>
      </c>
      <c r="M24" s="12">
        <f>+'1.mell._Össz_Mérleg2018'!E198</f>
        <v>0</v>
      </c>
      <c r="N24" s="1412" t="str">
        <f t="shared" si="5"/>
        <v>-</v>
      </c>
      <c r="O24" s="19">
        <f>+'1.mell._Össz_Mérleg2018'!G198</f>
        <v>0</v>
      </c>
      <c r="P24" s="12">
        <f>+'1.mell._Össz_Mérleg2018'!H198</f>
        <v>0</v>
      </c>
      <c r="Q24" s="15">
        <f>+'1.mell._Össz_Mérleg2018'!I198</f>
        <v>0</v>
      </c>
    </row>
    <row r="25" spans="1:17" s="13" customFormat="1">
      <c r="A25" s="86" t="s">
        <v>367</v>
      </c>
      <c r="B25" s="66" t="s">
        <v>250</v>
      </c>
      <c r="C25" s="502">
        <f>+'1.mell._Össz_Mérleg2018'!C93</f>
        <v>0</v>
      </c>
      <c r="D25" s="12">
        <f>+'1.mell._Össz_Mérleg2018'!D93</f>
        <v>0</v>
      </c>
      <c r="E25" s="12">
        <f>+'1.mell._Össz_Mérleg2018'!E93</f>
        <v>0</v>
      </c>
      <c r="F25" s="1412" t="str">
        <f t="shared" si="3"/>
        <v>-</v>
      </c>
      <c r="G25" s="19">
        <f>+'1.mell._Össz_Mérleg2018'!G93</f>
        <v>0</v>
      </c>
      <c r="H25" s="12">
        <f>+'1.mell._Össz_Mérleg2018'!H93</f>
        <v>0</v>
      </c>
      <c r="I25" s="15">
        <f>+'1.mell._Össz_Mérleg2018'!I93</f>
        <v>0</v>
      </c>
      <c r="J25" s="66" t="s">
        <v>174</v>
      </c>
      <c r="K25" s="502">
        <f>+'1.mell._Össz_Mérleg2018'!C199</f>
        <v>0</v>
      </c>
      <c r="L25" s="12">
        <f>+'1.mell._Össz_Mérleg2018'!D199</f>
        <v>0</v>
      </c>
      <c r="M25" s="12">
        <f>+'1.mell._Össz_Mérleg2018'!E199</f>
        <v>0</v>
      </c>
      <c r="N25" s="1412" t="str">
        <f t="shared" si="5"/>
        <v>-</v>
      </c>
      <c r="O25" s="19">
        <f>+'1.mell._Össz_Mérleg2018'!G199</f>
        <v>0</v>
      </c>
      <c r="P25" s="12">
        <f>+'1.mell._Össz_Mérleg2018'!H199</f>
        <v>0</v>
      </c>
      <c r="Q25" s="15">
        <f>+'1.mell._Össz_Mérleg2018'!I199</f>
        <v>0</v>
      </c>
    </row>
    <row r="26" spans="1:17" s="13" customFormat="1">
      <c r="A26" s="86" t="s">
        <v>368</v>
      </c>
      <c r="B26" s="66" t="s">
        <v>251</v>
      </c>
      <c r="C26" s="502">
        <f>+'1.mell._Össz_Mérleg2018'!C94</f>
        <v>0</v>
      </c>
      <c r="D26" s="12">
        <f>+'1.mell._Össz_Mérleg2018'!D94</f>
        <v>0</v>
      </c>
      <c r="E26" s="12">
        <f>+'1.mell._Össz_Mérleg2018'!E94</f>
        <v>0</v>
      </c>
      <c r="F26" s="1412" t="str">
        <f t="shared" si="3"/>
        <v>-</v>
      </c>
      <c r="G26" s="19">
        <f>+'1.mell._Össz_Mérleg2018'!G94</f>
        <v>0</v>
      </c>
      <c r="H26" s="12">
        <f>+'1.mell._Össz_Mérleg2018'!H94</f>
        <v>0</v>
      </c>
      <c r="I26" s="15">
        <f>+'1.mell._Össz_Mérleg2018'!I94</f>
        <v>0</v>
      </c>
      <c r="J26" s="66" t="s">
        <v>179</v>
      </c>
      <c r="K26" s="502">
        <f>+'1.mell._Össz_Mérleg2018'!C200</f>
        <v>0</v>
      </c>
      <c r="L26" s="12">
        <f>+'1.mell._Össz_Mérleg2018'!D200</f>
        <v>0</v>
      </c>
      <c r="M26" s="12">
        <f>+'1.mell._Össz_Mérleg2018'!E200</f>
        <v>0</v>
      </c>
      <c r="N26" s="1412" t="str">
        <f t="shared" si="5"/>
        <v>-</v>
      </c>
      <c r="O26" s="19">
        <f>+'1.mell._Össz_Mérleg2018'!G200</f>
        <v>0</v>
      </c>
      <c r="P26" s="12">
        <f>+'1.mell._Össz_Mérleg2018'!H200</f>
        <v>0</v>
      </c>
      <c r="Q26" s="15">
        <f>+'1.mell._Össz_Mérleg2018'!I200</f>
        <v>0</v>
      </c>
    </row>
    <row r="27" spans="1:17" s="13" customFormat="1">
      <c r="A27" s="86" t="s">
        <v>369</v>
      </c>
      <c r="B27" s="66" t="s">
        <v>252</v>
      </c>
      <c r="C27" s="502">
        <f>+'1.mell._Össz_Mérleg2018'!C95</f>
        <v>0</v>
      </c>
      <c r="D27" s="12">
        <f>+'1.mell._Össz_Mérleg2018'!D95</f>
        <v>0</v>
      </c>
      <c r="E27" s="12">
        <f>+'1.mell._Össz_Mérleg2018'!E95</f>
        <v>0</v>
      </c>
      <c r="F27" s="1412" t="str">
        <f t="shared" si="3"/>
        <v>-</v>
      </c>
      <c r="G27" s="19">
        <f>+'1.mell._Össz_Mérleg2018'!G95</f>
        <v>0</v>
      </c>
      <c r="H27" s="12">
        <f>+'1.mell._Össz_Mérleg2018'!H95</f>
        <v>0</v>
      </c>
      <c r="I27" s="15">
        <f>+'1.mell._Össz_Mérleg2018'!I95</f>
        <v>0</v>
      </c>
      <c r="J27" s="66" t="s">
        <v>175</v>
      </c>
      <c r="K27" s="502">
        <f>+'1.mell._Össz_Mérleg2018'!C201</f>
        <v>0</v>
      </c>
      <c r="L27" s="12">
        <f>+'1.mell._Össz_Mérleg2018'!D201</f>
        <v>0</v>
      </c>
      <c r="M27" s="12">
        <f>+'1.mell._Össz_Mérleg2018'!E201</f>
        <v>0</v>
      </c>
      <c r="N27" s="1412" t="str">
        <f t="shared" si="5"/>
        <v>-</v>
      </c>
      <c r="O27" s="19">
        <f>+'1.mell._Össz_Mérleg2018'!G201</f>
        <v>0</v>
      </c>
      <c r="P27" s="12">
        <f>+'1.mell._Össz_Mérleg2018'!H201</f>
        <v>0</v>
      </c>
      <c r="Q27" s="15">
        <f>+'1.mell._Össz_Mérleg2018'!I201</f>
        <v>0</v>
      </c>
    </row>
    <row r="28" spans="1:17">
      <c r="A28" s="86" t="s">
        <v>370</v>
      </c>
      <c r="B28" s="66" t="s">
        <v>245</v>
      </c>
      <c r="C28" s="502">
        <f>+'1.mell._Össz_Mérleg2018'!C96</f>
        <v>0</v>
      </c>
      <c r="D28" s="12">
        <f>+'1.mell._Össz_Mérleg2018'!D96</f>
        <v>0</v>
      </c>
      <c r="E28" s="12">
        <f>+'1.mell._Össz_Mérleg2018'!E96</f>
        <v>0</v>
      </c>
      <c r="F28" s="1412" t="str">
        <f t="shared" si="3"/>
        <v>-</v>
      </c>
      <c r="G28" s="19">
        <f>+'1.mell._Össz_Mérleg2018'!G96</f>
        <v>0</v>
      </c>
      <c r="H28" s="12">
        <f>+'1.mell._Össz_Mérleg2018'!H96</f>
        <v>0</v>
      </c>
      <c r="I28" s="15">
        <f>+'1.mell._Össz_Mérleg2018'!I96</f>
        <v>0</v>
      </c>
      <c r="J28" s="66" t="s">
        <v>176</v>
      </c>
      <c r="K28" s="502">
        <f>+'1.mell._Össz_Mérleg2018'!C202</f>
        <v>0</v>
      </c>
      <c r="L28" s="12">
        <f>+'1.mell._Össz_Mérleg2018'!D202</f>
        <v>0</v>
      </c>
      <c r="M28" s="12">
        <f>+'1.mell._Össz_Mérleg2018'!E202</f>
        <v>0</v>
      </c>
      <c r="N28" s="1412" t="str">
        <f t="shared" si="5"/>
        <v>-</v>
      </c>
      <c r="O28" s="19">
        <f>+'1.mell._Össz_Mérleg2018'!G202</f>
        <v>0</v>
      </c>
      <c r="P28" s="12">
        <f>+'1.mell._Össz_Mérleg2018'!H202</f>
        <v>0</v>
      </c>
      <c r="Q28" s="15">
        <f>+'1.mell._Össz_Mérleg2018'!I202</f>
        <v>0</v>
      </c>
    </row>
    <row r="29" spans="1:17">
      <c r="A29" s="86" t="s">
        <v>1007</v>
      </c>
      <c r="B29" s="66" t="s">
        <v>977</v>
      </c>
      <c r="C29" s="502">
        <f>+'1.mell._Össz_Mérleg2018'!C97</f>
        <v>0</v>
      </c>
      <c r="D29" s="12">
        <f>+'1.mell._Össz_Mérleg2018'!D97</f>
        <v>0</v>
      </c>
      <c r="E29" s="12">
        <f>+'1.mell._Össz_Mérleg2018'!E97</f>
        <v>0</v>
      </c>
      <c r="F29" s="1412" t="str">
        <f t="shared" si="3"/>
        <v>-</v>
      </c>
      <c r="G29" s="19">
        <f>+'1.mell._Össz_Mérleg2018'!G97</f>
        <v>0</v>
      </c>
      <c r="H29" s="12">
        <f>+'1.mell._Össz_Mérleg2018'!H97</f>
        <v>0</v>
      </c>
      <c r="I29" s="15">
        <f>+'1.mell._Össz_Mérleg2018'!I97</f>
        <v>0</v>
      </c>
      <c r="J29" s="66" t="s">
        <v>1001</v>
      </c>
      <c r="K29" s="502">
        <f>+'1.mell._Össz_Mérleg2018'!C203</f>
        <v>0</v>
      </c>
      <c r="L29" s="12">
        <f>+'1.mell._Össz_Mérleg2018'!D203</f>
        <v>0</v>
      </c>
      <c r="M29" s="12">
        <f>+'1.mell._Össz_Mérleg2018'!E203</f>
        <v>0</v>
      </c>
      <c r="N29" s="1412" t="str">
        <f t="shared" si="5"/>
        <v>-</v>
      </c>
      <c r="O29" s="19">
        <f>+'1.mell._Össz_Mérleg2018'!G203</f>
        <v>0</v>
      </c>
      <c r="P29" s="12">
        <f>+'1.mell._Össz_Mérleg2018'!H203</f>
        <v>0</v>
      </c>
      <c r="Q29" s="15">
        <f>+'1.mell._Össz_Mérleg2018'!I203</f>
        <v>0</v>
      </c>
    </row>
    <row r="30" spans="1:17">
      <c r="A30" s="85" t="s">
        <v>67</v>
      </c>
      <c r="B30" s="67" t="s">
        <v>243</v>
      </c>
      <c r="C30" s="501">
        <f>+'1.mell._Össz_Mérleg2018'!C98</f>
        <v>0</v>
      </c>
      <c r="D30" s="11">
        <f>+'1.mell._Össz_Mérleg2018'!D98</f>
        <v>0</v>
      </c>
      <c r="E30" s="11">
        <f>+'1.mell._Össz_Mérleg2018'!E98</f>
        <v>0</v>
      </c>
      <c r="F30" s="1412" t="str">
        <f t="shared" si="3"/>
        <v>-</v>
      </c>
      <c r="G30" s="20">
        <f>+'1.mell._Össz_Mérleg2018'!G98</f>
        <v>0</v>
      </c>
      <c r="H30" s="11">
        <f>+'1.mell._Össz_Mérleg2018'!H98</f>
        <v>0</v>
      </c>
      <c r="I30" s="16">
        <f>+'1.mell._Össz_Mérleg2018'!I98</f>
        <v>0</v>
      </c>
      <c r="J30" s="67" t="s">
        <v>177</v>
      </c>
      <c r="K30" s="501">
        <f>+'1.mell._Össz_Mérleg2018'!C204</f>
        <v>0</v>
      </c>
      <c r="L30" s="11">
        <f>+'1.mell._Össz_Mérleg2018'!D204</f>
        <v>0</v>
      </c>
      <c r="M30" s="11">
        <f>+'1.mell._Össz_Mérleg2018'!E204</f>
        <v>0</v>
      </c>
      <c r="N30" s="1412" t="str">
        <f t="shared" si="5"/>
        <v>-</v>
      </c>
      <c r="O30" s="20">
        <f>+'1.mell._Össz_Mérleg2018'!G204</f>
        <v>0</v>
      </c>
      <c r="P30" s="11">
        <f>+'1.mell._Össz_Mérleg2018'!H204</f>
        <v>0</v>
      </c>
      <c r="Q30" s="16">
        <f>+'1.mell._Össz_Mérleg2018'!I204</f>
        <v>0</v>
      </c>
    </row>
    <row r="31" spans="1:17" s="3" customFormat="1">
      <c r="A31" s="78" t="s">
        <v>68</v>
      </c>
      <c r="B31" s="68" t="s">
        <v>244</v>
      </c>
      <c r="C31" s="500">
        <f>+'1.mell._Össz_Mérleg2018'!C99</f>
        <v>0</v>
      </c>
      <c r="D31" s="22">
        <f>+'1.mell._Össz_Mérleg2018'!D99</f>
        <v>0</v>
      </c>
      <c r="E31" s="22">
        <f>+'1.mell._Össz_Mérleg2018'!E99</f>
        <v>0</v>
      </c>
      <c r="F31" s="1411" t="str">
        <f t="shared" si="3"/>
        <v>-</v>
      </c>
      <c r="G31" s="21">
        <f>+'1.mell._Össz_Mérleg2018'!G99</f>
        <v>0</v>
      </c>
      <c r="H31" s="22">
        <f>+'1.mell._Össz_Mérleg2018'!H99</f>
        <v>0</v>
      </c>
      <c r="I31" s="23">
        <f>+'1.mell._Össz_Mérleg2018'!I99</f>
        <v>0</v>
      </c>
      <c r="J31" s="68" t="s">
        <v>178</v>
      </c>
      <c r="K31" s="500">
        <f>+'1.mell._Össz_Mérleg2018'!C205</f>
        <v>0</v>
      </c>
      <c r="L31" s="22">
        <f>+'1.mell._Össz_Mérleg2018'!D205</f>
        <v>0</v>
      </c>
      <c r="M31" s="22">
        <f>+'1.mell._Össz_Mérleg2018'!E205</f>
        <v>0</v>
      </c>
      <c r="N31" s="1411" t="str">
        <f t="shared" si="5"/>
        <v>-</v>
      </c>
      <c r="O31" s="21">
        <f>+'1.mell._Össz_Mérleg2018'!G205</f>
        <v>0</v>
      </c>
      <c r="P31" s="22">
        <f>+'1.mell._Össz_Mérleg2018'!H205</f>
        <v>0</v>
      </c>
      <c r="Q31" s="23">
        <f>+'1.mell._Össz_Mérleg2018'!I205</f>
        <v>0</v>
      </c>
    </row>
    <row r="32" spans="1:17" s="3" customFormat="1" ht="12.75" thickBot="1">
      <c r="A32" s="78" t="s">
        <v>230</v>
      </c>
      <c r="B32" s="68" t="s">
        <v>979</v>
      </c>
      <c r="C32" s="500">
        <f>+'1.mell._Össz_Mérleg2018'!C100</f>
        <v>0</v>
      </c>
      <c r="D32" s="22">
        <f>+'1.mell._Össz_Mérleg2018'!D100</f>
        <v>0</v>
      </c>
      <c r="E32" s="22">
        <f>+'1.mell._Össz_Mérleg2018'!E100</f>
        <v>0</v>
      </c>
      <c r="F32" s="1411" t="str">
        <f t="shared" si="3"/>
        <v>-</v>
      </c>
      <c r="G32" s="21">
        <f>+'1.mell._Össz_Mérleg2018'!G100</f>
        <v>0</v>
      </c>
      <c r="H32" s="22">
        <f>+'1.mell._Össz_Mérleg2018'!H100</f>
        <v>0</v>
      </c>
      <c r="I32" s="23">
        <f>+'1.mell._Össz_Mérleg2018'!I100</f>
        <v>0</v>
      </c>
      <c r="J32" s="68" t="s">
        <v>1002</v>
      </c>
      <c r="K32" s="500">
        <f>+'1.mell._Össz_Mérleg2018'!C206</f>
        <v>0</v>
      </c>
      <c r="L32" s="22">
        <f>+'1.mell._Össz_Mérleg2018'!D206</f>
        <v>0</v>
      </c>
      <c r="M32" s="22">
        <f>+'1.mell._Össz_Mérleg2018'!E206</f>
        <v>0</v>
      </c>
      <c r="N32" s="1411" t="str">
        <f t="shared" si="5"/>
        <v>-</v>
      </c>
      <c r="O32" s="21">
        <f>+'1.mell._Össz_Mérleg2018'!G206</f>
        <v>0</v>
      </c>
      <c r="P32" s="22">
        <f>+'1.mell._Össz_Mérleg2018'!H206</f>
        <v>0</v>
      </c>
      <c r="Q32" s="23">
        <f>+'1.mell._Össz_Mérleg2018'!I206</f>
        <v>0</v>
      </c>
    </row>
    <row r="33" spans="1:17" s="3" customFormat="1" ht="12.75" thickBot="1">
      <c r="A33" s="81" t="s">
        <v>12</v>
      </c>
      <c r="B33" s="136" t="s">
        <v>393</v>
      </c>
      <c r="C33" s="1048">
        <f t="shared" ref="C33:F33" si="10">+C8+C18</f>
        <v>96682</v>
      </c>
      <c r="D33" s="134">
        <f t="shared" si="10"/>
        <v>3207268</v>
      </c>
      <c r="E33" s="134">
        <f t="shared" si="10"/>
        <v>3198825</v>
      </c>
      <c r="F33" s="1421">
        <f t="shared" si="3"/>
        <v>0.99736754147143303</v>
      </c>
      <c r="G33" s="135">
        <f>+G8+G18</f>
        <v>3197936</v>
      </c>
      <c r="H33" s="134">
        <f>+H8+H18</f>
        <v>889</v>
      </c>
      <c r="I33" s="133">
        <f>+I8+I18</f>
        <v>0</v>
      </c>
      <c r="J33" s="121" t="s">
        <v>397</v>
      </c>
      <c r="K33" s="1049">
        <f t="shared" ref="K33:N33" si="11">+K8+K18</f>
        <v>1716878</v>
      </c>
      <c r="L33" s="28">
        <f t="shared" si="11"/>
        <v>760213</v>
      </c>
      <c r="M33" s="28">
        <f t="shared" si="11"/>
        <v>706531</v>
      </c>
      <c r="N33" s="1421">
        <f t="shared" si="5"/>
        <v>0.92938558009399996</v>
      </c>
      <c r="O33" s="27">
        <f>+O8+O18</f>
        <v>706109</v>
      </c>
      <c r="P33" s="28">
        <f>+P8+P18</f>
        <v>422</v>
      </c>
      <c r="Q33" s="29">
        <f>+Q8+Q18</f>
        <v>0</v>
      </c>
    </row>
    <row r="34" spans="1:17" s="3" customFormat="1" ht="12.75" thickBot="1">
      <c r="A34" s="83" t="s">
        <v>11</v>
      </c>
      <c r="B34" s="69" t="s">
        <v>407</v>
      </c>
      <c r="C34" s="1066">
        <f t="shared" ref="C34:F34" si="12">IF(((K8-C8)&gt;0),K8-C8,"----")</f>
        <v>1628196</v>
      </c>
      <c r="D34" s="141" t="str">
        <f t="shared" si="12"/>
        <v>----</v>
      </c>
      <c r="E34" s="141" t="str">
        <f t="shared" si="12"/>
        <v>----</v>
      </c>
      <c r="F34" s="1408" t="str">
        <f t="shared" si="3"/>
        <v>-</v>
      </c>
      <c r="G34" s="142" t="str">
        <f>IF(((O8-G8)&gt;0),O8-G8,"----")</f>
        <v>----</v>
      </c>
      <c r="H34" s="141" t="str">
        <f>IF(((P8-H8)&gt;0),P8-H8,"----")</f>
        <v>----</v>
      </c>
      <c r="I34" s="140" t="str">
        <f>IF(((Q8-I8)&gt;0),Q8-I8,"----")</f>
        <v>----</v>
      </c>
      <c r="J34" s="69" t="s">
        <v>396</v>
      </c>
      <c r="K34" s="1066" t="str">
        <f t="shared" ref="K34:N34" si="13">IF(((C8-K8)&gt;0),C8-K8,"----")</f>
        <v>----</v>
      </c>
      <c r="L34" s="141">
        <f t="shared" si="13"/>
        <v>589267</v>
      </c>
      <c r="M34" s="141">
        <f t="shared" si="13"/>
        <v>634506</v>
      </c>
      <c r="N34" s="1408">
        <f t="shared" si="5"/>
        <v>1.0767716502027094</v>
      </c>
      <c r="O34" s="142">
        <f>IF(((G8-O8)&gt;0),G8-O8,"----")</f>
        <v>634039</v>
      </c>
      <c r="P34" s="141">
        <f>IF(((H8-P8)&gt;0),H8-P8,"----")</f>
        <v>467</v>
      </c>
      <c r="Q34" s="140" t="str">
        <f>IF(((I8-Q8)&gt;0),I8-Q8,"----")</f>
        <v>----</v>
      </c>
    </row>
    <row r="35" spans="1:17" s="3" customFormat="1" ht="12.75" thickBot="1">
      <c r="A35" s="83" t="s">
        <v>10</v>
      </c>
      <c r="B35" s="69" t="s">
        <v>394</v>
      </c>
      <c r="C35" s="1066" t="str">
        <f t="shared" ref="C35:F35" si="14">IF(((K18-C18)&gt;0),K18-C18,"----")</f>
        <v>----</v>
      </c>
      <c r="D35" s="141" t="str">
        <f t="shared" si="14"/>
        <v>----</v>
      </c>
      <c r="E35" s="141" t="str">
        <f t="shared" si="14"/>
        <v>----</v>
      </c>
      <c r="F35" s="1408" t="str">
        <f t="shared" si="3"/>
        <v>-</v>
      </c>
      <c r="G35" s="142" t="str">
        <f>IF(((O18-G18)&gt;0),O18-G18,"----")</f>
        <v>----</v>
      </c>
      <c r="H35" s="141" t="str">
        <f>IF(((P18-H18)&gt;0),P18-H18,"----")</f>
        <v>----</v>
      </c>
      <c r="I35" s="140" t="str">
        <f>IF(((Q18-I18)&gt;0),Q18-I18,"----")</f>
        <v>----</v>
      </c>
      <c r="J35" s="69" t="s">
        <v>395</v>
      </c>
      <c r="K35" s="1066">
        <f t="shared" ref="K35:N35" si="15">IF(((C18-K18)&gt;0),C18-K18,"----")</f>
        <v>8000</v>
      </c>
      <c r="L35" s="141">
        <f t="shared" si="15"/>
        <v>1857788</v>
      </c>
      <c r="M35" s="141">
        <f t="shared" si="15"/>
        <v>1857788</v>
      </c>
      <c r="N35" s="1408">
        <f t="shared" si="5"/>
        <v>1</v>
      </c>
      <c r="O35" s="142">
        <f>IF(((G18-O18)&gt;0),G18-O18,"----")</f>
        <v>1857788</v>
      </c>
      <c r="P35" s="141" t="str">
        <f>IF(((H18-P18)&gt;0),H18-P18,"----")</f>
        <v>----</v>
      </c>
      <c r="Q35" s="140" t="str">
        <f>IF(((I18-Q18)&gt;0),I18-Q18,"----")</f>
        <v>----</v>
      </c>
    </row>
    <row r="37" spans="1:17" hidden="1">
      <c r="C37" s="4">
        <f>+C33+'2.a.mell._MMérleg2018'!C33</f>
        <v>3307354</v>
      </c>
      <c r="D37" s="4">
        <f>+D33+'2.a.mell._MMérleg2018'!D33</f>
        <v>5914946</v>
      </c>
      <c r="E37" s="4">
        <f>+E33+'2.a.mell._MMérleg2018'!E33</f>
        <v>5725328</v>
      </c>
      <c r="F37" s="4">
        <f>+F33+'2.a.mell._MMérleg2018'!F33</f>
        <v>1.9304559663136778</v>
      </c>
      <c r="G37" s="4">
        <f>+G33+'2.a.mell._MMérleg2018'!G33</f>
        <v>5694820</v>
      </c>
      <c r="H37" s="4">
        <f>+H33+'2.a.mell._MMérleg2018'!H33</f>
        <v>27681</v>
      </c>
      <c r="I37" s="4">
        <f>+I33+'2.a.mell._MMérleg2018'!I33</f>
        <v>2827</v>
      </c>
      <c r="K37" s="4">
        <f>+K33+'2.a.mell._MMérleg2018'!K33</f>
        <v>3307354</v>
      </c>
      <c r="L37" s="4">
        <f>+L33+'2.a.mell._MMérleg2018'!L33</f>
        <v>5914946</v>
      </c>
      <c r="M37" s="4">
        <f>+M33+'2.a.mell._MMérleg2018'!M33</f>
        <v>2624447</v>
      </c>
      <c r="N37" s="4">
        <f>+N33+'2.a.mell._MMérleg2018'!N33</f>
        <v>1.3014545116953069</v>
      </c>
      <c r="O37" s="4">
        <f>+O33+'2.a.mell._MMérleg2018'!O33</f>
        <v>2582095</v>
      </c>
      <c r="P37" s="4">
        <f>+P33+'2.a.mell._MMérleg2018'!P33</f>
        <v>39016</v>
      </c>
      <c r="Q37" s="4">
        <f>+Q33+'2.a.mell._MMérleg2018'!Q33</f>
        <v>3336</v>
      </c>
    </row>
    <row r="38" spans="1:17" hidden="1">
      <c r="C38" s="4">
        <f>+'1.mell._Össz_Mérleg2018'!C102</f>
        <v>3307354</v>
      </c>
      <c r="D38" s="4">
        <f>+'1.mell._Össz_Mérleg2018'!D102</f>
        <v>5914946</v>
      </c>
      <c r="E38" s="4">
        <f>+'1.mell._Össz_Mérleg2018'!E102</f>
        <v>5725328</v>
      </c>
      <c r="F38" s="4">
        <f>+'1.mell._Össz_Mérleg2018'!F102</f>
        <v>0.96794256447987859</v>
      </c>
      <c r="G38" s="4">
        <f>+'1.mell._Össz_Mérleg2018'!G102</f>
        <v>5694820</v>
      </c>
      <c r="H38" s="4">
        <f>+'1.mell._Össz_Mérleg2018'!H102</f>
        <v>27681</v>
      </c>
      <c r="I38" s="4">
        <f>+'1.mell._Össz_Mérleg2018'!I102</f>
        <v>2827</v>
      </c>
      <c r="K38" s="4">
        <f>+'1.mell._Össz_Mérleg2018'!C208</f>
        <v>3307354</v>
      </c>
      <c r="L38" s="4">
        <f>+'1.mell._Össz_Mérleg2018'!D208</f>
        <v>5914946</v>
      </c>
      <c r="M38" s="4">
        <f>+'1.mell._Össz_Mérleg2018'!E208</f>
        <v>2624447</v>
      </c>
      <c r="N38" s="4">
        <f>+'1.mell._Össz_Mérleg2018'!N102</f>
        <v>0</v>
      </c>
      <c r="O38" s="4">
        <f>+'1.mell._Össz_Mérleg2018'!G208</f>
        <v>2582095</v>
      </c>
      <c r="P38" s="4">
        <f>+'1.mell._Össz_Mérleg2018'!H208</f>
        <v>39016</v>
      </c>
      <c r="Q38" s="4">
        <f>+'1.mell._Össz_Mérleg2018'!I208</f>
        <v>3336</v>
      </c>
    </row>
    <row r="39" spans="1:17" hidden="1">
      <c r="C39" s="4">
        <f t="shared" ref="C39:I39" si="16">+C37-C38</f>
        <v>0</v>
      </c>
      <c r="D39" s="4">
        <f t="shared" si="16"/>
        <v>0</v>
      </c>
      <c r="E39" s="4">
        <f t="shared" si="16"/>
        <v>0</v>
      </c>
      <c r="F39" s="4">
        <f t="shared" ref="F39" si="17">+F37-F38</f>
        <v>0.96251340183379919</v>
      </c>
      <c r="G39" s="4">
        <f t="shared" si="16"/>
        <v>0</v>
      </c>
      <c r="H39" s="4">
        <f t="shared" si="16"/>
        <v>0</v>
      </c>
      <c r="I39" s="4">
        <f t="shared" si="16"/>
        <v>0</v>
      </c>
      <c r="K39" s="4">
        <f t="shared" ref="K39:Q39" si="18">+K37-K38</f>
        <v>0</v>
      </c>
      <c r="L39" s="4">
        <f t="shared" si="18"/>
        <v>0</v>
      </c>
      <c r="M39" s="4">
        <f t="shared" si="18"/>
        <v>0</v>
      </c>
      <c r="N39" s="4">
        <f t="shared" si="18"/>
        <v>1.3014545116953069</v>
      </c>
      <c r="O39" s="4">
        <f t="shared" si="18"/>
        <v>0</v>
      </c>
      <c r="P39" s="4">
        <f t="shared" si="18"/>
        <v>0</v>
      </c>
      <c r="Q39" s="4">
        <f t="shared" si="18"/>
        <v>0</v>
      </c>
    </row>
  </sheetData>
  <mergeCells count="4">
    <mergeCell ref="A3:Q3"/>
    <mergeCell ref="A4:Q4"/>
    <mergeCell ref="C7:I7"/>
    <mergeCell ref="K7:Q7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5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Munka15">
    <tabColor rgb="FF00B0F0"/>
    <pageSetUpPr fitToPage="1"/>
  </sheetPr>
  <dimension ref="A1:R87"/>
  <sheetViews>
    <sheetView zoomScaleNormal="100" workbookViewId="0"/>
  </sheetViews>
  <sheetFormatPr defaultRowHeight="12"/>
  <cols>
    <col min="1" max="1" width="78.5703125" style="183" bestFit="1" customWidth="1"/>
    <col min="2" max="3" width="11.7109375" style="183" customWidth="1"/>
    <col min="4" max="4" width="11.140625" style="183" bestFit="1" customWidth="1"/>
    <col min="5" max="6" width="13.140625" style="183" customWidth="1"/>
    <col min="7" max="7" width="9.140625" style="183"/>
    <col min="8" max="9" width="11.7109375" style="183" customWidth="1"/>
    <col min="10" max="10" width="9.140625" style="183"/>
    <col min="11" max="11" width="9.140625" style="183" hidden="1" customWidth="1"/>
    <col min="12" max="12" width="9.140625" style="626" hidden="1" customWidth="1"/>
    <col min="13" max="13" width="9.140625" style="183" hidden="1" customWidth="1"/>
    <col min="14" max="14" width="9.140625" style="626" hidden="1" customWidth="1"/>
    <col min="15" max="15" width="0" style="183" hidden="1" customWidth="1"/>
    <col min="16" max="16384" width="9.140625" style="183"/>
  </cols>
  <sheetData>
    <row r="1" spans="1:14" s="184" customFormat="1" ht="15.75">
      <c r="A1" s="143"/>
      <c r="B1" s="143"/>
      <c r="C1" s="143"/>
      <c r="D1" s="143"/>
      <c r="E1" s="143"/>
      <c r="F1" s="143"/>
      <c r="G1" s="144"/>
      <c r="H1" s="143"/>
      <c r="I1" s="144" t="s">
        <v>425</v>
      </c>
      <c r="L1" s="627"/>
      <c r="N1" s="627"/>
    </row>
    <row r="2" spans="1:14" s="184" customFormat="1" ht="15.75">
      <c r="L2" s="627"/>
      <c r="N2" s="627"/>
    </row>
    <row r="3" spans="1:14" s="185" customFormat="1" ht="15.75">
      <c r="A3" s="1243" t="s">
        <v>331</v>
      </c>
      <c r="B3" s="1243"/>
      <c r="C3" s="1243"/>
      <c r="D3" s="1243"/>
      <c r="E3" s="1243"/>
      <c r="F3" s="1243"/>
      <c r="G3" s="1243"/>
      <c r="H3" s="1243"/>
      <c r="I3" s="1243"/>
      <c r="L3" s="628"/>
      <c r="N3" s="628"/>
    </row>
    <row r="4" spans="1:14" s="185" customFormat="1" ht="15.75">
      <c r="A4" s="1243" t="s">
        <v>1328</v>
      </c>
      <c r="B4" s="1243"/>
      <c r="C4" s="1243"/>
      <c r="D4" s="1243"/>
      <c r="E4" s="1243"/>
      <c r="F4" s="1243"/>
      <c r="G4" s="1243"/>
      <c r="H4" s="1243"/>
      <c r="I4" s="1243"/>
      <c r="L4" s="628"/>
      <c r="N4" s="628"/>
    </row>
    <row r="5" spans="1:14" ht="12.75" thickBot="1">
      <c r="A5" s="145"/>
      <c r="B5" s="145"/>
      <c r="C5" s="145"/>
      <c r="D5" s="145"/>
      <c r="E5" s="145"/>
      <c r="F5" s="145"/>
      <c r="G5" s="145"/>
      <c r="H5" s="145"/>
      <c r="I5" s="145"/>
    </row>
    <row r="6" spans="1:14" s="186" customFormat="1" ht="12.75" customHeight="1" thickBot="1">
      <c r="A6" s="1235" t="s">
        <v>7</v>
      </c>
      <c r="B6" s="1238" t="s">
        <v>1476</v>
      </c>
      <c r="C6" s="1244" t="s">
        <v>1496</v>
      </c>
      <c r="D6" s="1240" t="s">
        <v>1327</v>
      </c>
      <c r="E6" s="1241"/>
      <c r="F6" s="1241"/>
      <c r="G6" s="1242"/>
      <c r="H6" s="1424" t="s">
        <v>1530</v>
      </c>
      <c r="I6" s="1425" t="s">
        <v>1527</v>
      </c>
      <c r="L6" s="629"/>
      <c r="N6" s="629"/>
    </row>
    <row r="7" spans="1:14" s="186" customFormat="1" ht="48.75" thickBot="1">
      <c r="A7" s="1236"/>
      <c r="B7" s="1239"/>
      <c r="C7" s="1423"/>
      <c r="D7" s="187" t="s">
        <v>408</v>
      </c>
      <c r="E7" s="188" t="s">
        <v>409</v>
      </c>
      <c r="F7" s="189" t="s">
        <v>410</v>
      </c>
      <c r="G7" s="190" t="s">
        <v>18</v>
      </c>
      <c r="H7" s="1426"/>
      <c r="I7" s="1427"/>
      <c r="L7" s="629"/>
      <c r="N7" s="629"/>
    </row>
    <row r="8" spans="1:14">
      <c r="A8" s="146"/>
      <c r="B8" s="1080"/>
      <c r="C8" s="1081"/>
      <c r="D8" s="147"/>
      <c r="E8" s="148"/>
      <c r="F8" s="149"/>
      <c r="G8" s="150"/>
      <c r="H8" s="1428"/>
      <c r="I8" s="1081"/>
    </row>
    <row r="9" spans="1:14">
      <c r="A9" s="151" t="s">
        <v>411</v>
      </c>
      <c r="B9" s="1069">
        <f>+B10+B11+B12+B13+B14+B15+B16+B17</f>
        <v>1</v>
      </c>
      <c r="C9" s="1070">
        <f t="shared" ref="C9:H9" si="0">+C10+C11+C12+C13+C14+C15+C16+C17</f>
        <v>53</v>
      </c>
      <c r="D9" s="152">
        <f t="shared" si="0"/>
        <v>1</v>
      </c>
      <c r="E9" s="153">
        <f t="shared" si="0"/>
        <v>0</v>
      </c>
      <c r="F9" s="153">
        <f t="shared" si="0"/>
        <v>52</v>
      </c>
      <c r="G9" s="154">
        <f t="shared" si="0"/>
        <v>53</v>
      </c>
      <c r="H9" s="153">
        <f t="shared" si="0"/>
        <v>39</v>
      </c>
      <c r="I9" s="1429">
        <f t="shared" ref="I9:I21" si="1">IF(ISERROR(H9/C9),"-",H9/C9)</f>
        <v>0.73584905660377353</v>
      </c>
      <c r="K9" s="625">
        <f>+G9-C9</f>
        <v>0</v>
      </c>
    </row>
    <row r="10" spans="1:14">
      <c r="A10" s="834" t="s">
        <v>1459</v>
      </c>
      <c r="B10" s="1073">
        <v>1</v>
      </c>
      <c r="C10" s="1074">
        <v>1</v>
      </c>
      <c r="D10" s="157">
        <f>+C10</f>
        <v>1</v>
      </c>
      <c r="E10" s="158"/>
      <c r="F10" s="158"/>
      <c r="G10" s="154">
        <f>+F10+E10+D10</f>
        <v>1</v>
      </c>
      <c r="H10" s="158">
        <v>1</v>
      </c>
      <c r="I10" s="1430">
        <f t="shared" si="1"/>
        <v>1</v>
      </c>
      <c r="K10" s="625">
        <f>+G10-C10</f>
        <v>0</v>
      </c>
    </row>
    <row r="11" spans="1:14">
      <c r="A11" s="834" t="s">
        <v>1531</v>
      </c>
      <c r="B11" s="157"/>
      <c r="C11" s="158">
        <v>18</v>
      </c>
      <c r="D11" s="157"/>
      <c r="E11" s="158"/>
      <c r="F11" s="158">
        <f>+C11</f>
        <v>18</v>
      </c>
      <c r="G11" s="154">
        <f>+F11+E11+D11</f>
        <v>18</v>
      </c>
      <c r="H11" s="158">
        <v>18</v>
      </c>
      <c r="I11" s="1430">
        <f t="shared" si="1"/>
        <v>1</v>
      </c>
      <c r="K11" s="625">
        <f t="shared" ref="K11" si="2">+G11-C11</f>
        <v>0</v>
      </c>
    </row>
    <row r="12" spans="1:14">
      <c r="A12" s="834" t="s">
        <v>1490</v>
      </c>
      <c r="B12" s="1073"/>
      <c r="C12" s="1074">
        <v>17</v>
      </c>
      <c r="D12" s="157"/>
      <c r="E12" s="158"/>
      <c r="F12" s="158">
        <f>+C12</f>
        <v>17</v>
      </c>
      <c r="G12" s="154">
        <f>+F12+E12+D12</f>
        <v>17</v>
      </c>
      <c r="H12" s="158">
        <v>3</v>
      </c>
      <c r="I12" s="1430">
        <f t="shared" si="1"/>
        <v>0.17647058823529413</v>
      </c>
      <c r="K12" s="625">
        <f>+G12-C12</f>
        <v>0</v>
      </c>
    </row>
    <row r="13" spans="1:14" s="1494" customFormat="1">
      <c r="A13" s="1881" t="s">
        <v>1532</v>
      </c>
      <c r="B13" s="1882"/>
      <c r="C13" s="1883">
        <v>1</v>
      </c>
      <c r="D13" s="1882"/>
      <c r="E13" s="1883"/>
      <c r="F13" s="1883">
        <f>+C13</f>
        <v>1</v>
      </c>
      <c r="G13" s="1884">
        <f>+F13+E13+D13</f>
        <v>1</v>
      </c>
      <c r="H13" s="1883">
        <v>1</v>
      </c>
      <c r="I13" s="1430">
        <f t="shared" si="1"/>
        <v>1</v>
      </c>
      <c r="K13" s="1885">
        <f t="shared" ref="K13:K14" si="3">+G13-C13</f>
        <v>0</v>
      </c>
      <c r="L13" s="1886"/>
      <c r="N13" s="1886"/>
    </row>
    <row r="14" spans="1:14" s="1494" customFormat="1">
      <c r="A14" s="1881" t="s">
        <v>1534</v>
      </c>
      <c r="B14" s="1882"/>
      <c r="C14" s="1883">
        <f>4+1</f>
        <v>5</v>
      </c>
      <c r="D14" s="1882"/>
      <c r="E14" s="1883"/>
      <c r="F14" s="1883">
        <f t="shared" ref="F14:F17" si="4">+C14</f>
        <v>5</v>
      </c>
      <c r="G14" s="1884">
        <f>+F14+E14+D14</f>
        <v>5</v>
      </c>
      <c r="H14" s="1883">
        <f>4+1</f>
        <v>5</v>
      </c>
      <c r="I14" s="1430">
        <f t="shared" si="1"/>
        <v>1</v>
      </c>
      <c r="K14" s="1885">
        <f t="shared" si="3"/>
        <v>0</v>
      </c>
      <c r="L14" s="1886"/>
      <c r="N14" s="1886"/>
    </row>
    <row r="15" spans="1:14" s="1494" customFormat="1">
      <c r="A15" s="1881" t="s">
        <v>1533</v>
      </c>
      <c r="B15" s="1882"/>
      <c r="C15" s="1883">
        <v>2</v>
      </c>
      <c r="D15" s="1882"/>
      <c r="E15" s="1883"/>
      <c r="F15" s="1883">
        <f t="shared" si="4"/>
        <v>2</v>
      </c>
      <c r="G15" s="1884">
        <f>+F15+E15+D15</f>
        <v>2</v>
      </c>
      <c r="H15" s="1883">
        <v>2</v>
      </c>
      <c r="I15" s="1430">
        <f t="shared" si="1"/>
        <v>1</v>
      </c>
      <c r="K15" s="1885">
        <f t="shared" ref="K15" si="5">+G15-C15</f>
        <v>0</v>
      </c>
      <c r="L15" s="1886"/>
      <c r="N15" s="1886"/>
    </row>
    <row r="16" spans="1:14" s="1494" customFormat="1">
      <c r="A16" s="1881" t="s">
        <v>1535</v>
      </c>
      <c r="B16" s="1882"/>
      <c r="C16" s="1883">
        <v>7</v>
      </c>
      <c r="D16" s="1882"/>
      <c r="E16" s="1883"/>
      <c r="F16" s="1883">
        <f t="shared" si="4"/>
        <v>7</v>
      </c>
      <c r="G16" s="1884">
        <f>+F16+E16+D16</f>
        <v>7</v>
      </c>
      <c r="H16" s="1883">
        <v>7</v>
      </c>
      <c r="I16" s="1430">
        <f t="shared" si="1"/>
        <v>1</v>
      </c>
      <c r="K16" s="1885">
        <f t="shared" ref="K16" si="6">+G16-C16</f>
        <v>0</v>
      </c>
      <c r="L16" s="1886"/>
      <c r="N16" s="1886"/>
    </row>
    <row r="17" spans="1:15" s="1494" customFormat="1">
      <c r="A17" s="1881" t="s">
        <v>1536</v>
      </c>
      <c r="B17" s="1882"/>
      <c r="C17" s="1883">
        <v>2</v>
      </c>
      <c r="D17" s="1882"/>
      <c r="E17" s="1883"/>
      <c r="F17" s="1883">
        <f t="shared" si="4"/>
        <v>2</v>
      </c>
      <c r="G17" s="1884">
        <f>+F17+E17+D17</f>
        <v>2</v>
      </c>
      <c r="H17" s="1883">
        <v>2</v>
      </c>
      <c r="I17" s="1430">
        <f t="shared" si="1"/>
        <v>1</v>
      </c>
      <c r="K17" s="1885">
        <f t="shared" ref="K17" si="7">+G17-C17</f>
        <v>0</v>
      </c>
      <c r="L17" s="1886"/>
      <c r="N17" s="1886"/>
    </row>
    <row r="18" spans="1:15">
      <c r="A18" s="151" t="s">
        <v>412</v>
      </c>
      <c r="B18" s="1069">
        <f t="shared" ref="B18:G18" si="8">+B19</f>
        <v>0</v>
      </c>
      <c r="C18" s="1070">
        <f t="shared" si="8"/>
        <v>0</v>
      </c>
      <c r="D18" s="152">
        <f t="shared" si="8"/>
        <v>0</v>
      </c>
      <c r="E18" s="153">
        <f t="shared" si="8"/>
        <v>0</v>
      </c>
      <c r="F18" s="153">
        <f t="shared" si="8"/>
        <v>0</v>
      </c>
      <c r="G18" s="154">
        <f t="shared" si="8"/>
        <v>0</v>
      </c>
      <c r="H18" s="153">
        <f>+H19</f>
        <v>0</v>
      </c>
      <c r="I18" s="1431" t="str">
        <f t="shared" si="1"/>
        <v>-</v>
      </c>
      <c r="K18" s="625">
        <f>+G18-C18</f>
        <v>0</v>
      </c>
    </row>
    <row r="19" spans="1:15">
      <c r="A19" s="878" t="s">
        <v>19</v>
      </c>
      <c r="B19" s="1073"/>
      <c r="C19" s="1074"/>
      <c r="D19" s="157"/>
      <c r="E19" s="158"/>
      <c r="F19" s="158"/>
      <c r="G19" s="154">
        <f>+F19+E19+D19</f>
        <v>0</v>
      </c>
      <c r="H19" s="158"/>
      <c r="I19" s="1430" t="str">
        <f t="shared" si="1"/>
        <v>-</v>
      </c>
      <c r="K19" s="625">
        <f>+G19-C19</f>
        <v>0</v>
      </c>
    </row>
    <row r="20" spans="1:15">
      <c r="A20" s="151" t="s">
        <v>413</v>
      </c>
      <c r="B20" s="1069">
        <f t="shared" ref="B20:G20" si="9">+B21</f>
        <v>0</v>
      </c>
      <c r="C20" s="1070">
        <f t="shared" si="9"/>
        <v>0</v>
      </c>
      <c r="D20" s="152">
        <f t="shared" si="9"/>
        <v>0</v>
      </c>
      <c r="E20" s="153">
        <f t="shared" si="9"/>
        <v>0</v>
      </c>
      <c r="F20" s="153">
        <f t="shared" si="9"/>
        <v>0</v>
      </c>
      <c r="G20" s="154">
        <f t="shared" si="9"/>
        <v>0</v>
      </c>
      <c r="H20" s="153">
        <f>+H21</f>
        <v>0</v>
      </c>
      <c r="I20" s="1431" t="str">
        <f t="shared" si="1"/>
        <v>-</v>
      </c>
      <c r="K20" s="625">
        <f>+G20-C20</f>
        <v>0</v>
      </c>
    </row>
    <row r="21" spans="1:15" ht="12.75" thickBot="1">
      <c r="A21" s="879" t="s">
        <v>19</v>
      </c>
      <c r="B21" s="1082"/>
      <c r="C21" s="1083"/>
      <c r="D21" s="159"/>
      <c r="E21" s="160"/>
      <c r="F21" s="160"/>
      <c r="G21" s="154">
        <f>+F21+E21+D21</f>
        <v>0</v>
      </c>
      <c r="H21" s="160"/>
      <c r="I21" s="1432" t="str">
        <f t="shared" si="1"/>
        <v>-</v>
      </c>
      <c r="K21" s="625">
        <f>+G21-C21</f>
        <v>0</v>
      </c>
    </row>
    <row r="22" spans="1:15" ht="12.75" thickBot="1">
      <c r="A22" s="161" t="s">
        <v>414</v>
      </c>
      <c r="B22" s="1077">
        <f>+B9+B18+B20</f>
        <v>1</v>
      </c>
      <c r="C22" s="164">
        <f>+C9+C18+C20</f>
        <v>53</v>
      </c>
      <c r="D22" s="162">
        <f>+D9+D18+D20</f>
        <v>1</v>
      </c>
      <c r="E22" s="165">
        <f>+E9+E18+E20</f>
        <v>0</v>
      </c>
      <c r="F22" s="164">
        <f>+F9+F18+F20</f>
        <v>52</v>
      </c>
      <c r="G22" s="166">
        <f>+G9+G18+G20</f>
        <v>53</v>
      </c>
      <c r="H22" s="163">
        <f>+H9+H18+H20</f>
        <v>39</v>
      </c>
      <c r="I22" s="1433">
        <f t="shared" ref="I22:I72" si="10">IF(ISERROR(H22/C22),"-",H22/C22)</f>
        <v>0.73584905660377353</v>
      </c>
      <c r="K22" s="625">
        <f>+G22-C22</f>
        <v>0</v>
      </c>
      <c r="L22" s="626">
        <f>+'1.1.mell._ÖNK_Mérleg2018'!D239</f>
        <v>53</v>
      </c>
      <c r="M22" s="625">
        <f>+C22-L22</f>
        <v>0</v>
      </c>
      <c r="N22" s="626">
        <f>+'1.1.mell._ÖNK_Mérleg2018'!E239</f>
        <v>39</v>
      </c>
      <c r="O22" s="625">
        <f>+N22-H22</f>
        <v>0</v>
      </c>
    </row>
    <row r="23" spans="1:15">
      <c r="A23" s="167"/>
      <c r="B23" s="1084"/>
      <c r="C23" s="1085"/>
      <c r="D23" s="168"/>
      <c r="E23" s="169"/>
      <c r="F23" s="169"/>
      <c r="G23" s="170"/>
      <c r="H23" s="169"/>
      <c r="I23" s="1085"/>
      <c r="K23" s="625"/>
    </row>
    <row r="24" spans="1:15">
      <c r="A24" s="151" t="s">
        <v>932</v>
      </c>
      <c r="B24" s="1069">
        <f>+B25+B26+B27+B28</f>
        <v>85</v>
      </c>
      <c r="C24" s="1070">
        <f t="shared" ref="C24:H24" si="11">+C25+C26+C27+C28</f>
        <v>87</v>
      </c>
      <c r="D24" s="152">
        <f t="shared" si="11"/>
        <v>43</v>
      </c>
      <c r="E24" s="153">
        <f t="shared" si="11"/>
        <v>0</v>
      </c>
      <c r="F24" s="153">
        <f t="shared" si="11"/>
        <v>44</v>
      </c>
      <c r="G24" s="154">
        <f t="shared" si="11"/>
        <v>87</v>
      </c>
      <c r="H24" s="153">
        <f t="shared" si="11"/>
        <v>82</v>
      </c>
      <c r="I24" s="1431">
        <f t="shared" si="10"/>
        <v>0.94252873563218387</v>
      </c>
      <c r="K24" s="625">
        <f>+G24-C24</f>
        <v>0</v>
      </c>
    </row>
    <row r="25" spans="1:15">
      <c r="A25" s="834" t="s">
        <v>710</v>
      </c>
      <c r="B25" s="1073">
        <v>43</v>
      </c>
      <c r="C25" s="1074">
        <v>43</v>
      </c>
      <c r="D25" s="847">
        <f>+C25</f>
        <v>43</v>
      </c>
      <c r="E25" s="158"/>
      <c r="F25" s="158"/>
      <c r="G25" s="154">
        <f>+F25+E25+D25</f>
        <v>43</v>
      </c>
      <c r="H25" s="158">
        <v>39</v>
      </c>
      <c r="I25" s="1430">
        <f t="shared" si="10"/>
        <v>0.90697674418604646</v>
      </c>
      <c r="K25" s="625">
        <f>+G25-C25</f>
        <v>0</v>
      </c>
    </row>
    <row r="26" spans="1:15">
      <c r="A26" s="834" t="s">
        <v>416</v>
      </c>
      <c r="B26" s="1073">
        <v>21</v>
      </c>
      <c r="C26" s="1074">
        <v>21</v>
      </c>
      <c r="D26" s="157"/>
      <c r="E26" s="158"/>
      <c r="F26" s="158">
        <f>+C26</f>
        <v>21</v>
      </c>
      <c r="G26" s="154">
        <f>+F26+E26+D26</f>
        <v>21</v>
      </c>
      <c r="H26" s="158">
        <f>44-21-3</f>
        <v>20</v>
      </c>
      <c r="I26" s="1430">
        <f t="shared" si="10"/>
        <v>0.95238095238095233</v>
      </c>
      <c r="K26" s="625">
        <f>+G26-C26</f>
        <v>0</v>
      </c>
    </row>
    <row r="27" spans="1:15">
      <c r="A27" s="834" t="s">
        <v>1129</v>
      </c>
      <c r="B27" s="1073">
        <v>21</v>
      </c>
      <c r="C27" s="1074">
        <v>21</v>
      </c>
      <c r="D27" s="157"/>
      <c r="E27" s="158"/>
      <c r="F27" s="158">
        <f>+C27</f>
        <v>21</v>
      </c>
      <c r="G27" s="154">
        <f>+F27+E27+D27</f>
        <v>21</v>
      </c>
      <c r="H27" s="158">
        <v>21</v>
      </c>
      <c r="I27" s="1430">
        <f t="shared" si="10"/>
        <v>1</v>
      </c>
      <c r="K27" s="625">
        <f>+G27-C27</f>
        <v>0</v>
      </c>
    </row>
    <row r="28" spans="1:15" s="1494" customFormat="1">
      <c r="A28" s="1881" t="s">
        <v>1537</v>
      </c>
      <c r="B28" s="1882"/>
      <c r="C28" s="1883">
        <v>2</v>
      </c>
      <c r="D28" s="1882"/>
      <c r="E28" s="1883"/>
      <c r="F28" s="1883">
        <f t="shared" ref="F28" si="12">+C28</f>
        <v>2</v>
      </c>
      <c r="G28" s="1884">
        <f>+F28+E28+D28</f>
        <v>2</v>
      </c>
      <c r="H28" s="1883">
        <v>2</v>
      </c>
      <c r="I28" s="1430">
        <f t="shared" si="10"/>
        <v>1</v>
      </c>
      <c r="K28" s="1885">
        <f t="shared" ref="K28" si="13">+G28-C28</f>
        <v>0</v>
      </c>
      <c r="L28" s="1886"/>
      <c r="N28" s="1886"/>
    </row>
    <row r="29" spans="1:15">
      <c r="A29" s="151" t="s">
        <v>933</v>
      </c>
      <c r="B29" s="1069">
        <f t="shared" ref="B29:G29" si="14">+B30+B31</f>
        <v>5</v>
      </c>
      <c r="C29" s="1070">
        <f t="shared" si="14"/>
        <v>5</v>
      </c>
      <c r="D29" s="152">
        <f t="shared" si="14"/>
        <v>2</v>
      </c>
      <c r="E29" s="153">
        <f t="shared" si="14"/>
        <v>0</v>
      </c>
      <c r="F29" s="153">
        <f t="shared" si="14"/>
        <v>3</v>
      </c>
      <c r="G29" s="154">
        <f t="shared" si="14"/>
        <v>5</v>
      </c>
      <c r="H29" s="153">
        <f>+H30+H31</f>
        <v>3</v>
      </c>
      <c r="I29" s="1431">
        <f t="shared" si="10"/>
        <v>0.6</v>
      </c>
      <c r="K29" s="625">
        <f>+G29-C29</f>
        <v>0</v>
      </c>
    </row>
    <row r="30" spans="1:15">
      <c r="A30" s="834" t="s">
        <v>417</v>
      </c>
      <c r="B30" s="1073">
        <v>3</v>
      </c>
      <c r="C30" s="1074">
        <v>3</v>
      </c>
      <c r="D30" s="157"/>
      <c r="E30" s="158"/>
      <c r="F30" s="158">
        <f>+C30</f>
        <v>3</v>
      </c>
      <c r="G30" s="154">
        <f>+F30+E30+D30</f>
        <v>3</v>
      </c>
      <c r="H30" s="158">
        <v>3</v>
      </c>
      <c r="I30" s="1430">
        <f t="shared" si="10"/>
        <v>1</v>
      </c>
      <c r="K30" s="625">
        <f>+G30-C30</f>
        <v>0</v>
      </c>
    </row>
    <row r="31" spans="1:15">
      <c r="A31" s="834" t="s">
        <v>655</v>
      </c>
      <c r="B31" s="1073">
        <v>2</v>
      </c>
      <c r="C31" s="1074">
        <v>2</v>
      </c>
      <c r="D31" s="847">
        <f>+C31</f>
        <v>2</v>
      </c>
      <c r="E31" s="158"/>
      <c r="F31" s="158"/>
      <c r="G31" s="154">
        <f>+F31+E31+D31</f>
        <v>2</v>
      </c>
      <c r="H31" s="158">
        <v>0</v>
      </c>
      <c r="I31" s="1430">
        <f t="shared" si="10"/>
        <v>0</v>
      </c>
      <c r="K31" s="625">
        <f>+G31-C31</f>
        <v>0</v>
      </c>
    </row>
    <row r="32" spans="1:15">
      <c r="A32" s="151" t="s">
        <v>934</v>
      </c>
      <c r="B32" s="1069">
        <f t="shared" ref="B32:G32" si="15">+B33</f>
        <v>0</v>
      </c>
      <c r="C32" s="1070">
        <f t="shared" si="15"/>
        <v>0</v>
      </c>
      <c r="D32" s="152">
        <f t="shared" si="15"/>
        <v>0</v>
      </c>
      <c r="E32" s="153">
        <f t="shared" si="15"/>
        <v>0</v>
      </c>
      <c r="F32" s="153">
        <f t="shared" si="15"/>
        <v>0</v>
      </c>
      <c r="G32" s="154">
        <f t="shared" si="15"/>
        <v>0</v>
      </c>
      <c r="H32" s="153">
        <f>+H33</f>
        <v>0</v>
      </c>
      <c r="I32" s="1431" t="str">
        <f t="shared" si="10"/>
        <v>-</v>
      </c>
      <c r="K32" s="625">
        <f>+G32-C32</f>
        <v>0</v>
      </c>
    </row>
    <row r="33" spans="1:15" ht="12.75" thickBot="1">
      <c r="A33" s="879" t="s">
        <v>19</v>
      </c>
      <c r="B33" s="1082"/>
      <c r="C33" s="1083"/>
      <c r="D33" s="159"/>
      <c r="E33" s="160"/>
      <c r="F33" s="160"/>
      <c r="G33" s="154">
        <f>+F33+E33+D33</f>
        <v>0</v>
      </c>
      <c r="H33" s="160"/>
      <c r="I33" s="1430" t="str">
        <f t="shared" si="10"/>
        <v>-</v>
      </c>
      <c r="K33" s="625">
        <f>+G33-C33</f>
        <v>0</v>
      </c>
    </row>
    <row r="34" spans="1:15" ht="12.75" thickBot="1">
      <c r="A34" s="161" t="s">
        <v>935</v>
      </c>
      <c r="B34" s="1077">
        <f t="shared" ref="B34:G34" si="16">+B24+B29+B32</f>
        <v>90</v>
      </c>
      <c r="C34" s="164">
        <f t="shared" si="16"/>
        <v>92</v>
      </c>
      <c r="D34" s="162">
        <f t="shared" si="16"/>
        <v>45</v>
      </c>
      <c r="E34" s="165">
        <f t="shared" si="16"/>
        <v>0</v>
      </c>
      <c r="F34" s="164">
        <f t="shared" si="16"/>
        <v>47</v>
      </c>
      <c r="G34" s="166">
        <f t="shared" si="16"/>
        <v>92</v>
      </c>
      <c r="H34" s="163">
        <f>+H24+H29+H32</f>
        <v>85</v>
      </c>
      <c r="I34" s="1433">
        <f t="shared" si="10"/>
        <v>0.92391304347826086</v>
      </c>
      <c r="K34" s="625">
        <f>+G34-C34</f>
        <v>0</v>
      </c>
      <c r="L34" s="626">
        <f>+'1.2.mell._HKÖH_Mérleg2018'!D239</f>
        <v>92</v>
      </c>
      <c r="M34" s="625">
        <f>+C34-L34</f>
        <v>0</v>
      </c>
      <c r="N34" s="626">
        <f>+'1.2.mell._HKÖH_Mérleg2018'!E239</f>
        <v>85</v>
      </c>
      <c r="O34" s="625">
        <f>+N34-H34</f>
        <v>0</v>
      </c>
    </row>
    <row r="35" spans="1:15">
      <c r="A35" s="167"/>
      <c r="B35" s="1084"/>
      <c r="C35" s="1085"/>
      <c r="D35" s="168"/>
      <c r="E35" s="169"/>
      <c r="F35" s="169"/>
      <c r="G35" s="170"/>
      <c r="H35" s="169"/>
      <c r="I35" s="1085"/>
      <c r="K35" s="625"/>
    </row>
    <row r="36" spans="1:15">
      <c r="A36" s="171" t="s">
        <v>418</v>
      </c>
      <c r="B36" s="1069">
        <f t="shared" ref="B36:G36" si="17">+B37+B38</f>
        <v>69</v>
      </c>
      <c r="C36" s="1070">
        <f t="shared" si="17"/>
        <v>69</v>
      </c>
      <c r="D36" s="152">
        <f t="shared" si="17"/>
        <v>0</v>
      </c>
      <c r="E36" s="153">
        <f t="shared" si="17"/>
        <v>69</v>
      </c>
      <c r="F36" s="153">
        <f t="shared" si="17"/>
        <v>0</v>
      </c>
      <c r="G36" s="154">
        <f t="shared" si="17"/>
        <v>69</v>
      </c>
      <c r="H36" s="153">
        <f>+H37+H38</f>
        <v>67</v>
      </c>
      <c r="I36" s="1431">
        <f t="shared" si="10"/>
        <v>0.97101449275362317</v>
      </c>
      <c r="K36" s="625">
        <f>+G36-C36</f>
        <v>0</v>
      </c>
    </row>
    <row r="37" spans="1:15">
      <c r="A37" s="878" t="s">
        <v>1175</v>
      </c>
      <c r="B37" s="1073">
        <v>59</v>
      </c>
      <c r="C37" s="1074">
        <v>59</v>
      </c>
      <c r="D37" s="157"/>
      <c r="E37" s="158">
        <f>+C37</f>
        <v>59</v>
      </c>
      <c r="F37" s="158"/>
      <c r="G37" s="154">
        <f>+F37+E37+D37</f>
        <v>59</v>
      </c>
      <c r="H37" s="158">
        <v>57</v>
      </c>
      <c r="I37" s="1430">
        <f t="shared" si="10"/>
        <v>0.96610169491525422</v>
      </c>
      <c r="K37" s="625">
        <f>+G37-C37</f>
        <v>0</v>
      </c>
    </row>
    <row r="38" spans="1:15">
      <c r="A38" s="878" t="s">
        <v>581</v>
      </c>
      <c r="B38" s="1073">
        <v>10</v>
      </c>
      <c r="C38" s="1074">
        <v>10</v>
      </c>
      <c r="D38" s="157"/>
      <c r="E38" s="158">
        <f>+C38</f>
        <v>10</v>
      </c>
      <c r="F38" s="158"/>
      <c r="G38" s="154">
        <f>+F38+E38+D38</f>
        <v>10</v>
      </c>
      <c r="H38" s="158">
        <v>10</v>
      </c>
      <c r="I38" s="1430">
        <f t="shared" si="10"/>
        <v>1</v>
      </c>
      <c r="K38" s="625">
        <f>+G38-C38</f>
        <v>0</v>
      </c>
    </row>
    <row r="39" spans="1:15">
      <c r="A39" s="171" t="s">
        <v>419</v>
      </c>
      <c r="B39" s="1069">
        <f t="shared" ref="B39:G39" si="18">+B40</f>
        <v>0</v>
      </c>
      <c r="C39" s="1070">
        <f t="shared" si="18"/>
        <v>0</v>
      </c>
      <c r="D39" s="152">
        <f t="shared" si="18"/>
        <v>0</v>
      </c>
      <c r="E39" s="153">
        <f t="shared" si="18"/>
        <v>0</v>
      </c>
      <c r="F39" s="153">
        <f t="shared" si="18"/>
        <v>0</v>
      </c>
      <c r="G39" s="154">
        <f t="shared" si="18"/>
        <v>0</v>
      </c>
      <c r="H39" s="153">
        <f>+H40</f>
        <v>0</v>
      </c>
      <c r="I39" s="1431" t="str">
        <f t="shared" si="10"/>
        <v>-</v>
      </c>
      <c r="K39" s="625">
        <f>+G39-C39</f>
        <v>0</v>
      </c>
    </row>
    <row r="40" spans="1:15">
      <c r="A40" s="878" t="s">
        <v>19</v>
      </c>
      <c r="B40" s="1073"/>
      <c r="C40" s="1074"/>
      <c r="D40" s="157"/>
      <c r="E40" s="158"/>
      <c r="F40" s="158"/>
      <c r="G40" s="154">
        <f>+F40+E40+D40</f>
        <v>0</v>
      </c>
      <c r="H40" s="158"/>
      <c r="I40" s="1430" t="str">
        <f t="shared" si="10"/>
        <v>-</v>
      </c>
      <c r="K40" s="625">
        <f>+G40-C40</f>
        <v>0</v>
      </c>
    </row>
    <row r="41" spans="1:15">
      <c r="A41" s="151" t="s">
        <v>821</v>
      </c>
      <c r="B41" s="1069">
        <f t="shared" ref="B41:G41" si="19">+B42</f>
        <v>0</v>
      </c>
      <c r="C41" s="1070">
        <f t="shared" si="19"/>
        <v>0</v>
      </c>
      <c r="D41" s="152">
        <f t="shared" si="19"/>
        <v>0</v>
      </c>
      <c r="E41" s="153">
        <f t="shared" si="19"/>
        <v>0</v>
      </c>
      <c r="F41" s="153">
        <f t="shared" si="19"/>
        <v>0</v>
      </c>
      <c r="G41" s="154">
        <f t="shared" si="19"/>
        <v>0</v>
      </c>
      <c r="H41" s="153">
        <f>+H42</f>
        <v>0</v>
      </c>
      <c r="I41" s="1431" t="str">
        <f t="shared" si="10"/>
        <v>-</v>
      </c>
      <c r="K41" s="625">
        <f>+G41-C41</f>
        <v>0</v>
      </c>
    </row>
    <row r="42" spans="1:15" ht="12.75" thickBot="1">
      <c r="A42" s="878" t="s">
        <v>19</v>
      </c>
      <c r="B42" s="1082"/>
      <c r="C42" s="1083"/>
      <c r="D42" s="159"/>
      <c r="E42" s="160"/>
      <c r="F42" s="160"/>
      <c r="G42" s="154">
        <f>+F42+E42+D42</f>
        <v>0</v>
      </c>
      <c r="H42" s="160"/>
      <c r="I42" s="1430" t="str">
        <f t="shared" si="10"/>
        <v>-</v>
      </c>
      <c r="K42" s="625">
        <f>+G42-C42</f>
        <v>0</v>
      </c>
    </row>
    <row r="43" spans="1:15" ht="12.75" thickBot="1">
      <c r="A43" s="161" t="s">
        <v>420</v>
      </c>
      <c r="B43" s="1077">
        <f t="shared" ref="B43:G43" si="20">+B36+B39+B41</f>
        <v>69</v>
      </c>
      <c r="C43" s="164">
        <f t="shared" si="20"/>
        <v>69</v>
      </c>
      <c r="D43" s="162">
        <f t="shared" si="20"/>
        <v>0</v>
      </c>
      <c r="E43" s="165">
        <f t="shared" si="20"/>
        <v>69</v>
      </c>
      <c r="F43" s="164">
        <f t="shared" si="20"/>
        <v>0</v>
      </c>
      <c r="G43" s="166">
        <f t="shared" si="20"/>
        <v>69</v>
      </c>
      <c r="H43" s="163">
        <f>+H36+H39+H41</f>
        <v>67</v>
      </c>
      <c r="I43" s="1433">
        <f t="shared" si="10"/>
        <v>0.97101449275362317</v>
      </c>
      <c r="K43" s="625">
        <f>+G43-C43</f>
        <v>0</v>
      </c>
      <c r="L43" s="626">
        <f>+'1.3.mell._HVÓBKI_Mérleg2018'!D239</f>
        <v>69</v>
      </c>
      <c r="M43" s="625">
        <f>+C43-L43</f>
        <v>0</v>
      </c>
      <c r="N43" s="626">
        <f>+'1.3.mell._HVÓBKI_Mérleg2018'!E239</f>
        <v>67</v>
      </c>
      <c r="O43" s="625">
        <f>+N43-H43</f>
        <v>0</v>
      </c>
    </row>
    <row r="44" spans="1:15">
      <c r="A44" s="167"/>
      <c r="B44" s="1084"/>
      <c r="C44" s="1085"/>
      <c r="D44" s="168"/>
      <c r="E44" s="172"/>
      <c r="F44" s="169"/>
      <c r="G44" s="170"/>
      <c r="H44" s="169"/>
      <c r="I44" s="1085"/>
      <c r="K44" s="625"/>
    </row>
    <row r="45" spans="1:15">
      <c r="A45" s="171" t="s">
        <v>421</v>
      </c>
      <c r="B45" s="1069">
        <f t="shared" ref="B45:G45" si="21">+B46+B47+B48</f>
        <v>9</v>
      </c>
      <c r="C45" s="1070">
        <f t="shared" si="21"/>
        <v>9</v>
      </c>
      <c r="D45" s="152">
        <f t="shared" si="21"/>
        <v>0</v>
      </c>
      <c r="E45" s="153">
        <f t="shared" si="21"/>
        <v>9</v>
      </c>
      <c r="F45" s="153">
        <f t="shared" si="21"/>
        <v>0</v>
      </c>
      <c r="G45" s="154">
        <f t="shared" si="21"/>
        <v>9</v>
      </c>
      <c r="H45" s="153">
        <f>+H46+H47+H48</f>
        <v>6</v>
      </c>
      <c r="I45" s="1431">
        <f t="shared" si="10"/>
        <v>0.66666666666666663</v>
      </c>
      <c r="K45" s="625">
        <f>+G45-C45</f>
        <v>0</v>
      </c>
    </row>
    <row r="46" spans="1:15">
      <c r="A46" s="878" t="s">
        <v>1191</v>
      </c>
      <c r="B46" s="1073">
        <v>4</v>
      </c>
      <c r="C46" s="1074">
        <v>4</v>
      </c>
      <c r="D46" s="157"/>
      <c r="E46" s="158">
        <f>+C46</f>
        <v>4</v>
      </c>
      <c r="F46" s="158"/>
      <c r="G46" s="154">
        <f>+F46+E46+D46</f>
        <v>4</v>
      </c>
      <c r="H46" s="158">
        <f>7-1-2</f>
        <v>4</v>
      </c>
      <c r="I46" s="1430">
        <f t="shared" si="10"/>
        <v>1</v>
      </c>
      <c r="K46" s="625">
        <f>+G46-C46</f>
        <v>0</v>
      </c>
    </row>
    <row r="47" spans="1:15">
      <c r="A47" s="878" t="s">
        <v>1199</v>
      </c>
      <c r="B47" s="1073">
        <v>1</v>
      </c>
      <c r="C47" s="1074">
        <v>1</v>
      </c>
      <c r="D47" s="157"/>
      <c r="E47" s="158">
        <f>+C47</f>
        <v>1</v>
      </c>
      <c r="F47" s="158"/>
      <c r="G47" s="154">
        <f>+F47+E47+D47</f>
        <v>1</v>
      </c>
      <c r="H47" s="158">
        <v>1</v>
      </c>
      <c r="I47" s="1430">
        <f t="shared" si="10"/>
        <v>1</v>
      </c>
      <c r="K47" s="625">
        <f>+G47-C47</f>
        <v>0</v>
      </c>
    </row>
    <row r="48" spans="1:15">
      <c r="A48" s="878" t="s">
        <v>1201</v>
      </c>
      <c r="B48" s="1073">
        <v>4</v>
      </c>
      <c r="C48" s="1074">
        <v>4</v>
      </c>
      <c r="D48" s="157"/>
      <c r="E48" s="158">
        <f>+C48</f>
        <v>4</v>
      </c>
      <c r="F48" s="158"/>
      <c r="G48" s="154">
        <f>+F48+E48+D48</f>
        <v>4</v>
      </c>
      <c r="H48" s="158">
        <v>1</v>
      </c>
      <c r="I48" s="1430">
        <f t="shared" si="10"/>
        <v>0.25</v>
      </c>
      <c r="K48" s="625">
        <f>+G48-C48</f>
        <v>0</v>
      </c>
    </row>
    <row r="49" spans="1:15">
      <c r="A49" s="171" t="s">
        <v>422</v>
      </c>
      <c r="B49" s="1069">
        <f t="shared" ref="B49:G49" si="22">+B50</f>
        <v>0</v>
      </c>
      <c r="C49" s="1070">
        <f t="shared" si="22"/>
        <v>0</v>
      </c>
      <c r="D49" s="152">
        <f t="shared" si="22"/>
        <v>0</v>
      </c>
      <c r="E49" s="153">
        <f t="shared" si="22"/>
        <v>0</v>
      </c>
      <c r="F49" s="153">
        <f t="shared" si="22"/>
        <v>0</v>
      </c>
      <c r="G49" s="154">
        <f t="shared" si="22"/>
        <v>0</v>
      </c>
      <c r="H49" s="153">
        <f>+H50</f>
        <v>0</v>
      </c>
      <c r="I49" s="1431" t="str">
        <f t="shared" si="10"/>
        <v>-</v>
      </c>
      <c r="K49" s="625">
        <f>+G49-C49</f>
        <v>0</v>
      </c>
    </row>
    <row r="50" spans="1:15">
      <c r="A50" s="878" t="s">
        <v>19</v>
      </c>
      <c r="B50" s="1073"/>
      <c r="C50" s="1074"/>
      <c r="D50" s="157"/>
      <c r="E50" s="158"/>
      <c r="F50" s="158"/>
      <c r="G50" s="154">
        <f>+F50+E50+D50</f>
        <v>0</v>
      </c>
      <c r="H50" s="158"/>
      <c r="I50" s="1430" t="str">
        <f t="shared" si="10"/>
        <v>-</v>
      </c>
      <c r="K50" s="625">
        <f>+G50-C50</f>
        <v>0</v>
      </c>
    </row>
    <row r="51" spans="1:15">
      <c r="A51" s="151" t="s">
        <v>822</v>
      </c>
      <c r="B51" s="1069">
        <f t="shared" ref="B51:G51" si="23">+B52</f>
        <v>0</v>
      </c>
      <c r="C51" s="1070">
        <f t="shared" si="23"/>
        <v>0</v>
      </c>
      <c r="D51" s="152">
        <f t="shared" si="23"/>
        <v>0</v>
      </c>
      <c r="E51" s="153">
        <f t="shared" si="23"/>
        <v>0</v>
      </c>
      <c r="F51" s="153">
        <f t="shared" si="23"/>
        <v>0</v>
      </c>
      <c r="G51" s="154">
        <f t="shared" si="23"/>
        <v>0</v>
      </c>
      <c r="H51" s="153">
        <f>+H52</f>
        <v>0</v>
      </c>
      <c r="I51" s="1431" t="str">
        <f t="shared" si="10"/>
        <v>-</v>
      </c>
      <c r="K51" s="625">
        <f>+G51-C51</f>
        <v>0</v>
      </c>
    </row>
    <row r="52" spans="1:15" ht="12.75" thickBot="1">
      <c r="A52" s="878" t="s">
        <v>19</v>
      </c>
      <c r="B52" s="1082"/>
      <c r="C52" s="1083"/>
      <c r="D52" s="159"/>
      <c r="E52" s="160"/>
      <c r="F52" s="160"/>
      <c r="G52" s="154">
        <f>+F52+E52+D52</f>
        <v>0</v>
      </c>
      <c r="H52" s="160"/>
      <c r="I52" s="1430" t="str">
        <f t="shared" si="10"/>
        <v>-</v>
      </c>
      <c r="K52" s="625">
        <f>+G52-C52</f>
        <v>0</v>
      </c>
    </row>
    <row r="53" spans="1:15" ht="12.75" thickBot="1">
      <c r="A53" s="173" t="s">
        <v>423</v>
      </c>
      <c r="B53" s="1077">
        <f t="shared" ref="B53:G53" si="24">+B45+B49+B51</f>
        <v>9</v>
      </c>
      <c r="C53" s="164">
        <f t="shared" si="24"/>
        <v>9</v>
      </c>
      <c r="D53" s="162">
        <f t="shared" si="24"/>
        <v>0</v>
      </c>
      <c r="E53" s="165">
        <f t="shared" si="24"/>
        <v>9</v>
      </c>
      <c r="F53" s="164">
        <f t="shared" si="24"/>
        <v>0</v>
      </c>
      <c r="G53" s="166">
        <f t="shared" si="24"/>
        <v>9</v>
      </c>
      <c r="H53" s="163">
        <f>+H45+H49+H51</f>
        <v>6</v>
      </c>
      <c r="I53" s="1433">
        <f t="shared" si="10"/>
        <v>0.66666666666666663</v>
      </c>
      <c r="K53" s="625">
        <f>+G53-C53</f>
        <v>0</v>
      </c>
      <c r="L53" s="626">
        <f>+'1.4.mell._HKK_Mérleg2018'!D239</f>
        <v>9</v>
      </c>
      <c r="M53" s="625">
        <f>+C53-L53</f>
        <v>0</v>
      </c>
      <c r="N53" s="626">
        <f>+'1.4.mell._HKK_Mérleg2018'!E239</f>
        <v>6</v>
      </c>
      <c r="O53" s="625">
        <f>+N53-H53</f>
        <v>0</v>
      </c>
    </row>
    <row r="54" spans="1:15" s="441" customFormat="1">
      <c r="A54" s="732"/>
      <c r="B54" s="1086"/>
      <c r="C54" s="1087"/>
      <c r="D54" s="733"/>
      <c r="E54" s="172"/>
      <c r="F54" s="172"/>
      <c r="G54" s="734"/>
      <c r="H54" s="172"/>
      <c r="I54" s="1087"/>
      <c r="K54" s="735"/>
      <c r="L54" s="736"/>
      <c r="N54" s="736"/>
    </row>
    <row r="55" spans="1:15" s="441" customFormat="1">
      <c r="A55" s="737" t="s">
        <v>923</v>
      </c>
      <c r="B55" s="1069">
        <f t="shared" ref="B55:G55" si="25">+B56</f>
        <v>0</v>
      </c>
      <c r="C55" s="1070">
        <f t="shared" si="25"/>
        <v>0</v>
      </c>
      <c r="D55" s="152">
        <f t="shared" si="25"/>
        <v>0</v>
      </c>
      <c r="E55" s="153">
        <f t="shared" si="25"/>
        <v>0</v>
      </c>
      <c r="F55" s="153">
        <f t="shared" si="25"/>
        <v>0</v>
      </c>
      <c r="G55" s="154">
        <f t="shared" si="25"/>
        <v>0</v>
      </c>
      <c r="H55" s="153">
        <f>+H56</f>
        <v>0</v>
      </c>
      <c r="I55" s="1431" t="str">
        <f t="shared" si="10"/>
        <v>-</v>
      </c>
      <c r="K55" s="625">
        <f>+G55-C55</f>
        <v>0</v>
      </c>
      <c r="L55" s="626"/>
      <c r="M55" s="183"/>
      <c r="N55" s="626"/>
    </row>
    <row r="56" spans="1:15">
      <c r="A56" s="878" t="s">
        <v>19</v>
      </c>
      <c r="B56" s="1073"/>
      <c r="C56" s="1074"/>
      <c r="D56" s="157"/>
      <c r="E56" s="158"/>
      <c r="F56" s="158"/>
      <c r="G56" s="154">
        <f>+F56+E56+D56</f>
        <v>0</v>
      </c>
      <c r="H56" s="158"/>
      <c r="I56" s="1430" t="str">
        <f t="shared" si="10"/>
        <v>-</v>
      </c>
      <c r="K56" s="625">
        <f>+G56-C56</f>
        <v>0</v>
      </c>
    </row>
    <row r="57" spans="1:15" s="441" customFormat="1">
      <c r="A57" s="737" t="s">
        <v>924</v>
      </c>
      <c r="B57" s="1069">
        <f t="shared" ref="B57:G57" si="26">+B58</f>
        <v>3</v>
      </c>
      <c r="C57" s="1070">
        <f t="shared" si="26"/>
        <v>3</v>
      </c>
      <c r="D57" s="152">
        <f t="shared" si="26"/>
        <v>0</v>
      </c>
      <c r="E57" s="153">
        <f t="shared" si="26"/>
        <v>3</v>
      </c>
      <c r="F57" s="153">
        <f t="shared" si="26"/>
        <v>0</v>
      </c>
      <c r="G57" s="154">
        <f t="shared" si="26"/>
        <v>3</v>
      </c>
      <c r="H57" s="153">
        <f>+H58</f>
        <v>3</v>
      </c>
      <c r="I57" s="1431">
        <f t="shared" si="10"/>
        <v>1</v>
      </c>
      <c r="K57" s="625">
        <f>+G57-C57</f>
        <v>0</v>
      </c>
      <c r="L57" s="626"/>
      <c r="M57" s="183"/>
      <c r="N57" s="626"/>
    </row>
    <row r="58" spans="1:15">
      <c r="A58" s="878" t="s">
        <v>1172</v>
      </c>
      <c r="B58" s="1073">
        <v>3</v>
      </c>
      <c r="C58" s="1074">
        <v>3</v>
      </c>
      <c r="D58" s="157"/>
      <c r="E58" s="158">
        <f>+C58</f>
        <v>3</v>
      </c>
      <c r="F58" s="158"/>
      <c r="G58" s="154">
        <f>+F58+E58+D58</f>
        <v>3</v>
      </c>
      <c r="H58" s="158">
        <v>3</v>
      </c>
      <c r="I58" s="1430">
        <f t="shared" si="10"/>
        <v>1</v>
      </c>
      <c r="K58" s="625">
        <f>+G58-C58</f>
        <v>0</v>
      </c>
    </row>
    <row r="59" spans="1:15" s="441" customFormat="1">
      <c r="A59" s="151" t="s">
        <v>951</v>
      </c>
      <c r="B59" s="1069">
        <f t="shared" ref="B59:G59" si="27">+B60</f>
        <v>0</v>
      </c>
      <c r="C59" s="1070">
        <f t="shared" si="27"/>
        <v>0</v>
      </c>
      <c r="D59" s="152">
        <f t="shared" si="27"/>
        <v>0</v>
      </c>
      <c r="E59" s="153">
        <f t="shared" si="27"/>
        <v>0</v>
      </c>
      <c r="F59" s="153">
        <f t="shared" si="27"/>
        <v>0</v>
      </c>
      <c r="G59" s="154">
        <f t="shared" si="27"/>
        <v>0</v>
      </c>
      <c r="H59" s="153">
        <f>+H60</f>
        <v>0</v>
      </c>
      <c r="I59" s="1431" t="str">
        <f t="shared" si="10"/>
        <v>-</v>
      </c>
      <c r="K59" s="625"/>
      <c r="L59" s="626"/>
      <c r="M59" s="183"/>
      <c r="N59" s="626"/>
    </row>
    <row r="60" spans="1:15" ht="12.75" thickBot="1">
      <c r="A60" s="878" t="s">
        <v>19</v>
      </c>
      <c r="B60" s="1082"/>
      <c r="C60" s="1083"/>
      <c r="D60" s="159"/>
      <c r="E60" s="160"/>
      <c r="F60" s="160"/>
      <c r="G60" s="154">
        <f>+F60+E60+D60</f>
        <v>0</v>
      </c>
      <c r="H60" s="160"/>
      <c r="I60" s="1430" t="str">
        <f t="shared" si="10"/>
        <v>-</v>
      </c>
      <c r="K60" s="625">
        <f>+G60-C60</f>
        <v>0</v>
      </c>
    </row>
    <row r="61" spans="1:15" s="441" customFormat="1" ht="12.75" thickBot="1">
      <c r="A61" s="173" t="s">
        <v>925</v>
      </c>
      <c r="B61" s="1077">
        <f t="shared" ref="B61:G61" si="28">+B55+B57+B59</f>
        <v>3</v>
      </c>
      <c r="C61" s="164">
        <f t="shared" si="28"/>
        <v>3</v>
      </c>
      <c r="D61" s="162">
        <f t="shared" si="28"/>
        <v>0</v>
      </c>
      <c r="E61" s="165">
        <f t="shared" si="28"/>
        <v>3</v>
      </c>
      <c r="F61" s="164">
        <f t="shared" si="28"/>
        <v>0</v>
      </c>
      <c r="G61" s="166">
        <f t="shared" si="28"/>
        <v>3</v>
      </c>
      <c r="H61" s="163">
        <f>+H55+H57+H59</f>
        <v>3</v>
      </c>
      <c r="I61" s="1433">
        <f t="shared" si="10"/>
        <v>1</v>
      </c>
      <c r="K61" s="625">
        <f>+G61-C61</f>
        <v>0</v>
      </c>
      <c r="L61" s="626">
        <f>+'1.5._mell._MŐSZ_Mérleg2018'!D239</f>
        <v>3</v>
      </c>
      <c r="M61" s="625">
        <f>+C61-L61</f>
        <v>0</v>
      </c>
      <c r="N61" s="626">
        <f>+'1.5._mell._MŐSZ_Mérleg2018'!E239</f>
        <v>3</v>
      </c>
      <c r="O61" s="625">
        <f>+N61-H61</f>
        <v>0</v>
      </c>
    </row>
    <row r="62" spans="1:15">
      <c r="A62" s="167"/>
      <c r="B62" s="1084"/>
      <c r="C62" s="1085"/>
      <c r="D62" s="168"/>
      <c r="E62" s="169"/>
      <c r="F62" s="169"/>
      <c r="G62" s="170"/>
      <c r="H62" s="169"/>
      <c r="I62" s="1085"/>
      <c r="K62" s="625"/>
    </row>
    <row r="63" spans="1:15">
      <c r="A63" s="171" t="s">
        <v>1203</v>
      </c>
      <c r="B63" s="1069">
        <f t="shared" ref="B63:G63" si="29">+B64+B65</f>
        <v>15</v>
      </c>
      <c r="C63" s="1070">
        <f t="shared" si="29"/>
        <v>15</v>
      </c>
      <c r="D63" s="152">
        <f t="shared" si="29"/>
        <v>0</v>
      </c>
      <c r="E63" s="153">
        <f t="shared" si="29"/>
        <v>15</v>
      </c>
      <c r="F63" s="153">
        <f t="shared" si="29"/>
        <v>0</v>
      </c>
      <c r="G63" s="154">
        <f t="shared" si="29"/>
        <v>15</v>
      </c>
      <c r="H63" s="153">
        <f>+H64+H65</f>
        <v>14</v>
      </c>
      <c r="I63" s="1431">
        <f t="shared" si="10"/>
        <v>0.93333333333333335</v>
      </c>
      <c r="K63" s="625">
        <f>+G63-C63</f>
        <v>0</v>
      </c>
    </row>
    <row r="64" spans="1:15">
      <c r="A64" s="878" t="s">
        <v>1111</v>
      </c>
      <c r="B64" s="1073">
        <v>7</v>
      </c>
      <c r="C64" s="1074">
        <v>7</v>
      </c>
      <c r="D64" s="157"/>
      <c r="E64" s="158">
        <f>+C64</f>
        <v>7</v>
      </c>
      <c r="F64" s="158"/>
      <c r="G64" s="154">
        <f>+F64+E64+D64</f>
        <v>7</v>
      </c>
      <c r="H64" s="158">
        <v>7</v>
      </c>
      <c r="I64" s="1430">
        <f t="shared" si="10"/>
        <v>1</v>
      </c>
      <c r="K64" s="625">
        <f>+G64-C64</f>
        <v>0</v>
      </c>
    </row>
    <row r="65" spans="1:15">
      <c r="A65" s="878" t="s">
        <v>1112</v>
      </c>
      <c r="B65" s="1073">
        <v>8</v>
      </c>
      <c r="C65" s="1074">
        <v>8</v>
      </c>
      <c r="D65" s="157"/>
      <c r="E65" s="158">
        <f>+C65</f>
        <v>8</v>
      </c>
      <c r="F65" s="158"/>
      <c r="G65" s="154">
        <f>+F65+E65+D65</f>
        <v>8</v>
      </c>
      <c r="H65" s="158">
        <v>7</v>
      </c>
      <c r="I65" s="1430">
        <f t="shared" si="10"/>
        <v>0.875</v>
      </c>
      <c r="K65" s="625">
        <f>+G65-C65</f>
        <v>0</v>
      </c>
    </row>
    <row r="66" spans="1:15">
      <c r="A66" s="171" t="s">
        <v>1204</v>
      </c>
      <c r="B66" s="1069">
        <f t="shared" ref="B66:G66" si="30">+B67</f>
        <v>0</v>
      </c>
      <c r="C66" s="1070">
        <f t="shared" si="30"/>
        <v>0</v>
      </c>
      <c r="D66" s="152">
        <f t="shared" si="30"/>
        <v>0</v>
      </c>
      <c r="E66" s="153">
        <f t="shared" si="30"/>
        <v>0</v>
      </c>
      <c r="F66" s="153">
        <f t="shared" si="30"/>
        <v>0</v>
      </c>
      <c r="G66" s="154">
        <f t="shared" si="30"/>
        <v>0</v>
      </c>
      <c r="H66" s="153">
        <f>+H67</f>
        <v>0</v>
      </c>
      <c r="I66" s="1431" t="str">
        <f t="shared" si="10"/>
        <v>-</v>
      </c>
      <c r="K66" s="625">
        <f>+G66-C66</f>
        <v>0</v>
      </c>
    </row>
    <row r="67" spans="1:15">
      <c r="A67" s="878" t="s">
        <v>19</v>
      </c>
      <c r="B67" s="1073"/>
      <c r="C67" s="1074"/>
      <c r="D67" s="157"/>
      <c r="E67" s="158"/>
      <c r="F67" s="158"/>
      <c r="G67" s="154">
        <f>+F67+E67+D67</f>
        <v>0</v>
      </c>
      <c r="H67" s="158"/>
      <c r="I67" s="1430" t="str">
        <f t="shared" si="10"/>
        <v>-</v>
      </c>
      <c r="K67" s="625">
        <f>+G67-C67</f>
        <v>0</v>
      </c>
    </row>
    <row r="68" spans="1:15">
      <c r="A68" s="151" t="s">
        <v>1205</v>
      </c>
      <c r="B68" s="1069">
        <f t="shared" ref="B68:G68" si="31">+B69</f>
        <v>0</v>
      </c>
      <c r="C68" s="1070">
        <f t="shared" si="31"/>
        <v>0</v>
      </c>
      <c r="D68" s="152">
        <f t="shared" si="31"/>
        <v>0</v>
      </c>
      <c r="E68" s="153">
        <f t="shared" si="31"/>
        <v>0</v>
      </c>
      <c r="F68" s="153">
        <f t="shared" si="31"/>
        <v>0</v>
      </c>
      <c r="G68" s="154">
        <f t="shared" si="31"/>
        <v>0</v>
      </c>
      <c r="H68" s="153">
        <f>+H69</f>
        <v>0</v>
      </c>
      <c r="I68" s="1431" t="str">
        <f t="shared" si="10"/>
        <v>-</v>
      </c>
      <c r="K68" s="625">
        <f>+G68-C68</f>
        <v>0</v>
      </c>
    </row>
    <row r="69" spans="1:15" ht="12.75" thickBot="1">
      <c r="A69" s="878" t="s">
        <v>19</v>
      </c>
      <c r="B69" s="1082"/>
      <c r="C69" s="1083"/>
      <c r="D69" s="159"/>
      <c r="E69" s="160"/>
      <c r="F69" s="160"/>
      <c r="G69" s="154">
        <f>+F69+E69+D69</f>
        <v>0</v>
      </c>
      <c r="H69" s="160"/>
      <c r="I69" s="1430" t="str">
        <f t="shared" si="10"/>
        <v>-</v>
      </c>
      <c r="K69" s="625">
        <f>+G69-C69</f>
        <v>0</v>
      </c>
    </row>
    <row r="70" spans="1:15" ht="12.75" thickBot="1">
      <c r="A70" s="161" t="s">
        <v>1206</v>
      </c>
      <c r="B70" s="1077">
        <f t="shared" ref="B70:G70" si="32">+B63+B66+B68</f>
        <v>15</v>
      </c>
      <c r="C70" s="164">
        <f t="shared" si="32"/>
        <v>15</v>
      </c>
      <c r="D70" s="162">
        <f t="shared" si="32"/>
        <v>0</v>
      </c>
      <c r="E70" s="165">
        <f t="shared" si="32"/>
        <v>15</v>
      </c>
      <c r="F70" s="164">
        <f t="shared" si="32"/>
        <v>0</v>
      </c>
      <c r="G70" s="166">
        <f t="shared" si="32"/>
        <v>15</v>
      </c>
      <c r="H70" s="163">
        <f>+H63+H66+H68</f>
        <v>14</v>
      </c>
      <c r="I70" s="1433">
        <f t="shared" si="10"/>
        <v>0.93333333333333335</v>
      </c>
      <c r="K70" s="625">
        <f>+G70-C70</f>
        <v>0</v>
      </c>
      <c r="L70" s="626">
        <f>+'1.6._mell._HVGYKCSSZ_Mérleg2018'!D239</f>
        <v>15</v>
      </c>
      <c r="M70" s="625">
        <f>+C70-L70</f>
        <v>0</v>
      </c>
      <c r="N70" s="626">
        <f>+'1.6._mell._HVGYKCSSZ_Mérleg2018'!E239</f>
        <v>14</v>
      </c>
      <c r="O70" s="625">
        <f>+N70-H70</f>
        <v>0</v>
      </c>
    </row>
    <row r="71" spans="1:15" ht="12.75" thickBot="1">
      <c r="A71" s="174"/>
      <c r="B71" s="1088"/>
      <c r="C71" s="1089"/>
      <c r="D71" s="155"/>
      <c r="E71" s="175"/>
      <c r="F71" s="156"/>
      <c r="G71" s="154"/>
      <c r="H71" s="156"/>
      <c r="I71" s="1089"/>
      <c r="K71" s="625"/>
    </row>
    <row r="72" spans="1:15" ht="12.75" thickBot="1">
      <c r="A72" s="176" t="s">
        <v>428</v>
      </c>
      <c r="B72" s="1077">
        <f t="shared" ref="B72:G72" si="33">+B22+B34+B43+B61+B53+B70</f>
        <v>187</v>
      </c>
      <c r="C72" s="164">
        <f t="shared" si="33"/>
        <v>241</v>
      </c>
      <c r="D72" s="162">
        <f t="shared" si="33"/>
        <v>46</v>
      </c>
      <c r="E72" s="165">
        <f t="shared" si="33"/>
        <v>96</v>
      </c>
      <c r="F72" s="163">
        <f t="shared" si="33"/>
        <v>99</v>
      </c>
      <c r="G72" s="166">
        <f t="shared" si="33"/>
        <v>241</v>
      </c>
      <c r="H72" s="163">
        <f>+H22+H34+H43+H61+H53+H70</f>
        <v>214</v>
      </c>
      <c r="I72" s="1433">
        <f t="shared" si="10"/>
        <v>0.88796680497925307</v>
      </c>
      <c r="K72" s="625">
        <f>+G72-C72</f>
        <v>0</v>
      </c>
      <c r="L72" s="626">
        <f>+'1.mell._Össz_Mérleg2018'!D239</f>
        <v>241</v>
      </c>
      <c r="M72" s="625">
        <f>+C72-L72</f>
        <v>0</v>
      </c>
      <c r="N72" s="626">
        <f>+'1.mell._Össz_Mérleg2018'!E239</f>
        <v>214</v>
      </c>
      <c r="O72" s="625">
        <f>+N72-H72</f>
        <v>0</v>
      </c>
    </row>
    <row r="73" spans="1:15">
      <c r="A73" s="145"/>
      <c r="B73" s="145"/>
      <c r="C73" s="145"/>
      <c r="D73" s="145"/>
      <c r="E73" s="145"/>
      <c r="F73" s="145"/>
      <c r="G73" s="145"/>
      <c r="H73" s="145"/>
      <c r="I73" s="145"/>
      <c r="K73" s="625"/>
    </row>
    <row r="74" spans="1:15" ht="15.75">
      <c r="A74" s="1237" t="s">
        <v>424</v>
      </c>
      <c r="B74" s="1237"/>
      <c r="C74" s="1237"/>
      <c r="D74" s="1237"/>
      <c r="E74" s="1237"/>
      <c r="F74" s="1237"/>
      <c r="G74" s="1237"/>
      <c r="H74" s="1237"/>
      <c r="I74" s="1237"/>
      <c r="K74" s="625"/>
    </row>
    <row r="75" spans="1:15" ht="12.75" thickBot="1">
      <c r="A75" s="145"/>
      <c r="B75" s="145"/>
      <c r="C75" s="145"/>
      <c r="D75" s="145"/>
      <c r="E75" s="145"/>
      <c r="F75" s="145"/>
      <c r="G75" s="145"/>
      <c r="H75" s="145"/>
      <c r="I75" s="145"/>
      <c r="K75" s="625"/>
    </row>
    <row r="76" spans="1:15" s="186" customFormat="1" ht="12.75" customHeight="1" thickBot="1">
      <c r="A76" s="1235" t="s">
        <v>7</v>
      </c>
      <c r="B76" s="1238" t="s">
        <v>1476</v>
      </c>
      <c r="C76" s="1244" t="s">
        <v>1496</v>
      </c>
      <c r="D76" s="1240" t="s">
        <v>1327</v>
      </c>
      <c r="E76" s="1241"/>
      <c r="F76" s="1241"/>
      <c r="G76" s="1242"/>
      <c r="H76" s="1424" t="s">
        <v>1530</v>
      </c>
      <c r="I76" s="1434" t="s">
        <v>1527</v>
      </c>
      <c r="K76" s="625"/>
      <c r="L76" s="629"/>
      <c r="N76" s="629"/>
    </row>
    <row r="77" spans="1:15" s="186" customFormat="1" ht="48.75" thickBot="1">
      <c r="A77" s="1236"/>
      <c r="B77" s="1239"/>
      <c r="C77" s="1423"/>
      <c r="D77" s="187" t="s">
        <v>408</v>
      </c>
      <c r="E77" s="188" t="s">
        <v>409</v>
      </c>
      <c r="F77" s="189" t="s">
        <v>410</v>
      </c>
      <c r="G77" s="190" t="s">
        <v>18</v>
      </c>
      <c r="H77" s="1426"/>
      <c r="I77" s="1435"/>
      <c r="K77" s="625"/>
      <c r="L77" s="629"/>
      <c r="N77" s="629"/>
    </row>
    <row r="78" spans="1:15">
      <c r="A78" s="146"/>
      <c r="B78" s="1067"/>
      <c r="C78" s="1068"/>
      <c r="D78" s="177"/>
      <c r="E78" s="178"/>
      <c r="F78" s="179"/>
      <c r="G78" s="180"/>
      <c r="H78" s="1436"/>
      <c r="I78" s="1068"/>
      <c r="K78" s="625"/>
    </row>
    <row r="79" spans="1:15">
      <c r="A79" s="151" t="s">
        <v>411</v>
      </c>
      <c r="B79" s="1069">
        <f t="shared" ref="B79:G79" si="34">+B80+B81+B82</f>
        <v>129</v>
      </c>
      <c r="C79" s="1070">
        <f t="shared" si="34"/>
        <v>239</v>
      </c>
      <c r="D79" s="152">
        <f t="shared" si="34"/>
        <v>0</v>
      </c>
      <c r="E79" s="153">
        <f t="shared" si="34"/>
        <v>0</v>
      </c>
      <c r="F79" s="153">
        <f t="shared" si="34"/>
        <v>239</v>
      </c>
      <c r="G79" s="154">
        <f t="shared" si="34"/>
        <v>239</v>
      </c>
      <c r="H79" s="153">
        <f>+H80+H81+H82</f>
        <v>164</v>
      </c>
      <c r="I79" s="1431">
        <f t="shared" ref="I79:I83" si="35">IF(ISERROR(H79/C79),"-",H79/C79)</f>
        <v>0.68619246861924688</v>
      </c>
      <c r="K79" s="625">
        <f>+G79-C79</f>
        <v>0</v>
      </c>
    </row>
    <row r="80" spans="1:15">
      <c r="A80" s="833" t="s">
        <v>757</v>
      </c>
      <c r="B80" s="1071"/>
      <c r="C80" s="1072"/>
      <c r="D80" s="155"/>
      <c r="E80" s="156"/>
      <c r="F80" s="156">
        <f>+C80</f>
        <v>0</v>
      </c>
      <c r="G80" s="154">
        <f>+D80+E80+F80</f>
        <v>0</v>
      </c>
      <c r="H80" s="1437"/>
      <c r="I80" s="1430" t="str">
        <f t="shared" si="35"/>
        <v>-</v>
      </c>
      <c r="K80" s="625">
        <f>+G80-C80</f>
        <v>0</v>
      </c>
    </row>
    <row r="81" spans="1:15">
      <c r="A81" s="834" t="s">
        <v>760</v>
      </c>
      <c r="B81" s="1073">
        <v>89</v>
      </c>
      <c r="C81" s="1074">
        <v>174</v>
      </c>
      <c r="D81" s="157"/>
      <c r="E81" s="158"/>
      <c r="F81" s="156">
        <f>+C81</f>
        <v>174</v>
      </c>
      <c r="G81" s="154">
        <f>+D81+E81+F81</f>
        <v>174</v>
      </c>
      <c r="H81" s="158">
        <v>110</v>
      </c>
      <c r="I81" s="1430">
        <f t="shared" si="35"/>
        <v>0.63218390804597702</v>
      </c>
      <c r="K81" s="625">
        <f>+G81-C81</f>
        <v>0</v>
      </c>
    </row>
    <row r="82" spans="1:15" ht="12.75" thickBot="1">
      <c r="A82" s="835" t="s">
        <v>763</v>
      </c>
      <c r="B82" s="1075">
        <v>40</v>
      </c>
      <c r="C82" s="1076">
        <v>65</v>
      </c>
      <c r="D82" s="181"/>
      <c r="E82" s="182"/>
      <c r="F82" s="156">
        <f>+C82</f>
        <v>65</v>
      </c>
      <c r="G82" s="154">
        <f>+D82+E82+F82</f>
        <v>65</v>
      </c>
      <c r="H82" s="182">
        <v>54</v>
      </c>
      <c r="I82" s="1430">
        <f t="shared" si="35"/>
        <v>0.83076923076923082</v>
      </c>
      <c r="K82" s="625">
        <f>+G82-C82</f>
        <v>0</v>
      </c>
    </row>
    <row r="83" spans="1:15" ht="12.75" thickBot="1">
      <c r="A83" s="161" t="s">
        <v>414</v>
      </c>
      <c r="B83" s="1077">
        <f t="shared" ref="B83:G83" si="36">+B79</f>
        <v>129</v>
      </c>
      <c r="C83" s="164">
        <f t="shared" si="36"/>
        <v>239</v>
      </c>
      <c r="D83" s="162">
        <f t="shared" si="36"/>
        <v>0</v>
      </c>
      <c r="E83" s="163">
        <f t="shared" si="36"/>
        <v>0</v>
      </c>
      <c r="F83" s="163">
        <f t="shared" si="36"/>
        <v>239</v>
      </c>
      <c r="G83" s="166">
        <f t="shared" si="36"/>
        <v>239</v>
      </c>
      <c r="H83" s="163">
        <f>+H79</f>
        <v>164</v>
      </c>
      <c r="I83" s="1433">
        <f t="shared" si="35"/>
        <v>0.68619246861924688</v>
      </c>
      <c r="K83" s="625">
        <f>+G83-C83</f>
        <v>0</v>
      </c>
      <c r="L83" s="626">
        <f>+'1.1.mell._ÖNK_Mérleg2018'!D241</f>
        <v>239</v>
      </c>
      <c r="M83" s="625">
        <f>+C83-L83</f>
        <v>0</v>
      </c>
      <c r="N83" s="626">
        <f>+'1.1.mell._ÖNK_Mérleg2018'!E241</f>
        <v>164</v>
      </c>
      <c r="O83" s="625">
        <f>+N83-H83</f>
        <v>0</v>
      </c>
    </row>
    <row r="84" spans="1:15" ht="12.75" thickBot="1">
      <c r="A84" s="161"/>
      <c r="B84" s="1077"/>
      <c r="C84" s="164"/>
      <c r="D84" s="162"/>
      <c r="E84" s="163"/>
      <c r="F84" s="163"/>
      <c r="G84" s="166"/>
      <c r="H84" s="163"/>
      <c r="I84" s="164"/>
      <c r="K84" s="625"/>
    </row>
    <row r="85" spans="1:15" ht="12.75" thickBot="1">
      <c r="A85" s="176" t="s">
        <v>427</v>
      </c>
      <c r="B85" s="1077">
        <f t="shared" ref="B85:G85" si="37">+B83</f>
        <v>129</v>
      </c>
      <c r="C85" s="164">
        <f t="shared" si="37"/>
        <v>239</v>
      </c>
      <c r="D85" s="162">
        <f t="shared" si="37"/>
        <v>0</v>
      </c>
      <c r="E85" s="165">
        <f t="shared" si="37"/>
        <v>0</v>
      </c>
      <c r="F85" s="163">
        <f t="shared" si="37"/>
        <v>239</v>
      </c>
      <c r="G85" s="166">
        <f t="shared" si="37"/>
        <v>239</v>
      </c>
      <c r="H85" s="163">
        <f>+H83</f>
        <v>164</v>
      </c>
      <c r="I85" s="1433">
        <f t="shared" ref="I85" si="38">IF(ISERROR(H85/C85),"-",H85/C85)</f>
        <v>0.68619246861924688</v>
      </c>
      <c r="K85" s="625">
        <f>+G85-C85</f>
        <v>0</v>
      </c>
      <c r="L85" s="626">
        <f>+'1.mell._Össz_Mérleg2018'!D241</f>
        <v>239</v>
      </c>
      <c r="M85" s="625">
        <f>+C85-L85</f>
        <v>0</v>
      </c>
      <c r="N85" s="626">
        <f>+'1.mell._Össz_Mérleg2018'!E241</f>
        <v>164</v>
      </c>
      <c r="O85" s="625">
        <f>+N85-H85</f>
        <v>0</v>
      </c>
    </row>
    <row r="86" spans="1:15" ht="12.75" thickBot="1">
      <c r="K86" s="625"/>
    </row>
    <row r="87" spans="1:15" s="186" customFormat="1" ht="12.75" thickBot="1">
      <c r="A87" s="191" t="s">
        <v>426</v>
      </c>
      <c r="B87" s="1078">
        <f t="shared" ref="B87:G87" si="39">+B72+B85</f>
        <v>316</v>
      </c>
      <c r="C87" s="1079">
        <f t="shared" si="39"/>
        <v>480</v>
      </c>
      <c r="D87" s="620">
        <f t="shared" si="39"/>
        <v>46</v>
      </c>
      <c r="E87" s="621">
        <f t="shared" si="39"/>
        <v>96</v>
      </c>
      <c r="F87" s="620">
        <f t="shared" si="39"/>
        <v>338</v>
      </c>
      <c r="G87" s="619">
        <f t="shared" si="39"/>
        <v>480</v>
      </c>
      <c r="H87" s="1438">
        <f>+H72+H85</f>
        <v>378</v>
      </c>
      <c r="I87" s="1433">
        <f t="shared" ref="I87" si="40">IF(ISERROR(H87/C87),"-",H87/C87)</f>
        <v>0.78749999999999998</v>
      </c>
      <c r="K87" s="625">
        <f>+G87-C87</f>
        <v>0</v>
      </c>
      <c r="L87" s="626">
        <f>+'1.mell._Össz_Mérleg2018'!D242</f>
        <v>480</v>
      </c>
      <c r="M87" s="625">
        <f>+C87-L87</f>
        <v>0</v>
      </c>
      <c r="N87" s="626">
        <f>+'1.mell._Össz_Mérleg2018'!E242</f>
        <v>378</v>
      </c>
      <c r="O87" s="625">
        <f>+N87-H87</f>
        <v>0</v>
      </c>
    </row>
  </sheetData>
  <mergeCells count="15">
    <mergeCell ref="H6:H7"/>
    <mergeCell ref="I6:I7"/>
    <mergeCell ref="H76:H77"/>
    <mergeCell ref="I76:I77"/>
    <mergeCell ref="A3:I3"/>
    <mergeCell ref="A4:I4"/>
    <mergeCell ref="A74:I74"/>
    <mergeCell ref="A76:A77"/>
    <mergeCell ref="B76:B77"/>
    <mergeCell ref="D76:G76"/>
    <mergeCell ref="A6:A7"/>
    <mergeCell ref="D6:G6"/>
    <mergeCell ref="B6:B7"/>
    <mergeCell ref="C6:C7"/>
    <mergeCell ref="C76:C77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56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sheetPr codeName="Munka4">
    <tabColor rgb="FF00B0F0"/>
  </sheetPr>
  <dimension ref="A1:AM312"/>
  <sheetViews>
    <sheetView zoomScaleNormal="100" zoomScaleSheetLayoutView="40" workbookViewId="0"/>
  </sheetViews>
  <sheetFormatPr defaultRowHeight="12"/>
  <cols>
    <col min="1" max="1" width="50.7109375" style="943" customWidth="1"/>
    <col min="2" max="10" width="10.7109375" style="943" customWidth="1"/>
    <col min="11" max="11" width="10.7109375" style="945" customWidth="1"/>
    <col min="12" max="12" width="50.7109375" style="943" customWidth="1"/>
    <col min="13" max="21" width="10.7109375" style="943" customWidth="1"/>
    <col min="22" max="23" width="10.7109375" style="943" hidden="1" customWidth="1"/>
    <col min="24" max="24" width="9.140625" style="943" hidden="1" customWidth="1"/>
    <col min="25" max="25" width="9.7109375" style="943" hidden="1" customWidth="1"/>
    <col min="26" max="28" width="9.140625" style="943" hidden="1" customWidth="1"/>
    <col min="29" max="29" width="9.7109375" style="943" hidden="1" customWidth="1"/>
    <col min="30" max="30" width="9.140625" style="943" hidden="1" customWidth="1"/>
    <col min="31" max="32" width="9.140625" style="943" customWidth="1"/>
    <col min="33" max="16384" width="9.140625" style="943"/>
  </cols>
  <sheetData>
    <row r="1" spans="1:23" s="935" customFormat="1" ht="15.75">
      <c r="A1" s="614"/>
      <c r="B1" s="614"/>
      <c r="C1" s="614"/>
      <c r="D1" s="614"/>
      <c r="E1" s="614"/>
      <c r="F1" s="614"/>
      <c r="G1" s="614"/>
      <c r="H1" s="614"/>
      <c r="I1" s="614"/>
      <c r="J1" s="614"/>
      <c r="K1" s="831"/>
      <c r="L1" s="614"/>
      <c r="M1" s="614"/>
      <c r="N1" s="614"/>
      <c r="O1" s="614"/>
      <c r="P1" s="614"/>
      <c r="Q1" s="614"/>
      <c r="S1" s="192"/>
      <c r="T1" s="192"/>
      <c r="U1" s="192" t="s">
        <v>444</v>
      </c>
      <c r="V1" s="192"/>
      <c r="W1" s="192"/>
    </row>
    <row r="2" spans="1:23" s="935" customFormat="1" ht="15.75">
      <c r="A2" s="614"/>
      <c r="B2" s="614"/>
      <c r="C2" s="614"/>
      <c r="D2" s="614"/>
      <c r="E2" s="614"/>
      <c r="F2" s="614"/>
      <c r="G2" s="614"/>
      <c r="H2" s="614"/>
      <c r="I2" s="614"/>
      <c r="J2" s="614"/>
      <c r="K2" s="831"/>
      <c r="L2" s="614"/>
      <c r="M2" s="614"/>
      <c r="N2" s="614"/>
      <c r="O2" s="614"/>
      <c r="P2" s="614"/>
      <c r="Q2" s="614"/>
      <c r="R2" s="192"/>
      <c r="S2" s="192"/>
      <c r="T2" s="192"/>
      <c r="U2" s="192"/>
      <c r="V2" s="192"/>
      <c r="W2" s="192"/>
    </row>
    <row r="3" spans="1:23" s="935" customFormat="1" ht="15.75">
      <c r="A3" s="1245" t="s">
        <v>455</v>
      </c>
      <c r="B3" s="1245"/>
      <c r="C3" s="1245"/>
      <c r="D3" s="1245"/>
      <c r="E3" s="1245"/>
      <c r="F3" s="1245"/>
      <c r="G3" s="1245"/>
      <c r="H3" s="1245"/>
      <c r="I3" s="1245"/>
      <c r="J3" s="1245"/>
      <c r="K3" s="1245"/>
      <c r="L3" s="1245"/>
      <c r="M3" s="1245"/>
      <c r="N3" s="1245"/>
      <c r="O3" s="1245"/>
      <c r="P3" s="1245"/>
      <c r="Q3" s="1245"/>
      <c r="R3" s="1245"/>
      <c r="S3" s="1245"/>
      <c r="T3" s="1245"/>
      <c r="U3" s="1245"/>
      <c r="V3" s="1198"/>
      <c r="W3" s="1198"/>
    </row>
    <row r="4" spans="1:23" s="935" customFormat="1" ht="15.75">
      <c r="K4" s="936"/>
    </row>
    <row r="5" spans="1:23" s="935" customFormat="1" ht="15.75">
      <c r="A5" s="193" t="s">
        <v>430</v>
      </c>
      <c r="B5" s="1246" t="s">
        <v>1210</v>
      </c>
      <c r="C5" s="1246"/>
      <c r="D5" s="1246"/>
      <c r="E5" s="1246"/>
      <c r="F5" s="1246"/>
      <c r="G5" s="1246"/>
      <c r="H5" s="1246"/>
      <c r="I5" s="1246"/>
      <c r="J5" s="1246"/>
      <c r="K5" s="831"/>
      <c r="L5" s="193" t="s">
        <v>431</v>
      </c>
      <c r="M5" s="1247" t="s">
        <v>1213</v>
      </c>
      <c r="N5" s="1247"/>
      <c r="O5" s="1247"/>
      <c r="P5" s="1247"/>
      <c r="Q5" s="1247"/>
      <c r="R5" s="1247"/>
      <c r="S5" s="1247"/>
      <c r="T5" s="1247"/>
      <c r="U5" s="1247"/>
      <c r="V5" s="1196"/>
      <c r="W5" s="1196"/>
    </row>
    <row r="6" spans="1:23" s="935" customFormat="1" ht="15.75" customHeight="1">
      <c r="A6" s="1248" t="s">
        <v>1211</v>
      </c>
      <c r="B6" s="1248"/>
      <c r="C6" s="1248"/>
      <c r="D6" s="1248"/>
      <c r="E6" s="1248"/>
      <c r="F6" s="1248"/>
      <c r="G6" s="1248"/>
      <c r="H6" s="1248"/>
      <c r="I6" s="1248"/>
      <c r="J6" s="1248"/>
      <c r="K6" s="831"/>
      <c r="L6" s="1248" t="s">
        <v>1212</v>
      </c>
      <c r="M6" s="1248"/>
      <c r="N6" s="1248"/>
      <c r="O6" s="1248"/>
      <c r="P6" s="1248"/>
      <c r="Q6" s="1248"/>
      <c r="R6" s="1248"/>
      <c r="S6" s="1248"/>
      <c r="T6" s="1248"/>
      <c r="U6" s="1248"/>
      <c r="V6" s="1197"/>
      <c r="W6" s="1197"/>
    </row>
    <row r="7" spans="1:23" s="935" customFormat="1" ht="15.75">
      <c r="A7" s="1245" t="s">
        <v>1214</v>
      </c>
      <c r="B7" s="1245"/>
      <c r="C7" s="1245"/>
      <c r="D7" s="1245"/>
      <c r="E7" s="1245"/>
      <c r="F7" s="1245"/>
      <c r="G7" s="1245"/>
      <c r="H7" s="1245"/>
      <c r="I7" s="1245"/>
      <c r="J7" s="1245"/>
      <c r="K7" s="831"/>
      <c r="L7" s="1245" t="s">
        <v>1214</v>
      </c>
      <c r="M7" s="1245"/>
      <c r="N7" s="1245"/>
      <c r="O7" s="1245"/>
      <c r="P7" s="1245"/>
      <c r="Q7" s="1245"/>
      <c r="R7" s="1245"/>
      <c r="S7" s="1245"/>
      <c r="T7" s="1245"/>
      <c r="U7" s="1245"/>
      <c r="V7" s="1198"/>
      <c r="W7" s="1198"/>
    </row>
    <row r="8" spans="1:23" s="938" customFormat="1" ht="12.75" thickBot="1">
      <c r="A8" s="937"/>
      <c r="B8" s="937"/>
      <c r="C8" s="937"/>
      <c r="D8" s="937"/>
      <c r="E8" s="937"/>
      <c r="F8" s="937"/>
      <c r="G8" s="937"/>
      <c r="H8" s="937"/>
      <c r="J8" s="238" t="s">
        <v>281</v>
      </c>
      <c r="K8" s="939"/>
      <c r="L8" s="937"/>
      <c r="M8" s="937"/>
      <c r="R8" s="937"/>
      <c r="S8" s="937"/>
      <c r="U8" s="238" t="s">
        <v>281</v>
      </c>
      <c r="V8" s="925"/>
      <c r="W8" s="925"/>
    </row>
    <row r="9" spans="1:23" s="941" customFormat="1" ht="36.75" thickBot="1">
      <c r="A9" s="401" t="s">
        <v>432</v>
      </c>
      <c r="B9" s="402" t="s">
        <v>1329</v>
      </c>
      <c r="C9" s="1887" t="s">
        <v>1474</v>
      </c>
      <c r="D9" s="1482" t="s">
        <v>1475</v>
      </c>
      <c r="E9" s="1482" t="s">
        <v>1529</v>
      </c>
      <c r="F9" s="1483" t="s">
        <v>1527</v>
      </c>
      <c r="G9" s="382" t="s">
        <v>460</v>
      </c>
      <c r="H9" s="383" t="s">
        <v>461</v>
      </c>
      <c r="I9" s="383" t="s">
        <v>1330</v>
      </c>
      <c r="J9" s="1202" t="s">
        <v>18</v>
      </c>
      <c r="K9" s="940"/>
      <c r="L9" s="401" t="s">
        <v>432</v>
      </c>
      <c r="M9" s="402" t="s">
        <v>1329</v>
      </c>
      <c r="N9" s="1887" t="s">
        <v>1474</v>
      </c>
      <c r="O9" s="1482" t="s">
        <v>1475</v>
      </c>
      <c r="P9" s="1482" t="s">
        <v>1529</v>
      </c>
      <c r="Q9" s="1483" t="s">
        <v>1527</v>
      </c>
      <c r="R9" s="382" t="s">
        <v>460</v>
      </c>
      <c r="S9" s="383" t="s">
        <v>461</v>
      </c>
      <c r="T9" s="383" t="s">
        <v>1330</v>
      </c>
      <c r="U9" s="1202" t="s">
        <v>18</v>
      </c>
      <c r="V9" s="926"/>
      <c r="W9" s="926"/>
    </row>
    <row r="10" spans="1:23">
      <c r="A10" s="201" t="s">
        <v>433</v>
      </c>
      <c r="B10" s="202">
        <f t="shared" ref="B10:J10" si="0">+B27-B15-B14-B13-B12</f>
        <v>-191871</v>
      </c>
      <c r="C10" s="1092">
        <f t="shared" si="0"/>
        <v>191871</v>
      </c>
      <c r="D10" s="1093">
        <f t="shared" ref="D10:E10" si="1">+D27-D15-D14-D13-D12</f>
        <v>1025</v>
      </c>
      <c r="E10" s="1093">
        <f t="shared" si="1"/>
        <v>1025</v>
      </c>
      <c r="F10" s="1439">
        <f t="shared" ref="F10:F16" si="2">IF(ISERROR(E10/D10),"-",E10/D10)</f>
        <v>1</v>
      </c>
      <c r="G10" s="203">
        <f t="shared" si="0"/>
        <v>190846</v>
      </c>
      <c r="H10" s="204">
        <f t="shared" si="0"/>
        <v>0</v>
      </c>
      <c r="I10" s="204">
        <f t="shared" si="0"/>
        <v>0</v>
      </c>
      <c r="J10" s="205">
        <f t="shared" si="0"/>
        <v>0</v>
      </c>
      <c r="K10" s="942"/>
      <c r="L10" s="201" t="s">
        <v>433</v>
      </c>
      <c r="M10" s="202">
        <f t="shared" ref="M10:T10" si="3">+M27-M15-M14-M13-M12</f>
        <v>-177292</v>
      </c>
      <c r="N10" s="1092">
        <f t="shared" si="3"/>
        <v>177292</v>
      </c>
      <c r="O10" s="1093">
        <f t="shared" ref="O10:P10" si="4">+O27-O15-O14-O13-O12</f>
        <v>0</v>
      </c>
      <c r="P10" s="1093">
        <f t="shared" si="4"/>
        <v>0</v>
      </c>
      <c r="Q10" s="1439" t="str">
        <f t="shared" ref="Q10:Q16" si="5">IF(ISERROR(P10/O10),"-",P10/O10)</f>
        <v>-</v>
      </c>
      <c r="R10" s="203">
        <f t="shared" si="3"/>
        <v>177292</v>
      </c>
      <c r="S10" s="204">
        <f t="shared" si="3"/>
        <v>0</v>
      </c>
      <c r="T10" s="204">
        <f t="shared" si="3"/>
        <v>0</v>
      </c>
      <c r="U10" s="205">
        <f t="shared" ref="U10:U15" si="6">+M10+IF(O10&lt;=P10,P10,O10)+R10+S10+T10</f>
        <v>0</v>
      </c>
      <c r="V10" s="195"/>
      <c r="W10" s="195"/>
    </row>
    <row r="11" spans="1:23">
      <c r="A11" s="206" t="s">
        <v>434</v>
      </c>
      <c r="B11" s="207"/>
      <c r="C11" s="1094"/>
      <c r="D11" s="1095"/>
      <c r="E11" s="1095"/>
      <c r="F11" s="1440" t="str">
        <f t="shared" si="2"/>
        <v>-</v>
      </c>
      <c r="G11" s="208"/>
      <c r="H11" s="209"/>
      <c r="I11" s="209"/>
      <c r="J11" s="210">
        <f>+B11+IF(D11&lt;=E11,E11,D11)+G11+H11+I11</f>
        <v>0</v>
      </c>
      <c r="K11" s="942"/>
      <c r="L11" s="206" t="s">
        <v>434</v>
      </c>
      <c r="M11" s="207"/>
      <c r="N11" s="1094"/>
      <c r="O11" s="1095"/>
      <c r="P11" s="1095"/>
      <c r="Q11" s="1440" t="str">
        <f t="shared" si="5"/>
        <v>-</v>
      </c>
      <c r="R11" s="208"/>
      <c r="S11" s="209"/>
      <c r="T11" s="209"/>
      <c r="U11" s="210">
        <f t="shared" si="6"/>
        <v>0</v>
      </c>
      <c r="V11" s="927"/>
      <c r="W11" s="927"/>
    </row>
    <row r="12" spans="1:23">
      <c r="A12" s="211" t="s">
        <v>435</v>
      </c>
      <c r="B12" s="212">
        <v>205000</v>
      </c>
      <c r="C12" s="221"/>
      <c r="D12" s="1096"/>
      <c r="E12" s="1096"/>
      <c r="F12" s="1440" t="str">
        <f t="shared" si="2"/>
        <v>-</v>
      </c>
      <c r="G12" s="213"/>
      <c r="H12" s="214"/>
      <c r="I12" s="214"/>
      <c r="J12" s="215">
        <f t="shared" ref="J12:J15" si="7">+B12+IF(D12&lt;=E12,E12,D12)+G12+H12+I12</f>
        <v>205000</v>
      </c>
      <c r="K12" s="942"/>
      <c r="L12" s="211" t="s">
        <v>435</v>
      </c>
      <c r="M12" s="212">
        <v>177292</v>
      </c>
      <c r="N12" s="221"/>
      <c r="O12" s="1096"/>
      <c r="P12" s="1096"/>
      <c r="Q12" s="1440" t="str">
        <f t="shared" si="5"/>
        <v>-</v>
      </c>
      <c r="R12" s="213"/>
      <c r="S12" s="214"/>
      <c r="T12" s="214"/>
      <c r="U12" s="215">
        <f t="shared" si="6"/>
        <v>177292</v>
      </c>
      <c r="V12" s="195"/>
      <c r="W12" s="195"/>
    </row>
    <row r="13" spans="1:23">
      <c r="A13" s="211" t="s">
        <v>436</v>
      </c>
      <c r="B13" s="212"/>
      <c r="C13" s="221"/>
      <c r="D13" s="1096"/>
      <c r="E13" s="1096"/>
      <c r="F13" s="1440" t="str">
        <f t="shared" si="2"/>
        <v>-</v>
      </c>
      <c r="G13" s="213"/>
      <c r="H13" s="214"/>
      <c r="I13" s="214"/>
      <c r="J13" s="215">
        <f t="shared" si="7"/>
        <v>0</v>
      </c>
      <c r="K13" s="942"/>
      <c r="L13" s="211" t="s">
        <v>436</v>
      </c>
      <c r="M13" s="212"/>
      <c r="N13" s="221"/>
      <c r="O13" s="1096"/>
      <c r="P13" s="1096"/>
      <c r="Q13" s="1440" t="str">
        <f t="shared" si="5"/>
        <v>-</v>
      </c>
      <c r="R13" s="213"/>
      <c r="S13" s="214"/>
      <c r="T13" s="214"/>
      <c r="U13" s="215">
        <f t="shared" si="6"/>
        <v>0</v>
      </c>
      <c r="V13" s="195"/>
      <c r="W13" s="195"/>
    </row>
    <row r="14" spans="1:23">
      <c r="A14" s="211" t="s">
        <v>437</v>
      </c>
      <c r="B14" s="212"/>
      <c r="C14" s="221"/>
      <c r="D14" s="1096"/>
      <c r="E14" s="1096"/>
      <c r="F14" s="1440" t="str">
        <f t="shared" si="2"/>
        <v>-</v>
      </c>
      <c r="G14" s="213"/>
      <c r="H14" s="214"/>
      <c r="I14" s="214"/>
      <c r="J14" s="215">
        <f t="shared" si="7"/>
        <v>0</v>
      </c>
      <c r="K14" s="942"/>
      <c r="L14" s="211" t="s">
        <v>437</v>
      </c>
      <c r="M14" s="212"/>
      <c r="N14" s="221"/>
      <c r="O14" s="1096"/>
      <c r="P14" s="1096"/>
      <c r="Q14" s="1440" t="str">
        <f t="shared" si="5"/>
        <v>-</v>
      </c>
      <c r="R14" s="213"/>
      <c r="S14" s="214"/>
      <c r="T14" s="214"/>
      <c r="U14" s="215">
        <f t="shared" si="6"/>
        <v>0</v>
      </c>
      <c r="V14" s="195"/>
      <c r="W14" s="195"/>
    </row>
    <row r="15" spans="1:23" ht="12.75" thickBot="1">
      <c r="A15" s="211" t="s">
        <v>438</v>
      </c>
      <c r="B15" s="212"/>
      <c r="C15" s="221"/>
      <c r="D15" s="1096"/>
      <c r="E15" s="1096"/>
      <c r="F15" s="1440" t="str">
        <f t="shared" si="2"/>
        <v>-</v>
      </c>
      <c r="G15" s="213"/>
      <c r="H15" s="214"/>
      <c r="I15" s="214"/>
      <c r="J15" s="215">
        <f t="shared" si="7"/>
        <v>0</v>
      </c>
      <c r="K15" s="942"/>
      <c r="L15" s="211" t="s">
        <v>438</v>
      </c>
      <c r="M15" s="212"/>
      <c r="N15" s="221"/>
      <c r="O15" s="1096"/>
      <c r="P15" s="1096"/>
      <c r="Q15" s="1440" t="str">
        <f t="shared" si="5"/>
        <v>-</v>
      </c>
      <c r="R15" s="213"/>
      <c r="S15" s="214"/>
      <c r="T15" s="214"/>
      <c r="U15" s="215">
        <f t="shared" si="6"/>
        <v>0</v>
      </c>
      <c r="V15" s="195"/>
      <c r="W15" s="195"/>
    </row>
    <row r="16" spans="1:23" ht="12.75" thickBot="1">
      <c r="A16" s="194" t="s">
        <v>439</v>
      </c>
      <c r="B16" s="216">
        <f t="shared" ref="B16:J16" si="8">+B10+B12+B13+B14+B15</f>
        <v>13129</v>
      </c>
      <c r="C16" s="194">
        <f t="shared" si="8"/>
        <v>191871</v>
      </c>
      <c r="D16" s="1098">
        <f t="shared" ref="D16:E16" si="9">+D10+D12+D13+D14+D15</f>
        <v>1025</v>
      </c>
      <c r="E16" s="1098">
        <f t="shared" si="9"/>
        <v>1025</v>
      </c>
      <c r="F16" s="1441">
        <f t="shared" si="2"/>
        <v>1</v>
      </c>
      <c r="G16" s="218">
        <f t="shared" si="8"/>
        <v>190846</v>
      </c>
      <c r="H16" s="216">
        <f t="shared" si="8"/>
        <v>0</v>
      </c>
      <c r="I16" s="216">
        <f t="shared" si="8"/>
        <v>0</v>
      </c>
      <c r="J16" s="217">
        <f t="shared" si="8"/>
        <v>205000</v>
      </c>
      <c r="K16" s="942"/>
      <c r="L16" s="194" t="s">
        <v>439</v>
      </c>
      <c r="M16" s="216">
        <f t="shared" ref="M16:U16" si="10">+M10+M12+M13+M14+M15</f>
        <v>0</v>
      </c>
      <c r="N16" s="194">
        <f t="shared" si="10"/>
        <v>177292</v>
      </c>
      <c r="O16" s="1098">
        <f t="shared" ref="O16:P16" si="11">+O10+O12+O13+O14+O15</f>
        <v>0</v>
      </c>
      <c r="P16" s="1098">
        <f t="shared" si="11"/>
        <v>0</v>
      </c>
      <c r="Q16" s="1441" t="str">
        <f t="shared" si="5"/>
        <v>-</v>
      </c>
      <c r="R16" s="218">
        <f t="shared" si="10"/>
        <v>177292</v>
      </c>
      <c r="S16" s="216">
        <f t="shared" si="10"/>
        <v>0</v>
      </c>
      <c r="T16" s="216">
        <f t="shared" si="10"/>
        <v>0</v>
      </c>
      <c r="U16" s="217">
        <f t="shared" si="10"/>
        <v>177292</v>
      </c>
      <c r="V16" s="195"/>
      <c r="W16" s="195"/>
    </row>
    <row r="17" spans="1:29" ht="12.75" thickBot="1">
      <c r="A17" s="219"/>
      <c r="B17" s="219"/>
      <c r="C17" s="219"/>
      <c r="D17" s="219"/>
      <c r="E17" s="219"/>
      <c r="F17" s="219"/>
      <c r="G17" s="219"/>
      <c r="H17" s="219"/>
      <c r="I17" s="219"/>
      <c r="J17" s="219"/>
      <c r="K17" s="942"/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219"/>
      <c r="W17" s="219"/>
    </row>
    <row r="18" spans="1:29" s="941" customFormat="1" ht="36.75" thickBot="1">
      <c r="A18" s="401" t="s">
        <v>440</v>
      </c>
      <c r="B18" s="402" t="s">
        <v>1329</v>
      </c>
      <c r="C18" s="1887" t="s">
        <v>1474</v>
      </c>
      <c r="D18" s="1482" t="s">
        <v>1475</v>
      </c>
      <c r="E18" s="1482" t="s">
        <v>1529</v>
      </c>
      <c r="F18" s="1483" t="s">
        <v>1527</v>
      </c>
      <c r="G18" s="382" t="s">
        <v>460</v>
      </c>
      <c r="H18" s="383" t="s">
        <v>461</v>
      </c>
      <c r="I18" s="383" t="s">
        <v>1330</v>
      </c>
      <c r="J18" s="1202" t="s">
        <v>18</v>
      </c>
      <c r="K18" s="944"/>
      <c r="L18" s="401" t="s">
        <v>440</v>
      </c>
      <c r="M18" s="402" t="s">
        <v>1329</v>
      </c>
      <c r="N18" s="1887" t="s">
        <v>1474</v>
      </c>
      <c r="O18" s="1482" t="s">
        <v>1475</v>
      </c>
      <c r="P18" s="1482" t="s">
        <v>1529</v>
      </c>
      <c r="Q18" s="1483" t="s">
        <v>1527</v>
      </c>
      <c r="R18" s="382" t="s">
        <v>460</v>
      </c>
      <c r="S18" s="383" t="s">
        <v>461</v>
      </c>
      <c r="T18" s="383" t="s">
        <v>1330</v>
      </c>
      <c r="U18" s="1202" t="s">
        <v>18</v>
      </c>
      <c r="V18" s="926"/>
      <c r="W18" s="926"/>
    </row>
    <row r="19" spans="1:29">
      <c r="A19" s="201" t="s">
        <v>446</v>
      </c>
      <c r="B19" s="202"/>
      <c r="C19" s="1092"/>
      <c r="D19" s="1093"/>
      <c r="E19" s="1093"/>
      <c r="F19" s="1439" t="str">
        <f t="shared" ref="F19:F27" si="12">IF(ISERROR(E19/D19),"-",E19/D19)</f>
        <v>-</v>
      </c>
      <c r="G19" s="203"/>
      <c r="H19" s="204"/>
      <c r="I19" s="204"/>
      <c r="J19" s="205">
        <f>+B19+IF(D19&lt;=E19,E19,D19)+G19+H19+I19</f>
        <v>0</v>
      </c>
      <c r="K19" s="942"/>
      <c r="L19" s="201" t="s">
        <v>446</v>
      </c>
      <c r="M19" s="202"/>
      <c r="N19" s="1092"/>
      <c r="O19" s="1093"/>
      <c r="P19" s="1093"/>
      <c r="Q19" s="1439" t="str">
        <f t="shared" ref="Q19:Q27" si="13">IF(ISERROR(P19/O19),"-",P19/O19)</f>
        <v>-</v>
      </c>
      <c r="R19" s="203"/>
      <c r="S19" s="204"/>
      <c r="T19" s="204"/>
      <c r="U19" s="205">
        <f t="shared" ref="U19:U26" si="14">+M19+IF(O19&lt;=P19,P19,O19)+R19+S19+T19</f>
        <v>0</v>
      </c>
      <c r="V19" s="195"/>
      <c r="W19" s="195"/>
    </row>
    <row r="20" spans="1:29">
      <c r="A20" s="220" t="s">
        <v>447</v>
      </c>
      <c r="B20" s="212"/>
      <c r="C20" s="221"/>
      <c r="D20" s="1096"/>
      <c r="E20" s="1096"/>
      <c r="F20" s="1440" t="str">
        <f t="shared" si="12"/>
        <v>-</v>
      </c>
      <c r="G20" s="213"/>
      <c r="H20" s="214"/>
      <c r="I20" s="214"/>
      <c r="J20" s="215">
        <f t="shared" ref="J20:J26" si="15">+B20+IF(D20&lt;=E20,E20,D20)+G20+H20+I20</f>
        <v>0</v>
      </c>
      <c r="K20" s="942"/>
      <c r="L20" s="220" t="s">
        <v>447</v>
      </c>
      <c r="M20" s="212"/>
      <c r="N20" s="221"/>
      <c r="O20" s="1096"/>
      <c r="P20" s="1096"/>
      <c r="Q20" s="1440" t="str">
        <f t="shared" si="13"/>
        <v>-</v>
      </c>
      <c r="R20" s="213"/>
      <c r="S20" s="214"/>
      <c r="T20" s="214"/>
      <c r="U20" s="215">
        <f t="shared" si="14"/>
        <v>0</v>
      </c>
      <c r="V20" s="195"/>
      <c r="W20" s="195"/>
    </row>
    <row r="21" spans="1:29">
      <c r="A21" s="211" t="s">
        <v>448</v>
      </c>
      <c r="B21" s="212">
        <f>7396+(1634)</f>
        <v>9030</v>
      </c>
      <c r="C21" s="221"/>
      <c r="D21" s="1096"/>
      <c r="E21" s="1096"/>
      <c r="F21" s="1440" t="str">
        <f t="shared" si="12"/>
        <v>-</v>
      </c>
      <c r="G21" s="213"/>
      <c r="H21" s="214"/>
      <c r="I21" s="214"/>
      <c r="J21" s="215">
        <f t="shared" si="15"/>
        <v>9030</v>
      </c>
      <c r="K21" s="942"/>
      <c r="L21" s="211" t="s">
        <v>448</v>
      </c>
      <c r="M21" s="212"/>
      <c r="N21" s="221"/>
      <c r="O21" s="1096"/>
      <c r="P21" s="1096"/>
      <c r="Q21" s="1440" t="str">
        <f t="shared" si="13"/>
        <v>-</v>
      </c>
      <c r="R21" s="213"/>
      <c r="S21" s="214"/>
      <c r="T21" s="214"/>
      <c r="U21" s="215">
        <f t="shared" si="14"/>
        <v>0</v>
      </c>
      <c r="V21" s="195"/>
      <c r="W21" s="195"/>
    </row>
    <row r="22" spans="1:29">
      <c r="A22" s="211" t="s">
        <v>449</v>
      </c>
      <c r="B22" s="212"/>
      <c r="C22" s="221"/>
      <c r="D22" s="1096"/>
      <c r="E22" s="1096"/>
      <c r="F22" s="1440" t="str">
        <f t="shared" si="12"/>
        <v>-</v>
      </c>
      <c r="G22" s="213"/>
      <c r="H22" s="214"/>
      <c r="I22" s="214"/>
      <c r="J22" s="215">
        <f t="shared" si="15"/>
        <v>0</v>
      </c>
      <c r="K22" s="942"/>
      <c r="L22" s="211" t="s">
        <v>449</v>
      </c>
      <c r="M22" s="212"/>
      <c r="N22" s="221"/>
      <c r="O22" s="1096"/>
      <c r="P22" s="1096"/>
      <c r="Q22" s="1440" t="str">
        <f t="shared" si="13"/>
        <v>-</v>
      </c>
      <c r="R22" s="213"/>
      <c r="S22" s="214"/>
      <c r="T22" s="214"/>
      <c r="U22" s="215">
        <f t="shared" si="14"/>
        <v>0</v>
      </c>
      <c r="V22" s="195"/>
      <c r="W22" s="195"/>
    </row>
    <row r="23" spans="1:29">
      <c r="A23" s="221" t="s">
        <v>450</v>
      </c>
      <c r="B23" s="222"/>
      <c r="C23" s="221"/>
      <c r="D23" s="1096"/>
      <c r="E23" s="1096"/>
      <c r="F23" s="1440" t="str">
        <f t="shared" si="12"/>
        <v>-</v>
      </c>
      <c r="G23" s="213"/>
      <c r="H23" s="214"/>
      <c r="I23" s="214"/>
      <c r="J23" s="215">
        <f t="shared" si="15"/>
        <v>0</v>
      </c>
      <c r="L23" s="221" t="s">
        <v>450</v>
      </c>
      <c r="M23" s="222"/>
      <c r="N23" s="221"/>
      <c r="O23" s="1096"/>
      <c r="P23" s="1096"/>
      <c r="Q23" s="1440" t="str">
        <f t="shared" si="13"/>
        <v>-</v>
      </c>
      <c r="R23" s="213"/>
      <c r="S23" s="214"/>
      <c r="T23" s="214"/>
      <c r="U23" s="215">
        <f t="shared" si="14"/>
        <v>0</v>
      </c>
      <c r="V23" s="195"/>
      <c r="W23" s="195"/>
      <c r="Y23" s="942"/>
      <c r="AC23" s="942"/>
    </row>
    <row r="24" spans="1:29">
      <c r="A24" s="221" t="s">
        <v>451</v>
      </c>
      <c r="B24" s="222">
        <f>3228+872-1</f>
        <v>4099</v>
      </c>
      <c r="C24" s="221">
        <f>145811-4099-1856+52015</f>
        <v>191871</v>
      </c>
      <c r="D24" s="1096">
        <v>1025</v>
      </c>
      <c r="E24" s="1096">
        <v>1025</v>
      </c>
      <c r="F24" s="1440">
        <f t="shared" si="12"/>
        <v>1</v>
      </c>
      <c r="G24" s="213">
        <f>191871-1025</f>
        <v>190846</v>
      </c>
      <c r="H24" s="214"/>
      <c r="I24" s="214"/>
      <c r="J24" s="215">
        <f t="shared" si="15"/>
        <v>195970</v>
      </c>
      <c r="L24" s="221" t="s">
        <v>451</v>
      </c>
      <c r="M24" s="222"/>
      <c r="N24" s="221">
        <f>88646+88646</f>
        <v>177292</v>
      </c>
      <c r="O24" s="1096">
        <v>0</v>
      </c>
      <c r="P24" s="1096"/>
      <c r="Q24" s="1440" t="str">
        <f t="shared" si="13"/>
        <v>-</v>
      </c>
      <c r="R24" s="213">
        <v>177292</v>
      </c>
      <c r="S24" s="214"/>
      <c r="T24" s="214"/>
      <c r="U24" s="215">
        <f t="shared" si="14"/>
        <v>177292</v>
      </c>
      <c r="V24" s="195"/>
      <c r="W24" s="195"/>
      <c r="Y24" s="942"/>
      <c r="AC24" s="942"/>
    </row>
    <row r="25" spans="1:29">
      <c r="A25" s="223" t="s">
        <v>452</v>
      </c>
      <c r="B25" s="224"/>
      <c r="C25" s="223"/>
      <c r="D25" s="1099"/>
      <c r="E25" s="1099"/>
      <c r="F25" s="1442" t="str">
        <f t="shared" si="12"/>
        <v>-</v>
      </c>
      <c r="G25" s="225"/>
      <c r="H25" s="226"/>
      <c r="I25" s="226"/>
      <c r="J25" s="215">
        <f t="shared" si="15"/>
        <v>0</v>
      </c>
      <c r="L25" s="223" t="s">
        <v>452</v>
      </c>
      <c r="M25" s="224"/>
      <c r="N25" s="223"/>
      <c r="O25" s="1099"/>
      <c r="P25" s="1099"/>
      <c r="Q25" s="1442" t="str">
        <f t="shared" si="13"/>
        <v>-</v>
      </c>
      <c r="R25" s="225"/>
      <c r="S25" s="226"/>
      <c r="T25" s="226"/>
      <c r="U25" s="215">
        <f t="shared" si="14"/>
        <v>0</v>
      </c>
      <c r="V25" s="195"/>
      <c r="W25" s="195"/>
      <c r="Y25" s="942"/>
      <c r="AC25" s="942"/>
    </row>
    <row r="26" spans="1:29" ht="12.75" thickBot="1">
      <c r="A26" s="223" t="s">
        <v>453</v>
      </c>
      <c r="B26" s="224"/>
      <c r="C26" s="223"/>
      <c r="D26" s="1099"/>
      <c r="E26" s="1099"/>
      <c r="F26" s="1442" t="str">
        <f t="shared" si="12"/>
        <v>-</v>
      </c>
      <c r="G26" s="225"/>
      <c r="H26" s="226"/>
      <c r="I26" s="226"/>
      <c r="J26" s="215">
        <f t="shared" si="15"/>
        <v>0</v>
      </c>
      <c r="L26" s="223" t="s">
        <v>453</v>
      </c>
      <c r="M26" s="224"/>
      <c r="N26" s="223"/>
      <c r="O26" s="1099"/>
      <c r="P26" s="1099"/>
      <c r="Q26" s="1442" t="str">
        <f t="shared" si="13"/>
        <v>-</v>
      </c>
      <c r="R26" s="225"/>
      <c r="S26" s="226"/>
      <c r="T26" s="226"/>
      <c r="U26" s="215">
        <f t="shared" si="14"/>
        <v>0</v>
      </c>
      <c r="V26" s="195"/>
      <c r="W26" s="195"/>
      <c r="Y26" s="942"/>
      <c r="AC26" s="942"/>
    </row>
    <row r="27" spans="1:29" ht="12.75" thickBot="1">
      <c r="A27" s="194" t="s">
        <v>454</v>
      </c>
      <c r="B27" s="216">
        <f t="shared" ref="B27:J27" si="16">+B19+B20+B21+B22+B23+B24+B25+B26</f>
        <v>13129</v>
      </c>
      <c r="C27" s="194">
        <f t="shared" si="16"/>
        <v>191871</v>
      </c>
      <c r="D27" s="1098">
        <f t="shared" ref="D27:E27" si="17">+D19+D20+D21+D22+D23+D24+D25+D26</f>
        <v>1025</v>
      </c>
      <c r="E27" s="1098">
        <f t="shared" si="17"/>
        <v>1025</v>
      </c>
      <c r="F27" s="1441">
        <f t="shared" si="12"/>
        <v>1</v>
      </c>
      <c r="G27" s="218">
        <f t="shared" si="16"/>
        <v>190846</v>
      </c>
      <c r="H27" s="216">
        <f t="shared" si="16"/>
        <v>0</v>
      </c>
      <c r="I27" s="216">
        <f t="shared" si="16"/>
        <v>0</v>
      </c>
      <c r="J27" s="217">
        <f t="shared" si="16"/>
        <v>205000</v>
      </c>
      <c r="L27" s="194" t="s">
        <v>454</v>
      </c>
      <c r="M27" s="216">
        <f t="shared" ref="M27:U27" si="18">+M19+M20+M21+M22+M23+M24+M25+M26</f>
        <v>0</v>
      </c>
      <c r="N27" s="194">
        <f t="shared" si="18"/>
        <v>177292</v>
      </c>
      <c r="O27" s="1098">
        <f t="shared" ref="O27:P27" si="19">+O19+O20+O21+O22+O23+O24+O25+O26</f>
        <v>0</v>
      </c>
      <c r="P27" s="1098">
        <f t="shared" si="19"/>
        <v>0</v>
      </c>
      <c r="Q27" s="1441" t="str">
        <f t="shared" si="13"/>
        <v>-</v>
      </c>
      <c r="R27" s="218">
        <f t="shared" si="18"/>
        <v>177292</v>
      </c>
      <c r="S27" s="216">
        <f t="shared" si="18"/>
        <v>0</v>
      </c>
      <c r="T27" s="216">
        <f t="shared" si="18"/>
        <v>0</v>
      </c>
      <c r="U27" s="217">
        <f t="shared" si="18"/>
        <v>177292</v>
      </c>
      <c r="V27" s="195"/>
      <c r="W27" s="195"/>
      <c r="Y27" s="942"/>
      <c r="AC27" s="942"/>
    </row>
    <row r="28" spans="1:29">
      <c r="Y28" s="945"/>
      <c r="AC28" s="945"/>
    </row>
    <row r="29" spans="1:29">
      <c r="Y29" s="945"/>
      <c r="AC29" s="945"/>
    </row>
    <row r="30" spans="1:29" s="935" customFormat="1" ht="15.75">
      <c r="A30" s="193" t="s">
        <v>442</v>
      </c>
      <c r="B30" s="1246" t="s">
        <v>1412</v>
      </c>
      <c r="C30" s="1246"/>
      <c r="D30" s="1246"/>
      <c r="E30" s="1246"/>
      <c r="F30" s="1246"/>
      <c r="G30" s="1246"/>
      <c r="H30" s="1246"/>
      <c r="I30" s="1246"/>
      <c r="J30" s="1246"/>
      <c r="K30" s="831"/>
      <c r="L30" s="193" t="s">
        <v>443</v>
      </c>
      <c r="M30" s="1246" t="s">
        <v>1463</v>
      </c>
      <c r="N30" s="1246"/>
      <c r="O30" s="1246"/>
      <c r="P30" s="1246"/>
      <c r="Q30" s="1246"/>
      <c r="R30" s="1246"/>
      <c r="S30" s="1246"/>
      <c r="T30" s="1246"/>
      <c r="U30" s="1246"/>
      <c r="V30" s="1196"/>
      <c r="W30" s="1196"/>
    </row>
    <row r="31" spans="1:29" s="935" customFormat="1" ht="15.75" customHeight="1">
      <c r="A31" s="1248" t="s">
        <v>1413</v>
      </c>
      <c r="B31" s="1248"/>
      <c r="C31" s="1248"/>
      <c r="D31" s="1248"/>
      <c r="E31" s="1248"/>
      <c r="F31" s="1248"/>
      <c r="G31" s="1248"/>
      <c r="H31" s="1248"/>
      <c r="I31" s="1248"/>
      <c r="J31" s="1248"/>
      <c r="K31" s="831"/>
      <c r="L31" s="1248" t="s">
        <v>1417</v>
      </c>
      <c r="M31" s="1248"/>
      <c r="N31" s="1248"/>
      <c r="O31" s="1248"/>
      <c r="P31" s="1248"/>
      <c r="Q31" s="1248"/>
      <c r="R31" s="1248"/>
      <c r="S31" s="1248"/>
      <c r="T31" s="1248"/>
      <c r="U31" s="1248"/>
      <c r="V31" s="1197"/>
      <c r="W31" s="1197"/>
    </row>
    <row r="32" spans="1:29" s="935" customFormat="1" ht="15.75">
      <c r="A32" s="1245" t="s">
        <v>1214</v>
      </c>
      <c r="B32" s="1245"/>
      <c r="C32" s="1245"/>
      <c r="D32" s="1245"/>
      <c r="E32" s="1245"/>
      <c r="F32" s="1245"/>
      <c r="G32" s="1245"/>
      <c r="H32" s="1245"/>
      <c r="I32" s="1245"/>
      <c r="J32" s="1245"/>
      <c r="K32" s="831"/>
      <c r="L32" s="1245" t="s">
        <v>1214</v>
      </c>
      <c r="M32" s="1245"/>
      <c r="N32" s="1245"/>
      <c r="O32" s="1245"/>
      <c r="P32" s="1245"/>
      <c r="Q32" s="1245"/>
      <c r="R32" s="1245"/>
      <c r="S32" s="1245"/>
      <c r="T32" s="1245"/>
      <c r="U32" s="1245"/>
      <c r="V32" s="1198"/>
      <c r="W32" s="1198"/>
    </row>
    <row r="33" spans="1:23" s="938" customFormat="1" ht="12.75" thickBot="1">
      <c r="A33" s="937"/>
      <c r="B33" s="937"/>
      <c r="G33" s="937"/>
      <c r="H33" s="937"/>
      <c r="J33" s="238" t="s">
        <v>281</v>
      </c>
      <c r="K33" s="939"/>
      <c r="L33" s="937"/>
      <c r="M33" s="937"/>
      <c r="N33" s="937"/>
      <c r="O33" s="937"/>
      <c r="P33" s="937"/>
      <c r="Q33" s="937"/>
      <c r="R33" s="937"/>
      <c r="S33" s="937"/>
      <c r="U33" s="238" t="s">
        <v>281</v>
      </c>
      <c r="V33" s="925"/>
      <c r="W33" s="925"/>
    </row>
    <row r="34" spans="1:23" s="941" customFormat="1" ht="36.75" thickBot="1">
      <c r="A34" s="401" t="s">
        <v>432</v>
      </c>
      <c r="B34" s="402" t="s">
        <v>1329</v>
      </c>
      <c r="C34" s="1887" t="s">
        <v>1474</v>
      </c>
      <c r="D34" s="1482" t="s">
        <v>1475</v>
      </c>
      <c r="E34" s="1482" t="s">
        <v>1529</v>
      </c>
      <c r="F34" s="1483" t="s">
        <v>1527</v>
      </c>
      <c r="G34" s="382" t="s">
        <v>460</v>
      </c>
      <c r="H34" s="383" t="s">
        <v>461</v>
      </c>
      <c r="I34" s="383" t="s">
        <v>1330</v>
      </c>
      <c r="J34" s="1202" t="s">
        <v>18</v>
      </c>
      <c r="K34" s="940"/>
      <c r="L34" s="401" t="s">
        <v>432</v>
      </c>
      <c r="M34" s="402" t="s">
        <v>1329</v>
      </c>
      <c r="N34" s="1887" t="s">
        <v>1474</v>
      </c>
      <c r="O34" s="1482" t="s">
        <v>1475</v>
      </c>
      <c r="P34" s="1482" t="s">
        <v>1529</v>
      </c>
      <c r="Q34" s="1483" t="s">
        <v>1527</v>
      </c>
      <c r="R34" s="382" t="s">
        <v>460</v>
      </c>
      <c r="S34" s="383" t="s">
        <v>461</v>
      </c>
      <c r="T34" s="383" t="s">
        <v>1330</v>
      </c>
      <c r="U34" s="1202" t="s">
        <v>18</v>
      </c>
      <c r="V34" s="926"/>
      <c r="W34" s="926"/>
    </row>
    <row r="35" spans="1:23">
      <c r="A35" s="201" t="s">
        <v>433</v>
      </c>
      <c r="B35" s="202">
        <f t="shared" ref="B35:J35" si="20">+B52-B40-B39-B38-B37</f>
        <v>-8511</v>
      </c>
      <c r="C35" s="1092">
        <f t="shared" si="20"/>
        <v>8511</v>
      </c>
      <c r="D35" s="1093">
        <f t="shared" ref="D35:E35" si="21">+D52-D40-D39-D38-D37</f>
        <v>8511</v>
      </c>
      <c r="E35" s="1093">
        <f t="shared" si="21"/>
        <v>8511</v>
      </c>
      <c r="F35" s="1439">
        <f t="shared" ref="F35:F41" si="22">IF(ISERROR(E35/D35),"-",E35/D35)</f>
        <v>1</v>
      </c>
      <c r="G35" s="203">
        <f t="shared" si="20"/>
        <v>0</v>
      </c>
      <c r="H35" s="204">
        <f t="shared" si="20"/>
        <v>0</v>
      </c>
      <c r="I35" s="204">
        <f t="shared" si="20"/>
        <v>0</v>
      </c>
      <c r="J35" s="205">
        <f t="shared" si="20"/>
        <v>0</v>
      </c>
      <c r="K35" s="942"/>
      <c r="L35" s="201" t="s">
        <v>433</v>
      </c>
      <c r="M35" s="202">
        <f t="shared" ref="M35:U35" si="23">+M52-M40-M39-M38-M37</f>
        <v>-51564</v>
      </c>
      <c r="N35" s="1092">
        <f t="shared" si="23"/>
        <v>51564</v>
      </c>
      <c r="O35" s="1093">
        <f t="shared" ref="O35:P35" si="24">+O52-O40-O39-O38-O37</f>
        <v>51904</v>
      </c>
      <c r="P35" s="1093">
        <f t="shared" si="24"/>
        <v>51904</v>
      </c>
      <c r="Q35" s="1439">
        <f t="shared" ref="Q35:Q41" si="25">IF(ISERROR(P35/O35),"-",P35/O35)</f>
        <v>1</v>
      </c>
      <c r="R35" s="203">
        <f t="shared" si="23"/>
        <v>0</v>
      </c>
      <c r="S35" s="204">
        <f t="shared" si="23"/>
        <v>0</v>
      </c>
      <c r="T35" s="204">
        <f t="shared" si="23"/>
        <v>0</v>
      </c>
      <c r="U35" s="205">
        <f t="shared" si="23"/>
        <v>340</v>
      </c>
      <c r="V35" s="195"/>
      <c r="W35" s="195"/>
    </row>
    <row r="36" spans="1:23">
      <c r="A36" s="206" t="s">
        <v>434</v>
      </c>
      <c r="B36" s="207"/>
      <c r="C36" s="1094"/>
      <c r="D36" s="1095"/>
      <c r="E36" s="1095"/>
      <c r="F36" s="1440" t="str">
        <f t="shared" si="22"/>
        <v>-</v>
      </c>
      <c r="G36" s="208"/>
      <c r="H36" s="209"/>
      <c r="I36" s="209"/>
      <c r="J36" s="210">
        <f t="shared" ref="J36:J40" si="26">+B36+IF(D36&lt;=E36,E36,D36)+G36+H36+I36</f>
        <v>0</v>
      </c>
      <c r="K36" s="942"/>
      <c r="L36" s="206" t="s">
        <v>434</v>
      </c>
      <c r="M36" s="207"/>
      <c r="N36" s="1094"/>
      <c r="O36" s="1095"/>
      <c r="P36" s="1095"/>
      <c r="Q36" s="1440" t="str">
        <f t="shared" si="25"/>
        <v>-</v>
      </c>
      <c r="R36" s="208"/>
      <c r="S36" s="209"/>
      <c r="T36" s="209"/>
      <c r="U36" s="210">
        <f t="shared" ref="U36:U40" si="27">+M36+IF(O36&lt;=P36,P36,O36)+R36+S36+T36</f>
        <v>0</v>
      </c>
      <c r="V36" s="927"/>
      <c r="W36" s="927"/>
    </row>
    <row r="37" spans="1:23">
      <c r="A37" s="211" t="s">
        <v>435</v>
      </c>
      <c r="B37" s="212">
        <v>8997</v>
      </c>
      <c r="C37" s="221"/>
      <c r="D37" s="1096"/>
      <c r="E37" s="1096"/>
      <c r="F37" s="1440" t="str">
        <f t="shared" si="22"/>
        <v>-</v>
      </c>
      <c r="G37" s="213"/>
      <c r="H37" s="214"/>
      <c r="I37" s="214"/>
      <c r="J37" s="215">
        <f t="shared" si="26"/>
        <v>8997</v>
      </c>
      <c r="K37" s="942"/>
      <c r="L37" s="211" t="s">
        <v>435</v>
      </c>
      <c r="M37" s="212">
        <v>55000</v>
      </c>
      <c r="N37" s="221"/>
      <c r="O37" s="1096"/>
      <c r="P37" s="1096"/>
      <c r="Q37" s="1440" t="str">
        <f t="shared" si="25"/>
        <v>-</v>
      </c>
      <c r="R37" s="213"/>
      <c r="S37" s="214"/>
      <c r="T37" s="214"/>
      <c r="U37" s="215">
        <f t="shared" si="27"/>
        <v>55000</v>
      </c>
      <c r="V37" s="195"/>
      <c r="W37" s="195"/>
    </row>
    <row r="38" spans="1:23">
      <c r="A38" s="211" t="s">
        <v>436</v>
      </c>
      <c r="B38" s="212"/>
      <c r="C38" s="221"/>
      <c r="D38" s="1096"/>
      <c r="E38" s="1096"/>
      <c r="F38" s="1440" t="str">
        <f t="shared" si="22"/>
        <v>-</v>
      </c>
      <c r="G38" s="213"/>
      <c r="H38" s="214"/>
      <c r="I38" s="214"/>
      <c r="J38" s="215">
        <f t="shared" si="26"/>
        <v>0</v>
      </c>
      <c r="K38" s="942"/>
      <c r="L38" s="211" t="s">
        <v>436</v>
      </c>
      <c r="M38" s="212"/>
      <c r="N38" s="221"/>
      <c r="O38" s="1096"/>
      <c r="P38" s="1096"/>
      <c r="Q38" s="1440" t="str">
        <f t="shared" si="25"/>
        <v>-</v>
      </c>
      <c r="R38" s="213"/>
      <c r="S38" s="214"/>
      <c r="T38" s="214"/>
      <c r="U38" s="215">
        <f t="shared" si="27"/>
        <v>0</v>
      </c>
      <c r="V38" s="195"/>
      <c r="W38" s="195"/>
    </row>
    <row r="39" spans="1:23">
      <c r="A39" s="211" t="s">
        <v>437</v>
      </c>
      <c r="B39" s="212"/>
      <c r="C39" s="221"/>
      <c r="D39" s="1096"/>
      <c r="E39" s="1096"/>
      <c r="F39" s="1440" t="str">
        <f t="shared" si="22"/>
        <v>-</v>
      </c>
      <c r="G39" s="213"/>
      <c r="H39" s="214"/>
      <c r="I39" s="214"/>
      <c r="J39" s="215">
        <f t="shared" si="26"/>
        <v>0</v>
      </c>
      <c r="K39" s="942"/>
      <c r="L39" s="211" t="s">
        <v>437</v>
      </c>
      <c r="M39" s="212"/>
      <c r="N39" s="221"/>
      <c r="O39" s="1096"/>
      <c r="P39" s="1096"/>
      <c r="Q39" s="1440" t="str">
        <f t="shared" si="25"/>
        <v>-</v>
      </c>
      <c r="R39" s="213"/>
      <c r="S39" s="214"/>
      <c r="T39" s="214"/>
      <c r="U39" s="215">
        <f t="shared" si="27"/>
        <v>0</v>
      </c>
      <c r="V39" s="195"/>
      <c r="W39" s="195"/>
    </row>
    <row r="40" spans="1:23" ht="12.75" thickBot="1">
      <c r="A40" s="211" t="s">
        <v>438</v>
      </c>
      <c r="B40" s="212"/>
      <c r="C40" s="221"/>
      <c r="D40" s="1096"/>
      <c r="E40" s="1096"/>
      <c r="F40" s="1440" t="str">
        <f t="shared" si="22"/>
        <v>-</v>
      </c>
      <c r="G40" s="213"/>
      <c r="H40" s="214"/>
      <c r="I40" s="214"/>
      <c r="J40" s="215">
        <f t="shared" si="26"/>
        <v>0</v>
      </c>
      <c r="K40" s="942"/>
      <c r="L40" s="211" t="s">
        <v>438</v>
      </c>
      <c r="M40" s="212"/>
      <c r="N40" s="221"/>
      <c r="O40" s="1096"/>
      <c r="P40" s="1096"/>
      <c r="Q40" s="1440" t="str">
        <f t="shared" si="25"/>
        <v>-</v>
      </c>
      <c r="R40" s="213"/>
      <c r="S40" s="214"/>
      <c r="T40" s="214"/>
      <c r="U40" s="215">
        <f t="shared" si="27"/>
        <v>0</v>
      </c>
      <c r="V40" s="195"/>
      <c r="W40" s="195"/>
    </row>
    <row r="41" spans="1:23" ht="12.75" thickBot="1">
      <c r="A41" s="194" t="s">
        <v>439</v>
      </c>
      <c r="B41" s="216">
        <f t="shared" ref="B41:J41" si="28">+B35+B37+B38+B39+B40</f>
        <v>486</v>
      </c>
      <c r="C41" s="194">
        <f t="shared" si="28"/>
        <v>8511</v>
      </c>
      <c r="D41" s="1098">
        <f t="shared" ref="D41:E41" si="29">+D35+D37+D38+D39+D40</f>
        <v>8511</v>
      </c>
      <c r="E41" s="1098">
        <f t="shared" si="29"/>
        <v>8511</v>
      </c>
      <c r="F41" s="1441">
        <f t="shared" si="22"/>
        <v>1</v>
      </c>
      <c r="G41" s="218">
        <f t="shared" si="28"/>
        <v>0</v>
      </c>
      <c r="H41" s="216">
        <f t="shared" si="28"/>
        <v>0</v>
      </c>
      <c r="I41" s="216">
        <f t="shared" si="28"/>
        <v>0</v>
      </c>
      <c r="J41" s="217">
        <f t="shared" si="28"/>
        <v>8997</v>
      </c>
      <c r="K41" s="942"/>
      <c r="L41" s="194" t="s">
        <v>439</v>
      </c>
      <c r="M41" s="216">
        <f t="shared" ref="M41:U41" si="30">+M35+M37+M38+M39+M40</f>
        <v>3436</v>
      </c>
      <c r="N41" s="194">
        <f t="shared" si="30"/>
        <v>51564</v>
      </c>
      <c r="O41" s="1098">
        <f t="shared" ref="O41:P41" si="31">+O35+O37+O38+O39+O40</f>
        <v>51904</v>
      </c>
      <c r="P41" s="1098">
        <f t="shared" si="31"/>
        <v>51904</v>
      </c>
      <c r="Q41" s="1441">
        <f t="shared" si="25"/>
        <v>1</v>
      </c>
      <c r="R41" s="218">
        <f t="shared" si="30"/>
        <v>0</v>
      </c>
      <c r="S41" s="216">
        <f t="shared" si="30"/>
        <v>0</v>
      </c>
      <c r="T41" s="216">
        <f t="shared" si="30"/>
        <v>0</v>
      </c>
      <c r="U41" s="217">
        <f t="shared" si="30"/>
        <v>55340</v>
      </c>
      <c r="V41" s="195"/>
      <c r="W41" s="195"/>
    </row>
    <row r="42" spans="1:23" ht="12.75" thickBot="1">
      <c r="A42" s="219"/>
      <c r="B42" s="219"/>
      <c r="C42" s="219"/>
      <c r="D42" s="219"/>
      <c r="E42" s="219"/>
      <c r="F42" s="219"/>
      <c r="G42" s="219"/>
      <c r="H42" s="219"/>
      <c r="I42" s="219"/>
      <c r="J42" s="219"/>
      <c r="K42" s="942"/>
      <c r="L42" s="219"/>
      <c r="M42" s="219"/>
      <c r="N42" s="219"/>
      <c r="O42" s="219"/>
      <c r="P42" s="219"/>
      <c r="Q42" s="219"/>
      <c r="R42" s="219"/>
      <c r="S42" s="219"/>
      <c r="T42" s="219"/>
      <c r="U42" s="219"/>
      <c r="V42" s="219"/>
      <c r="W42" s="219"/>
    </row>
    <row r="43" spans="1:23" s="941" customFormat="1" ht="36.75" thickBot="1">
      <c r="A43" s="401" t="s">
        <v>440</v>
      </c>
      <c r="B43" s="402" t="s">
        <v>1329</v>
      </c>
      <c r="C43" s="1887" t="s">
        <v>1474</v>
      </c>
      <c r="D43" s="1482" t="s">
        <v>1475</v>
      </c>
      <c r="E43" s="1482" t="s">
        <v>1529</v>
      </c>
      <c r="F43" s="1483" t="s">
        <v>1527</v>
      </c>
      <c r="G43" s="382" t="s">
        <v>460</v>
      </c>
      <c r="H43" s="383" t="s">
        <v>461</v>
      </c>
      <c r="I43" s="383" t="s">
        <v>1330</v>
      </c>
      <c r="J43" s="1202" t="s">
        <v>18</v>
      </c>
      <c r="K43" s="944"/>
      <c r="L43" s="401" t="s">
        <v>440</v>
      </c>
      <c r="M43" s="402" t="s">
        <v>1329</v>
      </c>
      <c r="N43" s="1887" t="s">
        <v>1474</v>
      </c>
      <c r="O43" s="1482" t="s">
        <v>1475</v>
      </c>
      <c r="P43" s="1482" t="s">
        <v>1529</v>
      </c>
      <c r="Q43" s="1483" t="s">
        <v>1527</v>
      </c>
      <c r="R43" s="382" t="s">
        <v>460</v>
      </c>
      <c r="S43" s="383" t="s">
        <v>461</v>
      </c>
      <c r="T43" s="383" t="s">
        <v>1330</v>
      </c>
      <c r="U43" s="1202" t="s">
        <v>18</v>
      </c>
      <c r="V43" s="926"/>
      <c r="W43" s="926"/>
    </row>
    <row r="44" spans="1:23">
      <c r="A44" s="201" t="s">
        <v>446</v>
      </c>
      <c r="B44" s="202"/>
      <c r="C44" s="1092"/>
      <c r="D44" s="1093"/>
      <c r="E44" s="1093"/>
      <c r="F44" s="1439" t="str">
        <f t="shared" ref="F44:F52" si="32">IF(ISERROR(E44/D44),"-",E44/D44)</f>
        <v>-</v>
      </c>
      <c r="G44" s="203"/>
      <c r="H44" s="204"/>
      <c r="I44" s="204"/>
      <c r="J44" s="205">
        <f t="shared" ref="J44:J51" si="33">+B44+IF(D44&lt;=E44,E44,D44)+G44+H44+I44</f>
        <v>0</v>
      </c>
      <c r="K44" s="942"/>
      <c r="L44" s="201" t="s">
        <v>446</v>
      </c>
      <c r="M44" s="202"/>
      <c r="N44" s="1092"/>
      <c r="O44" s="1093"/>
      <c r="P44" s="1093"/>
      <c r="Q44" s="1439" t="str">
        <f t="shared" ref="Q44:Q52" si="34">IF(ISERROR(P44/O44),"-",P44/O44)</f>
        <v>-</v>
      </c>
      <c r="R44" s="203"/>
      <c r="S44" s="204"/>
      <c r="T44" s="204"/>
      <c r="U44" s="205">
        <f t="shared" ref="U44:U51" si="35">+M44+IF(O44&lt;=P44,P44,O44)+R44+S44+T44</f>
        <v>0</v>
      </c>
      <c r="V44" s="195"/>
      <c r="W44" s="195"/>
    </row>
    <row r="45" spans="1:23">
      <c r="A45" s="220" t="s">
        <v>447</v>
      </c>
      <c r="B45" s="212"/>
      <c r="C45" s="221"/>
      <c r="D45" s="1096"/>
      <c r="E45" s="1096"/>
      <c r="F45" s="1440" t="str">
        <f t="shared" si="32"/>
        <v>-</v>
      </c>
      <c r="G45" s="213"/>
      <c r="H45" s="214"/>
      <c r="I45" s="214"/>
      <c r="J45" s="215">
        <f t="shared" si="33"/>
        <v>0</v>
      </c>
      <c r="K45" s="942"/>
      <c r="L45" s="220" t="s">
        <v>447</v>
      </c>
      <c r="M45" s="212"/>
      <c r="N45" s="221"/>
      <c r="O45" s="1096"/>
      <c r="P45" s="1096"/>
      <c r="Q45" s="1440" t="str">
        <f t="shared" si="34"/>
        <v>-</v>
      </c>
      <c r="R45" s="213"/>
      <c r="S45" s="214"/>
      <c r="T45" s="214"/>
      <c r="U45" s="215">
        <f t="shared" si="35"/>
        <v>0</v>
      </c>
      <c r="V45" s="195"/>
      <c r="W45" s="195"/>
    </row>
    <row r="46" spans="1:23">
      <c r="A46" s="211" t="s">
        <v>448</v>
      </c>
      <c r="B46" s="212">
        <v>486</v>
      </c>
      <c r="C46" s="221">
        <f>6837-486</f>
        <v>6351</v>
      </c>
      <c r="D46" s="1096">
        <f>6837-486</f>
        <v>6351</v>
      </c>
      <c r="E46" s="1096">
        <v>6351</v>
      </c>
      <c r="F46" s="1440">
        <f t="shared" si="32"/>
        <v>1</v>
      </c>
      <c r="G46" s="213"/>
      <c r="H46" s="214"/>
      <c r="I46" s="214"/>
      <c r="J46" s="215">
        <f t="shared" si="33"/>
        <v>6837</v>
      </c>
      <c r="K46" s="942"/>
      <c r="L46" s="211" t="s">
        <v>448</v>
      </c>
      <c r="M46" s="212">
        <f>1100+540+146</f>
        <v>1786</v>
      </c>
      <c r="N46" s="221">
        <f>1752-540-146+292</f>
        <v>1358</v>
      </c>
      <c r="O46" s="1096">
        <f>1752-540-146+292-3</f>
        <v>1355</v>
      </c>
      <c r="P46" s="1096">
        <v>1355</v>
      </c>
      <c r="Q46" s="1440">
        <f t="shared" si="34"/>
        <v>1</v>
      </c>
      <c r="R46" s="213"/>
      <c r="S46" s="214"/>
      <c r="T46" s="214"/>
      <c r="U46" s="215">
        <f t="shared" si="35"/>
        <v>3141</v>
      </c>
      <c r="V46" s="195"/>
      <c r="W46" s="195"/>
    </row>
    <row r="47" spans="1:23">
      <c r="A47" s="211" t="s">
        <v>449</v>
      </c>
      <c r="B47" s="212"/>
      <c r="C47" s="221"/>
      <c r="D47" s="1096"/>
      <c r="E47" s="1096"/>
      <c r="F47" s="1440" t="str">
        <f t="shared" si="32"/>
        <v>-</v>
      </c>
      <c r="G47" s="213"/>
      <c r="H47" s="214"/>
      <c r="I47" s="214"/>
      <c r="J47" s="215">
        <f t="shared" si="33"/>
        <v>0</v>
      </c>
      <c r="K47" s="942"/>
      <c r="L47" s="211" t="s">
        <v>449</v>
      </c>
      <c r="M47" s="212"/>
      <c r="N47" s="221"/>
      <c r="O47" s="1096"/>
      <c r="P47" s="1096"/>
      <c r="Q47" s="1440" t="str">
        <f t="shared" si="34"/>
        <v>-</v>
      </c>
      <c r="R47" s="213"/>
      <c r="S47" s="214"/>
      <c r="T47" s="214"/>
      <c r="U47" s="215">
        <f t="shared" si="35"/>
        <v>0</v>
      </c>
      <c r="V47" s="195"/>
      <c r="W47" s="195"/>
    </row>
    <row r="48" spans="1:23">
      <c r="A48" s="221" t="s">
        <v>450</v>
      </c>
      <c r="B48" s="222"/>
      <c r="C48" s="221"/>
      <c r="D48" s="1096"/>
      <c r="E48" s="1096"/>
      <c r="F48" s="1440" t="str">
        <f t="shared" si="32"/>
        <v>-</v>
      </c>
      <c r="G48" s="213"/>
      <c r="H48" s="214"/>
      <c r="I48" s="214"/>
      <c r="J48" s="215">
        <f t="shared" si="33"/>
        <v>0</v>
      </c>
      <c r="K48" s="942"/>
      <c r="L48" s="221" t="s">
        <v>450</v>
      </c>
      <c r="M48" s="222"/>
      <c r="N48" s="221"/>
      <c r="O48" s="1096"/>
      <c r="P48" s="1096"/>
      <c r="Q48" s="1440" t="str">
        <f t="shared" si="34"/>
        <v>-</v>
      </c>
      <c r="R48" s="213"/>
      <c r="S48" s="214"/>
      <c r="T48" s="214"/>
      <c r="U48" s="215">
        <f t="shared" si="35"/>
        <v>0</v>
      </c>
      <c r="V48" s="195"/>
      <c r="W48" s="195"/>
    </row>
    <row r="49" spans="1:30">
      <c r="A49" s="221" t="s">
        <v>451</v>
      </c>
      <c r="B49" s="222"/>
      <c r="C49" s="221">
        <v>2160</v>
      </c>
      <c r="D49" s="1096">
        <v>2160</v>
      </c>
      <c r="E49" s="1096">
        <v>2160</v>
      </c>
      <c r="F49" s="1440">
        <f t="shared" si="32"/>
        <v>1</v>
      </c>
      <c r="G49" s="213"/>
      <c r="H49" s="214"/>
      <c r="I49" s="214"/>
      <c r="J49" s="215">
        <f t="shared" si="33"/>
        <v>2160</v>
      </c>
      <c r="K49" s="942"/>
      <c r="L49" s="221" t="s">
        <v>451</v>
      </c>
      <c r="M49" s="222"/>
      <c r="N49" s="221">
        <v>16418</v>
      </c>
      <c r="O49" s="1096">
        <v>15980</v>
      </c>
      <c r="P49" s="1096">
        <v>15980</v>
      </c>
      <c r="Q49" s="1440">
        <f t="shared" si="34"/>
        <v>1</v>
      </c>
      <c r="R49" s="213"/>
      <c r="S49" s="214"/>
      <c r="T49" s="214"/>
      <c r="U49" s="215">
        <f t="shared" si="35"/>
        <v>15980</v>
      </c>
      <c r="V49" s="195"/>
      <c r="W49" s="195"/>
    </row>
    <row r="50" spans="1:30">
      <c r="A50" s="223" t="s">
        <v>452</v>
      </c>
      <c r="B50" s="224"/>
      <c r="C50" s="223"/>
      <c r="D50" s="1099"/>
      <c r="E50" s="1099"/>
      <c r="F50" s="1442" t="str">
        <f t="shared" si="32"/>
        <v>-</v>
      </c>
      <c r="G50" s="225"/>
      <c r="H50" s="226"/>
      <c r="I50" s="226"/>
      <c r="J50" s="215">
        <f t="shared" si="33"/>
        <v>0</v>
      </c>
      <c r="K50" s="942"/>
      <c r="L50" s="223" t="s">
        <v>452</v>
      </c>
      <c r="M50" s="224">
        <f>907+743</f>
        <v>1650</v>
      </c>
      <c r="N50" s="223">
        <f>34531-743</f>
        <v>33788</v>
      </c>
      <c r="O50" s="1099">
        <v>34569</v>
      </c>
      <c r="P50" s="1099">
        <v>34569</v>
      </c>
      <c r="Q50" s="1442">
        <f t="shared" si="34"/>
        <v>1</v>
      </c>
      <c r="R50" s="225"/>
      <c r="S50" s="226"/>
      <c r="T50" s="226"/>
      <c r="U50" s="215">
        <f t="shared" si="35"/>
        <v>36219</v>
      </c>
      <c r="V50" s="195"/>
      <c r="W50" s="195"/>
    </row>
    <row r="51" spans="1:30" ht="12.75" thickBot="1">
      <c r="A51" s="223" t="s">
        <v>453</v>
      </c>
      <c r="B51" s="224"/>
      <c r="C51" s="223"/>
      <c r="D51" s="1099"/>
      <c r="E51" s="1099"/>
      <c r="F51" s="1442" t="str">
        <f t="shared" si="32"/>
        <v>-</v>
      </c>
      <c r="G51" s="225"/>
      <c r="H51" s="226"/>
      <c r="I51" s="226"/>
      <c r="J51" s="215">
        <f t="shared" si="33"/>
        <v>0</v>
      </c>
      <c r="K51" s="942"/>
      <c r="L51" s="223" t="s">
        <v>453</v>
      </c>
      <c r="M51" s="224"/>
      <c r="N51" s="223"/>
      <c r="O51" s="1099"/>
      <c r="P51" s="1099"/>
      <c r="Q51" s="1442" t="str">
        <f t="shared" si="34"/>
        <v>-</v>
      </c>
      <c r="R51" s="225"/>
      <c r="S51" s="226"/>
      <c r="T51" s="226"/>
      <c r="U51" s="215">
        <f t="shared" si="35"/>
        <v>0</v>
      </c>
      <c r="V51" s="195"/>
      <c r="W51" s="195"/>
    </row>
    <row r="52" spans="1:30" ht="12.75" thickBot="1">
      <c r="A52" s="194" t="s">
        <v>454</v>
      </c>
      <c r="B52" s="216">
        <f t="shared" ref="B52:J52" si="36">+B44+B45+B46+B47+B48+B49+B50+B51</f>
        <v>486</v>
      </c>
      <c r="C52" s="194">
        <f t="shared" si="36"/>
        <v>8511</v>
      </c>
      <c r="D52" s="1098">
        <f t="shared" ref="D52:E52" si="37">+D44+D45+D46+D47+D48+D49+D50+D51</f>
        <v>8511</v>
      </c>
      <c r="E52" s="1098">
        <f t="shared" si="37"/>
        <v>8511</v>
      </c>
      <c r="F52" s="1441">
        <f t="shared" si="32"/>
        <v>1</v>
      </c>
      <c r="G52" s="218">
        <f t="shared" si="36"/>
        <v>0</v>
      </c>
      <c r="H52" s="216">
        <f t="shared" si="36"/>
        <v>0</v>
      </c>
      <c r="I52" s="216">
        <f t="shared" si="36"/>
        <v>0</v>
      </c>
      <c r="J52" s="217">
        <f t="shared" si="36"/>
        <v>8997</v>
      </c>
      <c r="L52" s="194" t="s">
        <v>454</v>
      </c>
      <c r="M52" s="216">
        <f t="shared" ref="M52:U52" si="38">+M44+M45+M46+M47+M48+M49+M50+M51</f>
        <v>3436</v>
      </c>
      <c r="N52" s="194">
        <f t="shared" si="38"/>
        <v>51564</v>
      </c>
      <c r="O52" s="1098">
        <f t="shared" ref="O52:P52" si="39">+O44+O45+O46+O47+O48+O49+O50+O51</f>
        <v>51904</v>
      </c>
      <c r="P52" s="1098">
        <f t="shared" si="39"/>
        <v>51904</v>
      </c>
      <c r="Q52" s="1441">
        <f t="shared" si="34"/>
        <v>1</v>
      </c>
      <c r="R52" s="218">
        <f t="shared" si="38"/>
        <v>0</v>
      </c>
      <c r="S52" s="216">
        <f t="shared" si="38"/>
        <v>0</v>
      </c>
      <c r="T52" s="216">
        <f t="shared" si="38"/>
        <v>0</v>
      </c>
      <c r="U52" s="217">
        <f t="shared" si="38"/>
        <v>55340</v>
      </c>
      <c r="V52" s="195"/>
      <c r="W52" s="195"/>
      <c r="Y52" s="942"/>
      <c r="AC52" s="942"/>
    </row>
    <row r="53" spans="1:30">
      <c r="A53" s="195"/>
      <c r="B53" s="195"/>
      <c r="C53" s="195"/>
      <c r="D53" s="195"/>
      <c r="E53" s="195"/>
      <c r="F53" s="195"/>
      <c r="G53" s="195"/>
      <c r="H53" s="195"/>
      <c r="I53" s="195"/>
      <c r="J53" s="195"/>
      <c r="K53" s="942"/>
      <c r="L53" s="195"/>
      <c r="M53" s="195"/>
      <c r="N53" s="195"/>
      <c r="O53" s="195"/>
      <c r="P53" s="195"/>
      <c r="Q53" s="195"/>
      <c r="R53" s="195"/>
      <c r="S53" s="195"/>
      <c r="T53" s="195"/>
      <c r="U53" s="195"/>
      <c r="V53" s="195"/>
      <c r="W53" s="195"/>
    </row>
    <row r="54" spans="1:30">
      <c r="A54" s="195"/>
      <c r="B54" s="195"/>
      <c r="C54" s="195"/>
      <c r="D54" s="195"/>
      <c r="E54" s="195"/>
      <c r="F54" s="195"/>
      <c r="G54" s="195"/>
      <c r="H54" s="195"/>
      <c r="I54" s="195"/>
      <c r="J54" s="195"/>
      <c r="K54" s="942"/>
      <c r="L54" s="195"/>
      <c r="M54" s="195"/>
      <c r="N54" s="195"/>
      <c r="O54" s="195"/>
      <c r="P54" s="195"/>
      <c r="Q54" s="195"/>
      <c r="R54" s="195"/>
      <c r="S54" s="195"/>
      <c r="T54" s="195"/>
      <c r="U54" s="195"/>
      <c r="V54" s="195"/>
      <c r="W54" s="195"/>
    </row>
    <row r="55" spans="1:30" s="935" customFormat="1" ht="15.75">
      <c r="A55" s="193" t="s">
        <v>1414</v>
      </c>
      <c r="B55" s="1246" t="s">
        <v>1416</v>
      </c>
      <c r="C55" s="1246"/>
      <c r="D55" s="1246"/>
      <c r="E55" s="1246"/>
      <c r="F55" s="1246"/>
      <c r="G55" s="1246"/>
      <c r="H55" s="1246"/>
      <c r="I55" s="1246"/>
      <c r="J55" s="1246"/>
      <c r="K55" s="831"/>
      <c r="L55" s="193" t="s">
        <v>1415</v>
      </c>
      <c r="M55" s="1246" t="s">
        <v>1420</v>
      </c>
      <c r="N55" s="1246"/>
      <c r="O55" s="1246"/>
      <c r="P55" s="1246"/>
      <c r="Q55" s="1246"/>
      <c r="R55" s="1246"/>
      <c r="S55" s="1246"/>
      <c r="T55" s="1246"/>
      <c r="U55" s="1246"/>
      <c r="V55" s="1196"/>
      <c r="W55" s="1196"/>
    </row>
    <row r="56" spans="1:30" s="935" customFormat="1" ht="15.75" customHeight="1">
      <c r="A56" s="1248" t="s">
        <v>1418</v>
      </c>
      <c r="B56" s="1248"/>
      <c r="C56" s="1248"/>
      <c r="D56" s="1248"/>
      <c r="E56" s="1248"/>
      <c r="F56" s="1248"/>
      <c r="G56" s="1248"/>
      <c r="H56" s="1248"/>
      <c r="I56" s="1248"/>
      <c r="J56" s="1248"/>
      <c r="K56" s="831"/>
      <c r="L56" s="1248" t="s">
        <v>1423</v>
      </c>
      <c r="M56" s="1248"/>
      <c r="N56" s="1248"/>
      <c r="O56" s="1248"/>
      <c r="P56" s="1248"/>
      <c r="Q56" s="1248"/>
      <c r="R56" s="1248"/>
      <c r="S56" s="1248"/>
      <c r="T56" s="1248"/>
      <c r="U56" s="1248"/>
      <c r="V56" s="1197"/>
      <c r="W56" s="1197"/>
    </row>
    <row r="57" spans="1:30" s="935" customFormat="1" ht="15.75">
      <c r="A57" s="1245" t="s">
        <v>1214</v>
      </c>
      <c r="B57" s="1245"/>
      <c r="C57" s="1245"/>
      <c r="D57" s="1245"/>
      <c r="E57" s="1245"/>
      <c r="F57" s="1245"/>
      <c r="G57" s="1245"/>
      <c r="H57" s="1245"/>
      <c r="I57" s="1245"/>
      <c r="J57" s="1245"/>
      <c r="K57" s="831"/>
      <c r="L57" s="1245" t="s">
        <v>1214</v>
      </c>
      <c r="M57" s="1245"/>
      <c r="N57" s="1245"/>
      <c r="O57" s="1245"/>
      <c r="P57" s="1245"/>
      <c r="Q57" s="1245"/>
      <c r="R57" s="1245"/>
      <c r="S57" s="1245"/>
      <c r="T57" s="1245"/>
      <c r="U57" s="1245"/>
      <c r="V57" s="1198"/>
      <c r="W57" s="1198"/>
    </row>
    <row r="58" spans="1:30" s="938" customFormat="1" ht="12.75" thickBot="1">
      <c r="A58" s="937"/>
      <c r="B58" s="937"/>
      <c r="G58" s="937"/>
      <c r="H58" s="937"/>
      <c r="J58" s="238" t="s">
        <v>281</v>
      </c>
      <c r="K58" s="939"/>
      <c r="L58" s="937"/>
      <c r="M58" s="937"/>
      <c r="N58" s="937"/>
      <c r="O58" s="937"/>
      <c r="P58" s="937"/>
      <c r="Q58" s="937"/>
      <c r="R58" s="937"/>
      <c r="S58" s="937"/>
      <c r="U58" s="238" t="s">
        <v>281</v>
      </c>
      <c r="V58" s="925"/>
      <c r="W58" s="925"/>
    </row>
    <row r="59" spans="1:30" s="941" customFormat="1" ht="36.75" thickBot="1">
      <c r="A59" s="401" t="s">
        <v>432</v>
      </c>
      <c r="B59" s="402" t="s">
        <v>1329</v>
      </c>
      <c r="C59" s="1887" t="s">
        <v>1474</v>
      </c>
      <c r="D59" s="1482" t="s">
        <v>1475</v>
      </c>
      <c r="E59" s="1482" t="s">
        <v>1529</v>
      </c>
      <c r="F59" s="1483" t="s">
        <v>1527</v>
      </c>
      <c r="G59" s="382" t="s">
        <v>460</v>
      </c>
      <c r="H59" s="383" t="s">
        <v>461</v>
      </c>
      <c r="I59" s="383" t="s">
        <v>1330</v>
      </c>
      <c r="J59" s="1202" t="s">
        <v>18</v>
      </c>
      <c r="K59" s="940"/>
      <c r="L59" s="401" t="s">
        <v>432</v>
      </c>
      <c r="M59" s="402" t="s">
        <v>1329</v>
      </c>
      <c r="N59" s="1887" t="s">
        <v>1474</v>
      </c>
      <c r="O59" s="1482" t="s">
        <v>1475</v>
      </c>
      <c r="P59" s="1482" t="s">
        <v>1529</v>
      </c>
      <c r="Q59" s="1483" t="s">
        <v>1527</v>
      </c>
      <c r="R59" s="382" t="s">
        <v>460</v>
      </c>
      <c r="S59" s="383" t="s">
        <v>461</v>
      </c>
      <c r="T59" s="383" t="s">
        <v>1330</v>
      </c>
      <c r="U59" s="1202" t="s">
        <v>18</v>
      </c>
      <c r="V59" s="926"/>
      <c r="W59" s="926"/>
    </row>
    <row r="60" spans="1:30">
      <c r="A60" s="201" t="s">
        <v>433</v>
      </c>
      <c r="B60" s="202">
        <f t="shared" ref="B60:J60" si="40">+B77-B65-B64-B63-B62</f>
        <v>-277013</v>
      </c>
      <c r="C60" s="1092">
        <f t="shared" si="40"/>
        <v>206472</v>
      </c>
      <c r="D60" s="1093">
        <f t="shared" ref="D60:E60" si="41">+D77-D65-D64-D63-D62</f>
        <v>8481</v>
      </c>
      <c r="E60" s="1093">
        <f t="shared" si="41"/>
        <v>8481</v>
      </c>
      <c r="F60" s="1439">
        <f t="shared" ref="F60:F66" si="42">IF(ISERROR(E60/D60),"-",E60/D60)</f>
        <v>1</v>
      </c>
      <c r="G60" s="203">
        <f t="shared" si="40"/>
        <v>268532</v>
      </c>
      <c r="H60" s="204">
        <f t="shared" si="40"/>
        <v>0</v>
      </c>
      <c r="I60" s="204">
        <f t="shared" si="40"/>
        <v>0</v>
      </c>
      <c r="J60" s="205">
        <f t="shared" si="40"/>
        <v>0</v>
      </c>
      <c r="K60" s="942"/>
      <c r="L60" s="201" t="s">
        <v>433</v>
      </c>
      <c r="M60" s="202">
        <f t="shared" ref="M60:U60" si="43">+M77-M65-M64-M63-M62</f>
        <v>-140587</v>
      </c>
      <c r="N60" s="1092">
        <f t="shared" si="43"/>
        <v>140587</v>
      </c>
      <c r="O60" s="1093">
        <f t="shared" ref="O60:P60" si="44">+O77-O65-O64-O63-O62</f>
        <v>139338</v>
      </c>
      <c r="P60" s="1093">
        <f t="shared" si="44"/>
        <v>132643</v>
      </c>
      <c r="Q60" s="1439">
        <f t="shared" ref="Q60:Q66" si="45">IF(ISERROR(P60/O60),"-",P60/O60)</f>
        <v>0.9519513700498069</v>
      </c>
      <c r="R60" s="203">
        <f t="shared" si="43"/>
        <v>1249</v>
      </c>
      <c r="S60" s="204">
        <f t="shared" si="43"/>
        <v>0</v>
      </c>
      <c r="T60" s="204">
        <f t="shared" si="43"/>
        <v>0</v>
      </c>
      <c r="U60" s="205">
        <f t="shared" si="43"/>
        <v>0</v>
      </c>
      <c r="V60" s="195"/>
      <c r="W60" s="195"/>
    </row>
    <row r="61" spans="1:30">
      <c r="A61" s="206" t="s">
        <v>434</v>
      </c>
      <c r="B61" s="207"/>
      <c r="C61" s="1094"/>
      <c r="D61" s="1095"/>
      <c r="E61" s="1095"/>
      <c r="F61" s="1440" t="str">
        <f t="shared" si="42"/>
        <v>-</v>
      </c>
      <c r="G61" s="208"/>
      <c r="H61" s="209"/>
      <c r="I61" s="209"/>
      <c r="J61" s="210">
        <f t="shared" ref="J61:J65" si="46">+B61+IF(D61&lt;=E61,E61,D61)+G61+H61+I61</f>
        <v>0</v>
      </c>
      <c r="K61" s="942"/>
      <c r="L61" s="206" t="s">
        <v>434</v>
      </c>
      <c r="M61" s="207"/>
      <c r="N61" s="1094"/>
      <c r="O61" s="1095"/>
      <c r="P61" s="1095"/>
      <c r="Q61" s="1440" t="str">
        <f t="shared" si="45"/>
        <v>-</v>
      </c>
      <c r="R61" s="208"/>
      <c r="S61" s="209"/>
      <c r="T61" s="209"/>
      <c r="U61" s="210">
        <f t="shared" ref="U61:U65" si="47">+M61+IF(O61&lt;=P61,P61,O61)+R61+S61+T61</f>
        <v>0</v>
      </c>
      <c r="V61" s="927"/>
      <c r="W61" s="927"/>
      <c r="X61" s="118"/>
      <c r="Z61" s="118"/>
      <c r="AA61" s="118"/>
      <c r="AB61" s="118"/>
    </row>
    <row r="62" spans="1:30">
      <c r="A62" s="211" t="s">
        <v>435</v>
      </c>
      <c r="B62" s="212">
        <f>0+289000</f>
        <v>289000</v>
      </c>
      <c r="C62" s="221"/>
      <c r="D62" s="1096"/>
      <c r="E62" s="1096"/>
      <c r="F62" s="1440" t="str">
        <f t="shared" si="42"/>
        <v>-</v>
      </c>
      <c r="G62" s="213"/>
      <c r="H62" s="214"/>
      <c r="I62" s="214"/>
      <c r="J62" s="215">
        <f t="shared" si="46"/>
        <v>289000</v>
      </c>
      <c r="K62" s="942"/>
      <c r="L62" s="211" t="s">
        <v>435</v>
      </c>
      <c r="M62" s="212">
        <v>147830</v>
      </c>
      <c r="N62" s="221"/>
      <c r="O62" s="1096"/>
      <c r="P62" s="1096"/>
      <c r="Q62" s="1440" t="str">
        <f t="shared" si="45"/>
        <v>-</v>
      </c>
      <c r="R62" s="213"/>
      <c r="S62" s="214"/>
      <c r="T62" s="214"/>
      <c r="U62" s="215">
        <f t="shared" si="47"/>
        <v>147830</v>
      </c>
      <c r="V62" s="195"/>
      <c r="W62" s="195"/>
      <c r="X62" s="118"/>
      <c r="Y62" s="118"/>
      <c r="Z62" s="118"/>
      <c r="AA62" s="118"/>
      <c r="AB62" s="118"/>
      <c r="AC62" s="118"/>
      <c r="AD62" s="118"/>
    </row>
    <row r="63" spans="1:30">
      <c r="A63" s="211" t="s">
        <v>436</v>
      </c>
      <c r="B63" s="212"/>
      <c r="C63" s="221"/>
      <c r="D63" s="1096"/>
      <c r="E63" s="1096"/>
      <c r="F63" s="1440" t="str">
        <f t="shared" si="42"/>
        <v>-</v>
      </c>
      <c r="G63" s="213"/>
      <c r="H63" s="214"/>
      <c r="I63" s="214"/>
      <c r="J63" s="215">
        <f t="shared" si="46"/>
        <v>0</v>
      </c>
      <c r="K63" s="942"/>
      <c r="L63" s="211" t="s">
        <v>436</v>
      </c>
      <c r="M63" s="212"/>
      <c r="N63" s="221"/>
      <c r="O63" s="1096"/>
      <c r="P63" s="1096"/>
      <c r="Q63" s="1440" t="str">
        <f t="shared" si="45"/>
        <v>-</v>
      </c>
      <c r="R63" s="213"/>
      <c r="S63" s="214"/>
      <c r="T63" s="214"/>
      <c r="U63" s="215">
        <f t="shared" si="47"/>
        <v>0</v>
      </c>
      <c r="V63" s="195"/>
      <c r="W63" s="195"/>
      <c r="X63" s="118"/>
      <c r="Z63" s="118"/>
      <c r="AA63" s="118"/>
      <c r="AB63" s="118"/>
    </row>
    <row r="64" spans="1:30">
      <c r="A64" s="211" t="s">
        <v>437</v>
      </c>
      <c r="B64" s="212"/>
      <c r="C64" s="221"/>
      <c r="D64" s="1096"/>
      <c r="E64" s="1096"/>
      <c r="F64" s="1440" t="str">
        <f t="shared" si="42"/>
        <v>-</v>
      </c>
      <c r="G64" s="213"/>
      <c r="H64" s="214"/>
      <c r="I64" s="214"/>
      <c r="J64" s="215">
        <f t="shared" si="46"/>
        <v>0</v>
      </c>
      <c r="K64" s="942"/>
      <c r="L64" s="211" t="s">
        <v>437</v>
      </c>
      <c r="M64" s="212"/>
      <c r="N64" s="221"/>
      <c r="O64" s="1096"/>
      <c r="P64" s="1096"/>
      <c r="Q64" s="1440" t="str">
        <f t="shared" si="45"/>
        <v>-</v>
      </c>
      <c r="R64" s="213"/>
      <c r="S64" s="214"/>
      <c r="T64" s="214"/>
      <c r="U64" s="215">
        <f t="shared" si="47"/>
        <v>0</v>
      </c>
      <c r="V64" s="195"/>
      <c r="W64" s="195"/>
      <c r="X64" s="118"/>
      <c r="Z64" s="118"/>
      <c r="AA64" s="118"/>
      <c r="AB64" s="118"/>
    </row>
    <row r="65" spans="1:30" ht="12.75" thickBot="1">
      <c r="A65" s="211" t="s">
        <v>438</v>
      </c>
      <c r="B65" s="212"/>
      <c r="C65" s="221"/>
      <c r="D65" s="1096"/>
      <c r="E65" s="1096"/>
      <c r="F65" s="1440" t="str">
        <f t="shared" si="42"/>
        <v>-</v>
      </c>
      <c r="G65" s="213"/>
      <c r="H65" s="214"/>
      <c r="I65" s="214"/>
      <c r="J65" s="215">
        <f t="shared" si="46"/>
        <v>0</v>
      </c>
      <c r="K65" s="942"/>
      <c r="L65" s="211" t="s">
        <v>438</v>
      </c>
      <c r="M65" s="212"/>
      <c r="N65" s="221"/>
      <c r="O65" s="1096"/>
      <c r="P65" s="1096"/>
      <c r="Q65" s="1440" t="str">
        <f t="shared" si="45"/>
        <v>-</v>
      </c>
      <c r="R65" s="213"/>
      <c r="S65" s="214"/>
      <c r="T65" s="214"/>
      <c r="U65" s="215">
        <f t="shared" si="47"/>
        <v>0</v>
      </c>
      <c r="V65" s="195"/>
      <c r="W65" s="195"/>
      <c r="X65" s="118"/>
      <c r="Z65" s="118"/>
      <c r="AA65" s="118"/>
      <c r="AB65" s="118"/>
    </row>
    <row r="66" spans="1:30" ht="12.75" thickBot="1">
      <c r="A66" s="194" t="s">
        <v>439</v>
      </c>
      <c r="B66" s="216">
        <f t="shared" ref="B66:J66" si="48">+B60+B62+B63+B64+B65</f>
        <v>11987</v>
      </c>
      <c r="C66" s="194">
        <f t="shared" si="48"/>
        <v>206472</v>
      </c>
      <c r="D66" s="1098">
        <f t="shared" ref="D66:E66" si="49">+D60+D62+D63+D64+D65</f>
        <v>8481</v>
      </c>
      <c r="E66" s="1098">
        <f t="shared" si="49"/>
        <v>8481</v>
      </c>
      <c r="F66" s="1441">
        <f t="shared" si="42"/>
        <v>1</v>
      </c>
      <c r="G66" s="218">
        <f t="shared" si="48"/>
        <v>268532</v>
      </c>
      <c r="H66" s="216">
        <f t="shared" si="48"/>
        <v>0</v>
      </c>
      <c r="I66" s="216">
        <f t="shared" si="48"/>
        <v>0</v>
      </c>
      <c r="J66" s="217">
        <f t="shared" si="48"/>
        <v>289000</v>
      </c>
      <c r="K66" s="942"/>
      <c r="L66" s="194" t="s">
        <v>439</v>
      </c>
      <c r="M66" s="216">
        <f t="shared" ref="M66:U66" si="50">+M60+M62+M63+M64+M65</f>
        <v>7243</v>
      </c>
      <c r="N66" s="194">
        <f t="shared" si="50"/>
        <v>140587</v>
      </c>
      <c r="O66" s="1098">
        <f t="shared" ref="O66:P66" si="51">+O60+O62+O63+O64+O65</f>
        <v>139338</v>
      </c>
      <c r="P66" s="1098">
        <f t="shared" si="51"/>
        <v>132643</v>
      </c>
      <c r="Q66" s="1441">
        <f t="shared" si="45"/>
        <v>0.9519513700498069</v>
      </c>
      <c r="R66" s="218">
        <f t="shared" si="50"/>
        <v>1249</v>
      </c>
      <c r="S66" s="216">
        <f t="shared" si="50"/>
        <v>0</v>
      </c>
      <c r="T66" s="216">
        <f t="shared" si="50"/>
        <v>0</v>
      </c>
      <c r="U66" s="217">
        <f t="shared" si="50"/>
        <v>147830</v>
      </c>
      <c r="V66" s="195"/>
      <c r="W66" s="195"/>
    </row>
    <row r="67" spans="1:30" ht="12.75" thickBot="1">
      <c r="A67" s="219"/>
      <c r="B67" s="219"/>
      <c r="C67" s="219"/>
      <c r="D67" s="219"/>
      <c r="E67" s="219"/>
      <c r="F67" s="219"/>
      <c r="G67" s="219"/>
      <c r="H67" s="219"/>
      <c r="I67" s="219"/>
      <c r="J67" s="219"/>
      <c r="K67" s="942"/>
      <c r="L67" s="219"/>
      <c r="M67" s="219"/>
      <c r="N67" s="219"/>
      <c r="O67" s="219"/>
      <c r="P67" s="219"/>
      <c r="Q67" s="219"/>
      <c r="R67" s="219"/>
      <c r="S67" s="219"/>
      <c r="T67" s="219"/>
      <c r="U67" s="219"/>
      <c r="V67" s="219"/>
      <c r="W67" s="219"/>
    </row>
    <row r="68" spans="1:30" s="941" customFormat="1" ht="36.75" thickBot="1">
      <c r="A68" s="401" t="s">
        <v>440</v>
      </c>
      <c r="B68" s="402" t="s">
        <v>1329</v>
      </c>
      <c r="C68" s="1887" t="s">
        <v>1474</v>
      </c>
      <c r="D68" s="1482" t="s">
        <v>1475</v>
      </c>
      <c r="E68" s="1482" t="s">
        <v>1529</v>
      </c>
      <c r="F68" s="1483" t="s">
        <v>1527</v>
      </c>
      <c r="G68" s="382" t="s">
        <v>460</v>
      </c>
      <c r="H68" s="383" t="s">
        <v>461</v>
      </c>
      <c r="I68" s="383" t="s">
        <v>1330</v>
      </c>
      <c r="J68" s="1202" t="s">
        <v>18</v>
      </c>
      <c r="K68" s="944"/>
      <c r="L68" s="401" t="s">
        <v>440</v>
      </c>
      <c r="M68" s="402" t="s">
        <v>1329</v>
      </c>
      <c r="N68" s="1887" t="s">
        <v>1474</v>
      </c>
      <c r="O68" s="1482" t="s">
        <v>1475</v>
      </c>
      <c r="P68" s="1482" t="s">
        <v>1529</v>
      </c>
      <c r="Q68" s="1483" t="s">
        <v>1527</v>
      </c>
      <c r="R68" s="382" t="s">
        <v>460</v>
      </c>
      <c r="S68" s="383" t="s">
        <v>461</v>
      </c>
      <c r="T68" s="383" t="s">
        <v>1330</v>
      </c>
      <c r="U68" s="1202" t="s">
        <v>18</v>
      </c>
      <c r="V68" s="926"/>
      <c r="W68" s="926"/>
    </row>
    <row r="69" spans="1:30">
      <c r="A69" s="201" t="s">
        <v>446</v>
      </c>
      <c r="B69" s="202"/>
      <c r="C69" s="1092"/>
      <c r="D69" s="1093"/>
      <c r="E69" s="1093"/>
      <c r="F69" s="1439" t="str">
        <f t="shared" ref="F69:F77" si="52">IF(ISERROR(E69/D69),"-",E69/D69)</f>
        <v>-</v>
      </c>
      <c r="G69" s="203"/>
      <c r="H69" s="204"/>
      <c r="I69" s="204"/>
      <c r="J69" s="205">
        <f t="shared" ref="J69:J76" si="53">+B69+IF(D69&lt;=E69,E69,D69)+G69+H69+I69</f>
        <v>0</v>
      </c>
      <c r="K69" s="942"/>
      <c r="L69" s="201" t="s">
        <v>446</v>
      </c>
      <c r="M69" s="202"/>
      <c r="N69" s="1092"/>
      <c r="O69" s="1093"/>
      <c r="P69" s="1093"/>
      <c r="Q69" s="1439" t="str">
        <f t="shared" ref="Q69:Q77" si="54">IF(ISERROR(P69/O69),"-",P69/O69)</f>
        <v>-</v>
      </c>
      <c r="R69" s="203"/>
      <c r="S69" s="204"/>
      <c r="T69" s="204"/>
      <c r="U69" s="205">
        <f t="shared" ref="U69:U76" si="55">+M69+IF(O69&lt;=P69,P69,O69)+R69+S69+T69</f>
        <v>0</v>
      </c>
      <c r="V69" s="195"/>
      <c r="W69" s="195"/>
      <c r="X69" s="118"/>
      <c r="Y69" s="118"/>
      <c r="Z69" s="118"/>
      <c r="AA69" s="118"/>
      <c r="AB69" s="118"/>
      <c r="AC69" s="118"/>
      <c r="AD69" s="118"/>
    </row>
    <row r="70" spans="1:30">
      <c r="A70" s="220" t="s">
        <v>447</v>
      </c>
      <c r="B70" s="212"/>
      <c r="C70" s="221"/>
      <c r="D70" s="1096"/>
      <c r="E70" s="1096"/>
      <c r="F70" s="1440" t="str">
        <f t="shared" si="52"/>
        <v>-</v>
      </c>
      <c r="G70" s="213"/>
      <c r="H70" s="214"/>
      <c r="I70" s="214"/>
      <c r="J70" s="215">
        <f t="shared" si="53"/>
        <v>0</v>
      </c>
      <c r="K70" s="942"/>
      <c r="L70" s="220" t="s">
        <v>447</v>
      </c>
      <c r="M70" s="212"/>
      <c r="N70" s="221"/>
      <c r="O70" s="1096"/>
      <c r="P70" s="1096"/>
      <c r="Q70" s="1440" t="str">
        <f t="shared" si="54"/>
        <v>-</v>
      </c>
      <c r="R70" s="213"/>
      <c r="S70" s="214"/>
      <c r="T70" s="214"/>
      <c r="U70" s="215">
        <f t="shared" si="55"/>
        <v>0</v>
      </c>
      <c r="V70" s="195"/>
      <c r="W70" s="195"/>
      <c r="X70" s="118"/>
      <c r="Y70" s="118"/>
      <c r="Z70" s="118"/>
      <c r="AA70" s="118"/>
      <c r="AB70" s="118"/>
      <c r="AC70" s="118"/>
      <c r="AD70" s="118"/>
    </row>
    <row r="71" spans="1:30">
      <c r="A71" s="211" t="s">
        <v>448</v>
      </c>
      <c r="B71" s="212">
        <f>5780+(2840+767)</f>
        <v>9387</v>
      </c>
      <c r="C71" s="221">
        <f>11558-(2840+767)+22043</f>
        <v>29994</v>
      </c>
      <c r="D71" s="1096">
        <v>2413</v>
      </c>
      <c r="E71" s="1096">
        <v>2413</v>
      </c>
      <c r="F71" s="1440">
        <f t="shared" si="52"/>
        <v>1</v>
      </c>
      <c r="G71" s="213">
        <f>29994-2413</f>
        <v>27581</v>
      </c>
      <c r="H71" s="214"/>
      <c r="I71" s="214"/>
      <c r="J71" s="215">
        <f t="shared" si="53"/>
        <v>39381</v>
      </c>
      <c r="K71" s="942"/>
      <c r="L71" s="211" t="s">
        <v>448</v>
      </c>
      <c r="M71" s="212">
        <f>2957+(1455+393)</f>
        <v>4805</v>
      </c>
      <c r="N71" s="221">
        <f>6497+1754-2957-(1455+393)</f>
        <v>3446</v>
      </c>
      <c r="O71" s="1096">
        <v>2217</v>
      </c>
      <c r="P71" s="1096">
        <v>2217</v>
      </c>
      <c r="Q71" s="1440">
        <f t="shared" si="54"/>
        <v>1</v>
      </c>
      <c r="R71" s="213">
        <f>3446-2217</f>
        <v>1229</v>
      </c>
      <c r="S71" s="214"/>
      <c r="T71" s="214"/>
      <c r="U71" s="215">
        <f t="shared" si="55"/>
        <v>8251</v>
      </c>
      <c r="V71" s="195"/>
      <c r="W71" s="195"/>
      <c r="X71" s="118"/>
      <c r="Y71" s="118"/>
      <c r="Z71" s="118"/>
      <c r="AA71" s="118"/>
      <c r="AB71" s="118"/>
      <c r="AC71" s="118"/>
      <c r="AD71" s="118"/>
    </row>
    <row r="72" spans="1:30">
      <c r="A72" s="211" t="s">
        <v>449</v>
      </c>
      <c r="B72" s="212"/>
      <c r="C72" s="221"/>
      <c r="D72" s="1096"/>
      <c r="E72" s="1096"/>
      <c r="F72" s="1440" t="str">
        <f t="shared" si="52"/>
        <v>-</v>
      </c>
      <c r="G72" s="213"/>
      <c r="H72" s="214"/>
      <c r="I72" s="214"/>
      <c r="J72" s="215">
        <f t="shared" si="53"/>
        <v>0</v>
      </c>
      <c r="K72" s="942"/>
      <c r="L72" s="211" t="s">
        <v>449</v>
      </c>
      <c r="M72" s="212"/>
      <c r="N72" s="221"/>
      <c r="O72" s="1096"/>
      <c r="P72" s="1096"/>
      <c r="Q72" s="1440" t="str">
        <f t="shared" si="54"/>
        <v>-</v>
      </c>
      <c r="R72" s="213"/>
      <c r="S72" s="214"/>
      <c r="T72" s="214"/>
      <c r="U72" s="215">
        <f t="shared" si="55"/>
        <v>0</v>
      </c>
      <c r="V72" s="195"/>
      <c r="W72" s="195"/>
      <c r="X72" s="118"/>
      <c r="Z72" s="118"/>
      <c r="AA72" s="118"/>
      <c r="AB72" s="118"/>
      <c r="AD72" s="118"/>
    </row>
    <row r="73" spans="1:30">
      <c r="A73" s="221" t="s">
        <v>450</v>
      </c>
      <c r="B73" s="222"/>
      <c r="C73" s="221"/>
      <c r="D73" s="1096"/>
      <c r="E73" s="1096"/>
      <c r="F73" s="1440" t="str">
        <f t="shared" si="52"/>
        <v>-</v>
      </c>
      <c r="G73" s="213"/>
      <c r="H73" s="214"/>
      <c r="I73" s="214"/>
      <c r="J73" s="215">
        <f t="shared" si="53"/>
        <v>0</v>
      </c>
      <c r="K73" s="942"/>
      <c r="L73" s="221" t="s">
        <v>450</v>
      </c>
      <c r="M73" s="222"/>
      <c r="N73" s="221"/>
      <c r="O73" s="1096"/>
      <c r="P73" s="1096"/>
      <c r="Q73" s="1440" t="str">
        <f t="shared" si="54"/>
        <v>-</v>
      </c>
      <c r="R73" s="213"/>
      <c r="S73" s="214"/>
      <c r="T73" s="214"/>
      <c r="U73" s="215">
        <f t="shared" si="55"/>
        <v>0</v>
      </c>
      <c r="V73" s="195"/>
      <c r="W73" s="195"/>
      <c r="X73" s="118"/>
      <c r="Y73" s="118"/>
      <c r="Z73" s="118"/>
      <c r="AA73" s="118"/>
      <c r="AB73" s="118"/>
      <c r="AC73" s="118"/>
      <c r="AD73" s="118"/>
    </row>
    <row r="74" spans="1:30">
      <c r="A74" s="221" t="s">
        <v>451</v>
      </c>
      <c r="B74" s="222"/>
      <c r="C74" s="221">
        <v>51816</v>
      </c>
      <c r="D74" s="1096">
        <v>0</v>
      </c>
      <c r="E74" s="1096"/>
      <c r="F74" s="1440" t="str">
        <f t="shared" si="52"/>
        <v>-</v>
      </c>
      <c r="G74" s="213">
        <v>51816</v>
      </c>
      <c r="H74" s="214"/>
      <c r="I74" s="214"/>
      <c r="J74" s="215">
        <f t="shared" si="53"/>
        <v>51816</v>
      </c>
      <c r="K74" s="942"/>
      <c r="L74" s="221" t="s">
        <v>451</v>
      </c>
      <c r="M74" s="222"/>
      <c r="N74" s="221">
        <f>5250+1417</f>
        <v>6667</v>
      </c>
      <c r="O74" s="1096">
        <v>6695</v>
      </c>
      <c r="P74" s="1096"/>
      <c r="Q74" s="1440">
        <f t="shared" si="54"/>
        <v>0</v>
      </c>
      <c r="R74" s="213"/>
      <c r="S74" s="214"/>
      <c r="T74" s="214"/>
      <c r="U74" s="215">
        <f t="shared" si="55"/>
        <v>6695</v>
      </c>
      <c r="V74" s="195"/>
      <c r="W74" s="195"/>
      <c r="X74" s="118"/>
      <c r="Y74" s="118"/>
      <c r="Z74" s="118"/>
      <c r="AA74" s="118"/>
      <c r="AB74" s="118"/>
      <c r="AC74" s="118"/>
      <c r="AD74" s="118"/>
    </row>
    <row r="75" spans="1:30">
      <c r="A75" s="223" t="s">
        <v>452</v>
      </c>
      <c r="B75" s="224">
        <v>2600</v>
      </c>
      <c r="C75" s="223">
        <f>195203-70541</f>
        <v>124662</v>
      </c>
      <c r="D75" s="1099">
        <v>6068</v>
      </c>
      <c r="E75" s="1099">
        <v>6068</v>
      </c>
      <c r="F75" s="1442">
        <f t="shared" si="52"/>
        <v>1</v>
      </c>
      <c r="G75" s="225">
        <f>70541+124662-6068</f>
        <v>189135</v>
      </c>
      <c r="H75" s="226"/>
      <c r="I75" s="226"/>
      <c r="J75" s="215">
        <f t="shared" si="53"/>
        <v>197803</v>
      </c>
      <c r="K75" s="942"/>
      <c r="L75" s="223" t="s">
        <v>452</v>
      </c>
      <c r="M75" s="224">
        <v>2438</v>
      </c>
      <c r="N75" s="223">
        <f>104655+28257-2438</f>
        <v>130474</v>
      </c>
      <c r="O75" s="1099">
        <v>130426</v>
      </c>
      <c r="P75" s="1099">
        <v>130426</v>
      </c>
      <c r="Q75" s="1442">
        <f t="shared" si="54"/>
        <v>1</v>
      </c>
      <c r="R75" s="225">
        <f>130474-130426-28</f>
        <v>20</v>
      </c>
      <c r="S75" s="226"/>
      <c r="T75" s="226"/>
      <c r="U75" s="215">
        <f t="shared" si="55"/>
        <v>132884</v>
      </c>
      <c r="V75" s="195"/>
      <c r="W75" s="195"/>
      <c r="X75" s="118"/>
      <c r="Y75" s="118"/>
      <c r="Z75" s="118"/>
      <c r="AA75" s="118"/>
      <c r="AB75" s="118"/>
      <c r="AC75" s="118"/>
      <c r="AD75" s="118"/>
    </row>
    <row r="76" spans="1:30" ht="12.75" thickBot="1">
      <c r="A76" s="223" t="s">
        <v>453</v>
      </c>
      <c r="B76" s="224"/>
      <c r="C76" s="223"/>
      <c r="D76" s="1099"/>
      <c r="E76" s="1099"/>
      <c r="F76" s="1442" t="str">
        <f t="shared" si="52"/>
        <v>-</v>
      </c>
      <c r="G76" s="225"/>
      <c r="H76" s="226"/>
      <c r="I76" s="226"/>
      <c r="J76" s="215">
        <f t="shared" si="53"/>
        <v>0</v>
      </c>
      <c r="K76" s="942"/>
      <c r="L76" s="223" t="s">
        <v>453</v>
      </c>
      <c r="M76" s="224"/>
      <c r="N76" s="223"/>
      <c r="O76" s="1099"/>
      <c r="P76" s="1099"/>
      <c r="Q76" s="1442" t="str">
        <f t="shared" si="54"/>
        <v>-</v>
      </c>
      <c r="R76" s="225"/>
      <c r="S76" s="226"/>
      <c r="T76" s="226"/>
      <c r="U76" s="215">
        <f t="shared" si="55"/>
        <v>0</v>
      </c>
      <c r="V76" s="195"/>
      <c r="W76" s="195"/>
      <c r="X76" s="118"/>
      <c r="Y76" s="118"/>
      <c r="Z76" s="118"/>
      <c r="AA76" s="118"/>
      <c r="AB76" s="118"/>
      <c r="AC76" s="118"/>
      <c r="AD76" s="118"/>
    </row>
    <row r="77" spans="1:30" ht="12.75" thickBot="1">
      <c r="A77" s="194" t="s">
        <v>454</v>
      </c>
      <c r="B77" s="216">
        <f t="shared" ref="B77:J77" si="56">+B69+B70+B71+B72+B73+B74+B75+B76</f>
        <v>11987</v>
      </c>
      <c r="C77" s="194">
        <f t="shared" si="56"/>
        <v>206472</v>
      </c>
      <c r="D77" s="1098">
        <f t="shared" ref="D77:E77" si="57">+D69+D70+D71+D72+D73+D74+D75+D76</f>
        <v>8481</v>
      </c>
      <c r="E77" s="1098">
        <f t="shared" si="57"/>
        <v>8481</v>
      </c>
      <c r="F77" s="1441">
        <f t="shared" si="52"/>
        <v>1</v>
      </c>
      <c r="G77" s="218">
        <f t="shared" si="56"/>
        <v>268532</v>
      </c>
      <c r="H77" s="216">
        <f t="shared" si="56"/>
        <v>0</v>
      </c>
      <c r="I77" s="216">
        <f t="shared" si="56"/>
        <v>0</v>
      </c>
      <c r="J77" s="217">
        <f t="shared" si="56"/>
        <v>289000</v>
      </c>
      <c r="L77" s="194" t="s">
        <v>454</v>
      </c>
      <c r="M77" s="216">
        <f t="shared" ref="M77:U77" si="58">+M69+M70+M71+M72+M73+M74+M75+M76</f>
        <v>7243</v>
      </c>
      <c r="N77" s="194">
        <f t="shared" si="58"/>
        <v>140587</v>
      </c>
      <c r="O77" s="1098">
        <f t="shared" ref="O77:P77" si="59">+O69+O70+O71+O72+O73+O74+O75+O76</f>
        <v>139338</v>
      </c>
      <c r="P77" s="1098">
        <f t="shared" si="59"/>
        <v>132643</v>
      </c>
      <c r="Q77" s="1441">
        <f t="shared" si="54"/>
        <v>0.9519513700498069</v>
      </c>
      <c r="R77" s="218">
        <f t="shared" si="58"/>
        <v>1249</v>
      </c>
      <c r="S77" s="216">
        <f t="shared" si="58"/>
        <v>0</v>
      </c>
      <c r="T77" s="216">
        <f t="shared" si="58"/>
        <v>0</v>
      </c>
      <c r="U77" s="217">
        <f t="shared" si="58"/>
        <v>147830</v>
      </c>
      <c r="V77" s="195"/>
      <c r="W77" s="195"/>
      <c r="Y77" s="942"/>
      <c r="AC77" s="942"/>
    </row>
    <row r="78" spans="1:30">
      <c r="A78" s="195"/>
      <c r="B78" s="195"/>
      <c r="C78" s="195"/>
      <c r="D78" s="195"/>
      <c r="E78" s="195"/>
      <c r="F78" s="195"/>
      <c r="G78" s="195"/>
      <c r="H78" s="195"/>
      <c r="I78" s="195"/>
      <c r="J78" s="195"/>
      <c r="K78" s="942"/>
      <c r="L78" s="195"/>
      <c r="M78" s="195"/>
      <c r="N78" s="195"/>
      <c r="O78" s="195"/>
      <c r="P78" s="195"/>
      <c r="Q78" s="195"/>
      <c r="R78" s="195"/>
      <c r="S78" s="195"/>
      <c r="T78" s="195"/>
      <c r="U78" s="195"/>
      <c r="V78" s="195"/>
      <c r="W78" s="195"/>
    </row>
    <row r="79" spans="1:30">
      <c r="A79" s="195"/>
      <c r="B79" s="195"/>
      <c r="C79" s="195"/>
      <c r="D79" s="195"/>
      <c r="E79" s="195"/>
      <c r="F79" s="195"/>
      <c r="G79" s="195"/>
      <c r="H79" s="195"/>
      <c r="I79" s="195"/>
      <c r="J79" s="195"/>
      <c r="K79" s="942"/>
      <c r="L79" s="195"/>
      <c r="M79" s="195"/>
      <c r="N79" s="195"/>
      <c r="O79" s="195"/>
      <c r="P79" s="195"/>
      <c r="Q79" s="195"/>
      <c r="R79" s="195"/>
      <c r="S79" s="195"/>
      <c r="T79" s="195"/>
      <c r="U79" s="195"/>
      <c r="V79" s="195"/>
      <c r="W79" s="195"/>
    </row>
    <row r="80" spans="1:30" s="935" customFormat="1" ht="15.75">
      <c r="A80" s="193" t="s">
        <v>1419</v>
      </c>
      <c r="B80" s="1246" t="s">
        <v>1422</v>
      </c>
      <c r="C80" s="1246"/>
      <c r="D80" s="1246"/>
      <c r="E80" s="1246"/>
      <c r="F80" s="1246"/>
      <c r="G80" s="1246"/>
      <c r="H80" s="1246"/>
      <c r="I80" s="1246"/>
      <c r="J80" s="1246"/>
      <c r="K80" s="831"/>
      <c r="L80" s="193" t="s">
        <v>1421</v>
      </c>
      <c r="M80" s="1246" t="s">
        <v>1426</v>
      </c>
      <c r="N80" s="1246"/>
      <c r="O80" s="1246"/>
      <c r="P80" s="1246"/>
      <c r="Q80" s="1246"/>
      <c r="R80" s="1246"/>
      <c r="S80" s="1246"/>
      <c r="T80" s="1246"/>
      <c r="U80" s="1246"/>
      <c r="V80" s="1196"/>
      <c r="W80" s="1196"/>
    </row>
    <row r="81" spans="1:30" s="935" customFormat="1" ht="15.75" customHeight="1">
      <c r="A81" s="1248" t="s">
        <v>1424</v>
      </c>
      <c r="B81" s="1248"/>
      <c r="C81" s="1248"/>
      <c r="D81" s="1248"/>
      <c r="E81" s="1248"/>
      <c r="F81" s="1248"/>
      <c r="G81" s="1248"/>
      <c r="H81" s="1248"/>
      <c r="I81" s="1248"/>
      <c r="J81" s="1248"/>
      <c r="K81" s="831"/>
      <c r="L81" s="1248" t="s">
        <v>1429</v>
      </c>
      <c r="M81" s="1248"/>
      <c r="N81" s="1248"/>
      <c r="O81" s="1248"/>
      <c r="P81" s="1248"/>
      <c r="Q81" s="1248"/>
      <c r="R81" s="1248"/>
      <c r="S81" s="1248"/>
      <c r="T81" s="1248"/>
      <c r="U81" s="1248"/>
      <c r="V81" s="1197"/>
      <c r="W81" s="1197"/>
    </row>
    <row r="82" spans="1:30" s="935" customFormat="1" ht="15.75">
      <c r="A82" s="1245" t="s">
        <v>1214</v>
      </c>
      <c r="B82" s="1245"/>
      <c r="C82" s="1245"/>
      <c r="D82" s="1245"/>
      <c r="E82" s="1245"/>
      <c r="F82" s="1245"/>
      <c r="G82" s="1245"/>
      <c r="H82" s="1245"/>
      <c r="I82" s="1245"/>
      <c r="J82" s="1245"/>
      <c r="K82" s="831"/>
      <c r="L82" s="1245" t="s">
        <v>1214</v>
      </c>
      <c r="M82" s="1245"/>
      <c r="N82" s="1245"/>
      <c r="O82" s="1245"/>
      <c r="P82" s="1245"/>
      <c r="Q82" s="1245"/>
      <c r="R82" s="1245"/>
      <c r="S82" s="1245"/>
      <c r="T82" s="1245"/>
      <c r="U82" s="1245"/>
      <c r="V82" s="1198"/>
      <c r="W82" s="1198"/>
    </row>
    <row r="83" spans="1:30" s="938" customFormat="1" ht="12.75" thickBot="1">
      <c r="A83" s="937"/>
      <c r="B83" s="937"/>
      <c r="G83" s="937"/>
      <c r="H83" s="937"/>
      <c r="J83" s="238" t="s">
        <v>281</v>
      </c>
      <c r="K83" s="939"/>
      <c r="L83" s="937"/>
      <c r="M83" s="937"/>
      <c r="N83" s="937"/>
      <c r="O83" s="937"/>
      <c r="P83" s="937"/>
      <c r="Q83" s="937"/>
      <c r="R83" s="937"/>
      <c r="S83" s="937"/>
      <c r="U83" s="238" t="s">
        <v>281</v>
      </c>
      <c r="V83" s="925"/>
      <c r="W83" s="925"/>
    </row>
    <row r="84" spans="1:30" s="941" customFormat="1" ht="36.75" thickBot="1">
      <c r="A84" s="401" t="s">
        <v>432</v>
      </c>
      <c r="B84" s="402" t="s">
        <v>1329</v>
      </c>
      <c r="C84" s="1887" t="s">
        <v>1474</v>
      </c>
      <c r="D84" s="1482" t="s">
        <v>1475</v>
      </c>
      <c r="E84" s="1482" t="s">
        <v>1529</v>
      </c>
      <c r="F84" s="1483" t="s">
        <v>1527</v>
      </c>
      <c r="G84" s="382" t="s">
        <v>460</v>
      </c>
      <c r="H84" s="383" t="s">
        <v>461</v>
      </c>
      <c r="I84" s="383" t="s">
        <v>1330</v>
      </c>
      <c r="J84" s="1202" t="s">
        <v>18</v>
      </c>
      <c r="K84" s="940"/>
      <c r="L84" s="401" t="s">
        <v>432</v>
      </c>
      <c r="M84" s="402" t="s">
        <v>1329</v>
      </c>
      <c r="N84" s="1887" t="s">
        <v>1474</v>
      </c>
      <c r="O84" s="1482" t="s">
        <v>1475</v>
      </c>
      <c r="P84" s="1482" t="s">
        <v>1529</v>
      </c>
      <c r="Q84" s="1483" t="s">
        <v>1527</v>
      </c>
      <c r="R84" s="382" t="s">
        <v>460</v>
      </c>
      <c r="S84" s="383" t="s">
        <v>461</v>
      </c>
      <c r="T84" s="383" t="s">
        <v>1330</v>
      </c>
      <c r="U84" s="1202" t="s">
        <v>18</v>
      </c>
      <c r="V84" s="926"/>
      <c r="W84" s="926"/>
    </row>
    <row r="85" spans="1:30">
      <c r="A85" s="201" t="s">
        <v>433</v>
      </c>
      <c r="B85" s="202">
        <f t="shared" ref="B85:J85" si="60">+B102-B90-B89-B88-B87</f>
        <v>-456137</v>
      </c>
      <c r="C85" s="1092">
        <f t="shared" si="60"/>
        <v>443592</v>
      </c>
      <c r="D85" s="1093">
        <f t="shared" ref="D85:E85" si="61">+D102-D90-D89-D88-D87</f>
        <v>314996</v>
      </c>
      <c r="E85" s="1093">
        <f t="shared" si="61"/>
        <v>314996</v>
      </c>
      <c r="F85" s="1439">
        <f t="shared" ref="F85:F91" si="62">IF(ISERROR(E85/D85),"-",E85/D85)</f>
        <v>1</v>
      </c>
      <c r="G85" s="203">
        <f t="shared" si="60"/>
        <v>147813</v>
      </c>
      <c r="H85" s="204">
        <f t="shared" si="60"/>
        <v>0</v>
      </c>
      <c r="I85" s="204">
        <f t="shared" si="60"/>
        <v>0</v>
      </c>
      <c r="J85" s="205">
        <f t="shared" si="60"/>
        <v>6672</v>
      </c>
      <c r="K85" s="942"/>
      <c r="L85" s="201" t="s">
        <v>433</v>
      </c>
      <c r="M85" s="202">
        <f t="shared" ref="M85:U85" si="63">+M102-M90-M89-M88-M87</f>
        <v>-35510</v>
      </c>
      <c r="N85" s="1092">
        <f t="shared" si="63"/>
        <v>35510</v>
      </c>
      <c r="O85" s="1093">
        <f t="shared" ref="O85:P85" si="64">+O102-O90-O89-O88-O87</f>
        <v>35106</v>
      </c>
      <c r="P85" s="1093">
        <f t="shared" si="64"/>
        <v>35106</v>
      </c>
      <c r="Q85" s="1439">
        <f t="shared" ref="Q85:Q91" si="65">IF(ISERROR(P85/O85),"-",P85/O85)</f>
        <v>1</v>
      </c>
      <c r="R85" s="203">
        <f t="shared" si="63"/>
        <v>404</v>
      </c>
      <c r="S85" s="204">
        <f t="shared" si="63"/>
        <v>0</v>
      </c>
      <c r="T85" s="204">
        <f t="shared" si="63"/>
        <v>0</v>
      </c>
      <c r="U85" s="205">
        <f t="shared" si="63"/>
        <v>0</v>
      </c>
      <c r="V85" s="195"/>
      <c r="W85" s="195"/>
    </row>
    <row r="86" spans="1:30">
      <c r="A86" s="206" t="s">
        <v>434</v>
      </c>
      <c r="B86" s="207"/>
      <c r="C86" s="1094"/>
      <c r="D86" s="1095"/>
      <c r="E86" s="1095"/>
      <c r="F86" s="1440" t="str">
        <f t="shared" si="62"/>
        <v>-</v>
      </c>
      <c r="G86" s="208"/>
      <c r="H86" s="209"/>
      <c r="I86" s="209"/>
      <c r="J86" s="210">
        <f t="shared" ref="J86:J90" si="66">+B86+IF(D86&lt;=E86,E86,D86)+G86+H86+I86</f>
        <v>0</v>
      </c>
      <c r="K86" s="942"/>
      <c r="L86" s="206" t="s">
        <v>434</v>
      </c>
      <c r="M86" s="207"/>
      <c r="N86" s="1094"/>
      <c r="O86" s="1095"/>
      <c r="P86" s="1095"/>
      <c r="Q86" s="1440" t="str">
        <f t="shared" si="65"/>
        <v>-</v>
      </c>
      <c r="R86" s="208"/>
      <c r="S86" s="209"/>
      <c r="T86" s="209"/>
      <c r="U86" s="210">
        <f t="shared" ref="U86:U90" si="67">+M86+IF(O86&lt;=P86,P86,O86)+R86+S86+T86</f>
        <v>0</v>
      </c>
      <c r="V86" s="927"/>
      <c r="W86" s="927"/>
      <c r="X86" s="118"/>
      <c r="Z86" s="118"/>
      <c r="AA86" s="118"/>
      <c r="AB86" s="118"/>
    </row>
    <row r="87" spans="1:30">
      <c r="A87" s="211" t="s">
        <v>435</v>
      </c>
      <c r="B87" s="212">
        <v>470000</v>
      </c>
      <c r="C87" s="221"/>
      <c r="D87" s="1096"/>
      <c r="E87" s="1096"/>
      <c r="F87" s="1440" t="str">
        <f t="shared" si="62"/>
        <v>-</v>
      </c>
      <c r="G87" s="213"/>
      <c r="H87" s="214"/>
      <c r="I87" s="214"/>
      <c r="J87" s="215">
        <f t="shared" si="66"/>
        <v>470000</v>
      </c>
      <c r="K87" s="942"/>
      <c r="L87" s="211" t="s">
        <v>435</v>
      </c>
      <c r="M87" s="212">
        <v>37447</v>
      </c>
      <c r="N87" s="221"/>
      <c r="O87" s="1096"/>
      <c r="P87" s="1096"/>
      <c r="Q87" s="1440" t="str">
        <f t="shared" si="65"/>
        <v>-</v>
      </c>
      <c r="R87" s="213"/>
      <c r="S87" s="214"/>
      <c r="T87" s="214"/>
      <c r="U87" s="215">
        <f t="shared" si="67"/>
        <v>37447</v>
      </c>
      <c r="V87" s="195"/>
      <c r="W87" s="195"/>
      <c r="X87" s="118"/>
      <c r="Y87" s="118"/>
      <c r="Z87" s="118"/>
      <c r="AA87" s="118"/>
      <c r="AB87" s="118"/>
      <c r="AC87" s="118"/>
      <c r="AD87" s="118"/>
    </row>
    <row r="88" spans="1:30">
      <c r="A88" s="211" t="s">
        <v>436</v>
      </c>
      <c r="B88" s="212"/>
      <c r="C88" s="221"/>
      <c r="D88" s="1096"/>
      <c r="E88" s="1096"/>
      <c r="F88" s="1440" t="str">
        <f t="shared" si="62"/>
        <v>-</v>
      </c>
      <c r="G88" s="213"/>
      <c r="H88" s="214"/>
      <c r="I88" s="214"/>
      <c r="J88" s="215">
        <f t="shared" si="66"/>
        <v>0</v>
      </c>
      <c r="K88" s="942"/>
      <c r="L88" s="211" t="s">
        <v>436</v>
      </c>
      <c r="M88" s="212"/>
      <c r="N88" s="221"/>
      <c r="O88" s="1096"/>
      <c r="P88" s="1096"/>
      <c r="Q88" s="1440" t="str">
        <f t="shared" si="65"/>
        <v>-</v>
      </c>
      <c r="R88" s="213"/>
      <c r="S88" s="214"/>
      <c r="T88" s="214"/>
      <c r="U88" s="215">
        <f t="shared" si="67"/>
        <v>0</v>
      </c>
      <c r="V88" s="195"/>
      <c r="W88" s="195"/>
      <c r="X88" s="118"/>
      <c r="Z88" s="118"/>
      <c r="AA88" s="118"/>
      <c r="AB88" s="118"/>
    </row>
    <row r="89" spans="1:30">
      <c r="A89" s="211" t="s">
        <v>437</v>
      </c>
      <c r="B89" s="212"/>
      <c r="C89" s="221"/>
      <c r="D89" s="1096"/>
      <c r="E89" s="1096"/>
      <c r="F89" s="1440" t="str">
        <f t="shared" si="62"/>
        <v>-</v>
      </c>
      <c r="G89" s="213"/>
      <c r="H89" s="214"/>
      <c r="I89" s="214"/>
      <c r="J89" s="215">
        <f t="shared" si="66"/>
        <v>0</v>
      </c>
      <c r="K89" s="942"/>
      <c r="L89" s="211" t="s">
        <v>437</v>
      </c>
      <c r="M89" s="212"/>
      <c r="N89" s="221"/>
      <c r="O89" s="1096"/>
      <c r="P89" s="1096"/>
      <c r="Q89" s="1440" t="str">
        <f t="shared" si="65"/>
        <v>-</v>
      </c>
      <c r="R89" s="213"/>
      <c r="S89" s="214"/>
      <c r="T89" s="214"/>
      <c r="U89" s="215">
        <f t="shared" si="67"/>
        <v>0</v>
      </c>
      <c r="V89" s="195"/>
      <c r="W89" s="195"/>
      <c r="X89" s="118"/>
      <c r="Z89" s="118"/>
      <c r="AA89" s="118"/>
      <c r="AB89" s="118"/>
    </row>
    <row r="90" spans="1:30" ht="12.75" thickBot="1">
      <c r="A90" s="211" t="s">
        <v>438</v>
      </c>
      <c r="B90" s="212"/>
      <c r="C90" s="221"/>
      <c r="D90" s="1096"/>
      <c r="E90" s="1096"/>
      <c r="F90" s="1440" t="str">
        <f t="shared" si="62"/>
        <v>-</v>
      </c>
      <c r="G90" s="213"/>
      <c r="H90" s="214"/>
      <c r="I90" s="214"/>
      <c r="J90" s="215">
        <f t="shared" si="66"/>
        <v>0</v>
      </c>
      <c r="K90" s="942"/>
      <c r="L90" s="211" t="s">
        <v>438</v>
      </c>
      <c r="M90" s="212"/>
      <c r="N90" s="221"/>
      <c r="O90" s="1096"/>
      <c r="P90" s="1096"/>
      <c r="Q90" s="1440" t="str">
        <f t="shared" si="65"/>
        <v>-</v>
      </c>
      <c r="R90" s="213"/>
      <c r="S90" s="214"/>
      <c r="T90" s="214"/>
      <c r="U90" s="215">
        <f t="shared" si="67"/>
        <v>0</v>
      </c>
      <c r="V90" s="195"/>
      <c r="W90" s="195"/>
      <c r="X90" s="118"/>
      <c r="Z90" s="118"/>
      <c r="AA90" s="118"/>
      <c r="AB90" s="118"/>
    </row>
    <row r="91" spans="1:30" ht="12.75" thickBot="1">
      <c r="A91" s="194" t="s">
        <v>439</v>
      </c>
      <c r="B91" s="216">
        <f t="shared" ref="B91:J91" si="68">+B85+B87+B88+B89+B90</f>
        <v>13863</v>
      </c>
      <c r="C91" s="194">
        <f t="shared" si="68"/>
        <v>443592</v>
      </c>
      <c r="D91" s="1098">
        <f t="shared" ref="D91:E91" si="69">+D85+D87+D88+D89+D90</f>
        <v>314996</v>
      </c>
      <c r="E91" s="1098">
        <f t="shared" si="69"/>
        <v>314996</v>
      </c>
      <c r="F91" s="1441">
        <f t="shared" si="62"/>
        <v>1</v>
      </c>
      <c r="G91" s="218">
        <f t="shared" si="68"/>
        <v>147813</v>
      </c>
      <c r="H91" s="216">
        <f t="shared" si="68"/>
        <v>0</v>
      </c>
      <c r="I91" s="216">
        <f t="shared" si="68"/>
        <v>0</v>
      </c>
      <c r="J91" s="217">
        <f t="shared" si="68"/>
        <v>476672</v>
      </c>
      <c r="K91" s="942"/>
      <c r="L91" s="194" t="s">
        <v>439</v>
      </c>
      <c r="M91" s="216">
        <f t="shared" ref="M91:U91" si="70">+M85+M87+M88+M89+M90</f>
        <v>1937</v>
      </c>
      <c r="N91" s="194">
        <f t="shared" si="70"/>
        <v>35510</v>
      </c>
      <c r="O91" s="1098">
        <f t="shared" ref="O91:P91" si="71">+O85+O87+O88+O89+O90</f>
        <v>35106</v>
      </c>
      <c r="P91" s="1098">
        <f t="shared" si="71"/>
        <v>35106</v>
      </c>
      <c r="Q91" s="1441">
        <f t="shared" si="65"/>
        <v>1</v>
      </c>
      <c r="R91" s="218">
        <f t="shared" si="70"/>
        <v>404</v>
      </c>
      <c r="S91" s="216">
        <f t="shared" si="70"/>
        <v>0</v>
      </c>
      <c r="T91" s="216">
        <f t="shared" si="70"/>
        <v>0</v>
      </c>
      <c r="U91" s="217">
        <f t="shared" si="70"/>
        <v>37447</v>
      </c>
      <c r="V91" s="195"/>
      <c r="W91" s="195"/>
    </row>
    <row r="92" spans="1:30" ht="12.75" thickBot="1">
      <c r="A92" s="219"/>
      <c r="B92" s="219"/>
      <c r="C92" s="219"/>
      <c r="D92" s="219"/>
      <c r="E92" s="219"/>
      <c r="F92" s="219"/>
      <c r="G92" s="219"/>
      <c r="H92" s="219"/>
      <c r="I92" s="219"/>
      <c r="J92" s="219"/>
      <c r="K92" s="942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</row>
    <row r="93" spans="1:30" s="941" customFormat="1" ht="36.75" thickBot="1">
      <c r="A93" s="401" t="s">
        <v>440</v>
      </c>
      <c r="B93" s="402" t="s">
        <v>1329</v>
      </c>
      <c r="C93" s="1887" t="s">
        <v>1474</v>
      </c>
      <c r="D93" s="1482" t="s">
        <v>1475</v>
      </c>
      <c r="E93" s="1482" t="s">
        <v>1529</v>
      </c>
      <c r="F93" s="1483" t="s">
        <v>1527</v>
      </c>
      <c r="G93" s="382" t="s">
        <v>460</v>
      </c>
      <c r="H93" s="383" t="s">
        <v>461</v>
      </c>
      <c r="I93" s="383" t="s">
        <v>1330</v>
      </c>
      <c r="J93" s="1202" t="s">
        <v>18</v>
      </c>
      <c r="K93" s="944"/>
      <c r="L93" s="401" t="s">
        <v>440</v>
      </c>
      <c r="M93" s="402" t="s">
        <v>1329</v>
      </c>
      <c r="N93" s="1887" t="s">
        <v>1474</v>
      </c>
      <c r="O93" s="1482" t="s">
        <v>1475</v>
      </c>
      <c r="P93" s="1482" t="s">
        <v>1529</v>
      </c>
      <c r="Q93" s="1483" t="s">
        <v>1527</v>
      </c>
      <c r="R93" s="382" t="s">
        <v>460</v>
      </c>
      <c r="S93" s="383" t="s">
        <v>461</v>
      </c>
      <c r="T93" s="383" t="s">
        <v>1330</v>
      </c>
      <c r="U93" s="1202" t="s">
        <v>18</v>
      </c>
      <c r="V93" s="926"/>
      <c r="W93" s="926"/>
    </row>
    <row r="94" spans="1:30">
      <c r="A94" s="201" t="s">
        <v>446</v>
      </c>
      <c r="B94" s="202"/>
      <c r="C94" s="1092"/>
      <c r="D94" s="1093"/>
      <c r="E94" s="1093"/>
      <c r="F94" s="1439" t="str">
        <f t="shared" ref="F94:F102" si="72">IF(ISERROR(E94/D94),"-",E94/D94)</f>
        <v>-</v>
      </c>
      <c r="G94" s="203"/>
      <c r="H94" s="204"/>
      <c r="I94" s="204"/>
      <c r="J94" s="205">
        <f t="shared" ref="J94:J101" si="73">+B94+IF(D94&lt;=E94,E94,D94)+G94+H94+I94</f>
        <v>0</v>
      </c>
      <c r="K94" s="942"/>
      <c r="L94" s="201" t="s">
        <v>446</v>
      </c>
      <c r="M94" s="202"/>
      <c r="N94" s="1092"/>
      <c r="O94" s="1093"/>
      <c r="P94" s="1093"/>
      <c r="Q94" s="1439" t="str">
        <f t="shared" ref="Q94:Q102" si="74">IF(ISERROR(P94/O94),"-",P94/O94)</f>
        <v>-</v>
      </c>
      <c r="R94" s="203"/>
      <c r="S94" s="204"/>
      <c r="T94" s="204"/>
      <c r="U94" s="205">
        <f t="shared" ref="U94:U101" si="75">+M94+IF(O94&lt;=P94,P94,O94)+R94+S94+T94</f>
        <v>0</v>
      </c>
      <c r="V94" s="195"/>
      <c r="W94" s="195"/>
      <c r="X94" s="118"/>
      <c r="Y94" s="118"/>
      <c r="Z94" s="118"/>
      <c r="AA94" s="118"/>
      <c r="AB94" s="118"/>
      <c r="AC94" s="118"/>
      <c r="AD94" s="118"/>
    </row>
    <row r="95" spans="1:30">
      <c r="A95" s="220" t="s">
        <v>447</v>
      </c>
      <c r="B95" s="212"/>
      <c r="C95" s="221"/>
      <c r="D95" s="1096"/>
      <c r="E95" s="1096"/>
      <c r="F95" s="1440" t="str">
        <f t="shared" si="72"/>
        <v>-</v>
      </c>
      <c r="G95" s="213"/>
      <c r="H95" s="214"/>
      <c r="I95" s="214"/>
      <c r="J95" s="215">
        <f t="shared" si="73"/>
        <v>0</v>
      </c>
      <c r="K95" s="942"/>
      <c r="L95" s="220" t="s">
        <v>447</v>
      </c>
      <c r="M95" s="212"/>
      <c r="N95" s="221"/>
      <c r="O95" s="1096"/>
      <c r="P95" s="1096"/>
      <c r="Q95" s="1440" t="str">
        <f t="shared" si="74"/>
        <v>-</v>
      </c>
      <c r="R95" s="213"/>
      <c r="S95" s="214"/>
      <c r="T95" s="214"/>
      <c r="U95" s="215">
        <f t="shared" si="75"/>
        <v>0</v>
      </c>
      <c r="V95" s="195"/>
      <c r="W95" s="195"/>
      <c r="X95" s="118"/>
      <c r="Y95" s="118"/>
      <c r="Z95" s="118"/>
      <c r="AA95" s="118"/>
      <c r="AB95" s="118"/>
      <c r="AC95" s="118"/>
      <c r="AD95" s="118"/>
    </row>
    <row r="96" spans="1:30">
      <c r="A96" s="211" t="s">
        <v>448</v>
      </c>
      <c r="B96" s="212">
        <f>3760+(4625+1249)</f>
        <v>9634</v>
      </c>
      <c r="C96" s="221">
        <f>5639-(4625+1249)+10574-3761</f>
        <v>6578</v>
      </c>
      <c r="D96" s="1096">
        <v>9902</v>
      </c>
      <c r="E96" s="1096">
        <v>9902</v>
      </c>
      <c r="F96" s="1440">
        <f t="shared" si="72"/>
        <v>1</v>
      </c>
      <c r="G96" s="213">
        <f>8784+3761-(9902-6578)</f>
        <v>9221</v>
      </c>
      <c r="H96" s="214"/>
      <c r="I96" s="214"/>
      <c r="J96" s="215">
        <f t="shared" si="73"/>
        <v>28757</v>
      </c>
      <c r="K96" s="942"/>
      <c r="L96" s="211" t="s">
        <v>448</v>
      </c>
      <c r="M96" s="212">
        <f>762+(365+99)</f>
        <v>1226</v>
      </c>
      <c r="N96" s="221">
        <f>837-(365+99)+684</f>
        <v>1057</v>
      </c>
      <c r="O96" s="1096">
        <v>653</v>
      </c>
      <c r="P96" s="1096">
        <v>653</v>
      </c>
      <c r="Q96" s="1440">
        <f t="shared" si="74"/>
        <v>1</v>
      </c>
      <c r="R96" s="213">
        <v>404</v>
      </c>
      <c r="S96" s="214"/>
      <c r="T96" s="214"/>
      <c r="U96" s="215">
        <f t="shared" si="75"/>
        <v>2283</v>
      </c>
      <c r="V96" s="195"/>
      <c r="W96" s="195"/>
      <c r="X96" s="118"/>
      <c r="Y96" s="118"/>
      <c r="Z96" s="118"/>
      <c r="AA96" s="118"/>
      <c r="AB96" s="118"/>
      <c r="AC96" s="118"/>
      <c r="AD96" s="118"/>
    </row>
    <row r="97" spans="1:30">
      <c r="A97" s="211" t="s">
        <v>449</v>
      </c>
      <c r="B97" s="212"/>
      <c r="C97" s="221"/>
      <c r="D97" s="1096"/>
      <c r="E97" s="1096"/>
      <c r="F97" s="1440" t="str">
        <f t="shared" si="72"/>
        <v>-</v>
      </c>
      <c r="G97" s="213"/>
      <c r="H97" s="214"/>
      <c r="I97" s="214"/>
      <c r="J97" s="215">
        <f t="shared" si="73"/>
        <v>0</v>
      </c>
      <c r="K97" s="942"/>
      <c r="L97" s="211" t="s">
        <v>449</v>
      </c>
      <c r="M97" s="212"/>
      <c r="N97" s="221"/>
      <c r="O97" s="1096"/>
      <c r="P97" s="1096"/>
      <c r="Q97" s="1440" t="str">
        <f t="shared" si="74"/>
        <v>-</v>
      </c>
      <c r="R97" s="213"/>
      <c r="S97" s="214"/>
      <c r="T97" s="214"/>
      <c r="U97" s="215">
        <f t="shared" si="75"/>
        <v>0</v>
      </c>
      <c r="V97" s="195"/>
      <c r="W97" s="195"/>
      <c r="X97" s="118"/>
      <c r="Z97" s="118"/>
      <c r="AA97" s="118"/>
      <c r="AB97" s="118"/>
      <c r="AD97" s="118"/>
    </row>
    <row r="98" spans="1:30">
      <c r="A98" s="221" t="s">
        <v>450</v>
      </c>
      <c r="B98" s="222"/>
      <c r="C98" s="221"/>
      <c r="D98" s="1096"/>
      <c r="E98" s="1096"/>
      <c r="F98" s="1440" t="str">
        <f t="shared" si="72"/>
        <v>-</v>
      </c>
      <c r="G98" s="213"/>
      <c r="H98" s="214"/>
      <c r="I98" s="214"/>
      <c r="J98" s="215">
        <f t="shared" si="73"/>
        <v>0</v>
      </c>
      <c r="K98" s="942"/>
      <c r="L98" s="221" t="s">
        <v>450</v>
      </c>
      <c r="M98" s="222"/>
      <c r="N98" s="221"/>
      <c r="O98" s="1096"/>
      <c r="P98" s="1096"/>
      <c r="Q98" s="1440" t="str">
        <f t="shared" si="74"/>
        <v>-</v>
      </c>
      <c r="R98" s="213"/>
      <c r="S98" s="214"/>
      <c r="T98" s="214"/>
      <c r="U98" s="215">
        <f t="shared" si="75"/>
        <v>0</v>
      </c>
      <c r="V98" s="195"/>
      <c r="W98" s="195"/>
      <c r="X98" s="118"/>
      <c r="Y98" s="118"/>
      <c r="Z98" s="118"/>
      <c r="AA98" s="118"/>
      <c r="AB98" s="118"/>
      <c r="AC98" s="118"/>
      <c r="AD98" s="118"/>
    </row>
    <row r="99" spans="1:30">
      <c r="A99" s="221" t="s">
        <v>451</v>
      </c>
      <c r="B99" s="222">
        <f>0+(3330+899)</f>
        <v>4229</v>
      </c>
      <c r="C99" s="221">
        <f>0+23583</f>
        <v>23583</v>
      </c>
      <c r="D99" s="1096">
        <v>305094</v>
      </c>
      <c r="E99" s="1096">
        <v>305094</v>
      </c>
      <c r="F99" s="1440">
        <f t="shared" si="72"/>
        <v>1</v>
      </c>
      <c r="G99" s="213"/>
      <c r="H99" s="214"/>
      <c r="I99" s="214"/>
      <c r="J99" s="215">
        <f t="shared" si="73"/>
        <v>309323</v>
      </c>
      <c r="K99" s="942"/>
      <c r="L99" s="221" t="s">
        <v>451</v>
      </c>
      <c r="M99" s="222"/>
      <c r="N99" s="221"/>
      <c r="O99" s="1096"/>
      <c r="P99" s="1096"/>
      <c r="Q99" s="1440" t="str">
        <f t="shared" si="74"/>
        <v>-</v>
      </c>
      <c r="R99" s="213"/>
      <c r="S99" s="214"/>
      <c r="T99" s="214"/>
      <c r="U99" s="215">
        <f t="shared" si="75"/>
        <v>0</v>
      </c>
      <c r="V99" s="195"/>
      <c r="W99" s="195"/>
      <c r="X99" s="118"/>
      <c r="Y99" s="118"/>
      <c r="Z99" s="118"/>
      <c r="AA99" s="118"/>
      <c r="AB99" s="118"/>
      <c r="AC99" s="118"/>
      <c r="AD99" s="118"/>
    </row>
    <row r="100" spans="1:30">
      <c r="A100" s="223" t="s">
        <v>452</v>
      </c>
      <c r="B100" s="224"/>
      <c r="C100" s="223">
        <f>14100+399331</f>
        <v>413431</v>
      </c>
      <c r="D100" s="1099">
        <v>0</v>
      </c>
      <c r="E100" s="1099"/>
      <c r="F100" s="1442" t="str">
        <f t="shared" si="72"/>
        <v>-</v>
      </c>
      <c r="G100" s="225">
        <f>420103-305094+23583</f>
        <v>138592</v>
      </c>
      <c r="H100" s="226"/>
      <c r="I100" s="226"/>
      <c r="J100" s="215">
        <f t="shared" si="73"/>
        <v>138592</v>
      </c>
      <c r="K100" s="942"/>
      <c r="L100" s="223" t="s">
        <v>452</v>
      </c>
      <c r="M100" s="224">
        <v>711</v>
      </c>
      <c r="N100" s="223">
        <f>26027+8426</f>
        <v>34453</v>
      </c>
      <c r="O100" s="1099">
        <f>26027+8426</f>
        <v>34453</v>
      </c>
      <c r="P100" s="1099">
        <f>28555+5898</f>
        <v>34453</v>
      </c>
      <c r="Q100" s="1442">
        <f t="shared" si="74"/>
        <v>1</v>
      </c>
      <c r="R100" s="213"/>
      <c r="S100" s="226"/>
      <c r="T100" s="226"/>
      <c r="U100" s="215">
        <f t="shared" si="75"/>
        <v>35164</v>
      </c>
      <c r="V100" s="195"/>
      <c r="W100" s="195"/>
      <c r="X100" s="118"/>
      <c r="Y100" s="118"/>
      <c r="Z100" s="118"/>
      <c r="AA100" s="118"/>
      <c r="AB100" s="118"/>
      <c r="AC100" s="118"/>
      <c r="AD100" s="118"/>
    </row>
    <row r="101" spans="1:30" ht="12.75" thickBot="1">
      <c r="A101" s="223" t="s">
        <v>453</v>
      </c>
      <c r="B101" s="224"/>
      <c r="C101" s="223"/>
      <c r="D101" s="1099"/>
      <c r="E101" s="1099"/>
      <c r="F101" s="1442" t="str">
        <f t="shared" si="72"/>
        <v>-</v>
      </c>
      <c r="G101" s="225"/>
      <c r="H101" s="226"/>
      <c r="I101" s="226"/>
      <c r="J101" s="215">
        <f t="shared" si="73"/>
        <v>0</v>
      </c>
      <c r="K101" s="942"/>
      <c r="L101" s="223" t="s">
        <v>453</v>
      </c>
      <c r="M101" s="224"/>
      <c r="N101" s="223"/>
      <c r="O101" s="1099"/>
      <c r="P101" s="1099"/>
      <c r="Q101" s="1442" t="str">
        <f t="shared" si="74"/>
        <v>-</v>
      </c>
      <c r="R101" s="225"/>
      <c r="S101" s="226"/>
      <c r="T101" s="226"/>
      <c r="U101" s="215">
        <f t="shared" si="75"/>
        <v>0</v>
      </c>
      <c r="V101" s="195"/>
      <c r="W101" s="195"/>
      <c r="X101" s="118"/>
      <c r="Y101" s="118"/>
      <c r="Z101" s="118"/>
      <c r="AA101" s="118"/>
      <c r="AB101" s="118"/>
      <c r="AC101" s="118"/>
      <c r="AD101" s="118"/>
    </row>
    <row r="102" spans="1:30" ht="12.75" thickBot="1">
      <c r="A102" s="194" t="s">
        <v>454</v>
      </c>
      <c r="B102" s="216">
        <f t="shared" ref="B102:J102" si="76">+B94+B95+B96+B97+B98+B99+B100+B101</f>
        <v>13863</v>
      </c>
      <c r="C102" s="194">
        <f t="shared" si="76"/>
        <v>443592</v>
      </c>
      <c r="D102" s="1098">
        <f t="shared" ref="D102:E102" si="77">+D94+D95+D96+D97+D98+D99+D100+D101</f>
        <v>314996</v>
      </c>
      <c r="E102" s="1098">
        <f t="shared" si="77"/>
        <v>314996</v>
      </c>
      <c r="F102" s="1441">
        <f t="shared" si="72"/>
        <v>1</v>
      </c>
      <c r="G102" s="218">
        <f t="shared" si="76"/>
        <v>147813</v>
      </c>
      <c r="H102" s="216">
        <f t="shared" si="76"/>
        <v>0</v>
      </c>
      <c r="I102" s="216">
        <f t="shared" si="76"/>
        <v>0</v>
      </c>
      <c r="J102" s="217">
        <f t="shared" si="76"/>
        <v>476672</v>
      </c>
      <c r="L102" s="194" t="s">
        <v>454</v>
      </c>
      <c r="M102" s="216">
        <f t="shared" ref="M102:U102" si="78">+M94+M95+M96+M97+M98+M99+M100+M101</f>
        <v>1937</v>
      </c>
      <c r="N102" s="194">
        <f t="shared" si="78"/>
        <v>35510</v>
      </c>
      <c r="O102" s="1098">
        <f t="shared" ref="O102:P102" si="79">+O94+O95+O96+O97+O98+O99+O100+O101</f>
        <v>35106</v>
      </c>
      <c r="P102" s="1098">
        <f t="shared" si="79"/>
        <v>35106</v>
      </c>
      <c r="Q102" s="1441">
        <f t="shared" si="74"/>
        <v>1</v>
      </c>
      <c r="R102" s="218">
        <f t="shared" si="78"/>
        <v>404</v>
      </c>
      <c r="S102" s="216">
        <f t="shared" si="78"/>
        <v>0</v>
      </c>
      <c r="T102" s="216">
        <f t="shared" si="78"/>
        <v>0</v>
      </c>
      <c r="U102" s="217">
        <f t="shared" si="78"/>
        <v>37447</v>
      </c>
      <c r="V102" s="195"/>
      <c r="W102" s="195"/>
      <c r="Y102" s="942"/>
      <c r="AC102" s="942"/>
    </row>
    <row r="103" spans="1:30">
      <c r="A103" s="195"/>
      <c r="B103" s="195"/>
      <c r="C103" s="195"/>
      <c r="D103" s="195"/>
      <c r="E103" s="195"/>
      <c r="F103" s="195"/>
      <c r="G103" s="195"/>
      <c r="H103" s="195"/>
      <c r="I103" s="195"/>
      <c r="J103" s="195"/>
      <c r="K103" s="942"/>
      <c r="L103" s="195"/>
      <c r="M103" s="195"/>
      <c r="N103" s="195"/>
      <c r="O103" s="195"/>
      <c r="P103" s="195"/>
      <c r="Q103" s="195"/>
      <c r="R103" s="195"/>
      <c r="S103" s="195"/>
      <c r="T103" s="195"/>
      <c r="U103" s="195"/>
      <c r="V103" s="195"/>
      <c r="W103" s="195"/>
    </row>
    <row r="104" spans="1:30">
      <c r="A104" s="195"/>
      <c r="B104" s="195"/>
      <c r="C104" s="195"/>
      <c r="D104" s="195"/>
      <c r="E104" s="195"/>
      <c r="F104" s="195"/>
      <c r="G104" s="195"/>
      <c r="H104" s="195"/>
      <c r="I104" s="195"/>
      <c r="J104" s="195"/>
      <c r="K104" s="942"/>
      <c r="L104" s="195"/>
      <c r="M104" s="195"/>
      <c r="N104" s="195"/>
      <c r="O104" s="195"/>
      <c r="P104" s="195"/>
      <c r="Q104" s="195"/>
      <c r="R104" s="195"/>
      <c r="S104" s="195"/>
      <c r="T104" s="195"/>
      <c r="U104" s="195"/>
      <c r="V104" s="195"/>
      <c r="W104" s="195"/>
    </row>
    <row r="105" spans="1:30" s="935" customFormat="1" ht="15.75">
      <c r="A105" s="193" t="s">
        <v>1425</v>
      </c>
      <c r="B105" s="1246" t="s">
        <v>1428</v>
      </c>
      <c r="C105" s="1246"/>
      <c r="D105" s="1246"/>
      <c r="E105" s="1246"/>
      <c r="F105" s="1246"/>
      <c r="G105" s="1246"/>
      <c r="H105" s="1246"/>
      <c r="I105" s="1246"/>
      <c r="J105" s="1246"/>
      <c r="K105" s="831"/>
      <c r="L105" s="193" t="s">
        <v>1427</v>
      </c>
      <c r="M105" s="1196" t="s">
        <v>1432</v>
      </c>
      <c r="N105" s="1196"/>
      <c r="O105" s="1196"/>
      <c r="P105" s="1196"/>
      <c r="Q105" s="1196"/>
      <c r="R105" s="1196"/>
      <c r="S105" s="1196"/>
      <c r="T105" s="1196"/>
      <c r="U105" s="1196"/>
      <c r="V105" s="1196"/>
      <c r="W105" s="1196"/>
    </row>
    <row r="106" spans="1:30" s="935" customFormat="1" ht="15.75" customHeight="1">
      <c r="A106" s="1248" t="s">
        <v>1430</v>
      </c>
      <c r="B106" s="1248"/>
      <c r="C106" s="1248"/>
      <c r="D106" s="1248"/>
      <c r="E106" s="1248"/>
      <c r="F106" s="1248"/>
      <c r="G106" s="1248"/>
      <c r="H106" s="1248"/>
      <c r="I106" s="1248"/>
      <c r="J106" s="1248"/>
      <c r="K106" s="831"/>
      <c r="L106" s="1248" t="s">
        <v>1435</v>
      </c>
      <c r="M106" s="1248"/>
      <c r="N106" s="1248"/>
      <c r="O106" s="1248"/>
      <c r="P106" s="1248"/>
      <c r="Q106" s="1248"/>
      <c r="R106" s="1248"/>
      <c r="S106" s="1248"/>
      <c r="T106" s="1248"/>
      <c r="U106" s="1248"/>
      <c r="V106" s="1197"/>
      <c r="W106" s="1197"/>
    </row>
    <row r="107" spans="1:30" s="935" customFormat="1" ht="15.75">
      <c r="A107" s="1245" t="s">
        <v>1214</v>
      </c>
      <c r="B107" s="1245"/>
      <c r="C107" s="1245"/>
      <c r="D107" s="1245"/>
      <c r="E107" s="1245"/>
      <c r="F107" s="1245"/>
      <c r="G107" s="1245"/>
      <c r="H107" s="1245"/>
      <c r="I107" s="1245"/>
      <c r="J107" s="1245"/>
      <c r="K107" s="831"/>
      <c r="L107" s="1245" t="s">
        <v>1214</v>
      </c>
      <c r="M107" s="1245"/>
      <c r="N107" s="1245"/>
      <c r="O107" s="1245"/>
      <c r="P107" s="1245"/>
      <c r="Q107" s="1245"/>
      <c r="R107" s="1245"/>
      <c r="S107" s="1245"/>
      <c r="T107" s="1245"/>
      <c r="U107" s="1245"/>
      <c r="V107" s="1198"/>
      <c r="W107" s="1198"/>
    </row>
    <row r="108" spans="1:30" s="938" customFormat="1" ht="12.75" thickBot="1">
      <c r="A108" s="937"/>
      <c r="B108" s="937"/>
      <c r="G108" s="937"/>
      <c r="H108" s="937"/>
      <c r="J108" s="238" t="s">
        <v>281</v>
      </c>
      <c r="K108" s="939"/>
      <c r="L108" s="937"/>
      <c r="M108" s="937"/>
      <c r="N108" s="937"/>
      <c r="O108" s="937"/>
      <c r="P108" s="937"/>
      <c r="Q108" s="937"/>
      <c r="R108" s="937"/>
      <c r="S108" s="937"/>
      <c r="U108" s="238" t="s">
        <v>281</v>
      </c>
      <c r="V108" s="925"/>
      <c r="W108" s="925"/>
    </row>
    <row r="109" spans="1:30" s="941" customFormat="1" ht="36.75" thickBot="1">
      <c r="A109" s="401" t="s">
        <v>432</v>
      </c>
      <c r="B109" s="402" t="s">
        <v>1329</v>
      </c>
      <c r="C109" s="1887" t="s">
        <v>1474</v>
      </c>
      <c r="D109" s="1482" t="s">
        <v>1475</v>
      </c>
      <c r="E109" s="1482" t="s">
        <v>1529</v>
      </c>
      <c r="F109" s="1483" t="s">
        <v>1527</v>
      </c>
      <c r="G109" s="382" t="s">
        <v>460</v>
      </c>
      <c r="H109" s="383" t="s">
        <v>461</v>
      </c>
      <c r="I109" s="383" t="s">
        <v>1330</v>
      </c>
      <c r="J109" s="1202" t="s">
        <v>18</v>
      </c>
      <c r="K109" s="940"/>
      <c r="L109" s="401" t="s">
        <v>432</v>
      </c>
      <c r="M109" s="402" t="s">
        <v>1329</v>
      </c>
      <c r="N109" s="1887" t="s">
        <v>1474</v>
      </c>
      <c r="O109" s="1482" t="s">
        <v>1475</v>
      </c>
      <c r="P109" s="1482" t="s">
        <v>1529</v>
      </c>
      <c r="Q109" s="1483" t="s">
        <v>1527</v>
      </c>
      <c r="R109" s="382" t="s">
        <v>460</v>
      </c>
      <c r="S109" s="383" t="s">
        <v>461</v>
      </c>
      <c r="T109" s="383" t="s">
        <v>1330</v>
      </c>
      <c r="U109" s="1202" t="s">
        <v>18</v>
      </c>
      <c r="V109" s="926"/>
      <c r="W109" s="926"/>
    </row>
    <row r="110" spans="1:30">
      <c r="A110" s="201" t="s">
        <v>433</v>
      </c>
      <c r="B110" s="202">
        <f t="shared" ref="B110:J110" si="80">+B127-B115-B114-B113-B112</f>
        <v>-33498</v>
      </c>
      <c r="C110" s="1092">
        <f t="shared" si="80"/>
        <v>16301</v>
      </c>
      <c r="D110" s="1093">
        <f t="shared" ref="D110:E110" si="81">+D127-D115-D114-D113-D112</f>
        <v>14182</v>
      </c>
      <c r="E110" s="1093">
        <f t="shared" si="81"/>
        <v>14182</v>
      </c>
      <c r="F110" s="1439">
        <f t="shared" ref="F110:F116" si="82">IF(ISERROR(E110/D110),"-",E110/D110)</f>
        <v>1</v>
      </c>
      <c r="G110" s="203">
        <f t="shared" si="80"/>
        <v>11938</v>
      </c>
      <c r="H110" s="204">
        <f t="shared" si="80"/>
        <v>7378</v>
      </c>
      <c r="I110" s="204">
        <f t="shared" si="80"/>
        <v>0</v>
      </c>
      <c r="J110" s="205">
        <f t="shared" si="80"/>
        <v>0</v>
      </c>
      <c r="K110" s="942"/>
      <c r="L110" s="201" t="s">
        <v>433</v>
      </c>
      <c r="M110" s="202">
        <f t="shared" ref="M110:U110" si="83">+M127-M115-M114-M113-M112</f>
        <v>-8862</v>
      </c>
      <c r="N110" s="1092">
        <f t="shared" si="83"/>
        <v>6957</v>
      </c>
      <c r="O110" s="1093">
        <f t="shared" ref="O110:P110" si="84">+O127-O115-O114-O113-O112</f>
        <v>3173</v>
      </c>
      <c r="P110" s="1093">
        <f t="shared" si="84"/>
        <v>3173</v>
      </c>
      <c r="Q110" s="1439">
        <f t="shared" ref="Q110:Q116" si="85">IF(ISERROR(P110/O110),"-",P110/O110)</f>
        <v>1</v>
      </c>
      <c r="R110" s="203">
        <f t="shared" si="83"/>
        <v>5689</v>
      </c>
      <c r="S110" s="204">
        <f t="shared" si="83"/>
        <v>0</v>
      </c>
      <c r="T110" s="204">
        <f t="shared" si="83"/>
        <v>0</v>
      </c>
      <c r="U110" s="205">
        <f t="shared" si="83"/>
        <v>0</v>
      </c>
      <c r="V110" s="195"/>
      <c r="W110" s="195"/>
    </row>
    <row r="111" spans="1:30">
      <c r="A111" s="206" t="s">
        <v>434</v>
      </c>
      <c r="B111" s="207"/>
      <c r="C111" s="1094"/>
      <c r="D111" s="1095"/>
      <c r="E111" s="1095"/>
      <c r="F111" s="1440" t="str">
        <f t="shared" si="82"/>
        <v>-</v>
      </c>
      <c r="G111" s="208"/>
      <c r="H111" s="209"/>
      <c r="I111" s="209"/>
      <c r="J111" s="210">
        <f t="shared" ref="J111:J115" si="86">+B111+IF(D111&lt;=E111,E111,D111)+G111+H111+I111</f>
        <v>0</v>
      </c>
      <c r="K111" s="942"/>
      <c r="L111" s="206" t="s">
        <v>434</v>
      </c>
      <c r="M111" s="207"/>
      <c r="N111" s="1094"/>
      <c r="O111" s="1095"/>
      <c r="P111" s="1095"/>
      <c r="Q111" s="1440" t="str">
        <f t="shared" si="85"/>
        <v>-</v>
      </c>
      <c r="R111" s="208"/>
      <c r="S111" s="209"/>
      <c r="T111" s="209"/>
      <c r="U111" s="210">
        <f t="shared" ref="U111:U115" si="87">+M111+IF(O111&lt;=P111,P111,O111)+R111+S111+T111</f>
        <v>0</v>
      </c>
      <c r="V111" s="927"/>
      <c r="W111" s="927"/>
      <c r="X111" s="118"/>
      <c r="Z111" s="118"/>
      <c r="AA111" s="118"/>
      <c r="AB111" s="118"/>
    </row>
    <row r="112" spans="1:30">
      <c r="A112" s="211" t="s">
        <v>435</v>
      </c>
      <c r="B112" s="212">
        <v>34604</v>
      </c>
      <c r="C112" s="221"/>
      <c r="D112" s="1096"/>
      <c r="E112" s="1096"/>
      <c r="F112" s="1440" t="str">
        <f t="shared" si="82"/>
        <v>-</v>
      </c>
      <c r="G112" s="213"/>
      <c r="H112" s="214"/>
      <c r="I112" s="214"/>
      <c r="J112" s="215">
        <f t="shared" si="86"/>
        <v>34604</v>
      </c>
      <c r="K112" s="942"/>
      <c r="L112" s="211" t="s">
        <v>435</v>
      </c>
      <c r="M112" s="212">
        <f>9503</f>
        <v>9503</v>
      </c>
      <c r="N112" s="221"/>
      <c r="O112" s="1096">
        <v>7050</v>
      </c>
      <c r="P112" s="1096">
        <v>7050</v>
      </c>
      <c r="Q112" s="1440">
        <f t="shared" si="85"/>
        <v>1</v>
      </c>
      <c r="R112" s="213"/>
      <c r="S112" s="214"/>
      <c r="T112" s="214"/>
      <c r="U112" s="215">
        <f t="shared" si="87"/>
        <v>16553</v>
      </c>
      <c r="V112" s="195"/>
      <c r="W112" s="195"/>
      <c r="X112" s="118"/>
      <c r="Y112" s="118"/>
      <c r="Z112" s="118"/>
      <c r="AA112" s="118"/>
      <c r="AB112" s="118"/>
      <c r="AC112" s="118"/>
      <c r="AD112" s="118"/>
    </row>
    <row r="113" spans="1:30">
      <c r="A113" s="211" t="s">
        <v>436</v>
      </c>
      <c r="B113" s="212"/>
      <c r="C113" s="221"/>
      <c r="D113" s="1096"/>
      <c r="E113" s="1096"/>
      <c r="F113" s="1440" t="str">
        <f t="shared" si="82"/>
        <v>-</v>
      </c>
      <c r="G113" s="213"/>
      <c r="H113" s="214"/>
      <c r="I113" s="214"/>
      <c r="J113" s="215">
        <f t="shared" si="86"/>
        <v>0</v>
      </c>
      <c r="K113" s="942"/>
      <c r="L113" s="211" t="s">
        <v>436</v>
      </c>
      <c r="M113" s="212"/>
      <c r="N113" s="221"/>
      <c r="O113" s="1096"/>
      <c r="P113" s="1096"/>
      <c r="Q113" s="1440" t="str">
        <f t="shared" si="85"/>
        <v>-</v>
      </c>
      <c r="R113" s="213"/>
      <c r="S113" s="214"/>
      <c r="T113" s="214"/>
      <c r="U113" s="215">
        <f t="shared" si="87"/>
        <v>0</v>
      </c>
      <c r="V113" s="195"/>
      <c r="W113" s="195"/>
      <c r="X113" s="118"/>
      <c r="Z113" s="118"/>
      <c r="AA113" s="118"/>
      <c r="AB113" s="118"/>
    </row>
    <row r="114" spans="1:30">
      <c r="A114" s="211" t="s">
        <v>437</v>
      </c>
      <c r="B114" s="212"/>
      <c r="C114" s="221"/>
      <c r="D114" s="1096"/>
      <c r="E114" s="1096"/>
      <c r="F114" s="1440" t="str">
        <f t="shared" si="82"/>
        <v>-</v>
      </c>
      <c r="G114" s="213"/>
      <c r="H114" s="214"/>
      <c r="I114" s="214"/>
      <c r="J114" s="215">
        <f t="shared" si="86"/>
        <v>0</v>
      </c>
      <c r="K114" s="942"/>
      <c r="L114" s="211" t="s">
        <v>437</v>
      </c>
      <c r="M114" s="212"/>
      <c r="N114" s="221"/>
      <c r="O114" s="1096"/>
      <c r="P114" s="1096"/>
      <c r="Q114" s="1440" t="str">
        <f t="shared" si="85"/>
        <v>-</v>
      </c>
      <c r="R114" s="213"/>
      <c r="S114" s="214"/>
      <c r="T114" s="214"/>
      <c r="U114" s="215">
        <f t="shared" si="87"/>
        <v>0</v>
      </c>
      <c r="V114" s="195"/>
      <c r="W114" s="195"/>
      <c r="X114" s="118"/>
      <c r="Z114" s="118"/>
      <c r="AA114" s="118"/>
      <c r="AB114" s="118"/>
    </row>
    <row r="115" spans="1:30" ht="12.75" thickBot="1">
      <c r="A115" s="211" t="s">
        <v>438</v>
      </c>
      <c r="B115" s="212"/>
      <c r="C115" s="221"/>
      <c r="D115" s="1096"/>
      <c r="E115" s="1096"/>
      <c r="F115" s="1440" t="str">
        <f t="shared" si="82"/>
        <v>-</v>
      </c>
      <c r="G115" s="213"/>
      <c r="H115" s="214"/>
      <c r="I115" s="214"/>
      <c r="J115" s="215">
        <f t="shared" si="86"/>
        <v>0</v>
      </c>
      <c r="K115" s="942"/>
      <c r="L115" s="211" t="s">
        <v>438</v>
      </c>
      <c r="M115" s="212"/>
      <c r="N115" s="221"/>
      <c r="O115" s="1096"/>
      <c r="P115" s="1096"/>
      <c r="Q115" s="1440" t="str">
        <f t="shared" si="85"/>
        <v>-</v>
      </c>
      <c r="R115" s="213"/>
      <c r="S115" s="214"/>
      <c r="T115" s="214"/>
      <c r="U115" s="215">
        <f t="shared" si="87"/>
        <v>0</v>
      </c>
      <c r="V115" s="195"/>
      <c r="W115" s="195"/>
      <c r="X115" s="118"/>
      <c r="Z115" s="118"/>
      <c r="AA115" s="118"/>
      <c r="AB115" s="118"/>
    </row>
    <row r="116" spans="1:30" ht="12.75" thickBot="1">
      <c r="A116" s="194" t="s">
        <v>439</v>
      </c>
      <c r="B116" s="216">
        <f t="shared" ref="B116:J116" si="88">+B110+B112+B113+B114+B115</f>
        <v>1106</v>
      </c>
      <c r="C116" s="194">
        <f t="shared" si="88"/>
        <v>16301</v>
      </c>
      <c r="D116" s="1098">
        <f t="shared" ref="D116:E116" si="89">+D110+D112+D113+D114+D115</f>
        <v>14182</v>
      </c>
      <c r="E116" s="1098">
        <f t="shared" si="89"/>
        <v>14182</v>
      </c>
      <c r="F116" s="1441">
        <f t="shared" si="82"/>
        <v>1</v>
      </c>
      <c r="G116" s="218">
        <f t="shared" si="88"/>
        <v>11938</v>
      </c>
      <c r="H116" s="216">
        <f t="shared" si="88"/>
        <v>7378</v>
      </c>
      <c r="I116" s="216">
        <f t="shared" si="88"/>
        <v>0</v>
      </c>
      <c r="J116" s="217">
        <f t="shared" si="88"/>
        <v>34604</v>
      </c>
      <c r="K116" s="942"/>
      <c r="L116" s="194" t="s">
        <v>439</v>
      </c>
      <c r="M116" s="216">
        <f t="shared" ref="M116:U116" si="90">+M110+M112+M113+M114+M115</f>
        <v>641</v>
      </c>
      <c r="N116" s="194">
        <f t="shared" si="90"/>
        <v>6957</v>
      </c>
      <c r="O116" s="1098">
        <f t="shared" ref="O116:P116" si="91">+O110+O112+O113+O114+O115</f>
        <v>10223</v>
      </c>
      <c r="P116" s="1098">
        <f t="shared" si="91"/>
        <v>10223</v>
      </c>
      <c r="Q116" s="1441">
        <f t="shared" si="85"/>
        <v>1</v>
      </c>
      <c r="R116" s="218">
        <f t="shared" si="90"/>
        <v>5689</v>
      </c>
      <c r="S116" s="216">
        <f t="shared" si="90"/>
        <v>0</v>
      </c>
      <c r="T116" s="216">
        <f t="shared" si="90"/>
        <v>0</v>
      </c>
      <c r="U116" s="217">
        <f t="shared" si="90"/>
        <v>16553</v>
      </c>
      <c r="V116" s="195"/>
      <c r="W116" s="195"/>
    </row>
    <row r="117" spans="1:30" ht="12.75" thickBot="1">
      <c r="A117" s="219"/>
      <c r="B117" s="219"/>
      <c r="C117" s="219"/>
      <c r="D117" s="219"/>
      <c r="E117" s="219"/>
      <c r="F117" s="219"/>
      <c r="G117" s="219"/>
      <c r="H117" s="219"/>
      <c r="I117" s="219"/>
      <c r="J117" s="219"/>
      <c r="K117" s="942"/>
      <c r="L117" s="219"/>
      <c r="M117" s="219"/>
      <c r="N117" s="219"/>
      <c r="O117" s="219"/>
      <c r="P117" s="219"/>
      <c r="Q117" s="219"/>
      <c r="R117" s="219"/>
      <c r="S117" s="219"/>
      <c r="T117" s="219"/>
      <c r="U117" s="219"/>
      <c r="V117" s="219"/>
      <c r="W117" s="219"/>
    </row>
    <row r="118" spans="1:30" s="941" customFormat="1" ht="36.75" thickBot="1">
      <c r="A118" s="401" t="s">
        <v>440</v>
      </c>
      <c r="B118" s="402" t="s">
        <v>1329</v>
      </c>
      <c r="C118" s="1887" t="s">
        <v>1474</v>
      </c>
      <c r="D118" s="1482" t="s">
        <v>1475</v>
      </c>
      <c r="E118" s="1482" t="s">
        <v>1529</v>
      </c>
      <c r="F118" s="1483" t="s">
        <v>1527</v>
      </c>
      <c r="G118" s="382" t="s">
        <v>460</v>
      </c>
      <c r="H118" s="383" t="s">
        <v>461</v>
      </c>
      <c r="I118" s="383" t="s">
        <v>1330</v>
      </c>
      <c r="J118" s="1202" t="s">
        <v>18</v>
      </c>
      <c r="K118" s="944"/>
      <c r="L118" s="401" t="s">
        <v>440</v>
      </c>
      <c r="M118" s="402" t="s">
        <v>1329</v>
      </c>
      <c r="N118" s="1887" t="s">
        <v>1474</v>
      </c>
      <c r="O118" s="1482" t="s">
        <v>1475</v>
      </c>
      <c r="P118" s="1482" t="s">
        <v>1529</v>
      </c>
      <c r="Q118" s="1483" t="s">
        <v>1527</v>
      </c>
      <c r="R118" s="382" t="s">
        <v>460</v>
      </c>
      <c r="S118" s="383" t="s">
        <v>461</v>
      </c>
      <c r="T118" s="383" t="s">
        <v>1330</v>
      </c>
      <c r="U118" s="1202" t="s">
        <v>18</v>
      </c>
      <c r="V118" s="926"/>
      <c r="W118" s="926"/>
    </row>
    <row r="119" spans="1:30">
      <c r="A119" s="201" t="s">
        <v>446</v>
      </c>
      <c r="B119" s="202">
        <f>140+304-38+1</f>
        <v>407</v>
      </c>
      <c r="C119" s="1092">
        <f>1192-407+8960</f>
        <v>9745</v>
      </c>
      <c r="D119" s="1093">
        <v>5947</v>
      </c>
      <c r="E119" s="1093">
        <v>5947</v>
      </c>
      <c r="F119" s="1439">
        <f t="shared" ref="F119:F127" si="92">IF(ISERROR(E119/D119),"-",E119/D119)</f>
        <v>1</v>
      </c>
      <c r="G119" s="203">
        <v>8960</v>
      </c>
      <c r="H119" s="204">
        <f>1192+3798</f>
        <v>4990</v>
      </c>
      <c r="I119" s="204"/>
      <c r="J119" s="205">
        <f t="shared" ref="J119:J126" si="93">+B119+IF(D119&lt;=E119,E119,D119)+G119+H119+I119</f>
        <v>20304</v>
      </c>
      <c r="K119" s="942"/>
      <c r="L119" s="201" t="s">
        <v>446</v>
      </c>
      <c r="M119" s="202">
        <f>3*214-1</f>
        <v>641</v>
      </c>
      <c r="N119" s="1092">
        <f>2449-641+3600</f>
        <v>5408</v>
      </c>
      <c r="O119" s="1093">
        <v>2700</v>
      </c>
      <c r="P119" s="1093">
        <v>2700</v>
      </c>
      <c r="Q119" s="1439">
        <f t="shared" ref="Q119:Q127" si="94">IF(ISERROR(P119/O119),"-",P119/O119)</f>
        <v>1</v>
      </c>
      <c r="R119" s="203">
        <f>1500+5408-2700</f>
        <v>4208</v>
      </c>
      <c r="S119" s="204"/>
      <c r="T119" s="204"/>
      <c r="U119" s="205">
        <f t="shared" ref="U119:U126" si="95">+M119+IF(O119&lt;=P119,P119,O119)+R119+S119+T119</f>
        <v>7549</v>
      </c>
      <c r="V119" s="195"/>
      <c r="W119" s="195"/>
      <c r="X119" s="118"/>
      <c r="Y119" s="118"/>
      <c r="Z119" s="118"/>
      <c r="AA119" s="118"/>
      <c r="AB119" s="118"/>
      <c r="AC119" s="118"/>
      <c r="AD119" s="118"/>
    </row>
    <row r="120" spans="1:30">
      <c r="A120" s="220" t="s">
        <v>447</v>
      </c>
      <c r="B120" s="212"/>
      <c r="C120" s="221">
        <f>301+2261</f>
        <v>2562</v>
      </c>
      <c r="D120" s="1096">
        <v>1078</v>
      </c>
      <c r="E120" s="1096">
        <v>1078</v>
      </c>
      <c r="F120" s="1440">
        <f t="shared" si="92"/>
        <v>1</v>
      </c>
      <c r="G120" s="213">
        <v>2261</v>
      </c>
      <c r="H120" s="214">
        <f>301+1484</f>
        <v>1785</v>
      </c>
      <c r="I120" s="214"/>
      <c r="J120" s="215">
        <f t="shared" si="93"/>
        <v>5124</v>
      </c>
      <c r="K120" s="942"/>
      <c r="L120" s="220" t="s">
        <v>447</v>
      </c>
      <c r="M120" s="212"/>
      <c r="N120" s="221">
        <f>567+972</f>
        <v>1539</v>
      </c>
      <c r="O120" s="1096">
        <v>474</v>
      </c>
      <c r="P120" s="1096">
        <v>474</v>
      </c>
      <c r="Q120" s="1440">
        <f t="shared" si="94"/>
        <v>1</v>
      </c>
      <c r="R120" s="213">
        <f>405+1539-474</f>
        <v>1470</v>
      </c>
      <c r="S120" s="214"/>
      <c r="T120" s="214"/>
      <c r="U120" s="215">
        <f t="shared" si="95"/>
        <v>1944</v>
      </c>
      <c r="V120" s="195"/>
      <c r="W120" s="195"/>
      <c r="X120" s="118"/>
      <c r="Y120" s="118"/>
      <c r="Z120" s="118"/>
      <c r="AA120" s="118"/>
      <c r="AB120" s="118"/>
      <c r="AC120" s="118"/>
      <c r="AD120" s="118"/>
    </row>
    <row r="121" spans="1:30">
      <c r="A121" s="211" t="s">
        <v>448</v>
      </c>
      <c r="B121" s="212">
        <f>286+413</f>
        <v>699</v>
      </c>
      <c r="C121" s="221">
        <f>813-699+3880</f>
        <v>3994</v>
      </c>
      <c r="D121" s="1096">
        <v>7157</v>
      </c>
      <c r="E121" s="1096">
        <v>7157</v>
      </c>
      <c r="F121" s="1440">
        <f t="shared" si="92"/>
        <v>1</v>
      </c>
      <c r="G121" s="213">
        <f>3880-3163</f>
        <v>717</v>
      </c>
      <c r="H121" s="214">
        <v>603</v>
      </c>
      <c r="I121" s="214"/>
      <c r="J121" s="215">
        <f t="shared" si="93"/>
        <v>9176</v>
      </c>
      <c r="K121" s="942"/>
      <c r="L121" s="211" t="s">
        <v>448</v>
      </c>
      <c r="M121" s="212"/>
      <c r="N121" s="221">
        <v>10</v>
      </c>
      <c r="O121" s="1096">
        <v>7049</v>
      </c>
      <c r="P121" s="1096">
        <v>7049</v>
      </c>
      <c r="Q121" s="1440">
        <f t="shared" si="94"/>
        <v>1</v>
      </c>
      <c r="R121" s="213">
        <f>-7039+7050</f>
        <v>11</v>
      </c>
      <c r="S121" s="214"/>
      <c r="T121" s="214"/>
      <c r="U121" s="215">
        <f t="shared" si="95"/>
        <v>7060</v>
      </c>
      <c r="V121" s="195"/>
      <c r="W121" s="195"/>
      <c r="X121" s="118"/>
      <c r="Y121" s="118"/>
      <c r="Z121" s="118"/>
      <c r="AA121" s="118"/>
      <c r="AB121" s="118"/>
      <c r="AC121" s="118"/>
      <c r="AD121" s="118"/>
    </row>
    <row r="122" spans="1:30">
      <c r="A122" s="211" t="s">
        <v>449</v>
      </c>
      <c r="B122" s="212"/>
      <c r="C122" s="221"/>
      <c r="D122" s="1096"/>
      <c r="E122" s="1096"/>
      <c r="F122" s="1440" t="str">
        <f t="shared" si="92"/>
        <v>-</v>
      </c>
      <c r="G122" s="213"/>
      <c r="H122" s="214"/>
      <c r="I122" s="214"/>
      <c r="J122" s="215">
        <f t="shared" si="93"/>
        <v>0</v>
      </c>
      <c r="K122" s="942"/>
      <c r="L122" s="211" t="s">
        <v>449</v>
      </c>
      <c r="M122" s="212"/>
      <c r="N122" s="221"/>
      <c r="O122" s="1096"/>
      <c r="P122" s="1096"/>
      <c r="Q122" s="1440" t="str">
        <f t="shared" si="94"/>
        <v>-</v>
      </c>
      <c r="R122" s="213"/>
      <c r="S122" s="214"/>
      <c r="T122" s="214"/>
      <c r="U122" s="215">
        <f t="shared" si="95"/>
        <v>0</v>
      </c>
      <c r="V122" s="195"/>
      <c r="W122" s="195"/>
      <c r="X122" s="118"/>
      <c r="Z122" s="118"/>
      <c r="AA122" s="118"/>
      <c r="AB122" s="118"/>
      <c r="AD122" s="118"/>
    </row>
    <row r="123" spans="1:30">
      <c r="A123" s="221" t="s">
        <v>450</v>
      </c>
      <c r="B123" s="222"/>
      <c r="C123" s="221"/>
      <c r="D123" s="1096"/>
      <c r="E123" s="1096"/>
      <c r="F123" s="1440" t="str">
        <f t="shared" si="92"/>
        <v>-</v>
      </c>
      <c r="G123" s="213"/>
      <c r="H123" s="214"/>
      <c r="I123" s="214"/>
      <c r="J123" s="215">
        <f t="shared" si="93"/>
        <v>0</v>
      </c>
      <c r="K123" s="942"/>
      <c r="L123" s="221" t="s">
        <v>450</v>
      </c>
      <c r="M123" s="222"/>
      <c r="N123" s="221"/>
      <c r="O123" s="1096"/>
      <c r="P123" s="1096"/>
      <c r="Q123" s="1440" t="str">
        <f t="shared" si="94"/>
        <v>-</v>
      </c>
      <c r="R123" s="213"/>
      <c r="S123" s="214"/>
      <c r="T123" s="214"/>
      <c r="U123" s="215">
        <f t="shared" si="95"/>
        <v>0</v>
      </c>
      <c r="V123" s="195"/>
      <c r="W123" s="195"/>
      <c r="X123" s="118"/>
      <c r="Y123" s="118"/>
      <c r="Z123" s="118"/>
      <c r="AA123" s="118"/>
      <c r="AB123" s="118"/>
      <c r="AC123" s="118"/>
      <c r="AD123" s="118"/>
    </row>
    <row r="124" spans="1:30">
      <c r="A124" s="221" t="s">
        <v>451</v>
      </c>
      <c r="B124" s="222"/>
      <c r="C124" s="221"/>
      <c r="D124" s="1096"/>
      <c r="E124" s="1096"/>
      <c r="F124" s="1440" t="str">
        <f t="shared" si="92"/>
        <v>-</v>
      </c>
      <c r="G124" s="213"/>
      <c r="H124" s="214"/>
      <c r="I124" s="214"/>
      <c r="J124" s="215">
        <f t="shared" si="93"/>
        <v>0</v>
      </c>
      <c r="K124" s="942"/>
      <c r="L124" s="221" t="s">
        <v>451</v>
      </c>
      <c r="M124" s="222"/>
      <c r="N124" s="221"/>
      <c r="O124" s="1096"/>
      <c r="P124" s="1096"/>
      <c r="Q124" s="1440" t="str">
        <f t="shared" si="94"/>
        <v>-</v>
      </c>
      <c r="R124" s="213"/>
      <c r="S124" s="214"/>
      <c r="T124" s="214"/>
      <c r="U124" s="215">
        <f t="shared" si="95"/>
        <v>0</v>
      </c>
      <c r="V124" s="195"/>
      <c r="W124" s="195"/>
      <c r="X124" s="118"/>
      <c r="Y124" s="118"/>
      <c r="Z124" s="118"/>
      <c r="AA124" s="118"/>
      <c r="AB124" s="118"/>
      <c r="AC124" s="118"/>
      <c r="AD124" s="118"/>
    </row>
    <row r="125" spans="1:30">
      <c r="A125" s="223" t="s">
        <v>452</v>
      </c>
      <c r="B125" s="224"/>
      <c r="C125" s="223"/>
      <c r="D125" s="1099"/>
      <c r="E125" s="1099"/>
      <c r="F125" s="1442" t="str">
        <f t="shared" si="92"/>
        <v>-</v>
      </c>
      <c r="G125" s="225"/>
      <c r="H125" s="226"/>
      <c r="I125" s="226"/>
      <c r="J125" s="215">
        <f t="shared" si="93"/>
        <v>0</v>
      </c>
      <c r="K125" s="942"/>
      <c r="L125" s="223" t="s">
        <v>452</v>
      </c>
      <c r="M125" s="224"/>
      <c r="N125" s="223"/>
      <c r="O125" s="1099"/>
      <c r="P125" s="1099"/>
      <c r="Q125" s="1442" t="str">
        <f t="shared" si="94"/>
        <v>-</v>
      </c>
      <c r="R125" s="213"/>
      <c r="S125" s="226"/>
      <c r="T125" s="226"/>
      <c r="U125" s="215">
        <f t="shared" si="95"/>
        <v>0</v>
      </c>
      <c r="V125" s="195"/>
      <c r="W125" s="195"/>
      <c r="X125" s="118"/>
      <c r="Y125" s="118"/>
      <c r="Z125" s="118"/>
      <c r="AA125" s="118"/>
      <c r="AB125" s="118"/>
      <c r="AC125" s="118"/>
      <c r="AD125" s="118"/>
    </row>
    <row r="126" spans="1:30" ht="12.75" thickBot="1">
      <c r="A126" s="223" t="s">
        <v>453</v>
      </c>
      <c r="B126" s="224"/>
      <c r="C126" s="223"/>
      <c r="D126" s="1099"/>
      <c r="E126" s="1099"/>
      <c r="F126" s="1442" t="str">
        <f t="shared" si="92"/>
        <v>-</v>
      </c>
      <c r="G126" s="225"/>
      <c r="H126" s="226"/>
      <c r="I126" s="226"/>
      <c r="J126" s="215">
        <f t="shared" si="93"/>
        <v>0</v>
      </c>
      <c r="K126" s="942"/>
      <c r="L126" s="223" t="s">
        <v>453</v>
      </c>
      <c r="M126" s="224"/>
      <c r="N126" s="223"/>
      <c r="O126" s="1099"/>
      <c r="P126" s="1099"/>
      <c r="Q126" s="1442" t="str">
        <f t="shared" si="94"/>
        <v>-</v>
      </c>
      <c r="R126" s="225"/>
      <c r="S126" s="226"/>
      <c r="T126" s="226"/>
      <c r="U126" s="215">
        <f t="shared" si="95"/>
        <v>0</v>
      </c>
      <c r="V126" s="195"/>
      <c r="W126" s="195"/>
      <c r="X126" s="118"/>
      <c r="Y126" s="118"/>
      <c r="Z126" s="118"/>
      <c r="AA126" s="118"/>
      <c r="AB126" s="118"/>
      <c r="AC126" s="118"/>
      <c r="AD126" s="118"/>
    </row>
    <row r="127" spans="1:30" ht="12.75" thickBot="1">
      <c r="A127" s="194" t="s">
        <v>454</v>
      </c>
      <c r="B127" s="216">
        <f t="shared" ref="B127:J127" si="96">+B119+B120+B121+B122+B123+B124+B125+B126</f>
        <v>1106</v>
      </c>
      <c r="C127" s="194">
        <f t="shared" si="96"/>
        <v>16301</v>
      </c>
      <c r="D127" s="1098">
        <f t="shared" ref="D127:E127" si="97">+D119+D120+D121+D122+D123+D124+D125+D126</f>
        <v>14182</v>
      </c>
      <c r="E127" s="1098">
        <f t="shared" si="97"/>
        <v>14182</v>
      </c>
      <c r="F127" s="1441">
        <f t="shared" si="92"/>
        <v>1</v>
      </c>
      <c r="G127" s="218">
        <f t="shared" si="96"/>
        <v>11938</v>
      </c>
      <c r="H127" s="216">
        <f t="shared" si="96"/>
        <v>7378</v>
      </c>
      <c r="I127" s="216">
        <f t="shared" si="96"/>
        <v>0</v>
      </c>
      <c r="J127" s="217">
        <f t="shared" si="96"/>
        <v>34604</v>
      </c>
      <c r="L127" s="194" t="s">
        <v>454</v>
      </c>
      <c r="M127" s="216">
        <f t="shared" ref="M127:U127" si="98">+M119+M120+M121+M122+M123+M124+M125+M126</f>
        <v>641</v>
      </c>
      <c r="N127" s="194">
        <f t="shared" si="98"/>
        <v>6957</v>
      </c>
      <c r="O127" s="1098">
        <f t="shared" ref="O127:P127" si="99">+O119+O120+O121+O122+O123+O124+O125+O126</f>
        <v>10223</v>
      </c>
      <c r="P127" s="1098">
        <f t="shared" si="99"/>
        <v>10223</v>
      </c>
      <c r="Q127" s="1441">
        <f t="shared" si="94"/>
        <v>1</v>
      </c>
      <c r="R127" s="218">
        <f t="shared" si="98"/>
        <v>5689</v>
      </c>
      <c r="S127" s="216">
        <f t="shared" si="98"/>
        <v>0</v>
      </c>
      <c r="T127" s="216">
        <f t="shared" si="98"/>
        <v>0</v>
      </c>
      <c r="U127" s="217">
        <f t="shared" si="98"/>
        <v>16553</v>
      </c>
      <c r="V127" s="195"/>
      <c r="W127" s="195"/>
      <c r="Y127" s="942"/>
      <c r="AC127" s="942"/>
    </row>
    <row r="128" spans="1:30">
      <c r="A128" s="195"/>
      <c r="B128" s="195"/>
      <c r="C128" s="195"/>
      <c r="D128" s="195"/>
      <c r="E128" s="195"/>
      <c r="F128" s="195"/>
      <c r="G128" s="195"/>
      <c r="H128" s="195"/>
      <c r="I128" s="195"/>
      <c r="J128" s="195"/>
      <c r="K128" s="942"/>
      <c r="L128" s="195"/>
      <c r="M128" s="195"/>
      <c r="N128" s="195"/>
      <c r="O128" s="195"/>
      <c r="P128" s="195"/>
      <c r="Q128" s="195"/>
      <c r="R128" s="195"/>
      <c r="S128" s="195"/>
      <c r="T128" s="195"/>
      <c r="U128" s="195"/>
      <c r="V128" s="195"/>
      <c r="W128" s="195"/>
    </row>
    <row r="130" spans="1:30" s="935" customFormat="1" ht="15.75">
      <c r="A130" s="193" t="s">
        <v>1431</v>
      </c>
      <c r="B130" s="1246" t="s">
        <v>1434</v>
      </c>
      <c r="C130" s="1246"/>
      <c r="D130" s="1246"/>
      <c r="E130" s="1246"/>
      <c r="F130" s="1246"/>
      <c r="G130" s="1246"/>
      <c r="H130" s="1246"/>
      <c r="I130" s="1246"/>
      <c r="J130" s="1246"/>
      <c r="K130" s="831"/>
      <c r="L130" s="193" t="s">
        <v>1433</v>
      </c>
      <c r="M130" s="1246" t="s">
        <v>1438</v>
      </c>
      <c r="N130" s="1246"/>
      <c r="O130" s="1246"/>
      <c r="P130" s="1246"/>
      <c r="Q130" s="1246"/>
      <c r="R130" s="1246"/>
      <c r="S130" s="1246"/>
      <c r="T130" s="1246"/>
      <c r="U130" s="1246"/>
      <c r="V130" s="1196"/>
      <c r="W130" s="1196"/>
    </row>
    <row r="131" spans="1:30" s="935" customFormat="1" ht="15.75" customHeight="1">
      <c r="A131" s="1248" t="s">
        <v>1436</v>
      </c>
      <c r="B131" s="1248"/>
      <c r="C131" s="1248"/>
      <c r="D131" s="1248"/>
      <c r="E131" s="1248"/>
      <c r="F131" s="1248"/>
      <c r="G131" s="1248"/>
      <c r="H131" s="1248"/>
      <c r="I131" s="1248"/>
      <c r="J131" s="1248"/>
      <c r="K131" s="831"/>
      <c r="L131" s="1248" t="s">
        <v>1441</v>
      </c>
      <c r="M131" s="1248"/>
      <c r="N131" s="1248"/>
      <c r="O131" s="1248"/>
      <c r="P131" s="1248"/>
      <c r="Q131" s="1248"/>
      <c r="R131" s="1248"/>
      <c r="S131" s="1248"/>
      <c r="T131" s="1248"/>
      <c r="U131" s="1248"/>
      <c r="V131" s="1197"/>
      <c r="W131" s="1197"/>
    </row>
    <row r="132" spans="1:30" s="935" customFormat="1" ht="15.75">
      <c r="A132" s="1245" t="s">
        <v>1214</v>
      </c>
      <c r="B132" s="1245"/>
      <c r="C132" s="1245"/>
      <c r="D132" s="1245"/>
      <c r="E132" s="1245"/>
      <c r="F132" s="1245"/>
      <c r="G132" s="1245"/>
      <c r="H132" s="1245"/>
      <c r="I132" s="1245"/>
      <c r="J132" s="1245"/>
      <c r="K132" s="831"/>
      <c r="L132" s="1245" t="s">
        <v>1214</v>
      </c>
      <c r="M132" s="1245"/>
      <c r="N132" s="1245"/>
      <c r="O132" s="1245"/>
      <c r="P132" s="1245"/>
      <c r="Q132" s="1245"/>
      <c r="R132" s="1245"/>
      <c r="S132" s="1245"/>
      <c r="T132" s="1245"/>
      <c r="U132" s="1245"/>
      <c r="V132" s="1198"/>
      <c r="W132" s="1198"/>
    </row>
    <row r="133" spans="1:30" s="938" customFormat="1" ht="12.75" thickBot="1">
      <c r="A133" s="937"/>
      <c r="B133" s="937"/>
      <c r="G133" s="937"/>
      <c r="H133" s="937"/>
      <c r="J133" s="238" t="s">
        <v>281</v>
      </c>
      <c r="K133" s="939"/>
      <c r="L133" s="937"/>
      <c r="M133" s="937"/>
      <c r="N133" s="937"/>
      <c r="O133" s="937"/>
      <c r="P133" s="937"/>
      <c r="Q133" s="937"/>
      <c r="R133" s="937"/>
      <c r="S133" s="937"/>
      <c r="U133" s="238" t="s">
        <v>281</v>
      </c>
      <c r="V133" s="925"/>
      <c r="W133" s="925"/>
    </row>
    <row r="134" spans="1:30" s="941" customFormat="1" ht="36.75" thickBot="1">
      <c r="A134" s="401" t="s">
        <v>432</v>
      </c>
      <c r="B134" s="402" t="s">
        <v>1329</v>
      </c>
      <c r="C134" s="1887" t="s">
        <v>1474</v>
      </c>
      <c r="D134" s="1482" t="s">
        <v>1475</v>
      </c>
      <c r="E134" s="1482" t="s">
        <v>1529</v>
      </c>
      <c r="F134" s="1483" t="s">
        <v>1527</v>
      </c>
      <c r="G134" s="382" t="s">
        <v>460</v>
      </c>
      <c r="H134" s="383" t="s">
        <v>461</v>
      </c>
      <c r="I134" s="383" t="s">
        <v>1330</v>
      </c>
      <c r="J134" s="1202" t="s">
        <v>18</v>
      </c>
      <c r="K134" s="940"/>
      <c r="L134" s="401" t="s">
        <v>432</v>
      </c>
      <c r="M134" s="402" t="s">
        <v>1329</v>
      </c>
      <c r="N134" s="1887" t="s">
        <v>1474</v>
      </c>
      <c r="O134" s="1482" t="s">
        <v>1475</v>
      </c>
      <c r="P134" s="1482" t="s">
        <v>1529</v>
      </c>
      <c r="Q134" s="1483" t="s">
        <v>1527</v>
      </c>
      <c r="R134" s="382" t="s">
        <v>460</v>
      </c>
      <c r="S134" s="383" t="s">
        <v>461</v>
      </c>
      <c r="T134" s="383" t="s">
        <v>1330</v>
      </c>
      <c r="U134" s="1202" t="s">
        <v>18</v>
      </c>
      <c r="V134" s="926"/>
      <c r="W134" s="926"/>
    </row>
    <row r="135" spans="1:30">
      <c r="A135" s="201" t="s">
        <v>433</v>
      </c>
      <c r="B135" s="202">
        <f t="shared" ref="B135:J135" si="100">+B152-B140-B139-B138-B137</f>
        <v>-406367</v>
      </c>
      <c r="C135" s="1092">
        <f t="shared" si="100"/>
        <v>406367</v>
      </c>
      <c r="D135" s="1093">
        <f t="shared" ref="D135:E135" si="101">+D152-D140-D139-D138-D137</f>
        <v>7620</v>
      </c>
      <c r="E135" s="1093">
        <f t="shared" si="101"/>
        <v>7620</v>
      </c>
      <c r="F135" s="1439">
        <f t="shared" ref="F135:F141" si="102">IF(ISERROR(E135/D135),"-",E135/D135)</f>
        <v>1</v>
      </c>
      <c r="G135" s="203">
        <f t="shared" si="100"/>
        <v>398747</v>
      </c>
      <c r="H135" s="204">
        <f t="shared" si="100"/>
        <v>0</v>
      </c>
      <c r="I135" s="204">
        <f t="shared" si="100"/>
        <v>0</v>
      </c>
      <c r="J135" s="205">
        <f t="shared" si="100"/>
        <v>0</v>
      </c>
      <c r="K135" s="942"/>
      <c r="L135" s="201" t="s">
        <v>433</v>
      </c>
      <c r="M135" s="202">
        <f t="shared" ref="M135:U135" si="103">+M152-M140-M139-M138-M137</f>
        <v>-4213</v>
      </c>
      <c r="N135" s="1092">
        <f t="shared" si="103"/>
        <v>4213</v>
      </c>
      <c r="O135" s="1093">
        <f t="shared" ref="O135:P135" si="104">+O152-O140-O139-O138-O137</f>
        <v>-53579</v>
      </c>
      <c r="P135" s="1093">
        <f t="shared" si="104"/>
        <v>-53579</v>
      </c>
      <c r="Q135" s="1439">
        <f t="shared" ref="Q135:Q141" si="105">IF(ISERROR(P135/O135),"-",P135/O135)</f>
        <v>1</v>
      </c>
      <c r="R135" s="203">
        <f t="shared" si="103"/>
        <v>57792</v>
      </c>
      <c r="S135" s="204">
        <f t="shared" si="103"/>
        <v>0</v>
      </c>
      <c r="T135" s="204">
        <f t="shared" si="103"/>
        <v>0</v>
      </c>
      <c r="U135" s="205">
        <f t="shared" si="103"/>
        <v>0</v>
      </c>
      <c r="V135" s="195"/>
      <c r="W135" s="195"/>
    </row>
    <row r="136" spans="1:30">
      <c r="A136" s="206" t="s">
        <v>434</v>
      </c>
      <c r="B136" s="207"/>
      <c r="C136" s="1094"/>
      <c r="D136" s="1095"/>
      <c r="E136" s="1095"/>
      <c r="F136" s="1440" t="str">
        <f t="shared" si="102"/>
        <v>-</v>
      </c>
      <c r="G136" s="208"/>
      <c r="H136" s="209"/>
      <c r="I136" s="209"/>
      <c r="J136" s="210">
        <f t="shared" ref="J136:J140" si="106">+B136+IF(D136&lt;=E136,E136,D136)+G136+H136+I136</f>
        <v>0</v>
      </c>
      <c r="K136" s="942"/>
      <c r="L136" s="206" t="s">
        <v>434</v>
      </c>
      <c r="M136" s="207"/>
      <c r="N136" s="1094"/>
      <c r="O136" s="1095"/>
      <c r="P136" s="1095"/>
      <c r="Q136" s="1440" t="str">
        <f t="shared" si="105"/>
        <v>-</v>
      </c>
      <c r="R136" s="208"/>
      <c r="S136" s="209"/>
      <c r="T136" s="209"/>
      <c r="U136" s="210">
        <f t="shared" ref="U136:U140" si="107">+M136+IF(O136&lt;=P136,P136,O136)+R136+S136+T136</f>
        <v>0</v>
      </c>
      <c r="V136" s="927"/>
      <c r="W136" s="927"/>
      <c r="X136" s="118"/>
      <c r="Z136" s="118"/>
      <c r="AA136" s="118"/>
      <c r="AB136" s="118"/>
    </row>
    <row r="137" spans="1:30">
      <c r="A137" s="211" t="s">
        <v>435</v>
      </c>
      <c r="B137" s="212">
        <v>420000</v>
      </c>
      <c r="C137" s="221"/>
      <c r="D137" s="1096"/>
      <c r="E137" s="1096"/>
      <c r="F137" s="1440" t="str">
        <f t="shared" si="102"/>
        <v>-</v>
      </c>
      <c r="G137" s="213"/>
      <c r="H137" s="214"/>
      <c r="I137" s="214"/>
      <c r="J137" s="215">
        <f t="shared" si="106"/>
        <v>420000</v>
      </c>
      <c r="K137" s="942"/>
      <c r="L137" s="211" t="s">
        <v>435</v>
      </c>
      <c r="M137" s="212">
        <v>6810</v>
      </c>
      <c r="N137" s="221">
        <v>55832</v>
      </c>
      <c r="O137" s="1096">
        <v>55832</v>
      </c>
      <c r="P137" s="1096">
        <v>55832</v>
      </c>
      <c r="Q137" s="1440">
        <f t="shared" si="105"/>
        <v>1</v>
      </c>
      <c r="R137" s="213"/>
      <c r="S137" s="214"/>
      <c r="T137" s="214"/>
      <c r="U137" s="215">
        <f t="shared" si="107"/>
        <v>62642</v>
      </c>
      <c r="V137" s="195"/>
      <c r="W137" s="195"/>
      <c r="X137" s="118"/>
      <c r="Y137" s="118"/>
      <c r="Z137" s="118"/>
      <c r="AA137" s="118"/>
      <c r="AB137" s="118"/>
      <c r="AC137" s="118"/>
      <c r="AD137" s="118"/>
    </row>
    <row r="138" spans="1:30">
      <c r="A138" s="211" t="s">
        <v>436</v>
      </c>
      <c r="B138" s="212"/>
      <c r="C138" s="221"/>
      <c r="D138" s="1096"/>
      <c r="E138" s="1096"/>
      <c r="F138" s="1440" t="str">
        <f t="shared" si="102"/>
        <v>-</v>
      </c>
      <c r="G138" s="213"/>
      <c r="H138" s="214"/>
      <c r="I138" s="214"/>
      <c r="J138" s="215">
        <f t="shared" si="106"/>
        <v>0</v>
      </c>
      <c r="K138" s="942"/>
      <c r="L138" s="211" t="s">
        <v>436</v>
      </c>
      <c r="M138" s="212"/>
      <c r="N138" s="221"/>
      <c r="O138" s="1096"/>
      <c r="P138" s="1096"/>
      <c r="Q138" s="1440" t="str">
        <f t="shared" si="105"/>
        <v>-</v>
      </c>
      <c r="R138" s="213"/>
      <c r="S138" s="214"/>
      <c r="T138" s="214"/>
      <c r="U138" s="215">
        <f t="shared" si="107"/>
        <v>0</v>
      </c>
      <c r="V138" s="195"/>
      <c r="W138" s="195"/>
      <c r="X138" s="118"/>
      <c r="Z138" s="118"/>
      <c r="AA138" s="118"/>
      <c r="AB138" s="118"/>
    </row>
    <row r="139" spans="1:30">
      <c r="A139" s="211" t="s">
        <v>437</v>
      </c>
      <c r="B139" s="212"/>
      <c r="C139" s="221"/>
      <c r="D139" s="1096"/>
      <c r="E139" s="1096"/>
      <c r="F139" s="1440" t="str">
        <f t="shared" si="102"/>
        <v>-</v>
      </c>
      <c r="G139" s="213"/>
      <c r="H139" s="214"/>
      <c r="I139" s="214"/>
      <c r="J139" s="215">
        <f t="shared" si="106"/>
        <v>0</v>
      </c>
      <c r="K139" s="942"/>
      <c r="L139" s="211" t="s">
        <v>437</v>
      </c>
      <c r="M139" s="212"/>
      <c r="N139" s="221"/>
      <c r="O139" s="1096"/>
      <c r="P139" s="1096"/>
      <c r="Q139" s="1440" t="str">
        <f t="shared" si="105"/>
        <v>-</v>
      </c>
      <c r="R139" s="213"/>
      <c r="S139" s="214"/>
      <c r="T139" s="214"/>
      <c r="U139" s="215">
        <f t="shared" si="107"/>
        <v>0</v>
      </c>
      <c r="V139" s="195"/>
      <c r="W139" s="195"/>
      <c r="X139" s="118"/>
      <c r="Z139" s="118"/>
      <c r="AA139" s="118"/>
      <c r="AB139" s="118"/>
    </row>
    <row r="140" spans="1:30" ht="12.75" thickBot="1">
      <c r="A140" s="211" t="s">
        <v>438</v>
      </c>
      <c r="B140" s="212"/>
      <c r="C140" s="221"/>
      <c r="D140" s="1096"/>
      <c r="E140" s="1096"/>
      <c r="F140" s="1440" t="str">
        <f t="shared" si="102"/>
        <v>-</v>
      </c>
      <c r="G140" s="213"/>
      <c r="H140" s="214"/>
      <c r="I140" s="214"/>
      <c r="J140" s="215">
        <f t="shared" si="106"/>
        <v>0</v>
      </c>
      <c r="K140" s="942"/>
      <c r="L140" s="211" t="s">
        <v>438</v>
      </c>
      <c r="M140" s="212"/>
      <c r="N140" s="221"/>
      <c r="O140" s="1096"/>
      <c r="P140" s="1096"/>
      <c r="Q140" s="1440" t="str">
        <f t="shared" si="105"/>
        <v>-</v>
      </c>
      <c r="R140" s="213"/>
      <c r="S140" s="214"/>
      <c r="T140" s="214"/>
      <c r="U140" s="215">
        <f t="shared" si="107"/>
        <v>0</v>
      </c>
      <c r="V140" s="195"/>
      <c r="W140" s="195"/>
      <c r="X140" s="118"/>
      <c r="Z140" s="118"/>
      <c r="AA140" s="118"/>
      <c r="AB140" s="118"/>
    </row>
    <row r="141" spans="1:30" ht="12.75" thickBot="1">
      <c r="A141" s="194" t="s">
        <v>439</v>
      </c>
      <c r="B141" s="216">
        <f t="shared" ref="B141:J141" si="108">+B135+B137+B138+B139+B140</f>
        <v>13633</v>
      </c>
      <c r="C141" s="194">
        <f t="shared" si="108"/>
        <v>406367</v>
      </c>
      <c r="D141" s="1098">
        <f t="shared" ref="D141:E141" si="109">+D135+D137+D138+D139+D140</f>
        <v>7620</v>
      </c>
      <c r="E141" s="1098">
        <f t="shared" si="109"/>
        <v>7620</v>
      </c>
      <c r="F141" s="1441">
        <f t="shared" si="102"/>
        <v>1</v>
      </c>
      <c r="G141" s="218">
        <f t="shared" si="108"/>
        <v>398747</v>
      </c>
      <c r="H141" s="216">
        <f t="shared" si="108"/>
        <v>0</v>
      </c>
      <c r="I141" s="216">
        <f t="shared" si="108"/>
        <v>0</v>
      </c>
      <c r="J141" s="217">
        <f t="shared" si="108"/>
        <v>420000</v>
      </c>
      <c r="K141" s="942"/>
      <c r="L141" s="194" t="s">
        <v>439</v>
      </c>
      <c r="M141" s="216">
        <f t="shared" ref="M141:U141" si="110">+M135+M137+M138+M139+M140</f>
        <v>2597</v>
      </c>
      <c r="N141" s="194">
        <f t="shared" si="110"/>
        <v>60045</v>
      </c>
      <c r="O141" s="1098">
        <f t="shared" ref="O141:P141" si="111">+O135+O137+O138+O139+O140</f>
        <v>2253</v>
      </c>
      <c r="P141" s="1098">
        <f t="shared" si="111"/>
        <v>2253</v>
      </c>
      <c r="Q141" s="1441">
        <f t="shared" si="105"/>
        <v>1</v>
      </c>
      <c r="R141" s="218">
        <f t="shared" si="110"/>
        <v>57792</v>
      </c>
      <c r="S141" s="216">
        <f t="shared" si="110"/>
        <v>0</v>
      </c>
      <c r="T141" s="216">
        <f t="shared" si="110"/>
        <v>0</v>
      </c>
      <c r="U141" s="217">
        <f t="shared" si="110"/>
        <v>62642</v>
      </c>
      <c r="V141" s="195"/>
      <c r="W141" s="195"/>
    </row>
    <row r="142" spans="1:30" ht="12.75" thickBot="1">
      <c r="A142" s="219"/>
      <c r="B142" s="219"/>
      <c r="C142" s="219"/>
      <c r="D142" s="219"/>
      <c r="E142" s="219"/>
      <c r="F142" s="219"/>
      <c r="G142" s="219"/>
      <c r="H142" s="219"/>
      <c r="I142" s="219"/>
      <c r="J142" s="219"/>
      <c r="K142" s="942"/>
      <c r="L142" s="219"/>
      <c r="M142" s="219"/>
      <c r="N142" s="219"/>
      <c r="O142" s="219"/>
      <c r="P142" s="219"/>
      <c r="Q142" s="219"/>
      <c r="R142" s="219"/>
      <c r="S142" s="219"/>
      <c r="T142" s="219"/>
      <c r="U142" s="219"/>
      <c r="V142" s="219"/>
      <c r="W142" s="219"/>
    </row>
    <row r="143" spans="1:30" s="941" customFormat="1" ht="36.75" thickBot="1">
      <c r="A143" s="401" t="s">
        <v>440</v>
      </c>
      <c r="B143" s="402" t="s">
        <v>1329</v>
      </c>
      <c r="C143" s="1887" t="s">
        <v>1474</v>
      </c>
      <c r="D143" s="1482" t="s">
        <v>1475</v>
      </c>
      <c r="E143" s="1482" t="s">
        <v>1529</v>
      </c>
      <c r="F143" s="1483" t="s">
        <v>1527</v>
      </c>
      <c r="G143" s="382" t="s">
        <v>460</v>
      </c>
      <c r="H143" s="383" t="s">
        <v>461</v>
      </c>
      <c r="I143" s="383" t="s">
        <v>1330</v>
      </c>
      <c r="J143" s="1202" t="s">
        <v>18</v>
      </c>
      <c r="K143" s="944"/>
      <c r="L143" s="401" t="s">
        <v>440</v>
      </c>
      <c r="M143" s="402" t="s">
        <v>1329</v>
      </c>
      <c r="N143" s="1887" t="s">
        <v>1474</v>
      </c>
      <c r="O143" s="1482" t="s">
        <v>1475</v>
      </c>
      <c r="P143" s="1482" t="s">
        <v>1529</v>
      </c>
      <c r="Q143" s="1483" t="s">
        <v>1527</v>
      </c>
      <c r="R143" s="382" t="s">
        <v>460</v>
      </c>
      <c r="S143" s="383" t="s">
        <v>461</v>
      </c>
      <c r="T143" s="383" t="s">
        <v>1330</v>
      </c>
      <c r="U143" s="1202" t="s">
        <v>18</v>
      </c>
      <c r="V143" s="926"/>
      <c r="W143" s="926"/>
    </row>
    <row r="144" spans="1:30">
      <c r="A144" s="201" t="s">
        <v>446</v>
      </c>
      <c r="B144" s="202"/>
      <c r="C144" s="1092">
        <v>1654</v>
      </c>
      <c r="D144" s="1093">
        <v>0</v>
      </c>
      <c r="E144" s="1093"/>
      <c r="F144" s="1439" t="str">
        <f t="shared" ref="F144:F152" si="112">IF(ISERROR(E144/D144),"-",E144/D144)</f>
        <v>-</v>
      </c>
      <c r="G144" s="203">
        <v>1654</v>
      </c>
      <c r="H144" s="204"/>
      <c r="I144" s="204"/>
      <c r="J144" s="205">
        <f t="shared" ref="J144:J151" si="113">+B144+IF(D144&lt;=E144,E144,D144)+G144+H144+I144</f>
        <v>1654</v>
      </c>
      <c r="K144" s="942"/>
      <c r="L144" s="201" t="s">
        <v>446</v>
      </c>
      <c r="M144" s="202"/>
      <c r="N144" s="1092"/>
      <c r="O144" s="1093"/>
      <c r="P144" s="1093"/>
      <c r="Q144" s="1439" t="str">
        <f t="shared" ref="Q144:Q152" si="114">IF(ISERROR(P144/O144),"-",P144/O144)</f>
        <v>-</v>
      </c>
      <c r="R144" s="203"/>
      <c r="S144" s="204"/>
      <c r="T144" s="204"/>
      <c r="U144" s="205">
        <f t="shared" ref="U144:U151" si="115">+M144+IF(O144&lt;=P144,P144,O144)+R144+S144+T144</f>
        <v>0</v>
      </c>
      <c r="V144" s="195"/>
      <c r="W144" s="195"/>
      <c r="X144" s="118"/>
      <c r="Y144" s="118"/>
      <c r="Z144" s="118"/>
      <c r="AA144" s="118"/>
      <c r="AB144" s="118"/>
      <c r="AC144" s="118"/>
      <c r="AD144" s="118"/>
    </row>
    <row r="145" spans="1:30">
      <c r="A145" s="220" t="s">
        <v>447</v>
      </c>
      <c r="B145" s="212"/>
      <c r="C145" s="221">
        <v>446</v>
      </c>
      <c r="D145" s="1096">
        <v>0</v>
      </c>
      <c r="E145" s="1096"/>
      <c r="F145" s="1440" t="str">
        <f t="shared" si="112"/>
        <v>-</v>
      </c>
      <c r="G145" s="213">
        <v>446</v>
      </c>
      <c r="H145" s="214"/>
      <c r="I145" s="214"/>
      <c r="J145" s="215">
        <f t="shared" si="113"/>
        <v>446</v>
      </c>
      <c r="K145" s="942"/>
      <c r="L145" s="220" t="s">
        <v>447</v>
      </c>
      <c r="M145" s="212"/>
      <c r="N145" s="221"/>
      <c r="O145" s="1096"/>
      <c r="P145" s="1096"/>
      <c r="Q145" s="1440" t="str">
        <f t="shared" si="114"/>
        <v>-</v>
      </c>
      <c r="R145" s="213"/>
      <c r="S145" s="214"/>
      <c r="T145" s="214"/>
      <c r="U145" s="215">
        <f t="shared" si="115"/>
        <v>0</v>
      </c>
      <c r="V145" s="195"/>
      <c r="W145" s="195"/>
      <c r="X145" s="118"/>
      <c r="Y145" s="118"/>
      <c r="Z145" s="118"/>
      <c r="AA145" s="118"/>
      <c r="AB145" s="118"/>
      <c r="AC145" s="118"/>
      <c r="AD145" s="118"/>
    </row>
    <row r="146" spans="1:30">
      <c r="A146" s="211" t="s">
        <v>448</v>
      </c>
      <c r="B146" s="212">
        <f>6600+1782+(5251)</f>
        <v>13633</v>
      </c>
      <c r="C146" s="221">
        <f>7000+4200+10500+430-8382-5251</f>
        <v>8497</v>
      </c>
      <c r="D146" s="1096">
        <v>0</v>
      </c>
      <c r="E146" s="1096"/>
      <c r="F146" s="1440" t="str">
        <f t="shared" si="112"/>
        <v>-</v>
      </c>
      <c r="G146" s="213">
        <v>8497</v>
      </c>
      <c r="H146" s="214"/>
      <c r="I146" s="214"/>
      <c r="J146" s="215">
        <f t="shared" si="113"/>
        <v>22130</v>
      </c>
      <c r="K146" s="942"/>
      <c r="L146" s="211" t="s">
        <v>448</v>
      </c>
      <c r="M146" s="212">
        <f>564+(781)</f>
        <v>1345</v>
      </c>
      <c r="N146" s="221">
        <v>2269</v>
      </c>
      <c r="O146" s="1096">
        <v>938</v>
      </c>
      <c r="P146" s="1096">
        <v>938</v>
      </c>
      <c r="Q146" s="1440">
        <f t="shared" si="114"/>
        <v>1</v>
      </c>
      <c r="R146" s="213">
        <f>2269-938</f>
        <v>1331</v>
      </c>
      <c r="S146" s="214"/>
      <c r="T146" s="214"/>
      <c r="U146" s="215">
        <f t="shared" si="115"/>
        <v>3614</v>
      </c>
      <c r="V146" s="195"/>
      <c r="W146" s="195"/>
      <c r="X146" s="118"/>
      <c r="Y146" s="118"/>
      <c r="Z146" s="118"/>
      <c r="AA146" s="118"/>
      <c r="AB146" s="118"/>
      <c r="AC146" s="118"/>
      <c r="AD146" s="118"/>
    </row>
    <row r="147" spans="1:30">
      <c r="A147" s="211" t="s">
        <v>449</v>
      </c>
      <c r="B147" s="212"/>
      <c r="C147" s="221"/>
      <c r="D147" s="1096"/>
      <c r="E147" s="1096"/>
      <c r="F147" s="1440" t="str">
        <f t="shared" si="112"/>
        <v>-</v>
      </c>
      <c r="G147" s="213"/>
      <c r="H147" s="214"/>
      <c r="I147" s="214"/>
      <c r="J147" s="215">
        <f t="shared" si="113"/>
        <v>0</v>
      </c>
      <c r="K147" s="942"/>
      <c r="L147" s="211" t="s">
        <v>449</v>
      </c>
      <c r="M147" s="212"/>
      <c r="N147" s="221"/>
      <c r="O147" s="1096"/>
      <c r="P147" s="1096"/>
      <c r="Q147" s="1440" t="str">
        <f t="shared" si="114"/>
        <v>-</v>
      </c>
      <c r="R147" s="213"/>
      <c r="S147" s="214"/>
      <c r="T147" s="214"/>
      <c r="U147" s="215">
        <f t="shared" si="115"/>
        <v>0</v>
      </c>
      <c r="V147" s="195"/>
      <c r="W147" s="195"/>
      <c r="X147" s="118"/>
      <c r="Z147" s="118"/>
      <c r="AA147" s="118"/>
      <c r="AB147" s="118"/>
      <c r="AD147" s="118"/>
    </row>
    <row r="148" spans="1:30">
      <c r="A148" s="221" t="s">
        <v>450</v>
      </c>
      <c r="B148" s="222"/>
      <c r="C148" s="221"/>
      <c r="D148" s="1096"/>
      <c r="E148" s="1096"/>
      <c r="F148" s="1440" t="str">
        <f t="shared" si="112"/>
        <v>-</v>
      </c>
      <c r="G148" s="213"/>
      <c r="H148" s="214"/>
      <c r="I148" s="214"/>
      <c r="J148" s="215">
        <f t="shared" si="113"/>
        <v>0</v>
      </c>
      <c r="K148" s="942"/>
      <c r="L148" s="221" t="s">
        <v>450</v>
      </c>
      <c r="M148" s="222"/>
      <c r="N148" s="221"/>
      <c r="O148" s="1096"/>
      <c r="P148" s="1096"/>
      <c r="Q148" s="1440" t="str">
        <f t="shared" si="114"/>
        <v>-</v>
      </c>
      <c r="R148" s="213"/>
      <c r="S148" s="214"/>
      <c r="T148" s="214"/>
      <c r="U148" s="215">
        <f t="shared" si="115"/>
        <v>0</v>
      </c>
      <c r="V148" s="195"/>
      <c r="W148" s="195"/>
      <c r="X148" s="118"/>
      <c r="Y148" s="118"/>
      <c r="Z148" s="118"/>
      <c r="AA148" s="118"/>
      <c r="AB148" s="118"/>
      <c r="AC148" s="118"/>
      <c r="AD148" s="118"/>
    </row>
    <row r="149" spans="1:30">
      <c r="A149" s="221" t="s">
        <v>451</v>
      </c>
      <c r="B149" s="222"/>
      <c r="C149" s="221">
        <f>369570+8000+14000+4200</f>
        <v>395770</v>
      </c>
      <c r="D149" s="1096">
        <v>7620</v>
      </c>
      <c r="E149" s="1096">
        <v>7620</v>
      </c>
      <c r="F149" s="1440">
        <f t="shared" si="112"/>
        <v>1</v>
      </c>
      <c r="G149" s="213">
        <f>395770-7620</f>
        <v>388150</v>
      </c>
      <c r="H149" s="214"/>
      <c r="I149" s="214"/>
      <c r="J149" s="215">
        <f t="shared" si="113"/>
        <v>395770</v>
      </c>
      <c r="K149" s="942"/>
      <c r="L149" s="221" t="s">
        <v>451</v>
      </c>
      <c r="M149" s="222"/>
      <c r="N149" s="221">
        <v>1796</v>
      </c>
      <c r="O149" s="1096">
        <v>0</v>
      </c>
      <c r="P149" s="1096"/>
      <c r="Q149" s="1440" t="str">
        <f t="shared" si="114"/>
        <v>-</v>
      </c>
      <c r="R149" s="213">
        <v>1796</v>
      </c>
      <c r="S149" s="214"/>
      <c r="T149" s="214"/>
      <c r="U149" s="215">
        <f t="shared" si="115"/>
        <v>1796</v>
      </c>
      <c r="V149" s="195"/>
      <c r="W149" s="195"/>
      <c r="X149" s="118"/>
      <c r="Y149" s="118"/>
      <c r="Z149" s="118"/>
      <c r="AA149" s="118"/>
      <c r="AB149" s="118"/>
      <c r="AC149" s="118"/>
      <c r="AD149" s="118"/>
    </row>
    <row r="150" spans="1:30">
      <c r="A150" s="223" t="s">
        <v>452</v>
      </c>
      <c r="B150" s="224"/>
      <c r="C150" s="223"/>
      <c r="D150" s="1099"/>
      <c r="E150" s="1099"/>
      <c r="F150" s="1442" t="str">
        <f t="shared" si="112"/>
        <v>-</v>
      </c>
      <c r="G150" s="225"/>
      <c r="H150" s="226"/>
      <c r="I150" s="226"/>
      <c r="J150" s="215">
        <f t="shared" si="113"/>
        <v>0</v>
      </c>
      <c r="K150" s="942"/>
      <c r="L150" s="223" t="s">
        <v>452</v>
      </c>
      <c r="M150" s="224">
        <v>1252</v>
      </c>
      <c r="N150" s="223">
        <v>55980</v>
      </c>
      <c r="O150" s="1099">
        <v>1315</v>
      </c>
      <c r="P150" s="1099">
        <v>1315</v>
      </c>
      <c r="Q150" s="1442">
        <f t="shared" si="114"/>
        <v>1</v>
      </c>
      <c r="R150" s="213">
        <f>55980-1315</f>
        <v>54665</v>
      </c>
      <c r="S150" s="226"/>
      <c r="T150" s="226"/>
      <c r="U150" s="215">
        <f t="shared" si="115"/>
        <v>57232</v>
      </c>
      <c r="V150" s="195"/>
      <c r="W150" s="195"/>
      <c r="X150" s="118"/>
      <c r="Y150" s="118"/>
      <c r="Z150" s="118"/>
      <c r="AA150" s="118"/>
      <c r="AB150" s="118"/>
      <c r="AC150" s="118"/>
      <c r="AD150" s="118"/>
    </row>
    <row r="151" spans="1:30" ht="12.75" thickBot="1">
      <c r="A151" s="223" t="s">
        <v>453</v>
      </c>
      <c r="B151" s="224"/>
      <c r="C151" s="223"/>
      <c r="D151" s="1099"/>
      <c r="E151" s="1099"/>
      <c r="F151" s="1442" t="str">
        <f t="shared" si="112"/>
        <v>-</v>
      </c>
      <c r="G151" s="225"/>
      <c r="H151" s="226"/>
      <c r="I151" s="226"/>
      <c r="J151" s="215">
        <f t="shared" si="113"/>
        <v>0</v>
      </c>
      <c r="K151" s="942"/>
      <c r="L151" s="223" t="s">
        <v>453</v>
      </c>
      <c r="M151" s="224"/>
      <c r="N151" s="223"/>
      <c r="O151" s="1099"/>
      <c r="P151" s="1099"/>
      <c r="Q151" s="1442" t="str">
        <f t="shared" si="114"/>
        <v>-</v>
      </c>
      <c r="R151" s="225"/>
      <c r="S151" s="226"/>
      <c r="T151" s="226"/>
      <c r="U151" s="215">
        <f t="shared" si="115"/>
        <v>0</v>
      </c>
      <c r="V151" s="195"/>
      <c r="W151" s="195"/>
      <c r="X151" s="118"/>
      <c r="Y151" s="118"/>
      <c r="Z151" s="118"/>
      <c r="AA151" s="118"/>
      <c r="AB151" s="118"/>
      <c r="AC151" s="118"/>
      <c r="AD151" s="118"/>
    </row>
    <row r="152" spans="1:30" ht="12.75" thickBot="1">
      <c r="A152" s="194" t="s">
        <v>454</v>
      </c>
      <c r="B152" s="216">
        <f t="shared" ref="B152:J152" si="116">+B144+B145+B146+B147+B148+B149+B150+B151</f>
        <v>13633</v>
      </c>
      <c r="C152" s="194">
        <f t="shared" si="116"/>
        <v>406367</v>
      </c>
      <c r="D152" s="1098">
        <f t="shared" ref="D152:E152" si="117">+D144+D145+D146+D147+D148+D149+D150+D151</f>
        <v>7620</v>
      </c>
      <c r="E152" s="1098">
        <f t="shared" si="117"/>
        <v>7620</v>
      </c>
      <c r="F152" s="1441">
        <f t="shared" si="112"/>
        <v>1</v>
      </c>
      <c r="G152" s="218">
        <f t="shared" si="116"/>
        <v>398747</v>
      </c>
      <c r="H152" s="216">
        <f t="shared" si="116"/>
        <v>0</v>
      </c>
      <c r="I152" s="216">
        <f t="shared" si="116"/>
        <v>0</v>
      </c>
      <c r="J152" s="217">
        <f t="shared" si="116"/>
        <v>420000</v>
      </c>
      <c r="L152" s="194" t="s">
        <v>454</v>
      </c>
      <c r="M152" s="216">
        <f t="shared" ref="M152:U152" si="118">+M144+M145+M146+M147+M148+M149+M150+M151</f>
        <v>2597</v>
      </c>
      <c r="N152" s="194">
        <f t="shared" si="118"/>
        <v>60045</v>
      </c>
      <c r="O152" s="1098">
        <f t="shared" ref="O152:P152" si="119">+O144+O145+O146+O147+O148+O149+O150+O151</f>
        <v>2253</v>
      </c>
      <c r="P152" s="1098">
        <f t="shared" si="119"/>
        <v>2253</v>
      </c>
      <c r="Q152" s="1441">
        <f t="shared" si="114"/>
        <v>1</v>
      </c>
      <c r="R152" s="218">
        <f t="shared" si="118"/>
        <v>57792</v>
      </c>
      <c r="S152" s="216">
        <f t="shared" si="118"/>
        <v>0</v>
      </c>
      <c r="T152" s="216">
        <f t="shared" si="118"/>
        <v>0</v>
      </c>
      <c r="U152" s="217">
        <f t="shared" si="118"/>
        <v>62642</v>
      </c>
      <c r="V152" s="195"/>
      <c r="W152" s="195"/>
      <c r="Y152" s="942"/>
      <c r="AC152" s="942"/>
    </row>
    <row r="153" spans="1:30">
      <c r="A153" s="195"/>
      <c r="B153" s="195"/>
      <c r="C153" s="195"/>
      <c r="D153" s="195"/>
      <c r="E153" s="195"/>
      <c r="F153" s="195"/>
      <c r="G153" s="195"/>
      <c r="H153" s="195"/>
      <c r="I153" s="195"/>
      <c r="J153" s="195"/>
      <c r="K153" s="942"/>
      <c r="L153" s="195"/>
      <c r="M153" s="195"/>
      <c r="N153" s="195"/>
      <c r="O153" s="195"/>
      <c r="P153" s="195"/>
      <c r="Q153" s="195"/>
      <c r="R153" s="195"/>
      <c r="S153" s="195"/>
      <c r="T153" s="195"/>
      <c r="U153" s="195"/>
      <c r="V153" s="195"/>
      <c r="W153" s="195"/>
    </row>
    <row r="155" spans="1:30" s="935" customFormat="1" ht="15.75">
      <c r="A155" s="193" t="s">
        <v>1437</v>
      </c>
      <c r="B155" s="1250" t="s">
        <v>2722</v>
      </c>
      <c r="C155" s="1250"/>
      <c r="D155" s="1250"/>
      <c r="E155" s="1250"/>
      <c r="F155" s="1250"/>
      <c r="G155" s="1250"/>
      <c r="H155" s="1250"/>
      <c r="I155" s="1250"/>
      <c r="J155" s="1250"/>
      <c r="K155" s="831"/>
      <c r="L155" s="193" t="s">
        <v>1439</v>
      </c>
      <c r="M155" s="1246" t="s">
        <v>2725</v>
      </c>
      <c r="N155" s="1246"/>
      <c r="O155" s="1246"/>
      <c r="P155" s="1246"/>
      <c r="Q155" s="1246"/>
      <c r="R155" s="1246"/>
      <c r="S155" s="1246"/>
      <c r="T155" s="1246"/>
      <c r="U155" s="1246"/>
      <c r="V155" s="1196"/>
      <c r="W155" s="1196"/>
    </row>
    <row r="156" spans="1:30" s="935" customFormat="1" ht="15.75" customHeight="1">
      <c r="A156" s="1248" t="s">
        <v>2751</v>
      </c>
      <c r="B156" s="1248"/>
      <c r="C156" s="1248"/>
      <c r="D156" s="1248"/>
      <c r="E156" s="1248"/>
      <c r="F156" s="1248"/>
      <c r="G156" s="1248"/>
      <c r="H156" s="1248"/>
      <c r="I156" s="1248"/>
      <c r="J156" s="1248"/>
      <c r="K156" s="831"/>
      <c r="L156" s="1248" t="s">
        <v>2726</v>
      </c>
      <c r="M156" s="1248"/>
      <c r="N156" s="1248"/>
      <c r="O156" s="1248"/>
      <c r="P156" s="1248"/>
      <c r="Q156" s="1248"/>
      <c r="R156" s="1248"/>
      <c r="S156" s="1248"/>
      <c r="T156" s="1248"/>
      <c r="U156" s="1248"/>
      <c r="V156" s="1197"/>
      <c r="W156" s="1197"/>
    </row>
    <row r="157" spans="1:30" s="935" customFormat="1" ht="15.75">
      <c r="A157" s="1245" t="s">
        <v>1214</v>
      </c>
      <c r="B157" s="1245"/>
      <c r="C157" s="1245"/>
      <c r="D157" s="1245"/>
      <c r="E157" s="1245"/>
      <c r="F157" s="1245"/>
      <c r="G157" s="1245"/>
      <c r="H157" s="1245"/>
      <c r="I157" s="1245"/>
      <c r="J157" s="1245"/>
      <c r="K157" s="831"/>
      <c r="L157" s="1245" t="s">
        <v>1214</v>
      </c>
      <c r="M157" s="1245"/>
      <c r="N157" s="1245"/>
      <c r="O157" s="1245"/>
      <c r="P157" s="1245"/>
      <c r="Q157" s="1245"/>
      <c r="R157" s="1245"/>
      <c r="S157" s="1245"/>
      <c r="T157" s="1245"/>
      <c r="U157" s="1245"/>
      <c r="V157" s="1198"/>
      <c r="W157" s="1198"/>
    </row>
    <row r="158" spans="1:30" s="938" customFormat="1" ht="12.75" thickBot="1">
      <c r="A158" s="937"/>
      <c r="B158" s="937"/>
      <c r="G158" s="937"/>
      <c r="H158" s="937"/>
      <c r="J158" s="238" t="s">
        <v>281</v>
      </c>
      <c r="K158" s="939"/>
      <c r="L158" s="937"/>
      <c r="M158" s="937"/>
      <c r="N158" s="937"/>
      <c r="O158" s="937"/>
      <c r="P158" s="937"/>
      <c r="Q158" s="937"/>
      <c r="R158" s="937"/>
      <c r="S158" s="937"/>
      <c r="U158" s="238" t="s">
        <v>281</v>
      </c>
      <c r="V158" s="925"/>
      <c r="W158" s="925"/>
    </row>
    <row r="159" spans="1:30" s="941" customFormat="1" ht="36.75" thickBot="1">
      <c r="A159" s="401" t="s">
        <v>432</v>
      </c>
      <c r="B159" s="402" t="s">
        <v>1329</v>
      </c>
      <c r="C159" s="1887" t="s">
        <v>1474</v>
      </c>
      <c r="D159" s="1482" t="s">
        <v>1475</v>
      </c>
      <c r="E159" s="1482" t="s">
        <v>1529</v>
      </c>
      <c r="F159" s="1483" t="s">
        <v>1527</v>
      </c>
      <c r="G159" s="382" t="s">
        <v>460</v>
      </c>
      <c r="H159" s="383" t="s">
        <v>461</v>
      </c>
      <c r="I159" s="383" t="s">
        <v>1330</v>
      </c>
      <c r="J159" s="1202" t="s">
        <v>18</v>
      </c>
      <c r="K159" s="940"/>
      <c r="L159" s="401" t="s">
        <v>432</v>
      </c>
      <c r="M159" s="402" t="s">
        <v>1329</v>
      </c>
      <c r="N159" s="1887" t="s">
        <v>1474</v>
      </c>
      <c r="O159" s="1482" t="s">
        <v>1475</v>
      </c>
      <c r="P159" s="1482" t="s">
        <v>1529</v>
      </c>
      <c r="Q159" s="1483" t="s">
        <v>1527</v>
      </c>
      <c r="R159" s="382" t="s">
        <v>460</v>
      </c>
      <c r="S159" s="383" t="s">
        <v>461</v>
      </c>
      <c r="T159" s="383" t="s">
        <v>1330</v>
      </c>
      <c r="U159" s="1202" t="s">
        <v>18</v>
      </c>
      <c r="V159" s="926"/>
      <c r="W159" s="926"/>
    </row>
    <row r="160" spans="1:30">
      <c r="A160" s="201" t="s">
        <v>433</v>
      </c>
      <c r="B160" s="202">
        <f t="shared" ref="B160:J160" si="120">+B177-B165-B164-B163-B162</f>
        <v>0</v>
      </c>
      <c r="C160" s="1092">
        <f t="shared" si="120"/>
        <v>0</v>
      </c>
      <c r="D160" s="1093">
        <f t="shared" si="120"/>
        <v>-67982</v>
      </c>
      <c r="E160" s="1093">
        <f t="shared" si="120"/>
        <v>-68360</v>
      </c>
      <c r="F160" s="1439">
        <f t="shared" ref="F160:F166" si="121">IF(ISERROR(E160/D160),"-",E160/D160)</f>
        <v>1.0055602953723044</v>
      </c>
      <c r="G160" s="203">
        <f t="shared" ref="G160:O160" si="122">+G177-G165-G164-G163-G162</f>
        <v>67982</v>
      </c>
      <c r="H160" s="204">
        <f t="shared" si="122"/>
        <v>0</v>
      </c>
      <c r="I160" s="204">
        <f t="shared" si="122"/>
        <v>0</v>
      </c>
      <c r="J160" s="205">
        <f t="shared" si="122"/>
        <v>0</v>
      </c>
      <c r="K160" s="942"/>
      <c r="L160" s="201" t="s">
        <v>433</v>
      </c>
      <c r="M160" s="202">
        <f t="shared" ref="M160:U160" si="123">+M177-M165-M164-M163-M162</f>
        <v>0</v>
      </c>
      <c r="N160" s="1092">
        <f t="shared" si="123"/>
        <v>0</v>
      </c>
      <c r="O160" s="1093">
        <f t="shared" si="123"/>
        <v>8408</v>
      </c>
      <c r="P160" s="1093">
        <f t="shared" si="123"/>
        <v>5733</v>
      </c>
      <c r="Q160" s="1439">
        <f t="shared" ref="Q160:Q166" si="124">IF(ISERROR(P160/O160),"-",P160/O160)</f>
        <v>0.68185061845861084</v>
      </c>
      <c r="R160" s="203">
        <f t="shared" ref="R160:U160" si="125">+R177-R165-R164-R163-R162</f>
        <v>-8408</v>
      </c>
      <c r="S160" s="204">
        <f t="shared" si="125"/>
        <v>0</v>
      </c>
      <c r="T160" s="204">
        <f t="shared" si="125"/>
        <v>0</v>
      </c>
      <c r="U160" s="205">
        <f t="shared" si="125"/>
        <v>0</v>
      </c>
      <c r="V160" s="195"/>
      <c r="W160" s="195"/>
    </row>
    <row r="161" spans="1:30">
      <c r="A161" s="206" t="s">
        <v>434</v>
      </c>
      <c r="B161" s="207"/>
      <c r="C161" s="1094"/>
      <c r="D161" s="1095"/>
      <c r="E161" s="1095"/>
      <c r="F161" s="1440" t="str">
        <f t="shared" si="121"/>
        <v>-</v>
      </c>
      <c r="G161" s="208"/>
      <c r="H161" s="209"/>
      <c r="I161" s="209"/>
      <c r="J161" s="210">
        <f t="shared" ref="J161:J165" si="126">+B161+IF(D161&lt;=E161,E161,D161)+G161+H161+I161</f>
        <v>0</v>
      </c>
      <c r="K161" s="942"/>
      <c r="L161" s="206" t="s">
        <v>434</v>
      </c>
      <c r="M161" s="207"/>
      <c r="N161" s="1094"/>
      <c r="O161" s="1095"/>
      <c r="P161" s="1095"/>
      <c r="Q161" s="1440" t="str">
        <f t="shared" si="124"/>
        <v>-</v>
      </c>
      <c r="R161" s="208"/>
      <c r="S161" s="209"/>
      <c r="T161" s="209"/>
      <c r="U161" s="210">
        <f t="shared" ref="U161:U165" si="127">+M161+IF(O161&lt;=P161,P161,O161)+R161+S161+T161</f>
        <v>0</v>
      </c>
      <c r="V161" s="927"/>
      <c r="W161" s="927"/>
      <c r="X161" s="118"/>
      <c r="Z161" s="118"/>
      <c r="AA161" s="118"/>
      <c r="AB161" s="118"/>
    </row>
    <row r="162" spans="1:30">
      <c r="A162" s="211" t="s">
        <v>435</v>
      </c>
      <c r="B162" s="212"/>
      <c r="C162" s="221"/>
      <c r="D162" s="1096">
        <v>138388</v>
      </c>
      <c r="E162" s="1096">
        <v>138388</v>
      </c>
      <c r="F162" s="1440">
        <f t="shared" si="121"/>
        <v>1</v>
      </c>
      <c r="G162" s="213"/>
      <c r="H162" s="214"/>
      <c r="I162" s="214"/>
      <c r="J162" s="215">
        <f t="shared" si="126"/>
        <v>138388</v>
      </c>
      <c r="K162" s="943"/>
      <c r="L162" s="211" t="s">
        <v>435</v>
      </c>
      <c r="M162" s="212"/>
      <c r="N162" s="221"/>
      <c r="O162" s="1096">
        <v>59791</v>
      </c>
      <c r="P162" s="1096">
        <v>59791</v>
      </c>
      <c r="Q162" s="1440">
        <f t="shared" si="124"/>
        <v>1</v>
      </c>
      <c r="R162" s="213">
        <v>8408</v>
      </c>
      <c r="S162" s="214"/>
      <c r="T162" s="214"/>
      <c r="U162" s="215">
        <f t="shared" si="127"/>
        <v>68199</v>
      </c>
      <c r="V162" s="195"/>
      <c r="W162" s="195"/>
      <c r="X162" s="118"/>
      <c r="Y162" s="118"/>
      <c r="Z162" s="118"/>
      <c r="AA162" s="118"/>
      <c r="AB162" s="118"/>
      <c r="AC162" s="118"/>
      <c r="AD162" s="118"/>
    </row>
    <row r="163" spans="1:30">
      <c r="A163" s="211" t="s">
        <v>436</v>
      </c>
      <c r="B163" s="212"/>
      <c r="C163" s="221"/>
      <c r="D163" s="1096"/>
      <c r="E163" s="1096"/>
      <c r="F163" s="1440" t="str">
        <f t="shared" si="121"/>
        <v>-</v>
      </c>
      <c r="G163" s="213"/>
      <c r="H163" s="214"/>
      <c r="I163" s="214"/>
      <c r="J163" s="215">
        <f t="shared" si="126"/>
        <v>0</v>
      </c>
      <c r="K163" s="942"/>
      <c r="L163" s="211" t="s">
        <v>436</v>
      </c>
      <c r="M163" s="212"/>
      <c r="N163" s="221"/>
      <c r="O163" s="1096"/>
      <c r="P163" s="1096"/>
      <c r="Q163" s="1440" t="str">
        <f t="shared" si="124"/>
        <v>-</v>
      </c>
      <c r="R163" s="213"/>
      <c r="S163" s="214"/>
      <c r="T163" s="214"/>
      <c r="U163" s="215">
        <f t="shared" si="127"/>
        <v>0</v>
      </c>
      <c r="V163" s="195"/>
      <c r="W163" s="195"/>
      <c r="X163" s="118"/>
      <c r="Z163" s="118"/>
      <c r="AA163" s="118"/>
      <c r="AB163" s="118"/>
    </row>
    <row r="164" spans="1:30">
      <c r="A164" s="211" t="s">
        <v>437</v>
      </c>
      <c r="B164" s="212"/>
      <c r="C164" s="221"/>
      <c r="D164" s="1096"/>
      <c r="E164" s="1096"/>
      <c r="F164" s="1440" t="str">
        <f t="shared" si="121"/>
        <v>-</v>
      </c>
      <c r="G164" s="213"/>
      <c r="H164" s="214"/>
      <c r="I164" s="214"/>
      <c r="J164" s="215">
        <f t="shared" si="126"/>
        <v>0</v>
      </c>
      <c r="K164" s="942"/>
      <c r="L164" s="211" t="s">
        <v>437</v>
      </c>
      <c r="M164" s="212"/>
      <c r="N164" s="221"/>
      <c r="O164" s="1096"/>
      <c r="P164" s="1096"/>
      <c r="Q164" s="1440" t="str">
        <f t="shared" si="124"/>
        <v>-</v>
      </c>
      <c r="R164" s="213"/>
      <c r="S164" s="214"/>
      <c r="T164" s="214"/>
      <c r="U164" s="215">
        <f t="shared" si="127"/>
        <v>0</v>
      </c>
      <c r="V164" s="195"/>
      <c r="W164" s="195"/>
      <c r="X164" s="118"/>
      <c r="Z164" s="118"/>
      <c r="AA164" s="118"/>
      <c r="AB164" s="118"/>
    </row>
    <row r="165" spans="1:30" ht="12.75" thickBot="1">
      <c r="A165" s="211" t="s">
        <v>438</v>
      </c>
      <c r="B165" s="212"/>
      <c r="C165" s="221"/>
      <c r="D165" s="1096"/>
      <c r="E165" s="1096"/>
      <c r="F165" s="1440" t="str">
        <f t="shared" si="121"/>
        <v>-</v>
      </c>
      <c r="G165" s="213"/>
      <c r="H165" s="214"/>
      <c r="I165" s="214"/>
      <c r="J165" s="215">
        <f t="shared" si="126"/>
        <v>0</v>
      </c>
      <c r="K165" s="942"/>
      <c r="L165" s="211" t="s">
        <v>438</v>
      </c>
      <c r="M165" s="212"/>
      <c r="N165" s="221"/>
      <c r="O165" s="1096"/>
      <c r="P165" s="1096"/>
      <c r="Q165" s="1440" t="str">
        <f t="shared" si="124"/>
        <v>-</v>
      </c>
      <c r="R165" s="213"/>
      <c r="S165" s="214"/>
      <c r="T165" s="214"/>
      <c r="U165" s="215">
        <f t="shared" si="127"/>
        <v>0</v>
      </c>
      <c r="V165" s="195"/>
      <c r="W165" s="195"/>
      <c r="X165" s="118"/>
      <c r="Z165" s="118"/>
      <c r="AA165" s="118"/>
      <c r="AB165" s="118"/>
    </row>
    <row r="166" spans="1:30" ht="12.75" thickBot="1">
      <c r="A166" s="194" t="s">
        <v>439</v>
      </c>
      <c r="B166" s="216">
        <f t="shared" ref="B166:J166" si="128">+B160+B162+B163+B164+B165</f>
        <v>0</v>
      </c>
      <c r="C166" s="194">
        <f t="shared" si="128"/>
        <v>0</v>
      </c>
      <c r="D166" s="1098">
        <f t="shared" si="128"/>
        <v>70406</v>
      </c>
      <c r="E166" s="1098">
        <f t="shared" si="128"/>
        <v>70028</v>
      </c>
      <c r="F166" s="1441">
        <f t="shared" si="121"/>
        <v>0.99463113939152914</v>
      </c>
      <c r="G166" s="218">
        <f t="shared" ref="G166:O166" si="129">+G160+G162+G163+G164+G165</f>
        <v>67982</v>
      </c>
      <c r="H166" s="216">
        <f t="shared" si="129"/>
        <v>0</v>
      </c>
      <c r="I166" s="216">
        <f t="shared" si="129"/>
        <v>0</v>
      </c>
      <c r="J166" s="217">
        <f t="shared" si="129"/>
        <v>138388</v>
      </c>
      <c r="K166" s="942"/>
      <c r="L166" s="194" t="s">
        <v>439</v>
      </c>
      <c r="M166" s="216">
        <f t="shared" ref="M166:U166" si="130">+M160+M162+M163+M164+M165</f>
        <v>0</v>
      </c>
      <c r="N166" s="194">
        <f t="shared" si="130"/>
        <v>0</v>
      </c>
      <c r="O166" s="1098">
        <f t="shared" si="130"/>
        <v>68199</v>
      </c>
      <c r="P166" s="1098">
        <f t="shared" si="130"/>
        <v>65524</v>
      </c>
      <c r="Q166" s="1441">
        <f t="shared" si="124"/>
        <v>0.96077655097582071</v>
      </c>
      <c r="R166" s="218">
        <f t="shared" ref="R166:U166" si="131">+R160+R162+R163+R164+R165</f>
        <v>0</v>
      </c>
      <c r="S166" s="216">
        <f t="shared" si="131"/>
        <v>0</v>
      </c>
      <c r="T166" s="216">
        <f t="shared" si="131"/>
        <v>0</v>
      </c>
      <c r="U166" s="217">
        <f t="shared" si="131"/>
        <v>68199</v>
      </c>
      <c r="V166" s="195"/>
      <c r="W166" s="195"/>
    </row>
    <row r="167" spans="1:30" ht="12.75" thickBot="1">
      <c r="A167" s="219"/>
      <c r="B167" s="219"/>
      <c r="C167" s="219"/>
      <c r="D167" s="219"/>
      <c r="E167" s="219"/>
      <c r="F167" s="219"/>
      <c r="G167" s="219"/>
      <c r="H167" s="219"/>
      <c r="I167" s="219"/>
      <c r="J167" s="219"/>
      <c r="K167" s="942"/>
      <c r="L167" s="219"/>
      <c r="M167" s="219"/>
      <c r="N167" s="219"/>
      <c r="O167" s="219"/>
      <c r="P167" s="219"/>
      <c r="Q167" s="219"/>
      <c r="R167" s="219"/>
      <c r="S167" s="219"/>
      <c r="T167" s="219"/>
      <c r="U167" s="219"/>
      <c r="V167" s="219"/>
      <c r="W167" s="219"/>
    </row>
    <row r="168" spans="1:30" s="941" customFormat="1" ht="36.75" thickBot="1">
      <c r="A168" s="401" t="s">
        <v>440</v>
      </c>
      <c r="B168" s="402" t="s">
        <v>1329</v>
      </c>
      <c r="C168" s="1887" t="s">
        <v>1474</v>
      </c>
      <c r="D168" s="1482" t="s">
        <v>1475</v>
      </c>
      <c r="E168" s="1482" t="s">
        <v>1529</v>
      </c>
      <c r="F168" s="1483" t="s">
        <v>1527</v>
      </c>
      <c r="G168" s="382" t="s">
        <v>460</v>
      </c>
      <c r="H168" s="383" t="s">
        <v>461</v>
      </c>
      <c r="I168" s="383" t="s">
        <v>1330</v>
      </c>
      <c r="J168" s="1202" t="s">
        <v>18</v>
      </c>
      <c r="K168" s="944"/>
      <c r="L168" s="401" t="s">
        <v>440</v>
      </c>
      <c r="M168" s="402" t="s">
        <v>1329</v>
      </c>
      <c r="N168" s="1887" t="s">
        <v>1474</v>
      </c>
      <c r="O168" s="1482" t="s">
        <v>1475</v>
      </c>
      <c r="P168" s="1482" t="s">
        <v>1529</v>
      </c>
      <c r="Q168" s="1483" t="s">
        <v>1527</v>
      </c>
      <c r="R168" s="382" t="s">
        <v>460</v>
      </c>
      <c r="S168" s="383" t="s">
        <v>461</v>
      </c>
      <c r="T168" s="383" t="s">
        <v>1330</v>
      </c>
      <c r="U168" s="1202" t="s">
        <v>18</v>
      </c>
      <c r="V168" s="926"/>
      <c r="W168" s="926"/>
    </row>
    <row r="169" spans="1:30">
      <c r="A169" s="201" t="s">
        <v>446</v>
      </c>
      <c r="B169" s="202"/>
      <c r="C169" s="1092"/>
      <c r="D169" s="1093">
        <v>13700</v>
      </c>
      <c r="E169" s="1093">
        <v>13700</v>
      </c>
      <c r="F169" s="1439">
        <f t="shared" ref="F169:F177" si="132">IF(ISERROR(E169/D169),"-",E169/D169)</f>
        <v>1</v>
      </c>
      <c r="G169" s="203"/>
      <c r="H169" s="204"/>
      <c r="I169" s="204"/>
      <c r="J169" s="205">
        <f t="shared" ref="J169:J176" si="133">+B169+IF(D169&lt;=E169,E169,D169)+G169+H169+I169</f>
        <v>13700</v>
      </c>
      <c r="K169" s="942"/>
      <c r="L169" s="201" t="s">
        <v>446</v>
      </c>
      <c r="M169" s="202"/>
      <c r="N169" s="1092"/>
      <c r="O169" s="1093">
        <v>24025</v>
      </c>
      <c r="P169" s="1093">
        <v>24025</v>
      </c>
      <c r="Q169" s="1439">
        <f t="shared" ref="Q169:Q177" si="134">IF(ISERROR(P169/O169),"-",P169/O169)</f>
        <v>1</v>
      </c>
      <c r="R169" s="203"/>
      <c r="S169" s="204"/>
      <c r="T169" s="204"/>
      <c r="U169" s="205">
        <f t="shared" ref="U169:U176" si="135">+M169+IF(O169&lt;=P169,P169,O169)+R169+S169+T169</f>
        <v>24025</v>
      </c>
      <c r="V169" s="195"/>
      <c r="W169" s="195"/>
      <c r="X169" s="118"/>
      <c r="Y169" s="118"/>
      <c r="Z169" s="118"/>
      <c r="AA169" s="118"/>
      <c r="AB169" s="118"/>
      <c r="AC169" s="118"/>
      <c r="AD169" s="118"/>
    </row>
    <row r="170" spans="1:30">
      <c r="A170" s="220" t="s">
        <v>447</v>
      </c>
      <c r="B170" s="212"/>
      <c r="C170" s="221"/>
      <c r="D170" s="1096">
        <v>2161</v>
      </c>
      <c r="E170" s="1096">
        <v>2161</v>
      </c>
      <c r="F170" s="1440">
        <f t="shared" si="132"/>
        <v>1</v>
      </c>
      <c r="G170" s="213"/>
      <c r="H170" s="214"/>
      <c r="I170" s="214"/>
      <c r="J170" s="215">
        <f t="shared" si="133"/>
        <v>2161</v>
      </c>
      <c r="K170" s="942"/>
      <c r="L170" s="220" t="s">
        <v>447</v>
      </c>
      <c r="M170" s="212"/>
      <c r="N170" s="221"/>
      <c r="O170" s="1096">
        <v>4328</v>
      </c>
      <c r="P170" s="1096">
        <v>4328</v>
      </c>
      <c r="Q170" s="1440">
        <f t="shared" si="134"/>
        <v>1</v>
      </c>
      <c r="R170" s="213"/>
      <c r="S170" s="214"/>
      <c r="T170" s="214"/>
      <c r="U170" s="215">
        <f t="shared" si="135"/>
        <v>4328</v>
      </c>
      <c r="V170" s="195"/>
      <c r="W170" s="195"/>
      <c r="X170" s="118"/>
      <c r="Y170" s="118"/>
      <c r="Z170" s="118"/>
      <c r="AA170" s="118"/>
      <c r="AB170" s="118"/>
      <c r="AC170" s="118"/>
      <c r="AD170" s="118"/>
    </row>
    <row r="171" spans="1:30">
      <c r="A171" s="211" t="s">
        <v>448</v>
      </c>
      <c r="B171" s="212"/>
      <c r="C171" s="221"/>
      <c r="D171" s="1096">
        <f>51763+96</f>
        <v>51859</v>
      </c>
      <c r="E171" s="1096">
        <v>51763</v>
      </c>
      <c r="F171" s="1440">
        <f t="shared" si="132"/>
        <v>0.99814882662604365</v>
      </c>
      <c r="G171" s="213">
        <f>68360-282-96</f>
        <v>67982</v>
      </c>
      <c r="H171" s="214"/>
      <c r="I171" s="214"/>
      <c r="J171" s="215">
        <f t="shared" si="133"/>
        <v>119841</v>
      </c>
      <c r="K171" s="942"/>
      <c r="L171" s="211" t="s">
        <v>448</v>
      </c>
      <c r="M171" s="212"/>
      <c r="N171" s="221"/>
      <c r="O171" s="1096">
        <f>32966+2675</f>
        <v>35641</v>
      </c>
      <c r="P171" s="1096">
        <v>32966</v>
      </c>
      <c r="Q171" s="1440">
        <f t="shared" si="134"/>
        <v>0.92494598916977633</v>
      </c>
      <c r="R171" s="213"/>
      <c r="S171" s="214"/>
      <c r="T171" s="214"/>
      <c r="U171" s="215">
        <f t="shared" si="135"/>
        <v>35641</v>
      </c>
      <c r="V171" s="195"/>
      <c r="W171" s="195"/>
      <c r="X171" s="118"/>
      <c r="Y171" s="118"/>
      <c r="Z171" s="118"/>
      <c r="AA171" s="118"/>
      <c r="AB171" s="118"/>
      <c r="AC171" s="118"/>
      <c r="AD171" s="118"/>
    </row>
    <row r="172" spans="1:30">
      <c r="A172" s="211" t="s">
        <v>449</v>
      </c>
      <c r="B172" s="212"/>
      <c r="C172" s="221"/>
      <c r="D172" s="1096"/>
      <c r="E172" s="1096"/>
      <c r="F172" s="1440" t="str">
        <f t="shared" si="132"/>
        <v>-</v>
      </c>
      <c r="G172" s="213"/>
      <c r="H172" s="214"/>
      <c r="I172" s="214"/>
      <c r="J172" s="215">
        <f t="shared" si="133"/>
        <v>0</v>
      </c>
      <c r="K172" s="942"/>
      <c r="L172" s="211" t="s">
        <v>449</v>
      </c>
      <c r="M172" s="212"/>
      <c r="N172" s="221"/>
      <c r="O172" s="1096"/>
      <c r="P172" s="1096"/>
      <c r="Q172" s="1440" t="str">
        <f t="shared" si="134"/>
        <v>-</v>
      </c>
      <c r="R172" s="213"/>
      <c r="S172" s="214"/>
      <c r="T172" s="214"/>
      <c r="U172" s="215">
        <f t="shared" si="135"/>
        <v>0</v>
      </c>
      <c r="V172" s="195"/>
      <c r="W172" s="195"/>
      <c r="X172" s="118"/>
      <c r="Z172" s="118"/>
      <c r="AA172" s="118"/>
      <c r="AB172" s="118"/>
      <c r="AD172" s="118"/>
    </row>
    <row r="173" spans="1:30">
      <c r="A173" s="221" t="s">
        <v>450</v>
      </c>
      <c r="B173" s="222"/>
      <c r="C173" s="221"/>
      <c r="D173" s="1096">
        <v>120</v>
      </c>
      <c r="E173" s="1096">
        <v>120</v>
      </c>
      <c r="F173" s="1440">
        <f t="shared" si="132"/>
        <v>1</v>
      </c>
      <c r="G173" s="213"/>
      <c r="H173" s="214"/>
      <c r="I173" s="214"/>
      <c r="J173" s="215">
        <f t="shared" si="133"/>
        <v>120</v>
      </c>
      <c r="K173" s="942"/>
      <c r="L173" s="221" t="s">
        <v>450</v>
      </c>
      <c r="M173" s="222"/>
      <c r="N173" s="221"/>
      <c r="O173" s="1096"/>
      <c r="P173" s="1096"/>
      <c r="Q173" s="1440" t="str">
        <f t="shared" si="134"/>
        <v>-</v>
      </c>
      <c r="R173" s="213"/>
      <c r="S173" s="214"/>
      <c r="T173" s="214"/>
      <c r="U173" s="215">
        <f t="shared" si="135"/>
        <v>0</v>
      </c>
      <c r="V173" s="195"/>
      <c r="W173" s="195"/>
      <c r="X173" s="118"/>
      <c r="Y173" s="118"/>
      <c r="Z173" s="118"/>
      <c r="AA173" s="118"/>
      <c r="AB173" s="118"/>
      <c r="AC173" s="118"/>
      <c r="AD173" s="118"/>
    </row>
    <row r="174" spans="1:30">
      <c r="A174" s="221" t="s">
        <v>451</v>
      </c>
      <c r="B174" s="222"/>
      <c r="C174" s="221"/>
      <c r="D174" s="1096">
        <f>2284+282</f>
        <v>2566</v>
      </c>
      <c r="E174" s="1096">
        <v>2284</v>
      </c>
      <c r="F174" s="1440">
        <f t="shared" si="132"/>
        <v>0.89010132501948558</v>
      </c>
      <c r="G174" s="213"/>
      <c r="H174" s="214"/>
      <c r="I174" s="214"/>
      <c r="J174" s="215">
        <f t="shared" si="133"/>
        <v>2566</v>
      </c>
      <c r="K174" s="942"/>
      <c r="L174" s="221" t="s">
        <v>451</v>
      </c>
      <c r="M174" s="222"/>
      <c r="N174" s="221"/>
      <c r="O174" s="1096">
        <v>4205</v>
      </c>
      <c r="P174" s="1096">
        <v>4205</v>
      </c>
      <c r="Q174" s="1440">
        <f t="shared" si="134"/>
        <v>1</v>
      </c>
      <c r="R174" s="213"/>
      <c r="S174" s="214"/>
      <c r="T174" s="214"/>
      <c r="U174" s="215">
        <f t="shared" si="135"/>
        <v>4205</v>
      </c>
      <c r="V174" s="195"/>
      <c r="W174" s="195"/>
      <c r="X174" s="118"/>
      <c r="Y174" s="118"/>
      <c r="Z174" s="118"/>
      <c r="AA174" s="118"/>
      <c r="AB174" s="118"/>
      <c r="AC174" s="118"/>
      <c r="AD174" s="118"/>
    </row>
    <row r="175" spans="1:30">
      <c r="A175" s="223" t="s">
        <v>452</v>
      </c>
      <c r="B175" s="224"/>
      <c r="C175" s="223"/>
      <c r="D175" s="1099"/>
      <c r="E175" s="1099"/>
      <c r="F175" s="1442" t="str">
        <f t="shared" si="132"/>
        <v>-</v>
      </c>
      <c r="G175" s="225"/>
      <c r="H175" s="226"/>
      <c r="I175" s="226"/>
      <c r="J175" s="215">
        <f t="shared" si="133"/>
        <v>0</v>
      </c>
      <c r="K175" s="942"/>
      <c r="L175" s="223" t="s">
        <v>452</v>
      </c>
      <c r="M175" s="224"/>
      <c r="N175" s="223"/>
      <c r="O175" s="1099"/>
      <c r="P175" s="1099"/>
      <c r="Q175" s="1442" t="str">
        <f t="shared" si="134"/>
        <v>-</v>
      </c>
      <c r="R175" s="213"/>
      <c r="S175" s="226"/>
      <c r="T175" s="226"/>
      <c r="U175" s="215">
        <f t="shared" si="135"/>
        <v>0</v>
      </c>
      <c r="V175" s="195"/>
      <c r="W175" s="195"/>
      <c r="X175" s="118"/>
      <c r="Y175" s="118"/>
      <c r="Z175" s="118"/>
      <c r="AA175" s="118"/>
      <c r="AB175" s="118"/>
      <c r="AC175" s="118"/>
      <c r="AD175" s="118"/>
    </row>
    <row r="176" spans="1:30" ht="12.75" thickBot="1">
      <c r="A176" s="223" t="s">
        <v>453</v>
      </c>
      <c r="B176" s="224"/>
      <c r="C176" s="223"/>
      <c r="D176" s="1099"/>
      <c r="E176" s="1099"/>
      <c r="F176" s="1442" t="str">
        <f t="shared" si="132"/>
        <v>-</v>
      </c>
      <c r="G176" s="225"/>
      <c r="H176" s="226"/>
      <c r="I176" s="226"/>
      <c r="J176" s="215">
        <f t="shared" si="133"/>
        <v>0</v>
      </c>
      <c r="K176" s="942"/>
      <c r="L176" s="223" t="s">
        <v>453</v>
      </c>
      <c r="M176" s="224"/>
      <c r="N176" s="223"/>
      <c r="O176" s="1099"/>
      <c r="P176" s="1099"/>
      <c r="Q176" s="1442" t="str">
        <f t="shared" si="134"/>
        <v>-</v>
      </c>
      <c r="R176" s="225"/>
      <c r="S176" s="226"/>
      <c r="T176" s="226"/>
      <c r="U176" s="215">
        <f t="shared" si="135"/>
        <v>0</v>
      </c>
      <c r="V176" s="195"/>
      <c r="W176" s="195"/>
      <c r="X176" s="118"/>
      <c r="Y176" s="118"/>
      <c r="Z176" s="118"/>
      <c r="AA176" s="118"/>
      <c r="AB176" s="118"/>
      <c r="AC176" s="118"/>
      <c r="AD176" s="118"/>
    </row>
    <row r="177" spans="1:30" ht="12.75" thickBot="1">
      <c r="A177" s="194" t="s">
        <v>454</v>
      </c>
      <c r="B177" s="216">
        <f t="shared" ref="B177:J177" si="136">+B169+B170+B171+B172+B173+B174+B175+B176</f>
        <v>0</v>
      </c>
      <c r="C177" s="194">
        <f t="shared" si="136"/>
        <v>0</v>
      </c>
      <c r="D177" s="1098">
        <f t="shared" si="136"/>
        <v>70406</v>
      </c>
      <c r="E177" s="1098">
        <f t="shared" si="136"/>
        <v>70028</v>
      </c>
      <c r="F177" s="1441">
        <f t="shared" si="132"/>
        <v>0.99463113939152914</v>
      </c>
      <c r="G177" s="218">
        <f t="shared" ref="G177:O177" si="137">+G169+G170+G171+G172+G173+G174+G175+G176</f>
        <v>67982</v>
      </c>
      <c r="H177" s="216">
        <f t="shared" si="137"/>
        <v>0</v>
      </c>
      <c r="I177" s="216">
        <f t="shared" si="137"/>
        <v>0</v>
      </c>
      <c r="J177" s="217">
        <f t="shared" si="137"/>
        <v>138388</v>
      </c>
      <c r="L177" s="194" t="s">
        <v>454</v>
      </c>
      <c r="M177" s="216">
        <f t="shared" ref="M177:U177" si="138">+M169+M170+M171+M172+M173+M174+M175+M176</f>
        <v>0</v>
      </c>
      <c r="N177" s="194">
        <f t="shared" si="138"/>
        <v>0</v>
      </c>
      <c r="O177" s="1098">
        <f t="shared" si="138"/>
        <v>68199</v>
      </c>
      <c r="P177" s="1098">
        <f t="shared" si="138"/>
        <v>65524</v>
      </c>
      <c r="Q177" s="1441">
        <f t="shared" si="134"/>
        <v>0.96077655097582071</v>
      </c>
      <c r="R177" s="218">
        <f t="shared" ref="R177:U177" si="139">+R169+R170+R171+R172+R173+R174+R175+R176</f>
        <v>0</v>
      </c>
      <c r="S177" s="216">
        <f t="shared" si="139"/>
        <v>0</v>
      </c>
      <c r="T177" s="216">
        <f t="shared" si="139"/>
        <v>0</v>
      </c>
      <c r="U177" s="217">
        <f t="shared" si="139"/>
        <v>68199</v>
      </c>
      <c r="V177" s="195"/>
      <c r="W177" s="195"/>
      <c r="Y177" s="942"/>
      <c r="AC177" s="942"/>
    </row>
    <row r="178" spans="1:30">
      <c r="A178" s="195"/>
      <c r="B178" s="195"/>
      <c r="C178" s="195"/>
      <c r="D178" s="195"/>
      <c r="E178" s="195"/>
      <c r="F178" s="195"/>
      <c r="G178" s="195"/>
      <c r="H178" s="195"/>
      <c r="I178" s="195"/>
      <c r="J178" s="195"/>
      <c r="K178" s="942"/>
      <c r="L178" s="195"/>
      <c r="M178" s="195"/>
      <c r="N178" s="195"/>
      <c r="O178" s="195"/>
      <c r="P178" s="195"/>
      <c r="Q178" s="195"/>
      <c r="R178" s="195"/>
      <c r="S178" s="195"/>
      <c r="T178" s="195"/>
      <c r="U178" s="195"/>
      <c r="V178" s="195"/>
      <c r="W178" s="195"/>
    </row>
    <row r="180" spans="1:30" s="935" customFormat="1" ht="15.75">
      <c r="A180" s="193" t="s">
        <v>2736</v>
      </c>
      <c r="B180" s="1199" t="s">
        <v>2728</v>
      </c>
      <c r="C180" s="1199"/>
      <c r="D180" s="1199"/>
      <c r="E180" s="1199"/>
      <c r="F180" s="1199"/>
      <c r="G180" s="1199"/>
      <c r="H180" s="1199"/>
      <c r="I180" s="1199"/>
      <c r="J180" s="1199"/>
      <c r="K180" s="831"/>
      <c r="L180" s="193" t="s">
        <v>2744</v>
      </c>
      <c r="M180" s="1196" t="s">
        <v>2750</v>
      </c>
      <c r="N180" s="1196"/>
      <c r="O180" s="1196"/>
      <c r="P180" s="1196"/>
      <c r="Q180" s="1196"/>
      <c r="R180" s="1196"/>
      <c r="S180" s="1199"/>
      <c r="T180" s="1199"/>
      <c r="U180" s="1199"/>
      <c r="V180" s="1196"/>
      <c r="W180" s="1196"/>
    </row>
    <row r="181" spans="1:30" s="935" customFormat="1" ht="15.75" customHeight="1">
      <c r="A181" s="1248" t="s">
        <v>2729</v>
      </c>
      <c r="B181" s="1248"/>
      <c r="C181" s="1248"/>
      <c r="D181" s="1248"/>
      <c r="E181" s="1248"/>
      <c r="F181" s="1248"/>
      <c r="G181" s="1248"/>
      <c r="H181" s="1248"/>
      <c r="I181" s="1248"/>
      <c r="J181" s="1248"/>
      <c r="K181" s="831"/>
      <c r="L181" s="1248" t="s">
        <v>2723</v>
      </c>
      <c r="M181" s="1248"/>
      <c r="N181" s="1248"/>
      <c r="O181" s="1248"/>
      <c r="P181" s="1248"/>
      <c r="Q181" s="1248"/>
      <c r="R181" s="1248"/>
      <c r="S181" s="1248"/>
      <c r="T181" s="1248"/>
      <c r="U181" s="1248"/>
      <c r="V181" s="1197"/>
      <c r="W181" s="1197"/>
    </row>
    <row r="182" spans="1:30" s="935" customFormat="1" ht="15.75">
      <c r="A182" s="1245" t="s">
        <v>1214</v>
      </c>
      <c r="B182" s="1245"/>
      <c r="C182" s="1245"/>
      <c r="D182" s="1245"/>
      <c r="E182" s="1245"/>
      <c r="F182" s="1245"/>
      <c r="G182" s="1245"/>
      <c r="H182" s="1245"/>
      <c r="I182" s="1245"/>
      <c r="J182" s="1245"/>
      <c r="K182" s="831"/>
      <c r="L182" s="1245" t="s">
        <v>1214</v>
      </c>
      <c r="M182" s="1245"/>
      <c r="N182" s="1245"/>
      <c r="O182" s="1245"/>
      <c r="P182" s="1245"/>
      <c r="Q182" s="1245"/>
      <c r="R182" s="1245"/>
      <c r="S182" s="1245"/>
      <c r="T182" s="1245"/>
      <c r="U182" s="1245"/>
      <c r="V182" s="1198"/>
      <c r="W182" s="1198"/>
    </row>
    <row r="183" spans="1:30" s="938" customFormat="1" ht="12.75" thickBot="1">
      <c r="A183" s="937"/>
      <c r="B183" s="937"/>
      <c r="G183" s="937"/>
      <c r="H183" s="937"/>
      <c r="J183" s="238" t="s">
        <v>281</v>
      </c>
      <c r="K183" s="939"/>
      <c r="L183" s="937"/>
      <c r="M183" s="937"/>
      <c r="N183" s="937"/>
      <c r="O183" s="937"/>
      <c r="P183" s="937"/>
      <c r="Q183" s="937"/>
      <c r="R183" s="937"/>
      <c r="S183" s="937"/>
      <c r="U183" s="238" t="s">
        <v>281</v>
      </c>
      <c r="V183" s="925"/>
      <c r="W183" s="925"/>
    </row>
    <row r="184" spans="1:30" s="941" customFormat="1" ht="36.75" thickBot="1">
      <c r="A184" s="401" t="s">
        <v>432</v>
      </c>
      <c r="B184" s="402" t="s">
        <v>1329</v>
      </c>
      <c r="C184" s="1887" t="s">
        <v>1474</v>
      </c>
      <c r="D184" s="1482" t="s">
        <v>1475</v>
      </c>
      <c r="E184" s="1482" t="s">
        <v>1529</v>
      </c>
      <c r="F184" s="1483" t="s">
        <v>1527</v>
      </c>
      <c r="G184" s="382" t="s">
        <v>460</v>
      </c>
      <c r="H184" s="383" t="s">
        <v>461</v>
      </c>
      <c r="I184" s="383" t="s">
        <v>1330</v>
      </c>
      <c r="J184" s="1202" t="s">
        <v>18</v>
      </c>
      <c r="K184" s="940"/>
      <c r="L184" s="401" t="s">
        <v>432</v>
      </c>
      <c r="M184" s="402" t="s">
        <v>1329</v>
      </c>
      <c r="N184" s="1887" t="s">
        <v>1474</v>
      </c>
      <c r="O184" s="1482" t="s">
        <v>1475</v>
      </c>
      <c r="P184" s="1482" t="s">
        <v>1529</v>
      </c>
      <c r="Q184" s="1483" t="s">
        <v>1527</v>
      </c>
      <c r="R184" s="382" t="s">
        <v>460</v>
      </c>
      <c r="S184" s="383" t="s">
        <v>461</v>
      </c>
      <c r="T184" s="383" t="s">
        <v>1330</v>
      </c>
      <c r="U184" s="1202" t="s">
        <v>18</v>
      </c>
      <c r="V184" s="926"/>
      <c r="W184" s="926"/>
    </row>
    <row r="185" spans="1:30">
      <c r="A185" s="201" t="s">
        <v>433</v>
      </c>
      <c r="B185" s="202">
        <f t="shared" ref="B185:J185" si="140">+B202-B190-B189-B188-B187</f>
        <v>0</v>
      </c>
      <c r="C185" s="1092">
        <f t="shared" si="140"/>
        <v>0</v>
      </c>
      <c r="D185" s="1093">
        <f t="shared" si="140"/>
        <v>-51920</v>
      </c>
      <c r="E185" s="1093">
        <f t="shared" si="140"/>
        <v>-51920</v>
      </c>
      <c r="F185" s="1439">
        <f t="shared" ref="F185:F191" si="141">IF(ISERROR(E185/D185),"-",E185/D185)</f>
        <v>1</v>
      </c>
      <c r="G185" s="203">
        <f t="shared" ref="G185:O185" si="142">+G202-G190-G189-G188-G187</f>
        <v>51920</v>
      </c>
      <c r="H185" s="204">
        <f t="shared" si="142"/>
        <v>0</v>
      </c>
      <c r="I185" s="204">
        <f t="shared" si="142"/>
        <v>0</v>
      </c>
      <c r="J185" s="205">
        <f t="shared" si="142"/>
        <v>0</v>
      </c>
      <c r="K185" s="942"/>
      <c r="L185" s="201" t="s">
        <v>433</v>
      </c>
      <c r="M185" s="202">
        <f t="shared" ref="M185:U185" si="143">+M202-M190-M189-M188-M187</f>
        <v>0</v>
      </c>
      <c r="N185" s="1092">
        <f t="shared" si="143"/>
        <v>0</v>
      </c>
      <c r="O185" s="1093">
        <f t="shared" si="143"/>
        <v>-36651</v>
      </c>
      <c r="P185" s="1093">
        <f t="shared" si="143"/>
        <v>-36651</v>
      </c>
      <c r="Q185" s="1439">
        <f t="shared" ref="Q185:Q191" si="144">IF(ISERROR(P185/O185),"-",P185/O185)</f>
        <v>1</v>
      </c>
      <c r="R185" s="203">
        <f t="shared" ref="R185:U185" si="145">+R202-R190-R189-R188-R187</f>
        <v>36651</v>
      </c>
      <c r="S185" s="204">
        <f t="shared" si="145"/>
        <v>0</v>
      </c>
      <c r="T185" s="204">
        <f t="shared" si="145"/>
        <v>0</v>
      </c>
      <c r="U185" s="205">
        <f t="shared" si="145"/>
        <v>0</v>
      </c>
      <c r="V185" s="195"/>
      <c r="W185" s="195"/>
    </row>
    <row r="186" spans="1:30">
      <c r="A186" s="206" t="s">
        <v>434</v>
      </c>
      <c r="B186" s="207"/>
      <c r="C186" s="1094"/>
      <c r="D186" s="1095"/>
      <c r="E186" s="1095"/>
      <c r="F186" s="1440" t="str">
        <f t="shared" si="141"/>
        <v>-</v>
      </c>
      <c r="G186" s="208"/>
      <c r="H186" s="209"/>
      <c r="I186" s="209"/>
      <c r="J186" s="210">
        <f t="shared" ref="J186:J190" si="146">+B186+IF(D186&lt;=E186,E186,D186)+G186+H186+I186</f>
        <v>0</v>
      </c>
      <c r="K186" s="942"/>
      <c r="L186" s="206" t="s">
        <v>434</v>
      </c>
      <c r="M186" s="207"/>
      <c r="N186" s="1094"/>
      <c r="O186" s="1095"/>
      <c r="P186" s="1095"/>
      <c r="Q186" s="1440" t="str">
        <f t="shared" si="144"/>
        <v>-</v>
      </c>
      <c r="R186" s="208"/>
      <c r="S186" s="209"/>
      <c r="T186" s="209"/>
      <c r="U186" s="210">
        <f t="shared" ref="U186:U190" si="147">+M186+IF(O186&lt;=P186,P186,O186)+R186+S186+T186</f>
        <v>0</v>
      </c>
      <c r="V186" s="927"/>
      <c r="W186" s="927"/>
      <c r="X186" s="118"/>
      <c r="Z186" s="118"/>
      <c r="AA186" s="118"/>
      <c r="AB186" s="118"/>
    </row>
    <row r="187" spans="1:30">
      <c r="A187" s="211" t="s">
        <v>435</v>
      </c>
      <c r="B187" s="212"/>
      <c r="C187" s="221"/>
      <c r="D187" s="1096">
        <v>130650</v>
      </c>
      <c r="E187" s="1096">
        <v>130650</v>
      </c>
      <c r="F187" s="1440">
        <f t="shared" si="141"/>
        <v>1</v>
      </c>
      <c r="G187" s="213"/>
      <c r="H187" s="214"/>
      <c r="I187" s="214"/>
      <c r="J187" s="215">
        <f t="shared" si="146"/>
        <v>130650</v>
      </c>
      <c r="K187" s="942"/>
      <c r="L187" s="211" t="s">
        <v>435</v>
      </c>
      <c r="M187" s="212"/>
      <c r="N187" s="221"/>
      <c r="O187" s="1096">
        <v>114709</v>
      </c>
      <c r="P187" s="1096">
        <v>114709</v>
      </c>
      <c r="Q187" s="1440">
        <f t="shared" si="144"/>
        <v>1</v>
      </c>
      <c r="R187" s="213"/>
      <c r="S187" s="214"/>
      <c r="T187" s="214"/>
      <c r="U187" s="215">
        <f t="shared" si="147"/>
        <v>114709</v>
      </c>
      <c r="V187" s="195"/>
      <c r="W187" s="195"/>
      <c r="X187" s="118"/>
      <c r="Y187" s="118"/>
      <c r="Z187" s="118"/>
      <c r="AA187" s="118"/>
      <c r="AB187" s="118"/>
      <c r="AC187" s="118"/>
      <c r="AD187" s="118"/>
    </row>
    <row r="188" spans="1:30">
      <c r="A188" s="211" t="s">
        <v>436</v>
      </c>
      <c r="B188" s="212"/>
      <c r="C188" s="221"/>
      <c r="D188" s="1096"/>
      <c r="E188" s="1096"/>
      <c r="F188" s="1440" t="str">
        <f t="shared" si="141"/>
        <v>-</v>
      </c>
      <c r="G188" s="213"/>
      <c r="H188" s="214"/>
      <c r="I188" s="214"/>
      <c r="J188" s="215">
        <f t="shared" si="146"/>
        <v>0</v>
      </c>
      <c r="K188" s="942"/>
      <c r="L188" s="211" t="s">
        <v>436</v>
      </c>
      <c r="M188" s="212"/>
      <c r="N188" s="221"/>
      <c r="O188" s="1096"/>
      <c r="P188" s="1096"/>
      <c r="Q188" s="1440" t="str">
        <f t="shared" si="144"/>
        <v>-</v>
      </c>
      <c r="R188" s="213"/>
      <c r="S188" s="214"/>
      <c r="T188" s="214"/>
      <c r="U188" s="215">
        <f t="shared" si="147"/>
        <v>0</v>
      </c>
      <c r="V188" s="195"/>
      <c r="W188" s="195"/>
      <c r="X188" s="118"/>
      <c r="Z188" s="118"/>
      <c r="AA188" s="118"/>
      <c r="AB188" s="118"/>
    </row>
    <row r="189" spans="1:30">
      <c r="A189" s="211" t="s">
        <v>437</v>
      </c>
      <c r="B189" s="212"/>
      <c r="C189" s="221"/>
      <c r="D189" s="1096"/>
      <c r="E189" s="1096"/>
      <c r="F189" s="1440" t="str">
        <f t="shared" si="141"/>
        <v>-</v>
      </c>
      <c r="G189" s="213"/>
      <c r="H189" s="214"/>
      <c r="I189" s="214"/>
      <c r="J189" s="215">
        <f t="shared" si="146"/>
        <v>0</v>
      </c>
      <c r="K189" s="942"/>
      <c r="L189" s="211" t="s">
        <v>437</v>
      </c>
      <c r="M189" s="212"/>
      <c r="N189" s="221"/>
      <c r="O189" s="1096"/>
      <c r="P189" s="1096"/>
      <c r="Q189" s="1440" t="str">
        <f t="shared" si="144"/>
        <v>-</v>
      </c>
      <c r="R189" s="213"/>
      <c r="S189" s="214"/>
      <c r="T189" s="214"/>
      <c r="U189" s="215">
        <f t="shared" si="147"/>
        <v>0</v>
      </c>
      <c r="V189" s="195"/>
      <c r="W189" s="195"/>
      <c r="X189" s="118"/>
      <c r="Z189" s="118"/>
      <c r="AA189" s="118"/>
      <c r="AB189" s="118"/>
    </row>
    <row r="190" spans="1:30" ht="12.75" thickBot="1">
      <c r="A190" s="211" t="s">
        <v>438</v>
      </c>
      <c r="B190" s="212"/>
      <c r="C190" s="221"/>
      <c r="D190" s="1096"/>
      <c r="E190" s="1096"/>
      <c r="F190" s="1440" t="str">
        <f t="shared" si="141"/>
        <v>-</v>
      </c>
      <c r="G190" s="213"/>
      <c r="H190" s="214"/>
      <c r="I190" s="214"/>
      <c r="J190" s="215">
        <f t="shared" si="146"/>
        <v>0</v>
      </c>
      <c r="K190" s="942"/>
      <c r="L190" s="211" t="s">
        <v>438</v>
      </c>
      <c r="M190" s="212"/>
      <c r="N190" s="221"/>
      <c r="O190" s="1096"/>
      <c r="P190" s="1096"/>
      <c r="Q190" s="1440" t="str">
        <f t="shared" si="144"/>
        <v>-</v>
      </c>
      <c r="R190" s="213"/>
      <c r="S190" s="214"/>
      <c r="T190" s="214"/>
      <c r="U190" s="215">
        <f t="shared" si="147"/>
        <v>0</v>
      </c>
      <c r="V190" s="195"/>
      <c r="W190" s="195"/>
      <c r="X190" s="118"/>
      <c r="Z190" s="118"/>
      <c r="AA190" s="118"/>
      <c r="AB190" s="118"/>
    </row>
    <row r="191" spans="1:30" ht="12.75" thickBot="1">
      <c r="A191" s="194" t="s">
        <v>439</v>
      </c>
      <c r="B191" s="216">
        <f t="shared" ref="B191:J191" si="148">+B185+B187+B188+B189+B190</f>
        <v>0</v>
      </c>
      <c r="C191" s="194">
        <f t="shared" si="148"/>
        <v>0</v>
      </c>
      <c r="D191" s="1098">
        <f t="shared" si="148"/>
        <v>78730</v>
      </c>
      <c r="E191" s="1098">
        <f t="shared" si="148"/>
        <v>78730</v>
      </c>
      <c r="F191" s="1441">
        <f t="shared" si="141"/>
        <v>1</v>
      </c>
      <c r="G191" s="218">
        <f t="shared" ref="G191:O191" si="149">+G185+G187+G188+G189+G190</f>
        <v>51920</v>
      </c>
      <c r="H191" s="216">
        <f t="shared" si="149"/>
        <v>0</v>
      </c>
      <c r="I191" s="216">
        <f t="shared" si="149"/>
        <v>0</v>
      </c>
      <c r="J191" s="217">
        <f t="shared" si="149"/>
        <v>130650</v>
      </c>
      <c r="K191" s="942"/>
      <c r="L191" s="194" t="s">
        <v>439</v>
      </c>
      <c r="M191" s="216">
        <f t="shared" ref="M191:U191" si="150">+M185+M187+M188+M189+M190</f>
        <v>0</v>
      </c>
      <c r="N191" s="194">
        <f t="shared" si="150"/>
        <v>0</v>
      </c>
      <c r="O191" s="1098">
        <f t="shared" si="150"/>
        <v>78058</v>
      </c>
      <c r="P191" s="1098">
        <f t="shared" si="150"/>
        <v>78058</v>
      </c>
      <c r="Q191" s="1441">
        <f t="shared" si="144"/>
        <v>1</v>
      </c>
      <c r="R191" s="218">
        <f t="shared" ref="R191:U191" si="151">+R185+R187+R188+R189+R190</f>
        <v>36651</v>
      </c>
      <c r="S191" s="216">
        <f t="shared" si="151"/>
        <v>0</v>
      </c>
      <c r="T191" s="216">
        <f t="shared" si="151"/>
        <v>0</v>
      </c>
      <c r="U191" s="217">
        <f t="shared" si="151"/>
        <v>114709</v>
      </c>
      <c r="V191" s="195"/>
      <c r="W191" s="195"/>
    </row>
    <row r="192" spans="1:30" ht="12.75" thickBot="1">
      <c r="A192" s="219"/>
      <c r="B192" s="219"/>
      <c r="C192" s="219"/>
      <c r="D192" s="219"/>
      <c r="E192" s="219"/>
      <c r="F192" s="219"/>
      <c r="G192" s="219"/>
      <c r="H192" s="219"/>
      <c r="I192" s="219"/>
      <c r="J192" s="219"/>
      <c r="K192" s="942"/>
      <c r="L192" s="219"/>
      <c r="M192" s="219"/>
      <c r="N192" s="219"/>
      <c r="O192" s="219"/>
      <c r="P192" s="219"/>
      <c r="Q192" s="219"/>
      <c r="R192" s="219"/>
      <c r="S192" s="219"/>
      <c r="T192" s="219"/>
      <c r="U192" s="219"/>
      <c r="V192" s="219"/>
      <c r="W192" s="219"/>
    </row>
    <row r="193" spans="1:30" s="941" customFormat="1" ht="36.75" thickBot="1">
      <c r="A193" s="401" t="s">
        <v>440</v>
      </c>
      <c r="B193" s="402" t="s">
        <v>1329</v>
      </c>
      <c r="C193" s="1887" t="s">
        <v>1474</v>
      </c>
      <c r="D193" s="1482" t="s">
        <v>1475</v>
      </c>
      <c r="E193" s="1482" t="s">
        <v>1529</v>
      </c>
      <c r="F193" s="1483" t="s">
        <v>1527</v>
      </c>
      <c r="G193" s="382" t="s">
        <v>460</v>
      </c>
      <c r="H193" s="383" t="s">
        <v>461</v>
      </c>
      <c r="I193" s="383" t="s">
        <v>1330</v>
      </c>
      <c r="J193" s="1202" t="s">
        <v>18</v>
      </c>
      <c r="K193" s="944"/>
      <c r="L193" s="401" t="s">
        <v>440</v>
      </c>
      <c r="M193" s="402" t="s">
        <v>1329</v>
      </c>
      <c r="N193" s="1887" t="s">
        <v>1474</v>
      </c>
      <c r="O193" s="1482" t="s">
        <v>1475</v>
      </c>
      <c r="P193" s="1482" t="s">
        <v>1529</v>
      </c>
      <c r="Q193" s="1483" t="s">
        <v>1527</v>
      </c>
      <c r="R193" s="382" t="s">
        <v>460</v>
      </c>
      <c r="S193" s="383" t="s">
        <v>461</v>
      </c>
      <c r="T193" s="383" t="s">
        <v>1330</v>
      </c>
      <c r="U193" s="1202" t="s">
        <v>18</v>
      </c>
      <c r="V193" s="926"/>
      <c r="W193" s="926"/>
    </row>
    <row r="194" spans="1:30">
      <c r="A194" s="201" t="s">
        <v>446</v>
      </c>
      <c r="B194" s="202"/>
      <c r="C194" s="1092"/>
      <c r="D194" s="1093">
        <v>27902</v>
      </c>
      <c r="E194" s="1093">
        <v>27902</v>
      </c>
      <c r="F194" s="1439">
        <f t="shared" ref="F194:F202" si="152">IF(ISERROR(E194/D194),"-",E194/D194)</f>
        <v>1</v>
      </c>
      <c r="G194" s="203"/>
      <c r="H194" s="204"/>
      <c r="I194" s="204"/>
      <c r="J194" s="205">
        <f t="shared" ref="J194:J201" si="153">+B194+IF(D194&lt;=E194,E194,D194)+G194+H194+I194</f>
        <v>27902</v>
      </c>
      <c r="K194" s="942"/>
      <c r="L194" s="201" t="s">
        <v>446</v>
      </c>
      <c r="M194" s="202"/>
      <c r="N194" s="1092"/>
      <c r="O194" s="1093">
        <v>9940</v>
      </c>
      <c r="P194" s="1093">
        <v>9940</v>
      </c>
      <c r="Q194" s="1439">
        <f t="shared" ref="Q194:Q202" si="154">IF(ISERROR(P194/O194),"-",P194/O194)</f>
        <v>1</v>
      </c>
      <c r="R194" s="203"/>
      <c r="S194" s="204"/>
      <c r="T194" s="204"/>
      <c r="U194" s="205">
        <f t="shared" ref="U194:U201" si="155">+M194+IF(O194&lt;=P194,P194,O194)+R194+S194+T194</f>
        <v>9940</v>
      </c>
      <c r="V194" s="195"/>
      <c r="W194" s="195"/>
      <c r="X194" s="118"/>
      <c r="Y194" s="118"/>
      <c r="Z194" s="118"/>
      <c r="AA194" s="118"/>
      <c r="AB194" s="118"/>
      <c r="AC194" s="118"/>
      <c r="AD194" s="118"/>
    </row>
    <row r="195" spans="1:30">
      <c r="A195" s="220" t="s">
        <v>447</v>
      </c>
      <c r="B195" s="212"/>
      <c r="C195" s="221"/>
      <c r="D195" s="1096">
        <v>4673</v>
      </c>
      <c r="E195" s="1096">
        <v>4673</v>
      </c>
      <c r="F195" s="1440">
        <f t="shared" si="152"/>
        <v>1</v>
      </c>
      <c r="G195" s="213"/>
      <c r="H195" s="214"/>
      <c r="I195" s="214"/>
      <c r="J195" s="215">
        <f t="shared" si="153"/>
        <v>4673</v>
      </c>
      <c r="K195" s="942"/>
      <c r="L195" s="220" t="s">
        <v>447</v>
      </c>
      <c r="M195" s="212"/>
      <c r="N195" s="221"/>
      <c r="O195" s="1096">
        <v>1850</v>
      </c>
      <c r="P195" s="1096">
        <v>1850</v>
      </c>
      <c r="Q195" s="1440">
        <f t="shared" si="154"/>
        <v>1</v>
      </c>
      <c r="R195" s="213"/>
      <c r="S195" s="214"/>
      <c r="T195" s="214"/>
      <c r="U195" s="215">
        <f t="shared" si="155"/>
        <v>1850</v>
      </c>
      <c r="V195" s="195"/>
      <c r="W195" s="195"/>
      <c r="X195" s="118"/>
      <c r="Y195" s="118"/>
      <c r="Z195" s="118"/>
      <c r="AA195" s="118"/>
      <c r="AB195" s="118"/>
      <c r="AC195" s="118"/>
      <c r="AD195" s="118"/>
    </row>
    <row r="196" spans="1:30">
      <c r="A196" s="211" t="s">
        <v>448</v>
      </c>
      <c r="B196" s="212"/>
      <c r="C196" s="221"/>
      <c r="D196" s="1096">
        <v>41969</v>
      </c>
      <c r="E196" s="1096">
        <v>41969</v>
      </c>
      <c r="F196" s="1440">
        <f t="shared" si="152"/>
        <v>1</v>
      </c>
      <c r="G196" s="213">
        <v>51920</v>
      </c>
      <c r="H196" s="214"/>
      <c r="I196" s="214"/>
      <c r="J196" s="215">
        <f t="shared" si="153"/>
        <v>93889</v>
      </c>
      <c r="K196" s="942"/>
      <c r="L196" s="211" t="s">
        <v>448</v>
      </c>
      <c r="M196" s="212"/>
      <c r="N196" s="221"/>
      <c r="O196" s="1096">
        <v>58079</v>
      </c>
      <c r="P196" s="1096">
        <v>58079</v>
      </c>
      <c r="Q196" s="1440">
        <f t="shared" si="154"/>
        <v>1</v>
      </c>
      <c r="R196" s="213">
        <f>36720-69</f>
        <v>36651</v>
      </c>
      <c r="S196" s="214"/>
      <c r="T196" s="214"/>
      <c r="U196" s="215">
        <f t="shared" si="155"/>
        <v>94730</v>
      </c>
      <c r="V196" s="195"/>
      <c r="W196" s="195"/>
      <c r="X196" s="118"/>
      <c r="Y196" s="118"/>
      <c r="Z196" s="118"/>
      <c r="AA196" s="118"/>
      <c r="AB196" s="118"/>
      <c r="AC196" s="118"/>
      <c r="AD196" s="118"/>
    </row>
    <row r="197" spans="1:30">
      <c r="A197" s="211" t="s">
        <v>449</v>
      </c>
      <c r="B197" s="212"/>
      <c r="C197" s="221"/>
      <c r="D197" s="1096"/>
      <c r="E197" s="1096"/>
      <c r="F197" s="1440" t="str">
        <f t="shared" si="152"/>
        <v>-</v>
      </c>
      <c r="G197" s="213"/>
      <c r="H197" s="214"/>
      <c r="I197" s="214"/>
      <c r="J197" s="215">
        <f t="shared" si="153"/>
        <v>0</v>
      </c>
      <c r="K197" s="942"/>
      <c r="L197" s="211" t="s">
        <v>449</v>
      </c>
      <c r="M197" s="212"/>
      <c r="N197" s="221"/>
      <c r="O197" s="1096"/>
      <c r="P197" s="1096"/>
      <c r="Q197" s="1440" t="str">
        <f t="shared" si="154"/>
        <v>-</v>
      </c>
      <c r="R197" s="213"/>
      <c r="S197" s="214"/>
      <c r="T197" s="214"/>
      <c r="U197" s="215">
        <f t="shared" si="155"/>
        <v>0</v>
      </c>
      <c r="V197" s="195"/>
      <c r="W197" s="195"/>
      <c r="X197" s="118"/>
      <c r="Z197" s="118"/>
      <c r="AA197" s="118"/>
      <c r="AB197" s="118"/>
      <c r="AD197" s="118"/>
    </row>
    <row r="198" spans="1:30">
      <c r="A198" s="221" t="s">
        <v>450</v>
      </c>
      <c r="B198" s="222"/>
      <c r="C198" s="221"/>
      <c r="D198" s="1096"/>
      <c r="E198" s="1096"/>
      <c r="F198" s="1440" t="str">
        <f t="shared" si="152"/>
        <v>-</v>
      </c>
      <c r="G198" s="213"/>
      <c r="H198" s="214"/>
      <c r="I198" s="214"/>
      <c r="J198" s="215">
        <f t="shared" si="153"/>
        <v>0</v>
      </c>
      <c r="K198" s="942"/>
      <c r="L198" s="221" t="s">
        <v>450</v>
      </c>
      <c r="M198" s="222"/>
      <c r="N198" s="221"/>
      <c r="O198" s="1096">
        <v>2600</v>
      </c>
      <c r="P198" s="1096">
        <v>2600</v>
      </c>
      <c r="Q198" s="1440">
        <f t="shared" si="154"/>
        <v>1</v>
      </c>
      <c r="R198" s="213"/>
      <c r="S198" s="214"/>
      <c r="T198" s="214"/>
      <c r="U198" s="215">
        <f t="shared" si="155"/>
        <v>2600</v>
      </c>
      <c r="V198" s="195"/>
      <c r="W198" s="195"/>
      <c r="X198" s="118"/>
      <c r="Y198" s="118"/>
      <c r="Z198" s="118"/>
      <c r="AA198" s="118"/>
      <c r="AB198" s="118"/>
      <c r="AC198" s="118"/>
      <c r="AD198" s="118"/>
    </row>
    <row r="199" spans="1:30">
      <c r="A199" s="221" t="s">
        <v>451</v>
      </c>
      <c r="B199" s="222"/>
      <c r="C199" s="221"/>
      <c r="D199" s="1096">
        <v>4186</v>
      </c>
      <c r="E199" s="1096">
        <v>4186</v>
      </c>
      <c r="F199" s="1440">
        <f t="shared" si="152"/>
        <v>1</v>
      </c>
      <c r="G199" s="213"/>
      <c r="H199" s="214"/>
      <c r="I199" s="214"/>
      <c r="J199" s="215">
        <f t="shared" si="153"/>
        <v>4186</v>
      </c>
      <c r="K199" s="942"/>
      <c r="L199" s="221" t="s">
        <v>451</v>
      </c>
      <c r="M199" s="222"/>
      <c r="N199" s="221"/>
      <c r="O199" s="1096">
        <v>5589</v>
      </c>
      <c r="P199" s="1096">
        <v>5589</v>
      </c>
      <c r="Q199" s="1440">
        <f t="shared" si="154"/>
        <v>1</v>
      </c>
      <c r="R199" s="213"/>
      <c r="S199" s="214"/>
      <c r="T199" s="214"/>
      <c r="U199" s="215">
        <f t="shared" si="155"/>
        <v>5589</v>
      </c>
      <c r="V199" s="195"/>
      <c r="W199" s="195"/>
      <c r="X199" s="118"/>
      <c r="Y199" s="118"/>
      <c r="Z199" s="118"/>
      <c r="AA199" s="118"/>
      <c r="AB199" s="118"/>
      <c r="AC199" s="118"/>
      <c r="AD199" s="118"/>
    </row>
    <row r="200" spans="1:30">
      <c r="A200" s="223" t="s">
        <v>452</v>
      </c>
      <c r="B200" s="224"/>
      <c r="C200" s="223"/>
      <c r="D200" s="1099"/>
      <c r="E200" s="1099"/>
      <c r="F200" s="1442" t="str">
        <f t="shared" si="152"/>
        <v>-</v>
      </c>
      <c r="G200" s="225"/>
      <c r="H200" s="226"/>
      <c r="I200" s="226"/>
      <c r="J200" s="215">
        <f t="shared" si="153"/>
        <v>0</v>
      </c>
      <c r="K200" s="942"/>
      <c r="L200" s="223" t="s">
        <v>452</v>
      </c>
      <c r="M200" s="224"/>
      <c r="N200" s="223"/>
      <c r="O200" s="1099"/>
      <c r="P200" s="1099"/>
      <c r="Q200" s="1442" t="str">
        <f t="shared" si="154"/>
        <v>-</v>
      </c>
      <c r="R200" s="213"/>
      <c r="S200" s="226"/>
      <c r="T200" s="226"/>
      <c r="U200" s="215">
        <f t="shared" si="155"/>
        <v>0</v>
      </c>
      <c r="V200" s="195"/>
      <c r="W200" s="195"/>
      <c r="X200" s="118"/>
      <c r="Y200" s="118"/>
      <c r="Z200" s="118"/>
      <c r="AA200" s="118"/>
      <c r="AB200" s="118"/>
      <c r="AC200" s="118"/>
      <c r="AD200" s="118"/>
    </row>
    <row r="201" spans="1:30" ht="12.75" thickBot="1">
      <c r="A201" s="223" t="s">
        <v>453</v>
      </c>
      <c r="B201" s="224"/>
      <c r="C201" s="223"/>
      <c r="D201" s="1099"/>
      <c r="E201" s="1099"/>
      <c r="F201" s="1442" t="str">
        <f t="shared" si="152"/>
        <v>-</v>
      </c>
      <c r="G201" s="225"/>
      <c r="H201" s="226"/>
      <c r="I201" s="226"/>
      <c r="J201" s="215">
        <f t="shared" si="153"/>
        <v>0</v>
      </c>
      <c r="K201" s="942"/>
      <c r="L201" s="223" t="s">
        <v>453</v>
      </c>
      <c r="M201" s="224"/>
      <c r="N201" s="223"/>
      <c r="O201" s="1099"/>
      <c r="P201" s="1099"/>
      <c r="Q201" s="1442" t="str">
        <f t="shared" si="154"/>
        <v>-</v>
      </c>
      <c r="R201" s="225"/>
      <c r="S201" s="226"/>
      <c r="T201" s="226"/>
      <c r="U201" s="215">
        <f t="shared" si="155"/>
        <v>0</v>
      </c>
      <c r="V201" s="195"/>
      <c r="W201" s="195"/>
      <c r="X201" s="118"/>
      <c r="Y201" s="118"/>
      <c r="Z201" s="118"/>
      <c r="AA201" s="118"/>
      <c r="AB201" s="118"/>
      <c r="AC201" s="118"/>
      <c r="AD201" s="118"/>
    </row>
    <row r="202" spans="1:30" ht="12.75" thickBot="1">
      <c r="A202" s="194" t="s">
        <v>454</v>
      </c>
      <c r="B202" s="216">
        <f t="shared" ref="B202:J202" si="156">+B194+B195+B196+B197+B198+B199+B200+B201</f>
        <v>0</v>
      </c>
      <c r="C202" s="194">
        <f t="shared" si="156"/>
        <v>0</v>
      </c>
      <c r="D202" s="1098">
        <f t="shared" si="156"/>
        <v>78730</v>
      </c>
      <c r="E202" s="1098">
        <f t="shared" si="156"/>
        <v>78730</v>
      </c>
      <c r="F202" s="1441">
        <f t="shared" si="152"/>
        <v>1</v>
      </c>
      <c r="G202" s="218">
        <f t="shared" ref="G202:O202" si="157">+G194+G195+G196+G197+G198+G199+G200+G201</f>
        <v>51920</v>
      </c>
      <c r="H202" s="216">
        <f t="shared" si="157"/>
        <v>0</v>
      </c>
      <c r="I202" s="216">
        <f t="shared" si="157"/>
        <v>0</v>
      </c>
      <c r="J202" s="217">
        <f t="shared" si="157"/>
        <v>130650</v>
      </c>
      <c r="L202" s="194" t="s">
        <v>454</v>
      </c>
      <c r="M202" s="216">
        <f t="shared" ref="M202:U202" si="158">+M194+M195+M196+M197+M198+M199+M200+M201</f>
        <v>0</v>
      </c>
      <c r="N202" s="194">
        <f t="shared" si="158"/>
        <v>0</v>
      </c>
      <c r="O202" s="1098">
        <f t="shared" si="158"/>
        <v>78058</v>
      </c>
      <c r="P202" s="1098">
        <f t="shared" si="158"/>
        <v>78058</v>
      </c>
      <c r="Q202" s="1441">
        <f t="shared" si="154"/>
        <v>1</v>
      </c>
      <c r="R202" s="218">
        <f t="shared" ref="R202:U202" si="159">+R194+R195+R196+R197+R198+R199+R200+R201</f>
        <v>36651</v>
      </c>
      <c r="S202" s="216">
        <f t="shared" si="159"/>
        <v>0</v>
      </c>
      <c r="T202" s="216">
        <f t="shared" si="159"/>
        <v>0</v>
      </c>
      <c r="U202" s="217">
        <f t="shared" si="159"/>
        <v>114709</v>
      </c>
      <c r="V202" s="195"/>
      <c r="W202" s="195"/>
      <c r="Y202" s="942"/>
      <c r="AC202" s="942"/>
    </row>
    <row r="203" spans="1:30">
      <c r="A203" s="195"/>
      <c r="B203" s="195"/>
      <c r="C203" s="195"/>
      <c r="D203" s="195"/>
      <c r="E203" s="195"/>
      <c r="F203" s="195"/>
      <c r="G203" s="195"/>
      <c r="H203" s="195"/>
      <c r="I203" s="195"/>
      <c r="J203" s="195"/>
      <c r="K203" s="942"/>
      <c r="L203" s="195"/>
      <c r="M203" s="195"/>
      <c r="N203" s="195"/>
      <c r="O203" s="195"/>
      <c r="P203" s="195"/>
      <c r="Q203" s="195"/>
      <c r="R203" s="195"/>
      <c r="S203" s="195"/>
      <c r="T203" s="195"/>
      <c r="U203" s="195"/>
      <c r="V203" s="195"/>
      <c r="W203" s="195"/>
    </row>
    <row r="205" spans="1:30" s="935" customFormat="1" ht="15.75">
      <c r="A205" s="193" t="s">
        <v>2724</v>
      </c>
      <c r="B205" s="1199" t="s">
        <v>2731</v>
      </c>
      <c r="C205" s="1199"/>
      <c r="D205" s="1199"/>
      <c r="E205" s="1199"/>
      <c r="F205" s="1199"/>
      <c r="G205" s="1199"/>
      <c r="H205" s="1199"/>
      <c r="I205" s="1199"/>
      <c r="J205" s="1199"/>
      <c r="K205" s="831"/>
      <c r="L205" s="193" t="s">
        <v>2749</v>
      </c>
      <c r="M205" s="1196" t="s">
        <v>2734</v>
      </c>
      <c r="N205" s="1196"/>
      <c r="O205" s="1196"/>
      <c r="P205" s="1196"/>
      <c r="Q205" s="1196"/>
      <c r="R205" s="1196"/>
      <c r="S205" s="1199"/>
      <c r="T205" s="1199"/>
      <c r="U205" s="1199"/>
      <c r="V205" s="1196"/>
      <c r="W205" s="1196"/>
    </row>
    <row r="206" spans="1:30" s="935" customFormat="1" ht="15.75" customHeight="1">
      <c r="A206" s="1248" t="s">
        <v>2732</v>
      </c>
      <c r="B206" s="1248"/>
      <c r="C206" s="1248"/>
      <c r="D206" s="1248"/>
      <c r="E206" s="1248"/>
      <c r="F206" s="1248"/>
      <c r="G206" s="1248"/>
      <c r="H206" s="1248"/>
      <c r="I206" s="1248"/>
      <c r="J206" s="1248"/>
      <c r="K206" s="831"/>
      <c r="L206" s="1248" t="s">
        <v>2735</v>
      </c>
      <c r="M206" s="1248"/>
      <c r="N206" s="1248"/>
      <c r="O206" s="1248"/>
      <c r="P206" s="1248"/>
      <c r="Q206" s="1248"/>
      <c r="R206" s="1248"/>
      <c r="S206" s="1248"/>
      <c r="T206" s="1248"/>
      <c r="U206" s="1248"/>
      <c r="V206" s="1197"/>
      <c r="W206" s="1197"/>
    </row>
    <row r="207" spans="1:30" s="935" customFormat="1" ht="15.75">
      <c r="A207" s="1245" t="s">
        <v>1214</v>
      </c>
      <c r="B207" s="1245"/>
      <c r="C207" s="1245"/>
      <c r="D207" s="1245"/>
      <c r="E207" s="1245"/>
      <c r="F207" s="1245"/>
      <c r="G207" s="1245"/>
      <c r="H207" s="1245"/>
      <c r="I207" s="1245"/>
      <c r="J207" s="1245"/>
      <c r="K207" s="831"/>
      <c r="L207" s="1245" t="s">
        <v>1214</v>
      </c>
      <c r="M207" s="1245"/>
      <c r="N207" s="1245"/>
      <c r="O207" s="1245"/>
      <c r="P207" s="1245"/>
      <c r="Q207" s="1245"/>
      <c r="R207" s="1245"/>
      <c r="S207" s="1245"/>
      <c r="T207" s="1245"/>
      <c r="U207" s="1245"/>
      <c r="V207" s="1198"/>
      <c r="W207" s="1198"/>
    </row>
    <row r="208" spans="1:30" s="938" customFormat="1" ht="12.75" thickBot="1">
      <c r="A208" s="937"/>
      <c r="B208" s="937"/>
      <c r="G208" s="937"/>
      <c r="H208" s="937"/>
      <c r="J208" s="238" t="s">
        <v>281</v>
      </c>
      <c r="K208" s="939"/>
      <c r="L208" s="937"/>
      <c r="M208" s="937"/>
      <c r="N208" s="937"/>
      <c r="O208" s="937"/>
      <c r="P208" s="937"/>
      <c r="Q208" s="937"/>
      <c r="R208" s="937"/>
      <c r="S208" s="937"/>
      <c r="U208" s="238" t="s">
        <v>281</v>
      </c>
      <c r="V208" s="925"/>
      <c r="W208" s="925"/>
    </row>
    <row r="209" spans="1:30" s="941" customFormat="1" ht="36.75" thickBot="1">
      <c r="A209" s="401" t="s">
        <v>432</v>
      </c>
      <c r="B209" s="402" t="s">
        <v>1329</v>
      </c>
      <c r="C209" s="1887" t="s">
        <v>1474</v>
      </c>
      <c r="D209" s="1482" t="s">
        <v>1475</v>
      </c>
      <c r="E209" s="1482" t="s">
        <v>1529</v>
      </c>
      <c r="F209" s="1483" t="s">
        <v>1527</v>
      </c>
      <c r="G209" s="382" t="s">
        <v>460</v>
      </c>
      <c r="H209" s="383" t="s">
        <v>461</v>
      </c>
      <c r="I209" s="383" t="s">
        <v>1330</v>
      </c>
      <c r="J209" s="1202" t="s">
        <v>18</v>
      </c>
      <c r="K209" s="940"/>
      <c r="L209" s="401" t="s">
        <v>432</v>
      </c>
      <c r="M209" s="402" t="s">
        <v>1329</v>
      </c>
      <c r="N209" s="1887" t="s">
        <v>1474</v>
      </c>
      <c r="O209" s="1482" t="s">
        <v>1475</v>
      </c>
      <c r="P209" s="1482" t="s">
        <v>1529</v>
      </c>
      <c r="Q209" s="1483" t="s">
        <v>1527</v>
      </c>
      <c r="R209" s="382" t="s">
        <v>460</v>
      </c>
      <c r="S209" s="383" t="s">
        <v>461</v>
      </c>
      <c r="T209" s="383" t="s">
        <v>1330</v>
      </c>
      <c r="U209" s="1202" t="s">
        <v>18</v>
      </c>
      <c r="V209" s="926"/>
      <c r="W209" s="926"/>
    </row>
    <row r="210" spans="1:30">
      <c r="A210" s="201" t="s">
        <v>433</v>
      </c>
      <c r="B210" s="202">
        <f t="shared" ref="B210:J210" si="160">+B227-B215-B214-B213-B212</f>
        <v>0</v>
      </c>
      <c r="C210" s="1092">
        <f t="shared" si="160"/>
        <v>0</v>
      </c>
      <c r="D210" s="1093">
        <f t="shared" si="160"/>
        <v>-51183</v>
      </c>
      <c r="E210" s="1093">
        <f t="shared" si="160"/>
        <v>-51183</v>
      </c>
      <c r="F210" s="1439">
        <f t="shared" ref="F210:F216" si="161">IF(ISERROR(E210/D210),"-",E210/D210)</f>
        <v>1</v>
      </c>
      <c r="G210" s="203">
        <f t="shared" ref="G210:O210" si="162">+G227-G215-G214-G213-G212</f>
        <v>51183</v>
      </c>
      <c r="H210" s="204">
        <f t="shared" si="162"/>
        <v>0</v>
      </c>
      <c r="I210" s="204">
        <f t="shared" si="162"/>
        <v>0</v>
      </c>
      <c r="J210" s="205">
        <f t="shared" si="162"/>
        <v>0</v>
      </c>
      <c r="K210" s="942"/>
      <c r="L210" s="201" t="s">
        <v>433</v>
      </c>
      <c r="M210" s="202">
        <f t="shared" ref="M210:U210" si="163">+M227-M215-M214-M213-M212</f>
        <v>0</v>
      </c>
      <c r="N210" s="1092">
        <f t="shared" si="163"/>
        <v>0</v>
      </c>
      <c r="O210" s="1093">
        <f t="shared" si="163"/>
        <v>-28285</v>
      </c>
      <c r="P210" s="1093">
        <f t="shared" si="163"/>
        <v>-28285</v>
      </c>
      <c r="Q210" s="1439">
        <f t="shared" ref="Q210:Q216" si="164">IF(ISERROR(P210/O210),"-",P210/O210)</f>
        <v>1</v>
      </c>
      <c r="R210" s="203">
        <f t="shared" ref="R210:U210" si="165">+R227-R215-R214-R213-R212</f>
        <v>28285</v>
      </c>
      <c r="S210" s="204">
        <f t="shared" si="165"/>
        <v>0</v>
      </c>
      <c r="T210" s="204">
        <f t="shared" si="165"/>
        <v>0</v>
      </c>
      <c r="U210" s="205">
        <f t="shared" si="165"/>
        <v>0</v>
      </c>
      <c r="V210" s="195"/>
      <c r="W210" s="195"/>
    </row>
    <row r="211" spans="1:30">
      <c r="A211" s="206" t="s">
        <v>434</v>
      </c>
      <c r="B211" s="207"/>
      <c r="C211" s="1094"/>
      <c r="D211" s="1095"/>
      <c r="E211" s="1095"/>
      <c r="F211" s="1440" t="str">
        <f t="shared" si="161"/>
        <v>-</v>
      </c>
      <c r="G211" s="208"/>
      <c r="H211" s="209"/>
      <c r="I211" s="209"/>
      <c r="J211" s="210">
        <f t="shared" ref="J211:J215" si="166">+B211+IF(D211&lt;=E211,E211,D211)+G211+H211+I211</f>
        <v>0</v>
      </c>
      <c r="K211" s="942"/>
      <c r="L211" s="206" t="s">
        <v>434</v>
      </c>
      <c r="M211" s="207"/>
      <c r="N211" s="1094"/>
      <c r="O211" s="1095"/>
      <c r="P211" s="1095"/>
      <c r="Q211" s="1440" t="str">
        <f t="shared" si="164"/>
        <v>-</v>
      </c>
      <c r="R211" s="208"/>
      <c r="S211" s="209"/>
      <c r="T211" s="209"/>
      <c r="U211" s="210">
        <f t="shared" ref="U211:U215" si="167">+M211+IF(O211&lt;=P211,P211,O211)+R211+S211+T211</f>
        <v>0</v>
      </c>
      <c r="V211" s="927"/>
      <c r="W211" s="927"/>
      <c r="X211" s="118"/>
      <c r="Z211" s="118"/>
      <c r="AA211" s="118"/>
      <c r="AB211" s="118"/>
    </row>
    <row r="212" spans="1:30">
      <c r="A212" s="211" t="s">
        <v>435</v>
      </c>
      <c r="B212" s="212"/>
      <c r="C212" s="221"/>
      <c r="D212" s="1096">
        <v>80175</v>
      </c>
      <c r="E212" s="1096">
        <v>80175</v>
      </c>
      <c r="F212" s="1440">
        <f t="shared" si="161"/>
        <v>1</v>
      </c>
      <c r="G212" s="213"/>
      <c r="H212" s="214"/>
      <c r="I212" s="214"/>
      <c r="J212" s="215">
        <f t="shared" si="166"/>
        <v>80175</v>
      </c>
      <c r="K212" s="942"/>
      <c r="L212" s="211" t="s">
        <v>435</v>
      </c>
      <c r="M212" s="212"/>
      <c r="N212" s="221"/>
      <c r="O212" s="1096">
        <v>28285</v>
      </c>
      <c r="P212" s="1096">
        <v>28285</v>
      </c>
      <c r="Q212" s="1440">
        <f t="shared" si="164"/>
        <v>1</v>
      </c>
      <c r="R212" s="213"/>
      <c r="S212" s="214"/>
      <c r="T212" s="214"/>
      <c r="U212" s="215">
        <f t="shared" si="167"/>
        <v>28285</v>
      </c>
      <c r="V212" s="195"/>
      <c r="W212" s="195"/>
      <c r="X212" s="118"/>
      <c r="Y212" s="118"/>
      <c r="Z212" s="118"/>
      <c r="AA212" s="118"/>
      <c r="AB212" s="118"/>
      <c r="AC212" s="118"/>
      <c r="AD212" s="118"/>
    </row>
    <row r="213" spans="1:30">
      <c r="A213" s="211" t="s">
        <v>436</v>
      </c>
      <c r="B213" s="212"/>
      <c r="C213" s="221"/>
      <c r="D213" s="1096"/>
      <c r="E213" s="1096"/>
      <c r="F213" s="1440" t="str">
        <f t="shared" si="161"/>
        <v>-</v>
      </c>
      <c r="G213" s="213"/>
      <c r="H213" s="214"/>
      <c r="I213" s="214"/>
      <c r="J213" s="215">
        <f t="shared" si="166"/>
        <v>0</v>
      </c>
      <c r="K213" s="942"/>
      <c r="L213" s="211" t="s">
        <v>436</v>
      </c>
      <c r="M213" s="212"/>
      <c r="N213" s="221"/>
      <c r="O213" s="1096"/>
      <c r="P213" s="1096"/>
      <c r="Q213" s="1440" t="str">
        <f t="shared" si="164"/>
        <v>-</v>
      </c>
      <c r="R213" s="213"/>
      <c r="S213" s="214"/>
      <c r="T213" s="214"/>
      <c r="U213" s="215">
        <f t="shared" si="167"/>
        <v>0</v>
      </c>
      <c r="V213" s="195"/>
      <c r="W213" s="195"/>
      <c r="X213" s="118"/>
      <c r="Z213" s="118"/>
      <c r="AA213" s="118"/>
      <c r="AB213" s="118"/>
    </row>
    <row r="214" spans="1:30">
      <c r="A214" s="211" t="s">
        <v>437</v>
      </c>
      <c r="B214" s="212"/>
      <c r="C214" s="221"/>
      <c r="D214" s="1096"/>
      <c r="E214" s="1096"/>
      <c r="F214" s="1440" t="str">
        <f t="shared" si="161"/>
        <v>-</v>
      </c>
      <c r="G214" s="213"/>
      <c r="H214" s="214"/>
      <c r="I214" s="214"/>
      <c r="J214" s="215">
        <f t="shared" si="166"/>
        <v>0</v>
      </c>
      <c r="K214" s="942"/>
      <c r="L214" s="211" t="s">
        <v>437</v>
      </c>
      <c r="M214" s="212"/>
      <c r="N214" s="221"/>
      <c r="O214" s="1096"/>
      <c r="P214" s="1096"/>
      <c r="Q214" s="1440" t="str">
        <f t="shared" si="164"/>
        <v>-</v>
      </c>
      <c r="R214" s="213"/>
      <c r="S214" s="214"/>
      <c r="T214" s="214"/>
      <c r="U214" s="215">
        <f t="shared" si="167"/>
        <v>0</v>
      </c>
      <c r="V214" s="195"/>
      <c r="W214" s="195"/>
      <c r="X214" s="118"/>
      <c r="Z214" s="118"/>
      <c r="AA214" s="118"/>
      <c r="AB214" s="118"/>
    </row>
    <row r="215" spans="1:30" ht="12.75" thickBot="1">
      <c r="A215" s="211" t="s">
        <v>438</v>
      </c>
      <c r="B215" s="212"/>
      <c r="C215" s="221"/>
      <c r="D215" s="1096"/>
      <c r="E215" s="1096"/>
      <c r="F215" s="1440" t="str">
        <f t="shared" si="161"/>
        <v>-</v>
      </c>
      <c r="G215" s="213"/>
      <c r="H215" s="214"/>
      <c r="I215" s="214"/>
      <c r="J215" s="215">
        <f t="shared" si="166"/>
        <v>0</v>
      </c>
      <c r="K215" s="942"/>
      <c r="L215" s="211" t="s">
        <v>438</v>
      </c>
      <c r="M215" s="212"/>
      <c r="N215" s="221"/>
      <c r="O215" s="1096"/>
      <c r="P215" s="1096"/>
      <c r="Q215" s="1440" t="str">
        <f t="shared" si="164"/>
        <v>-</v>
      </c>
      <c r="R215" s="213"/>
      <c r="S215" s="214"/>
      <c r="T215" s="214"/>
      <c r="U215" s="215">
        <f t="shared" si="167"/>
        <v>0</v>
      </c>
      <c r="V215" s="195"/>
      <c r="W215" s="195"/>
      <c r="X215" s="118"/>
      <c r="Z215" s="118"/>
      <c r="AA215" s="118"/>
      <c r="AB215" s="118"/>
    </row>
    <row r="216" spans="1:30" ht="12.75" thickBot="1">
      <c r="A216" s="194" t="s">
        <v>439</v>
      </c>
      <c r="B216" s="216">
        <f t="shared" ref="B216:J216" si="168">+B210+B212+B213+B214+B215</f>
        <v>0</v>
      </c>
      <c r="C216" s="194">
        <f t="shared" si="168"/>
        <v>0</v>
      </c>
      <c r="D216" s="1098">
        <f t="shared" si="168"/>
        <v>28992</v>
      </c>
      <c r="E216" s="1098">
        <f t="shared" si="168"/>
        <v>28992</v>
      </c>
      <c r="F216" s="1441">
        <f t="shared" si="161"/>
        <v>1</v>
      </c>
      <c r="G216" s="218">
        <f t="shared" ref="G216:O216" si="169">+G210+G212+G213+G214+G215</f>
        <v>51183</v>
      </c>
      <c r="H216" s="216">
        <f t="shared" si="169"/>
        <v>0</v>
      </c>
      <c r="I216" s="216">
        <f t="shared" si="169"/>
        <v>0</v>
      </c>
      <c r="J216" s="217">
        <f t="shared" si="169"/>
        <v>80175</v>
      </c>
      <c r="K216" s="942"/>
      <c r="L216" s="194" t="s">
        <v>439</v>
      </c>
      <c r="M216" s="216">
        <f t="shared" ref="M216:U216" si="170">+M210+M212+M213+M214+M215</f>
        <v>0</v>
      </c>
      <c r="N216" s="194">
        <f t="shared" si="170"/>
        <v>0</v>
      </c>
      <c r="O216" s="1098">
        <f t="shared" si="170"/>
        <v>0</v>
      </c>
      <c r="P216" s="1098">
        <f t="shared" si="170"/>
        <v>0</v>
      </c>
      <c r="Q216" s="1441" t="str">
        <f t="shared" si="164"/>
        <v>-</v>
      </c>
      <c r="R216" s="218">
        <f t="shared" ref="R216:U216" si="171">+R210+R212+R213+R214+R215</f>
        <v>28285</v>
      </c>
      <c r="S216" s="216">
        <f t="shared" si="171"/>
        <v>0</v>
      </c>
      <c r="T216" s="216">
        <f t="shared" si="171"/>
        <v>0</v>
      </c>
      <c r="U216" s="217">
        <f t="shared" si="171"/>
        <v>28285</v>
      </c>
      <c r="V216" s="195"/>
      <c r="W216" s="195"/>
    </row>
    <row r="217" spans="1:30" ht="12.75" thickBot="1">
      <c r="A217" s="219"/>
      <c r="B217" s="219"/>
      <c r="C217" s="219"/>
      <c r="D217" s="219"/>
      <c r="E217" s="219"/>
      <c r="F217" s="219"/>
      <c r="G217" s="219"/>
      <c r="H217" s="219"/>
      <c r="I217" s="219"/>
      <c r="J217" s="219"/>
      <c r="K217" s="942"/>
      <c r="L217" s="219"/>
      <c r="M217" s="219"/>
      <c r="N217" s="219"/>
      <c r="O217" s="219"/>
      <c r="P217" s="219"/>
      <c r="Q217" s="219"/>
      <c r="R217" s="219"/>
      <c r="S217" s="219"/>
      <c r="T217" s="219"/>
      <c r="U217" s="219"/>
      <c r="V217" s="219"/>
      <c r="W217" s="219"/>
    </row>
    <row r="218" spans="1:30" s="941" customFormat="1" ht="36.75" thickBot="1">
      <c r="A218" s="401" t="s">
        <v>440</v>
      </c>
      <c r="B218" s="402" t="s">
        <v>1329</v>
      </c>
      <c r="C218" s="1887" t="s">
        <v>1474</v>
      </c>
      <c r="D218" s="1482" t="s">
        <v>1475</v>
      </c>
      <c r="E218" s="1482" t="s">
        <v>1529</v>
      </c>
      <c r="F218" s="1483" t="s">
        <v>1527</v>
      </c>
      <c r="G218" s="382" t="s">
        <v>460</v>
      </c>
      <c r="H218" s="383" t="s">
        <v>461</v>
      </c>
      <c r="I218" s="383" t="s">
        <v>1330</v>
      </c>
      <c r="J218" s="1202" t="s">
        <v>18</v>
      </c>
      <c r="K218" s="944"/>
      <c r="L218" s="401" t="s">
        <v>440</v>
      </c>
      <c r="M218" s="402" t="s">
        <v>1329</v>
      </c>
      <c r="N218" s="1887" t="s">
        <v>1474</v>
      </c>
      <c r="O218" s="1482" t="s">
        <v>1475</v>
      </c>
      <c r="P218" s="1482" t="s">
        <v>1529</v>
      </c>
      <c r="Q218" s="1483" t="s">
        <v>1527</v>
      </c>
      <c r="R218" s="382" t="s">
        <v>460</v>
      </c>
      <c r="S218" s="383" t="s">
        <v>461</v>
      </c>
      <c r="T218" s="383" t="s">
        <v>1330</v>
      </c>
      <c r="U218" s="1202" t="s">
        <v>18</v>
      </c>
      <c r="V218" s="926"/>
      <c r="W218" s="926"/>
    </row>
    <row r="219" spans="1:30">
      <c r="A219" s="201" t="s">
        <v>446</v>
      </c>
      <c r="B219" s="202"/>
      <c r="C219" s="1092"/>
      <c r="D219" s="1093">
        <v>12648</v>
      </c>
      <c r="E219" s="1093">
        <v>12648</v>
      </c>
      <c r="F219" s="1439">
        <f t="shared" ref="F219:F227" si="172">IF(ISERROR(E219/D219),"-",E219/D219)</f>
        <v>1</v>
      </c>
      <c r="G219" s="203"/>
      <c r="H219" s="204"/>
      <c r="I219" s="204"/>
      <c r="J219" s="205">
        <f t="shared" ref="J219:J226" si="173">+B219+IF(D219&lt;=E219,E219,D219)+G219+H219+I219</f>
        <v>12648</v>
      </c>
      <c r="K219" s="942"/>
      <c r="L219" s="201" t="s">
        <v>446</v>
      </c>
      <c r="M219" s="202"/>
      <c r="N219" s="1092"/>
      <c r="O219" s="1093"/>
      <c r="P219" s="1093"/>
      <c r="Q219" s="1439" t="str">
        <f t="shared" ref="Q219:Q227" si="174">IF(ISERROR(P219/O219),"-",P219/O219)</f>
        <v>-</v>
      </c>
      <c r="R219" s="203"/>
      <c r="S219" s="204"/>
      <c r="T219" s="204"/>
      <c r="U219" s="205">
        <f t="shared" ref="U219:U226" si="175">+M219+IF(O219&lt;=P219,P219,O219)+R219+S219+T219</f>
        <v>0</v>
      </c>
      <c r="V219" s="195"/>
      <c r="W219" s="195"/>
      <c r="X219" s="118"/>
      <c r="Y219" s="118"/>
      <c r="Z219" s="118"/>
      <c r="AA219" s="118"/>
      <c r="AB219" s="118"/>
      <c r="AC219" s="118"/>
      <c r="AD219" s="118"/>
    </row>
    <row r="220" spans="1:30">
      <c r="A220" s="220" t="s">
        <v>447</v>
      </c>
      <c r="B220" s="212"/>
      <c r="C220" s="221"/>
      <c r="D220" s="1096">
        <v>2380</v>
      </c>
      <c r="E220" s="1096">
        <v>2380</v>
      </c>
      <c r="F220" s="1440">
        <f t="shared" si="172"/>
        <v>1</v>
      </c>
      <c r="G220" s="213"/>
      <c r="H220" s="214"/>
      <c r="I220" s="214"/>
      <c r="J220" s="215">
        <f t="shared" si="173"/>
        <v>2380</v>
      </c>
      <c r="K220" s="942"/>
      <c r="L220" s="220" t="s">
        <v>447</v>
      </c>
      <c r="M220" s="212"/>
      <c r="N220" s="221"/>
      <c r="O220" s="1096"/>
      <c r="P220" s="1096"/>
      <c r="Q220" s="1440" t="str">
        <f t="shared" si="174"/>
        <v>-</v>
      </c>
      <c r="R220" s="213"/>
      <c r="S220" s="214"/>
      <c r="T220" s="214"/>
      <c r="U220" s="215">
        <f t="shared" si="175"/>
        <v>0</v>
      </c>
      <c r="V220" s="195"/>
      <c r="W220" s="195"/>
      <c r="X220" s="118"/>
      <c r="Y220" s="118"/>
      <c r="Z220" s="118"/>
      <c r="AA220" s="118"/>
      <c r="AB220" s="118"/>
      <c r="AC220" s="118"/>
      <c r="AD220" s="118"/>
    </row>
    <row r="221" spans="1:30">
      <c r="A221" s="211" t="s">
        <v>448</v>
      </c>
      <c r="B221" s="212"/>
      <c r="C221" s="221"/>
      <c r="D221" s="1096">
        <v>962</v>
      </c>
      <c r="E221" s="1096">
        <v>962</v>
      </c>
      <c r="F221" s="1440">
        <f t="shared" si="172"/>
        <v>1</v>
      </c>
      <c r="G221" s="213"/>
      <c r="H221" s="214"/>
      <c r="I221" s="214"/>
      <c r="J221" s="215">
        <f t="shared" si="173"/>
        <v>962</v>
      </c>
      <c r="K221" s="942"/>
      <c r="L221" s="211" t="s">
        <v>448</v>
      </c>
      <c r="M221" s="212"/>
      <c r="N221" s="221"/>
      <c r="O221" s="1096"/>
      <c r="P221" s="1096"/>
      <c r="Q221" s="1440" t="str">
        <f t="shared" si="174"/>
        <v>-</v>
      </c>
      <c r="R221" s="213"/>
      <c r="S221" s="214"/>
      <c r="T221" s="214"/>
      <c r="U221" s="215">
        <f t="shared" si="175"/>
        <v>0</v>
      </c>
      <c r="V221" s="195"/>
      <c r="W221" s="195"/>
      <c r="X221" s="118"/>
      <c r="Y221" s="118"/>
      <c r="Z221" s="118"/>
      <c r="AA221" s="118"/>
      <c r="AB221" s="118"/>
      <c r="AC221" s="118"/>
      <c r="AD221" s="118"/>
    </row>
    <row r="222" spans="1:30">
      <c r="A222" s="211" t="s">
        <v>449</v>
      </c>
      <c r="B222" s="212"/>
      <c r="C222" s="221"/>
      <c r="D222" s="1096"/>
      <c r="E222" s="1096"/>
      <c r="F222" s="1440" t="str">
        <f t="shared" si="172"/>
        <v>-</v>
      </c>
      <c r="G222" s="213"/>
      <c r="H222" s="214"/>
      <c r="I222" s="214"/>
      <c r="J222" s="215">
        <f t="shared" si="173"/>
        <v>0</v>
      </c>
      <c r="K222" s="942"/>
      <c r="L222" s="211" t="s">
        <v>449</v>
      </c>
      <c r="M222" s="212"/>
      <c r="N222" s="221"/>
      <c r="O222" s="1096"/>
      <c r="P222" s="1096"/>
      <c r="Q222" s="1440" t="str">
        <f t="shared" si="174"/>
        <v>-</v>
      </c>
      <c r="R222" s="213"/>
      <c r="S222" s="214"/>
      <c r="T222" s="214"/>
      <c r="U222" s="215">
        <f t="shared" si="175"/>
        <v>0</v>
      </c>
      <c r="V222" s="195"/>
      <c r="W222" s="195"/>
      <c r="X222" s="118"/>
      <c r="Z222" s="118"/>
      <c r="AA222" s="118"/>
      <c r="AB222" s="118"/>
      <c r="AD222" s="118"/>
    </row>
    <row r="223" spans="1:30">
      <c r="A223" s="221" t="s">
        <v>450</v>
      </c>
      <c r="B223" s="222"/>
      <c r="C223" s="221"/>
      <c r="D223" s="1096"/>
      <c r="E223" s="1096"/>
      <c r="F223" s="1440" t="str">
        <f t="shared" si="172"/>
        <v>-</v>
      </c>
      <c r="G223" s="213">
        <v>51183</v>
      </c>
      <c r="H223" s="214"/>
      <c r="I223" s="214"/>
      <c r="J223" s="215">
        <f t="shared" si="173"/>
        <v>51183</v>
      </c>
      <c r="K223" s="942"/>
      <c r="L223" s="221" t="s">
        <v>450</v>
      </c>
      <c r="M223" s="222"/>
      <c r="N223" s="221"/>
      <c r="O223" s="1096"/>
      <c r="P223" s="1096"/>
      <c r="Q223" s="1440" t="str">
        <f t="shared" si="174"/>
        <v>-</v>
      </c>
      <c r="R223" s="213">
        <v>28285</v>
      </c>
      <c r="S223" s="214"/>
      <c r="T223" s="214"/>
      <c r="U223" s="215">
        <f t="shared" si="175"/>
        <v>28285</v>
      </c>
      <c r="V223" s="195"/>
      <c r="W223" s="195"/>
      <c r="X223" s="118"/>
      <c r="Y223" s="118"/>
      <c r="Z223" s="118"/>
      <c r="AA223" s="118"/>
      <c r="AB223" s="118"/>
      <c r="AC223" s="118"/>
      <c r="AD223" s="118"/>
    </row>
    <row r="224" spans="1:30">
      <c r="A224" s="221" t="s">
        <v>451</v>
      </c>
      <c r="B224" s="222"/>
      <c r="C224" s="221"/>
      <c r="D224" s="1096">
        <v>13002</v>
      </c>
      <c r="E224" s="1096">
        <v>13002</v>
      </c>
      <c r="F224" s="1440">
        <f t="shared" si="172"/>
        <v>1</v>
      </c>
      <c r="G224" s="213"/>
      <c r="H224" s="214"/>
      <c r="I224" s="214"/>
      <c r="J224" s="215">
        <f t="shared" si="173"/>
        <v>13002</v>
      </c>
      <c r="K224" s="942"/>
      <c r="L224" s="221" t="s">
        <v>451</v>
      </c>
      <c r="M224" s="222"/>
      <c r="N224" s="221"/>
      <c r="O224" s="1096"/>
      <c r="P224" s="1096"/>
      <c r="Q224" s="1440" t="str">
        <f t="shared" si="174"/>
        <v>-</v>
      </c>
      <c r="R224" s="213"/>
      <c r="S224" s="214"/>
      <c r="T224" s="214"/>
      <c r="U224" s="215">
        <f t="shared" si="175"/>
        <v>0</v>
      </c>
      <c r="V224" s="195"/>
      <c r="W224" s="195"/>
      <c r="X224" s="118"/>
      <c r="Y224" s="118"/>
      <c r="Z224" s="118"/>
      <c r="AA224" s="118"/>
      <c r="AB224" s="118"/>
      <c r="AC224" s="118"/>
      <c r="AD224" s="118"/>
    </row>
    <row r="225" spans="1:30">
      <c r="A225" s="223" t="s">
        <v>452</v>
      </c>
      <c r="B225" s="224"/>
      <c r="C225" s="223"/>
      <c r="D225" s="1099"/>
      <c r="E225" s="1099"/>
      <c r="F225" s="1442" t="str">
        <f t="shared" si="172"/>
        <v>-</v>
      </c>
      <c r="G225" s="225"/>
      <c r="H225" s="226"/>
      <c r="I225" s="226"/>
      <c r="J225" s="215">
        <f t="shared" si="173"/>
        <v>0</v>
      </c>
      <c r="K225" s="942"/>
      <c r="L225" s="223" t="s">
        <v>452</v>
      </c>
      <c r="M225" s="224"/>
      <c r="N225" s="223"/>
      <c r="O225" s="1099"/>
      <c r="P225" s="1099"/>
      <c r="Q225" s="1442" t="str">
        <f t="shared" si="174"/>
        <v>-</v>
      </c>
      <c r="R225" s="213"/>
      <c r="S225" s="226"/>
      <c r="T225" s="226"/>
      <c r="U225" s="215">
        <f t="shared" si="175"/>
        <v>0</v>
      </c>
      <c r="V225" s="195"/>
      <c r="W225" s="195"/>
      <c r="X225" s="118"/>
      <c r="Y225" s="118"/>
      <c r="Z225" s="118"/>
      <c r="AA225" s="118"/>
      <c r="AB225" s="118"/>
      <c r="AC225" s="118"/>
      <c r="AD225" s="118"/>
    </row>
    <row r="226" spans="1:30" ht="12.75" thickBot="1">
      <c r="A226" s="223" t="s">
        <v>453</v>
      </c>
      <c r="B226" s="224"/>
      <c r="C226" s="223"/>
      <c r="D226" s="1099"/>
      <c r="E226" s="1099"/>
      <c r="F226" s="1442" t="str">
        <f t="shared" si="172"/>
        <v>-</v>
      </c>
      <c r="G226" s="225"/>
      <c r="H226" s="226"/>
      <c r="I226" s="226"/>
      <c r="J226" s="215">
        <f t="shared" si="173"/>
        <v>0</v>
      </c>
      <c r="K226" s="942"/>
      <c r="L226" s="223" t="s">
        <v>453</v>
      </c>
      <c r="M226" s="224"/>
      <c r="N226" s="223"/>
      <c r="O226" s="1099"/>
      <c r="P226" s="1099"/>
      <c r="Q226" s="1442" t="str">
        <f t="shared" si="174"/>
        <v>-</v>
      </c>
      <c r="R226" s="225"/>
      <c r="S226" s="226"/>
      <c r="T226" s="226"/>
      <c r="U226" s="215">
        <f t="shared" si="175"/>
        <v>0</v>
      </c>
      <c r="V226" s="195"/>
      <c r="W226" s="195"/>
      <c r="X226" s="118"/>
      <c r="Y226" s="118"/>
      <c r="Z226" s="118"/>
      <c r="AA226" s="118"/>
      <c r="AB226" s="118"/>
      <c r="AC226" s="118"/>
      <c r="AD226" s="118"/>
    </row>
    <row r="227" spans="1:30" ht="12.75" thickBot="1">
      <c r="A227" s="194" t="s">
        <v>454</v>
      </c>
      <c r="B227" s="216">
        <f t="shared" ref="B227:J227" si="176">+B219+B220+B221+B222+B223+B224+B225+B226</f>
        <v>0</v>
      </c>
      <c r="C227" s="194">
        <f t="shared" si="176"/>
        <v>0</v>
      </c>
      <c r="D227" s="1098">
        <f t="shared" si="176"/>
        <v>28992</v>
      </c>
      <c r="E227" s="1098">
        <f t="shared" si="176"/>
        <v>28992</v>
      </c>
      <c r="F227" s="1441">
        <f t="shared" si="172"/>
        <v>1</v>
      </c>
      <c r="G227" s="218">
        <f t="shared" ref="G227:O227" si="177">+G219+G220+G221+G222+G223+G224+G225+G226</f>
        <v>51183</v>
      </c>
      <c r="H227" s="216">
        <f t="shared" si="177"/>
        <v>0</v>
      </c>
      <c r="I227" s="216">
        <f t="shared" si="177"/>
        <v>0</v>
      </c>
      <c r="J227" s="217">
        <f t="shared" si="177"/>
        <v>80175</v>
      </c>
      <c r="L227" s="194" t="s">
        <v>454</v>
      </c>
      <c r="M227" s="216">
        <f t="shared" ref="M227:U227" si="178">+M219+M220+M221+M222+M223+M224+M225+M226</f>
        <v>0</v>
      </c>
      <c r="N227" s="194">
        <f t="shared" si="178"/>
        <v>0</v>
      </c>
      <c r="O227" s="1098">
        <f t="shared" si="178"/>
        <v>0</v>
      </c>
      <c r="P227" s="1098">
        <f t="shared" si="178"/>
        <v>0</v>
      </c>
      <c r="Q227" s="1441" t="str">
        <f t="shared" si="174"/>
        <v>-</v>
      </c>
      <c r="R227" s="218">
        <f t="shared" ref="R227:U227" si="179">+R219+R220+R221+R222+R223+R224+R225+R226</f>
        <v>28285</v>
      </c>
      <c r="S227" s="216">
        <f t="shared" si="179"/>
        <v>0</v>
      </c>
      <c r="T227" s="216">
        <f t="shared" si="179"/>
        <v>0</v>
      </c>
      <c r="U227" s="217">
        <f t="shared" si="179"/>
        <v>28285</v>
      </c>
      <c r="V227" s="195"/>
      <c r="W227" s="195"/>
      <c r="Y227" s="942"/>
      <c r="AC227" s="942"/>
    </row>
    <row r="228" spans="1:30">
      <c r="A228" s="195"/>
      <c r="B228" s="195"/>
      <c r="C228" s="195"/>
      <c r="D228" s="195"/>
      <c r="E228" s="195"/>
      <c r="F228" s="195"/>
      <c r="G228" s="195"/>
      <c r="H228" s="195"/>
      <c r="I228" s="195"/>
      <c r="J228" s="195"/>
      <c r="K228" s="942"/>
      <c r="L228" s="195"/>
      <c r="M228" s="195"/>
      <c r="N228" s="195"/>
      <c r="O228" s="195"/>
      <c r="P228" s="195"/>
      <c r="Q228" s="195"/>
      <c r="R228" s="195"/>
      <c r="S228" s="195"/>
      <c r="T228" s="195"/>
      <c r="U228" s="195"/>
      <c r="V228" s="195"/>
      <c r="W228" s="195"/>
    </row>
    <row r="230" spans="1:30" s="935" customFormat="1" ht="15.75">
      <c r="A230" s="193" t="s">
        <v>2730</v>
      </c>
      <c r="B230" s="1196" t="s">
        <v>2737</v>
      </c>
      <c r="C230" s="1196"/>
      <c r="D230" s="1196"/>
      <c r="E230" s="1196"/>
      <c r="F230" s="1196"/>
      <c r="G230" s="1196"/>
      <c r="H230" s="1199"/>
      <c r="I230" s="1199"/>
      <c r="J230" s="1199"/>
      <c r="K230" s="831"/>
      <c r="L230" s="193" t="s">
        <v>2727</v>
      </c>
      <c r="M230" s="1196" t="s">
        <v>2740</v>
      </c>
      <c r="N230" s="1196"/>
      <c r="O230" s="1196"/>
      <c r="P230" s="1196"/>
      <c r="Q230" s="1196"/>
      <c r="R230" s="1196"/>
      <c r="S230" s="1199"/>
      <c r="T230" s="1199"/>
      <c r="U230" s="1199"/>
      <c r="V230" s="1196"/>
      <c r="W230" s="1196"/>
    </row>
    <row r="231" spans="1:30" s="935" customFormat="1" ht="15.75" customHeight="1">
      <c r="A231" s="1248" t="s">
        <v>2738</v>
      </c>
      <c r="B231" s="1248"/>
      <c r="C231" s="1248"/>
      <c r="D231" s="1248"/>
      <c r="E231" s="1248"/>
      <c r="F231" s="1248"/>
      <c r="G231" s="1248"/>
      <c r="H231" s="1248"/>
      <c r="I231" s="1248"/>
      <c r="J231" s="1248"/>
      <c r="K231" s="831"/>
      <c r="L231" s="1248" t="s">
        <v>2741</v>
      </c>
      <c r="M231" s="1248"/>
      <c r="N231" s="1248"/>
      <c r="O231" s="1248"/>
      <c r="P231" s="1248"/>
      <c r="Q231" s="1248"/>
      <c r="R231" s="1248"/>
      <c r="S231" s="1248"/>
      <c r="T231" s="1248"/>
      <c r="U231" s="1248"/>
      <c r="V231" s="1197"/>
      <c r="W231" s="1197"/>
    </row>
    <row r="232" spans="1:30" s="935" customFormat="1" ht="15.75">
      <c r="A232" s="1245" t="s">
        <v>1214</v>
      </c>
      <c r="B232" s="1245"/>
      <c r="C232" s="1245"/>
      <c r="D232" s="1245"/>
      <c r="E232" s="1245"/>
      <c r="F232" s="1245"/>
      <c r="G232" s="1245"/>
      <c r="H232" s="1245"/>
      <c r="I232" s="1245"/>
      <c r="J232" s="1245"/>
      <c r="K232" s="831"/>
      <c r="L232" s="1245" t="s">
        <v>1214</v>
      </c>
      <c r="M232" s="1245"/>
      <c r="N232" s="1245"/>
      <c r="O232" s="1245"/>
      <c r="P232" s="1245"/>
      <c r="Q232" s="1245"/>
      <c r="R232" s="1245"/>
      <c r="S232" s="1245"/>
      <c r="T232" s="1245"/>
      <c r="U232" s="1245"/>
      <c r="V232" s="1198"/>
      <c r="W232" s="1198"/>
    </row>
    <row r="233" spans="1:30" s="938" customFormat="1" ht="12.75" thickBot="1">
      <c r="A233" s="937"/>
      <c r="B233" s="937"/>
      <c r="G233" s="937"/>
      <c r="H233" s="937"/>
      <c r="J233" s="238" t="s">
        <v>281</v>
      </c>
      <c r="K233" s="939"/>
      <c r="L233" s="937"/>
      <c r="M233" s="937"/>
      <c r="N233" s="937"/>
      <c r="O233" s="937"/>
      <c r="P233" s="937"/>
      <c r="Q233" s="937"/>
      <c r="R233" s="937"/>
      <c r="S233" s="937"/>
      <c r="U233" s="238" t="s">
        <v>281</v>
      </c>
      <c r="V233" s="925"/>
      <c r="W233" s="925"/>
    </row>
    <row r="234" spans="1:30" s="941" customFormat="1" ht="36.75" thickBot="1">
      <c r="A234" s="401" t="s">
        <v>432</v>
      </c>
      <c r="B234" s="402" t="s">
        <v>1329</v>
      </c>
      <c r="C234" s="1887" t="s">
        <v>1474</v>
      </c>
      <c r="D234" s="1482" t="s">
        <v>1475</v>
      </c>
      <c r="E234" s="1482" t="s">
        <v>1529</v>
      </c>
      <c r="F234" s="1483" t="s">
        <v>1527</v>
      </c>
      <c r="G234" s="382" t="s">
        <v>460</v>
      </c>
      <c r="H234" s="383" t="s">
        <v>461</v>
      </c>
      <c r="I234" s="383" t="s">
        <v>1330</v>
      </c>
      <c r="J234" s="1202" t="s">
        <v>18</v>
      </c>
      <c r="K234" s="940"/>
      <c r="L234" s="401" t="s">
        <v>432</v>
      </c>
      <c r="M234" s="402" t="s">
        <v>1329</v>
      </c>
      <c r="N234" s="1887" t="s">
        <v>1474</v>
      </c>
      <c r="O234" s="1482" t="s">
        <v>1475</v>
      </c>
      <c r="P234" s="1482" t="s">
        <v>1529</v>
      </c>
      <c r="Q234" s="1483" t="s">
        <v>1527</v>
      </c>
      <c r="R234" s="382" t="s">
        <v>460</v>
      </c>
      <c r="S234" s="383" t="s">
        <v>461</v>
      </c>
      <c r="T234" s="383" t="s">
        <v>1330</v>
      </c>
      <c r="U234" s="1202" t="s">
        <v>18</v>
      </c>
      <c r="V234" s="926"/>
      <c r="W234" s="926"/>
    </row>
    <row r="235" spans="1:30">
      <c r="A235" s="201" t="s">
        <v>433</v>
      </c>
      <c r="B235" s="202">
        <f t="shared" ref="B235:J235" si="180">+B252-B240-B239-B238-B237</f>
        <v>0</v>
      </c>
      <c r="C235" s="1092">
        <f t="shared" si="180"/>
        <v>0</v>
      </c>
      <c r="D235" s="1093">
        <f t="shared" si="180"/>
        <v>-68272</v>
      </c>
      <c r="E235" s="1093">
        <f t="shared" si="180"/>
        <v>-68272</v>
      </c>
      <c r="F235" s="1439">
        <f t="shared" ref="F235:F241" si="181">IF(ISERROR(E235/D235),"-",E235/D235)</f>
        <v>1</v>
      </c>
      <c r="G235" s="203">
        <f t="shared" ref="G235:O235" si="182">+G252-G240-G239-G238-G237</f>
        <v>68272</v>
      </c>
      <c r="H235" s="204">
        <f t="shared" si="182"/>
        <v>0</v>
      </c>
      <c r="I235" s="204">
        <f t="shared" si="182"/>
        <v>0</v>
      </c>
      <c r="J235" s="205">
        <f t="shared" si="182"/>
        <v>0</v>
      </c>
      <c r="K235" s="942"/>
      <c r="L235" s="201" t="s">
        <v>433</v>
      </c>
      <c r="M235" s="202">
        <f t="shared" ref="M235:U235" si="183">+M252-M240-M239-M238-M237</f>
        <v>0</v>
      </c>
      <c r="N235" s="1092">
        <f t="shared" si="183"/>
        <v>0</v>
      </c>
      <c r="O235" s="1093">
        <f t="shared" si="183"/>
        <v>-84548</v>
      </c>
      <c r="P235" s="1093">
        <f t="shared" si="183"/>
        <v>-84548</v>
      </c>
      <c r="Q235" s="1439">
        <f t="shared" ref="Q235:Q241" si="184">IF(ISERROR(P235/O235),"-",P235/O235)</f>
        <v>1</v>
      </c>
      <c r="R235" s="203">
        <f t="shared" ref="R235:U235" si="185">+R252-R240-R239-R238-R237</f>
        <v>84548</v>
      </c>
      <c r="S235" s="204">
        <f t="shared" si="185"/>
        <v>0</v>
      </c>
      <c r="T235" s="204">
        <f t="shared" si="185"/>
        <v>0</v>
      </c>
      <c r="U235" s="205">
        <f t="shared" si="185"/>
        <v>0</v>
      </c>
      <c r="V235" s="195"/>
      <c r="W235" s="195"/>
    </row>
    <row r="236" spans="1:30">
      <c r="A236" s="206" t="s">
        <v>434</v>
      </c>
      <c r="B236" s="207"/>
      <c r="C236" s="1094"/>
      <c r="D236" s="1095"/>
      <c r="E236" s="1095"/>
      <c r="F236" s="1440" t="str">
        <f t="shared" si="181"/>
        <v>-</v>
      </c>
      <c r="G236" s="208"/>
      <c r="H236" s="209"/>
      <c r="I236" s="209"/>
      <c r="J236" s="210">
        <f t="shared" ref="J236:J240" si="186">+B236+IF(D236&lt;=E236,E236,D236)+G236+H236+I236</f>
        <v>0</v>
      </c>
      <c r="K236" s="942"/>
      <c r="L236" s="206" t="s">
        <v>434</v>
      </c>
      <c r="M236" s="207"/>
      <c r="N236" s="1094"/>
      <c r="O236" s="1095"/>
      <c r="P236" s="1095"/>
      <c r="Q236" s="1440" t="str">
        <f t="shared" si="184"/>
        <v>-</v>
      </c>
      <c r="R236" s="208"/>
      <c r="S236" s="209"/>
      <c r="T236" s="209"/>
      <c r="U236" s="210">
        <f t="shared" ref="U236:U240" si="187">+M236+IF(O236&lt;=P236,P236,O236)+R236+S236+T236</f>
        <v>0</v>
      </c>
      <c r="V236" s="927"/>
      <c r="W236" s="927"/>
      <c r="X236" s="118"/>
      <c r="Z236" s="118"/>
      <c r="AA236" s="118"/>
      <c r="AB236" s="118"/>
    </row>
    <row r="237" spans="1:30">
      <c r="A237" s="211" t="s">
        <v>435</v>
      </c>
      <c r="B237" s="212"/>
      <c r="C237" s="221"/>
      <c r="D237" s="1096">
        <v>69269</v>
      </c>
      <c r="E237" s="1096">
        <v>69269</v>
      </c>
      <c r="F237" s="1440">
        <f t="shared" si="181"/>
        <v>1</v>
      </c>
      <c r="G237" s="213"/>
      <c r="H237" s="214"/>
      <c r="I237" s="214"/>
      <c r="J237" s="215">
        <f t="shared" si="186"/>
        <v>69269</v>
      </c>
      <c r="K237" s="942"/>
      <c r="L237" s="211" t="s">
        <v>435</v>
      </c>
      <c r="M237" s="212"/>
      <c r="N237" s="221"/>
      <c r="O237" s="1096">
        <v>84548</v>
      </c>
      <c r="P237" s="1096">
        <v>84548</v>
      </c>
      <c r="Q237" s="1440">
        <f t="shared" si="184"/>
        <v>1</v>
      </c>
      <c r="R237" s="213"/>
      <c r="S237" s="214"/>
      <c r="T237" s="214"/>
      <c r="U237" s="215">
        <f t="shared" si="187"/>
        <v>84548</v>
      </c>
      <c r="V237" s="195"/>
      <c r="W237" s="195"/>
      <c r="X237" s="118"/>
      <c r="Y237" s="118"/>
      <c r="Z237" s="118"/>
      <c r="AA237" s="118"/>
      <c r="AB237" s="118"/>
      <c r="AC237" s="118"/>
      <c r="AD237" s="118"/>
    </row>
    <row r="238" spans="1:30">
      <c r="A238" s="211" t="s">
        <v>436</v>
      </c>
      <c r="B238" s="212"/>
      <c r="C238" s="221"/>
      <c r="D238" s="1096"/>
      <c r="E238" s="1096"/>
      <c r="F238" s="1440" t="str">
        <f t="shared" si="181"/>
        <v>-</v>
      </c>
      <c r="G238" s="213"/>
      <c r="H238" s="214"/>
      <c r="I238" s="214"/>
      <c r="J238" s="215">
        <f t="shared" si="186"/>
        <v>0</v>
      </c>
      <c r="K238" s="942"/>
      <c r="L238" s="211" t="s">
        <v>436</v>
      </c>
      <c r="M238" s="212"/>
      <c r="N238" s="221"/>
      <c r="O238" s="1096"/>
      <c r="P238" s="1096"/>
      <c r="Q238" s="1440" t="str">
        <f t="shared" si="184"/>
        <v>-</v>
      </c>
      <c r="R238" s="213"/>
      <c r="S238" s="214"/>
      <c r="T238" s="214"/>
      <c r="U238" s="215">
        <f t="shared" si="187"/>
        <v>0</v>
      </c>
      <c r="V238" s="195"/>
      <c r="W238" s="195"/>
      <c r="X238" s="118"/>
      <c r="Z238" s="118"/>
      <c r="AA238" s="118"/>
      <c r="AB238" s="118"/>
    </row>
    <row r="239" spans="1:30">
      <c r="A239" s="211" t="s">
        <v>437</v>
      </c>
      <c r="B239" s="212"/>
      <c r="C239" s="221"/>
      <c r="D239" s="1096"/>
      <c r="E239" s="1096"/>
      <c r="F239" s="1440" t="str">
        <f t="shared" si="181"/>
        <v>-</v>
      </c>
      <c r="G239" s="213"/>
      <c r="H239" s="214"/>
      <c r="I239" s="214"/>
      <c r="J239" s="215">
        <f t="shared" si="186"/>
        <v>0</v>
      </c>
      <c r="K239" s="942"/>
      <c r="L239" s="211" t="s">
        <v>437</v>
      </c>
      <c r="M239" s="212"/>
      <c r="N239" s="221"/>
      <c r="O239" s="1096"/>
      <c r="P239" s="1096"/>
      <c r="Q239" s="1440" t="str">
        <f t="shared" si="184"/>
        <v>-</v>
      </c>
      <c r="R239" s="213"/>
      <c r="S239" s="214"/>
      <c r="T239" s="214"/>
      <c r="U239" s="215">
        <f t="shared" si="187"/>
        <v>0</v>
      </c>
      <c r="V239" s="195"/>
      <c r="W239" s="195"/>
      <c r="X239" s="118"/>
      <c r="Z239" s="118"/>
      <c r="AA239" s="118"/>
      <c r="AB239" s="118"/>
    </row>
    <row r="240" spans="1:30" ht="12.75" thickBot="1">
      <c r="A240" s="211" t="s">
        <v>438</v>
      </c>
      <c r="B240" s="212"/>
      <c r="C240" s="221"/>
      <c r="D240" s="1096"/>
      <c r="E240" s="1096"/>
      <c r="F240" s="1440" t="str">
        <f t="shared" si="181"/>
        <v>-</v>
      </c>
      <c r="G240" s="213"/>
      <c r="H240" s="214"/>
      <c r="I240" s="214"/>
      <c r="J240" s="215">
        <f t="shared" si="186"/>
        <v>0</v>
      </c>
      <c r="K240" s="942"/>
      <c r="L240" s="211" t="s">
        <v>438</v>
      </c>
      <c r="M240" s="212"/>
      <c r="N240" s="221"/>
      <c r="O240" s="1096"/>
      <c r="P240" s="1096"/>
      <c r="Q240" s="1440" t="str">
        <f t="shared" si="184"/>
        <v>-</v>
      </c>
      <c r="R240" s="213"/>
      <c r="S240" s="214"/>
      <c r="T240" s="214"/>
      <c r="U240" s="215">
        <f t="shared" si="187"/>
        <v>0</v>
      </c>
      <c r="V240" s="195"/>
      <c r="W240" s="195"/>
      <c r="X240" s="118"/>
      <c r="Z240" s="118"/>
      <c r="AA240" s="118"/>
      <c r="AB240" s="118"/>
    </row>
    <row r="241" spans="1:30" ht="12.75" thickBot="1">
      <c r="A241" s="194" t="s">
        <v>439</v>
      </c>
      <c r="B241" s="216">
        <f t="shared" ref="B241:J241" si="188">+B235+B237+B238+B239+B240</f>
        <v>0</v>
      </c>
      <c r="C241" s="194">
        <f t="shared" si="188"/>
        <v>0</v>
      </c>
      <c r="D241" s="1098">
        <f t="shared" si="188"/>
        <v>997</v>
      </c>
      <c r="E241" s="1098">
        <f t="shared" si="188"/>
        <v>997</v>
      </c>
      <c r="F241" s="1441">
        <f t="shared" si="181"/>
        <v>1</v>
      </c>
      <c r="G241" s="218">
        <f t="shared" ref="G241:O241" si="189">+G235+G237+G238+G239+G240</f>
        <v>68272</v>
      </c>
      <c r="H241" s="216">
        <f t="shared" si="189"/>
        <v>0</v>
      </c>
      <c r="I241" s="216">
        <f t="shared" si="189"/>
        <v>0</v>
      </c>
      <c r="J241" s="217">
        <f t="shared" si="189"/>
        <v>69269</v>
      </c>
      <c r="K241" s="942"/>
      <c r="L241" s="194" t="s">
        <v>439</v>
      </c>
      <c r="M241" s="216">
        <f t="shared" ref="M241:U241" si="190">+M235+M237+M238+M239+M240</f>
        <v>0</v>
      </c>
      <c r="N241" s="194">
        <f t="shared" si="190"/>
        <v>0</v>
      </c>
      <c r="O241" s="1098">
        <f t="shared" si="190"/>
        <v>0</v>
      </c>
      <c r="P241" s="1098">
        <f t="shared" si="190"/>
        <v>0</v>
      </c>
      <c r="Q241" s="1441" t="str">
        <f t="shared" si="184"/>
        <v>-</v>
      </c>
      <c r="R241" s="218">
        <f t="shared" ref="R241:U241" si="191">+R235+R237+R238+R239+R240</f>
        <v>84548</v>
      </c>
      <c r="S241" s="216">
        <f t="shared" si="191"/>
        <v>0</v>
      </c>
      <c r="T241" s="216">
        <f t="shared" si="191"/>
        <v>0</v>
      </c>
      <c r="U241" s="217">
        <f t="shared" si="191"/>
        <v>84548</v>
      </c>
      <c r="V241" s="195"/>
      <c r="W241" s="195"/>
    </row>
    <row r="242" spans="1:30" ht="12.75" thickBot="1">
      <c r="A242" s="219"/>
      <c r="B242" s="219"/>
      <c r="C242" s="219"/>
      <c r="D242" s="219"/>
      <c r="E242" s="219"/>
      <c r="F242" s="219"/>
      <c r="G242" s="219"/>
      <c r="H242" s="219"/>
      <c r="I242" s="219"/>
      <c r="J242" s="219"/>
      <c r="K242" s="942"/>
      <c r="L242" s="219"/>
      <c r="M242" s="219"/>
      <c r="N242" s="219"/>
      <c r="O242" s="219"/>
      <c r="P242" s="219"/>
      <c r="Q242" s="219"/>
      <c r="R242" s="219"/>
      <c r="S242" s="219"/>
      <c r="T242" s="219"/>
      <c r="U242" s="219"/>
      <c r="V242" s="219"/>
      <c r="W242" s="219"/>
    </row>
    <row r="243" spans="1:30" s="941" customFormat="1" ht="36.75" thickBot="1">
      <c r="A243" s="401" t="s">
        <v>440</v>
      </c>
      <c r="B243" s="402" t="s">
        <v>1329</v>
      </c>
      <c r="C243" s="1887" t="s">
        <v>1474</v>
      </c>
      <c r="D243" s="1482" t="s">
        <v>1475</v>
      </c>
      <c r="E243" s="1482" t="s">
        <v>1529</v>
      </c>
      <c r="F243" s="1483" t="s">
        <v>1527</v>
      </c>
      <c r="G243" s="382" t="s">
        <v>460</v>
      </c>
      <c r="H243" s="383" t="s">
        <v>461</v>
      </c>
      <c r="I243" s="383" t="s">
        <v>1330</v>
      </c>
      <c r="J243" s="1202" t="s">
        <v>18</v>
      </c>
      <c r="K243" s="944"/>
      <c r="L243" s="401" t="s">
        <v>440</v>
      </c>
      <c r="M243" s="402" t="s">
        <v>1329</v>
      </c>
      <c r="N243" s="1887" t="s">
        <v>1474</v>
      </c>
      <c r="O243" s="1482" t="s">
        <v>1475</v>
      </c>
      <c r="P243" s="1482" t="s">
        <v>1529</v>
      </c>
      <c r="Q243" s="1483" t="s">
        <v>1527</v>
      </c>
      <c r="R243" s="382" t="s">
        <v>460</v>
      </c>
      <c r="S243" s="383" t="s">
        <v>461</v>
      </c>
      <c r="T243" s="383" t="s">
        <v>1330</v>
      </c>
      <c r="U243" s="1202" t="s">
        <v>18</v>
      </c>
      <c r="V243" s="926"/>
      <c r="W243" s="926"/>
    </row>
    <row r="244" spans="1:30">
      <c r="A244" s="201" t="s">
        <v>446</v>
      </c>
      <c r="B244" s="202"/>
      <c r="C244" s="1092"/>
      <c r="D244" s="1093"/>
      <c r="E244" s="1093"/>
      <c r="F244" s="1439" t="str">
        <f t="shared" ref="F244:F252" si="192">IF(ISERROR(E244/D244),"-",E244/D244)</f>
        <v>-</v>
      </c>
      <c r="G244" s="203"/>
      <c r="H244" s="204"/>
      <c r="I244" s="204"/>
      <c r="J244" s="205">
        <f t="shared" ref="J244:J251" si="193">+B244+IF(D244&lt;=E244,E244,D244)+G244+H244+I244</f>
        <v>0</v>
      </c>
      <c r="K244" s="942"/>
      <c r="L244" s="201" t="s">
        <v>446</v>
      </c>
      <c r="M244" s="202"/>
      <c r="N244" s="1092"/>
      <c r="O244" s="1093"/>
      <c r="P244" s="1093"/>
      <c r="Q244" s="1439" t="str">
        <f t="shared" ref="Q244:Q252" si="194">IF(ISERROR(P244/O244),"-",P244/O244)</f>
        <v>-</v>
      </c>
      <c r="R244" s="203"/>
      <c r="S244" s="204"/>
      <c r="T244" s="204"/>
      <c r="U244" s="205">
        <f t="shared" ref="U244:U251" si="195">+M244+IF(O244&lt;=P244,P244,O244)+R244+S244+T244</f>
        <v>0</v>
      </c>
      <c r="V244" s="195"/>
      <c r="W244" s="195"/>
      <c r="X244" s="118"/>
      <c r="Y244" s="118"/>
      <c r="Z244" s="118"/>
      <c r="AA244" s="118"/>
      <c r="AB244" s="118"/>
      <c r="AC244" s="118"/>
      <c r="AD244" s="118"/>
    </row>
    <row r="245" spans="1:30">
      <c r="A245" s="220" t="s">
        <v>447</v>
      </c>
      <c r="B245" s="212"/>
      <c r="C245" s="221"/>
      <c r="D245" s="1096"/>
      <c r="E245" s="1096"/>
      <c r="F245" s="1440" t="str">
        <f t="shared" si="192"/>
        <v>-</v>
      </c>
      <c r="G245" s="213"/>
      <c r="H245" s="214"/>
      <c r="I245" s="214"/>
      <c r="J245" s="215">
        <f t="shared" si="193"/>
        <v>0</v>
      </c>
      <c r="K245" s="942"/>
      <c r="L245" s="220" t="s">
        <v>447</v>
      </c>
      <c r="M245" s="212"/>
      <c r="N245" s="221"/>
      <c r="O245" s="1096"/>
      <c r="P245" s="1096"/>
      <c r="Q245" s="1440" t="str">
        <f t="shared" si="194"/>
        <v>-</v>
      </c>
      <c r="R245" s="213"/>
      <c r="S245" s="214"/>
      <c r="T245" s="214"/>
      <c r="U245" s="215">
        <f t="shared" si="195"/>
        <v>0</v>
      </c>
      <c r="V245" s="195"/>
      <c r="W245" s="195"/>
      <c r="X245" s="118"/>
      <c r="Y245" s="118"/>
      <c r="Z245" s="118"/>
      <c r="AA245" s="118"/>
      <c r="AB245" s="118"/>
      <c r="AC245" s="118"/>
      <c r="AD245" s="118"/>
    </row>
    <row r="246" spans="1:30">
      <c r="A246" s="211" t="s">
        <v>448</v>
      </c>
      <c r="B246" s="212"/>
      <c r="C246" s="221"/>
      <c r="D246" s="1096">
        <v>997</v>
      </c>
      <c r="E246" s="1096">
        <v>997</v>
      </c>
      <c r="F246" s="1440">
        <f t="shared" si="192"/>
        <v>1</v>
      </c>
      <c r="G246" s="213"/>
      <c r="H246" s="214"/>
      <c r="I246" s="214"/>
      <c r="J246" s="215">
        <f t="shared" si="193"/>
        <v>997</v>
      </c>
      <c r="K246" s="942"/>
      <c r="L246" s="211" t="s">
        <v>448</v>
      </c>
      <c r="M246" s="212"/>
      <c r="N246" s="221"/>
      <c r="O246" s="1096"/>
      <c r="P246" s="1096"/>
      <c r="Q246" s="1440" t="str">
        <f t="shared" si="194"/>
        <v>-</v>
      </c>
      <c r="R246" s="213"/>
      <c r="S246" s="214"/>
      <c r="T246" s="214"/>
      <c r="U246" s="215">
        <f t="shared" si="195"/>
        <v>0</v>
      </c>
      <c r="V246" s="195"/>
      <c r="W246" s="195"/>
      <c r="X246" s="118"/>
      <c r="Y246" s="118"/>
      <c r="Z246" s="118"/>
      <c r="AA246" s="118"/>
      <c r="AB246" s="118"/>
      <c r="AC246" s="118"/>
      <c r="AD246" s="118"/>
    </row>
    <row r="247" spans="1:30">
      <c r="A247" s="211" t="s">
        <v>449</v>
      </c>
      <c r="B247" s="212"/>
      <c r="C247" s="221"/>
      <c r="D247" s="1096"/>
      <c r="E247" s="1096"/>
      <c r="F247" s="1440" t="str">
        <f t="shared" si="192"/>
        <v>-</v>
      </c>
      <c r="G247" s="213"/>
      <c r="H247" s="214"/>
      <c r="I247" s="214"/>
      <c r="J247" s="215">
        <f t="shared" si="193"/>
        <v>0</v>
      </c>
      <c r="K247" s="942"/>
      <c r="L247" s="211" t="s">
        <v>449</v>
      </c>
      <c r="M247" s="212"/>
      <c r="N247" s="221"/>
      <c r="O247" s="1096"/>
      <c r="P247" s="1096"/>
      <c r="Q247" s="1440" t="str">
        <f t="shared" si="194"/>
        <v>-</v>
      </c>
      <c r="R247" s="213"/>
      <c r="S247" s="214"/>
      <c r="T247" s="214"/>
      <c r="U247" s="215">
        <f t="shared" si="195"/>
        <v>0</v>
      </c>
      <c r="V247" s="195"/>
      <c r="W247" s="195"/>
      <c r="X247" s="118"/>
      <c r="Z247" s="118"/>
      <c r="AA247" s="118"/>
      <c r="AB247" s="118"/>
      <c r="AD247" s="118"/>
    </row>
    <row r="248" spans="1:30">
      <c r="A248" s="221" t="s">
        <v>450</v>
      </c>
      <c r="B248" s="222"/>
      <c r="C248" s="221"/>
      <c r="D248" s="1096"/>
      <c r="E248" s="1096"/>
      <c r="F248" s="1440" t="str">
        <f t="shared" si="192"/>
        <v>-</v>
      </c>
      <c r="G248" s="213"/>
      <c r="H248" s="214"/>
      <c r="I248" s="214"/>
      <c r="J248" s="215">
        <f t="shared" si="193"/>
        <v>0</v>
      </c>
      <c r="K248" s="942"/>
      <c r="L248" s="221" t="s">
        <v>450</v>
      </c>
      <c r="M248" s="222"/>
      <c r="N248" s="221"/>
      <c r="O248" s="1096"/>
      <c r="P248" s="1096"/>
      <c r="Q248" s="1440" t="str">
        <f t="shared" si="194"/>
        <v>-</v>
      </c>
      <c r="R248" s="213"/>
      <c r="S248" s="214"/>
      <c r="T248" s="214"/>
      <c r="U248" s="215">
        <f t="shared" si="195"/>
        <v>0</v>
      </c>
      <c r="V248" s="195"/>
      <c r="W248" s="195"/>
      <c r="X248" s="118"/>
      <c r="Y248" s="118"/>
      <c r="Z248" s="118"/>
      <c r="AA248" s="118"/>
      <c r="AB248" s="118"/>
      <c r="AC248" s="118"/>
      <c r="AD248" s="118"/>
    </row>
    <row r="249" spans="1:30">
      <c r="A249" s="221" t="s">
        <v>451</v>
      </c>
      <c r="B249" s="222"/>
      <c r="C249" s="221"/>
      <c r="D249" s="1096"/>
      <c r="E249" s="1096"/>
      <c r="F249" s="1440" t="str">
        <f t="shared" si="192"/>
        <v>-</v>
      </c>
      <c r="G249" s="213">
        <v>68272</v>
      </c>
      <c r="H249" s="214"/>
      <c r="I249" s="214"/>
      <c r="J249" s="215">
        <f t="shared" si="193"/>
        <v>68272</v>
      </c>
      <c r="K249" s="942"/>
      <c r="L249" s="221" t="s">
        <v>451</v>
      </c>
      <c r="M249" s="222"/>
      <c r="N249" s="221"/>
      <c r="O249" s="1096"/>
      <c r="P249" s="1096"/>
      <c r="Q249" s="1440" t="str">
        <f t="shared" si="194"/>
        <v>-</v>
      </c>
      <c r="R249" s="213">
        <v>84548</v>
      </c>
      <c r="S249" s="214"/>
      <c r="T249" s="214"/>
      <c r="U249" s="215">
        <f t="shared" si="195"/>
        <v>84548</v>
      </c>
      <c r="V249" s="195"/>
      <c r="W249" s="195"/>
      <c r="X249" s="118"/>
      <c r="Y249" s="118"/>
      <c r="Z249" s="118"/>
      <c r="AA249" s="118"/>
      <c r="AB249" s="118"/>
      <c r="AC249" s="118"/>
      <c r="AD249" s="118"/>
    </row>
    <row r="250" spans="1:30">
      <c r="A250" s="223" t="s">
        <v>452</v>
      </c>
      <c r="B250" s="224"/>
      <c r="C250" s="223"/>
      <c r="D250" s="1099"/>
      <c r="E250" s="1099"/>
      <c r="F250" s="1442" t="str">
        <f t="shared" si="192"/>
        <v>-</v>
      </c>
      <c r="G250" s="225"/>
      <c r="H250" s="226"/>
      <c r="I250" s="226"/>
      <c r="J250" s="215">
        <f t="shared" si="193"/>
        <v>0</v>
      </c>
      <c r="K250" s="942"/>
      <c r="L250" s="223" t="s">
        <v>452</v>
      </c>
      <c r="M250" s="224"/>
      <c r="N250" s="223"/>
      <c r="O250" s="1099"/>
      <c r="P250" s="1099"/>
      <c r="Q250" s="1442" t="str">
        <f t="shared" si="194"/>
        <v>-</v>
      </c>
      <c r="R250" s="213"/>
      <c r="S250" s="226"/>
      <c r="T250" s="226"/>
      <c r="U250" s="215">
        <f t="shared" si="195"/>
        <v>0</v>
      </c>
      <c r="V250" s="195"/>
      <c r="W250" s="195"/>
      <c r="X250" s="118"/>
      <c r="Y250" s="118"/>
      <c r="Z250" s="118"/>
      <c r="AA250" s="118"/>
      <c r="AB250" s="118"/>
      <c r="AC250" s="118"/>
      <c r="AD250" s="118"/>
    </row>
    <row r="251" spans="1:30" ht="12.75" thickBot="1">
      <c r="A251" s="223" t="s">
        <v>453</v>
      </c>
      <c r="B251" s="224"/>
      <c r="C251" s="223"/>
      <c r="D251" s="1099"/>
      <c r="E251" s="1099"/>
      <c r="F251" s="1442" t="str">
        <f t="shared" si="192"/>
        <v>-</v>
      </c>
      <c r="G251" s="225"/>
      <c r="H251" s="226"/>
      <c r="I251" s="226"/>
      <c r="J251" s="215">
        <f t="shared" si="193"/>
        <v>0</v>
      </c>
      <c r="K251" s="942"/>
      <c r="L251" s="223" t="s">
        <v>453</v>
      </c>
      <c r="M251" s="224"/>
      <c r="N251" s="223"/>
      <c r="O251" s="1099"/>
      <c r="P251" s="1099"/>
      <c r="Q251" s="1442" t="str">
        <f t="shared" si="194"/>
        <v>-</v>
      </c>
      <c r="R251" s="225"/>
      <c r="S251" s="226"/>
      <c r="T251" s="226"/>
      <c r="U251" s="215">
        <f t="shared" si="195"/>
        <v>0</v>
      </c>
      <c r="V251" s="195"/>
      <c r="W251" s="195"/>
      <c r="X251" s="118"/>
      <c r="Y251" s="118"/>
      <c r="Z251" s="118"/>
      <c r="AA251" s="118"/>
      <c r="AB251" s="118"/>
      <c r="AC251" s="118"/>
      <c r="AD251" s="118"/>
    </row>
    <row r="252" spans="1:30" ht="12.75" thickBot="1">
      <c r="A252" s="194" t="s">
        <v>454</v>
      </c>
      <c r="B252" s="216">
        <f t="shared" ref="B252:J252" si="196">+B244+B245+B246+B247+B248+B249+B250+B251</f>
        <v>0</v>
      </c>
      <c r="C252" s="194">
        <f t="shared" si="196"/>
        <v>0</v>
      </c>
      <c r="D252" s="1098">
        <f t="shared" si="196"/>
        <v>997</v>
      </c>
      <c r="E252" s="1098">
        <f t="shared" si="196"/>
        <v>997</v>
      </c>
      <c r="F252" s="1441">
        <f t="shared" si="192"/>
        <v>1</v>
      </c>
      <c r="G252" s="218">
        <f t="shared" ref="G252:O252" si="197">+G244+G245+G246+G247+G248+G249+G250+G251</f>
        <v>68272</v>
      </c>
      <c r="H252" s="216">
        <f t="shared" si="197"/>
        <v>0</v>
      </c>
      <c r="I252" s="216">
        <f t="shared" si="197"/>
        <v>0</v>
      </c>
      <c r="J252" s="217">
        <f t="shared" si="197"/>
        <v>69269</v>
      </c>
      <c r="L252" s="194" t="s">
        <v>454</v>
      </c>
      <c r="M252" s="216">
        <f t="shared" ref="M252:U252" si="198">+M244+M245+M246+M247+M248+M249+M250+M251</f>
        <v>0</v>
      </c>
      <c r="N252" s="194">
        <f t="shared" si="198"/>
        <v>0</v>
      </c>
      <c r="O252" s="1098">
        <f t="shared" si="198"/>
        <v>0</v>
      </c>
      <c r="P252" s="1098">
        <f t="shared" si="198"/>
        <v>0</v>
      </c>
      <c r="Q252" s="1441" t="str">
        <f t="shared" si="194"/>
        <v>-</v>
      </c>
      <c r="R252" s="218">
        <f t="shared" ref="R252:U252" si="199">+R244+R245+R246+R247+R248+R249+R250+R251</f>
        <v>84548</v>
      </c>
      <c r="S252" s="216">
        <f t="shared" si="199"/>
        <v>0</v>
      </c>
      <c r="T252" s="216">
        <f t="shared" si="199"/>
        <v>0</v>
      </c>
      <c r="U252" s="217">
        <f t="shared" si="199"/>
        <v>84548</v>
      </c>
      <c r="V252" s="195"/>
      <c r="W252" s="195"/>
      <c r="Y252" s="942"/>
      <c r="AC252" s="942"/>
    </row>
    <row r="253" spans="1:30">
      <c r="A253" s="195"/>
      <c r="B253" s="195"/>
      <c r="C253" s="195"/>
      <c r="D253" s="195"/>
      <c r="E253" s="195"/>
      <c r="F253" s="195"/>
      <c r="G253" s="195"/>
      <c r="H253" s="195"/>
      <c r="I253" s="195"/>
      <c r="J253" s="195"/>
      <c r="K253" s="942"/>
      <c r="L253" s="195"/>
      <c r="M253" s="195"/>
      <c r="N253" s="195"/>
      <c r="O253" s="195"/>
      <c r="P253" s="195"/>
      <c r="Q253" s="195"/>
      <c r="R253" s="195"/>
      <c r="S253" s="195"/>
      <c r="T253" s="195"/>
      <c r="U253" s="195"/>
      <c r="V253" s="195"/>
      <c r="W253" s="195"/>
    </row>
    <row r="255" spans="1:30" s="935" customFormat="1" ht="15.75">
      <c r="A255" s="193" t="s">
        <v>2752</v>
      </c>
      <c r="B255" s="1196" t="s">
        <v>2742</v>
      </c>
      <c r="C255" s="1196"/>
      <c r="D255" s="1196"/>
      <c r="E255" s="1196"/>
      <c r="F255" s="1196"/>
      <c r="G255" s="1196"/>
      <c r="H255" s="1199"/>
      <c r="I255" s="1199"/>
      <c r="J255" s="1199"/>
      <c r="K255" s="831"/>
      <c r="L255" s="193" t="s">
        <v>2739</v>
      </c>
      <c r="M255" s="1196" t="s">
        <v>2745</v>
      </c>
      <c r="N255" s="1196"/>
      <c r="O255" s="1196"/>
      <c r="P255" s="1196"/>
      <c r="Q255" s="1196"/>
      <c r="R255" s="1196"/>
      <c r="S255" s="1199"/>
      <c r="T255" s="1199"/>
      <c r="U255" s="1199"/>
      <c r="V255" s="1196"/>
      <c r="W255" s="1196"/>
    </row>
    <row r="256" spans="1:30" s="935" customFormat="1" ht="15.75" customHeight="1">
      <c r="A256" s="1248" t="s">
        <v>2743</v>
      </c>
      <c r="B256" s="1248"/>
      <c r="C256" s="1248"/>
      <c r="D256" s="1248"/>
      <c r="E256" s="1248"/>
      <c r="F256" s="1248"/>
      <c r="G256" s="1248"/>
      <c r="H256" s="1248"/>
      <c r="I256" s="1248"/>
      <c r="J256" s="1248"/>
      <c r="K256" s="831"/>
      <c r="L256" s="1248" t="s">
        <v>2746</v>
      </c>
      <c r="M256" s="1248"/>
      <c r="N256" s="1248"/>
      <c r="O256" s="1248"/>
      <c r="P256" s="1248"/>
      <c r="Q256" s="1248"/>
      <c r="R256" s="1248"/>
      <c r="S256" s="1248"/>
      <c r="T256" s="1248"/>
      <c r="U256" s="1248"/>
      <c r="V256" s="1197"/>
      <c r="W256" s="1197"/>
    </row>
    <row r="257" spans="1:30" s="935" customFormat="1" ht="15.75">
      <c r="A257" s="1245" t="s">
        <v>1214</v>
      </c>
      <c r="B257" s="1245"/>
      <c r="C257" s="1245"/>
      <c r="D257" s="1245"/>
      <c r="E257" s="1245"/>
      <c r="F257" s="1245"/>
      <c r="G257" s="1245"/>
      <c r="H257" s="1245"/>
      <c r="I257" s="1245"/>
      <c r="J257" s="1245"/>
      <c r="K257" s="831"/>
      <c r="L257" s="1245" t="s">
        <v>1214</v>
      </c>
      <c r="M257" s="1245"/>
      <c r="N257" s="1245"/>
      <c r="O257" s="1245"/>
      <c r="P257" s="1245"/>
      <c r="Q257" s="1245"/>
      <c r="R257" s="1245"/>
      <c r="S257" s="1245"/>
      <c r="T257" s="1245"/>
      <c r="U257" s="1245"/>
      <c r="V257" s="1198"/>
      <c r="W257" s="1198"/>
    </row>
    <row r="258" spans="1:30" s="938" customFormat="1" ht="12.75" thickBot="1">
      <c r="A258" s="937"/>
      <c r="B258" s="937"/>
      <c r="G258" s="937"/>
      <c r="H258" s="937"/>
      <c r="J258" s="238" t="s">
        <v>281</v>
      </c>
      <c r="K258" s="939"/>
      <c r="L258" s="937"/>
      <c r="M258" s="937"/>
      <c r="N258" s="937"/>
      <c r="O258" s="937"/>
      <c r="P258" s="937"/>
      <c r="Q258" s="937"/>
      <c r="R258" s="937"/>
      <c r="S258" s="937"/>
      <c r="U258" s="238" t="s">
        <v>281</v>
      </c>
      <c r="V258" s="925"/>
      <c r="W258" s="925"/>
    </row>
    <row r="259" spans="1:30" s="941" customFormat="1" ht="36.75" thickBot="1">
      <c r="A259" s="401" t="s">
        <v>432</v>
      </c>
      <c r="B259" s="402" t="s">
        <v>1329</v>
      </c>
      <c r="C259" s="1887" t="s">
        <v>1474</v>
      </c>
      <c r="D259" s="1482" t="s">
        <v>1475</v>
      </c>
      <c r="E259" s="1482" t="s">
        <v>1529</v>
      </c>
      <c r="F259" s="1483" t="s">
        <v>1527</v>
      </c>
      <c r="G259" s="382" t="s">
        <v>460</v>
      </c>
      <c r="H259" s="383" t="s">
        <v>461</v>
      </c>
      <c r="I259" s="383" t="s">
        <v>1330</v>
      </c>
      <c r="J259" s="1202" t="s">
        <v>18</v>
      </c>
      <c r="K259" s="940"/>
      <c r="L259" s="401" t="s">
        <v>432</v>
      </c>
      <c r="M259" s="402" t="s">
        <v>1329</v>
      </c>
      <c r="N259" s="1887" t="s">
        <v>1474</v>
      </c>
      <c r="O259" s="1482" t="s">
        <v>1475</v>
      </c>
      <c r="P259" s="1482" t="s">
        <v>1529</v>
      </c>
      <c r="Q259" s="1483" t="s">
        <v>1527</v>
      </c>
      <c r="R259" s="382" t="s">
        <v>460</v>
      </c>
      <c r="S259" s="383" t="s">
        <v>461</v>
      </c>
      <c r="T259" s="383" t="s">
        <v>1330</v>
      </c>
      <c r="U259" s="1202" t="s">
        <v>18</v>
      </c>
      <c r="V259" s="926"/>
      <c r="W259" s="926"/>
    </row>
    <row r="260" spans="1:30">
      <c r="A260" s="201" t="s">
        <v>433</v>
      </c>
      <c r="B260" s="202">
        <f t="shared" ref="B260:J260" si="200">+B277-B265-B264-B263-B262</f>
        <v>0</v>
      </c>
      <c r="C260" s="1092">
        <f t="shared" si="200"/>
        <v>0</v>
      </c>
      <c r="D260" s="1093">
        <f t="shared" si="200"/>
        <v>-49225</v>
      </c>
      <c r="E260" s="1093">
        <f t="shared" si="200"/>
        <v>-49225</v>
      </c>
      <c r="F260" s="1439">
        <f t="shared" ref="F260:F266" si="201">IF(ISERROR(E260/D260),"-",E260/D260)</f>
        <v>1</v>
      </c>
      <c r="G260" s="203">
        <f t="shared" ref="G260:O260" si="202">+G277-G265-G264-G263-G262</f>
        <v>49225</v>
      </c>
      <c r="H260" s="204">
        <f t="shared" si="202"/>
        <v>0</v>
      </c>
      <c r="I260" s="204">
        <f t="shared" si="202"/>
        <v>0</v>
      </c>
      <c r="J260" s="205">
        <f t="shared" si="202"/>
        <v>0</v>
      </c>
      <c r="K260" s="942"/>
      <c r="L260" s="201" t="s">
        <v>433</v>
      </c>
      <c r="M260" s="202">
        <f t="shared" ref="M260:U260" si="203">+M277-M265-M264-M263-M262</f>
        <v>0</v>
      </c>
      <c r="N260" s="1092">
        <f t="shared" si="203"/>
        <v>0</v>
      </c>
      <c r="O260" s="1093">
        <f t="shared" si="203"/>
        <v>-186726</v>
      </c>
      <c r="P260" s="1093">
        <f t="shared" si="203"/>
        <v>-186726</v>
      </c>
      <c r="Q260" s="1439">
        <f t="shared" ref="Q260:Q266" si="204">IF(ISERROR(P260/O260),"-",P260/O260)</f>
        <v>1</v>
      </c>
      <c r="R260" s="203">
        <f t="shared" ref="R260:U260" si="205">+R277-R265-R264-R263-R262</f>
        <v>186726</v>
      </c>
      <c r="S260" s="204">
        <f t="shared" si="205"/>
        <v>0</v>
      </c>
      <c r="T260" s="204">
        <f t="shared" si="205"/>
        <v>0</v>
      </c>
      <c r="U260" s="205">
        <f t="shared" si="205"/>
        <v>0</v>
      </c>
      <c r="V260" s="195"/>
      <c r="W260" s="195"/>
    </row>
    <row r="261" spans="1:30">
      <c r="A261" s="206" t="s">
        <v>434</v>
      </c>
      <c r="B261" s="207"/>
      <c r="C261" s="1094"/>
      <c r="D261" s="1095"/>
      <c r="E261" s="1095"/>
      <c r="F261" s="1440" t="str">
        <f t="shared" si="201"/>
        <v>-</v>
      </c>
      <c r="G261" s="208"/>
      <c r="H261" s="209"/>
      <c r="I261" s="209"/>
      <c r="J261" s="210">
        <f t="shared" ref="J261:J265" si="206">+B261+IF(D261&lt;=E261,E261,D261)+G261+H261+I261</f>
        <v>0</v>
      </c>
      <c r="K261" s="942"/>
      <c r="L261" s="206" t="s">
        <v>434</v>
      </c>
      <c r="M261" s="207"/>
      <c r="N261" s="1094"/>
      <c r="O261" s="1095"/>
      <c r="P261" s="1095"/>
      <c r="Q261" s="1440" t="str">
        <f t="shared" si="204"/>
        <v>-</v>
      </c>
      <c r="R261" s="208"/>
      <c r="S261" s="209"/>
      <c r="T261" s="209"/>
      <c r="U261" s="210">
        <f t="shared" ref="U261:U265" si="207">+M261+IF(O261&lt;=P261,P261,O261)+R261+S261+T261</f>
        <v>0</v>
      </c>
      <c r="V261" s="927"/>
      <c r="W261" s="927"/>
      <c r="X261" s="118"/>
      <c r="Z261" s="118"/>
      <c r="AA261" s="118"/>
      <c r="AB261" s="118"/>
    </row>
    <row r="262" spans="1:30">
      <c r="A262" s="211" t="s">
        <v>435</v>
      </c>
      <c r="B262" s="212"/>
      <c r="C262" s="221"/>
      <c r="D262" s="1096">
        <v>109516</v>
      </c>
      <c r="E262" s="1096">
        <v>109516</v>
      </c>
      <c r="F262" s="1440">
        <f t="shared" si="201"/>
        <v>1</v>
      </c>
      <c r="G262" s="213"/>
      <c r="H262" s="214"/>
      <c r="I262" s="214"/>
      <c r="J262" s="215">
        <f t="shared" si="206"/>
        <v>109516</v>
      </c>
      <c r="K262" s="942"/>
      <c r="L262" s="211" t="s">
        <v>435</v>
      </c>
      <c r="M262" s="212"/>
      <c r="N262" s="221"/>
      <c r="O262" s="1096">
        <v>195000</v>
      </c>
      <c r="P262" s="1096">
        <v>195000</v>
      </c>
      <c r="Q262" s="1440">
        <f t="shared" si="204"/>
        <v>1</v>
      </c>
      <c r="R262" s="213"/>
      <c r="S262" s="214"/>
      <c r="T262" s="214"/>
      <c r="U262" s="215">
        <f t="shared" si="207"/>
        <v>195000</v>
      </c>
      <c r="V262" s="195"/>
      <c r="W262" s="195"/>
      <c r="X262" s="118"/>
      <c r="Y262" s="118"/>
      <c r="Z262" s="118"/>
      <c r="AA262" s="118"/>
      <c r="AB262" s="118"/>
      <c r="AC262" s="118"/>
      <c r="AD262" s="118"/>
    </row>
    <row r="263" spans="1:30">
      <c r="A263" s="211" t="s">
        <v>436</v>
      </c>
      <c r="B263" s="212"/>
      <c r="C263" s="221"/>
      <c r="D263" s="1096"/>
      <c r="E263" s="1096"/>
      <c r="F263" s="1440" t="str">
        <f t="shared" si="201"/>
        <v>-</v>
      </c>
      <c r="G263" s="213"/>
      <c r="H263" s="214"/>
      <c r="I263" s="214"/>
      <c r="J263" s="215">
        <f t="shared" si="206"/>
        <v>0</v>
      </c>
      <c r="K263" s="942"/>
      <c r="L263" s="211" t="s">
        <v>436</v>
      </c>
      <c r="M263" s="212"/>
      <c r="N263" s="221"/>
      <c r="O263" s="1096"/>
      <c r="P263" s="1096"/>
      <c r="Q263" s="1440" t="str">
        <f t="shared" si="204"/>
        <v>-</v>
      </c>
      <c r="R263" s="213"/>
      <c r="S263" s="214"/>
      <c r="T263" s="214"/>
      <c r="U263" s="215">
        <f t="shared" si="207"/>
        <v>0</v>
      </c>
      <c r="V263" s="195"/>
      <c r="W263" s="195"/>
      <c r="X263" s="118"/>
      <c r="Z263" s="118"/>
      <c r="AA263" s="118"/>
      <c r="AB263" s="118"/>
    </row>
    <row r="264" spans="1:30">
      <c r="A264" s="211" t="s">
        <v>437</v>
      </c>
      <c r="B264" s="212"/>
      <c r="C264" s="221"/>
      <c r="D264" s="1096"/>
      <c r="E264" s="1096"/>
      <c r="F264" s="1440" t="str">
        <f t="shared" si="201"/>
        <v>-</v>
      </c>
      <c r="G264" s="213"/>
      <c r="H264" s="214"/>
      <c r="I264" s="214"/>
      <c r="J264" s="215">
        <f t="shared" si="206"/>
        <v>0</v>
      </c>
      <c r="K264" s="942"/>
      <c r="L264" s="211" t="s">
        <v>437</v>
      </c>
      <c r="M264" s="212"/>
      <c r="N264" s="221"/>
      <c r="O264" s="1096"/>
      <c r="P264" s="1096"/>
      <c r="Q264" s="1440" t="str">
        <f t="shared" si="204"/>
        <v>-</v>
      </c>
      <c r="R264" s="213"/>
      <c r="S264" s="214"/>
      <c r="T264" s="214"/>
      <c r="U264" s="215">
        <f t="shared" si="207"/>
        <v>0</v>
      </c>
      <c r="V264" s="195"/>
      <c r="W264" s="195"/>
      <c r="X264" s="118"/>
      <c r="Z264" s="118"/>
      <c r="AA264" s="118"/>
      <c r="AB264" s="118"/>
    </row>
    <row r="265" spans="1:30" ht="12.75" thickBot="1">
      <c r="A265" s="211" t="s">
        <v>438</v>
      </c>
      <c r="B265" s="212"/>
      <c r="C265" s="221"/>
      <c r="D265" s="1096"/>
      <c r="E265" s="1096"/>
      <c r="F265" s="1440" t="str">
        <f t="shared" si="201"/>
        <v>-</v>
      </c>
      <c r="G265" s="213"/>
      <c r="H265" s="214"/>
      <c r="I265" s="214"/>
      <c r="J265" s="215">
        <f t="shared" si="206"/>
        <v>0</v>
      </c>
      <c r="K265" s="942"/>
      <c r="L265" s="211" t="s">
        <v>438</v>
      </c>
      <c r="M265" s="212"/>
      <c r="N265" s="221"/>
      <c r="O265" s="1096"/>
      <c r="P265" s="1096"/>
      <c r="Q265" s="1440" t="str">
        <f t="shared" si="204"/>
        <v>-</v>
      </c>
      <c r="R265" s="213"/>
      <c r="S265" s="214"/>
      <c r="T265" s="214"/>
      <c r="U265" s="215">
        <f t="shared" si="207"/>
        <v>0</v>
      </c>
      <c r="V265" s="195"/>
      <c r="W265" s="195"/>
      <c r="X265" s="118"/>
      <c r="Z265" s="118"/>
      <c r="AA265" s="118"/>
      <c r="AB265" s="118"/>
    </row>
    <row r="266" spans="1:30" ht="12.75" thickBot="1">
      <c r="A266" s="194" t="s">
        <v>439</v>
      </c>
      <c r="B266" s="216">
        <f t="shared" ref="B266:J266" si="208">+B260+B262+B263+B264+B265</f>
        <v>0</v>
      </c>
      <c r="C266" s="194">
        <f t="shared" si="208"/>
        <v>0</v>
      </c>
      <c r="D266" s="1098">
        <f t="shared" si="208"/>
        <v>60291</v>
      </c>
      <c r="E266" s="1098">
        <f t="shared" si="208"/>
        <v>60291</v>
      </c>
      <c r="F266" s="1441">
        <f t="shared" si="201"/>
        <v>1</v>
      </c>
      <c r="G266" s="218">
        <f t="shared" ref="G266:O266" si="209">+G260+G262+G263+G264+G265</f>
        <v>49225</v>
      </c>
      <c r="H266" s="216">
        <f t="shared" si="209"/>
        <v>0</v>
      </c>
      <c r="I266" s="216">
        <f t="shared" si="209"/>
        <v>0</v>
      </c>
      <c r="J266" s="217">
        <f t="shared" si="209"/>
        <v>109516</v>
      </c>
      <c r="K266" s="942"/>
      <c r="L266" s="194" t="s">
        <v>439</v>
      </c>
      <c r="M266" s="216">
        <f t="shared" ref="M266:U266" si="210">+M260+M262+M263+M264+M265</f>
        <v>0</v>
      </c>
      <c r="N266" s="194">
        <f t="shared" si="210"/>
        <v>0</v>
      </c>
      <c r="O266" s="1098">
        <f t="shared" si="210"/>
        <v>8274</v>
      </c>
      <c r="P266" s="1098">
        <f t="shared" si="210"/>
        <v>8274</v>
      </c>
      <c r="Q266" s="1441">
        <f t="shared" si="204"/>
        <v>1</v>
      </c>
      <c r="R266" s="218">
        <f t="shared" ref="R266:U266" si="211">+R260+R262+R263+R264+R265</f>
        <v>186726</v>
      </c>
      <c r="S266" s="216">
        <f t="shared" si="211"/>
        <v>0</v>
      </c>
      <c r="T266" s="216">
        <f t="shared" si="211"/>
        <v>0</v>
      </c>
      <c r="U266" s="217">
        <f t="shared" si="211"/>
        <v>195000</v>
      </c>
      <c r="V266" s="195"/>
      <c r="W266" s="195"/>
    </row>
    <row r="267" spans="1:30" ht="12.75" thickBot="1">
      <c r="A267" s="219"/>
      <c r="B267" s="219"/>
      <c r="C267" s="219"/>
      <c r="D267" s="219"/>
      <c r="E267" s="219"/>
      <c r="F267" s="219"/>
      <c r="G267" s="219"/>
      <c r="H267" s="219"/>
      <c r="I267" s="219"/>
      <c r="J267" s="219"/>
      <c r="K267" s="942"/>
      <c r="L267" s="219"/>
      <c r="M267" s="219"/>
      <c r="N267" s="219"/>
      <c r="O267" s="219"/>
      <c r="P267" s="219"/>
      <c r="Q267" s="219"/>
      <c r="R267" s="219"/>
      <c r="S267" s="219"/>
      <c r="T267" s="219"/>
      <c r="U267" s="219"/>
      <c r="V267" s="219"/>
      <c r="W267" s="219"/>
    </row>
    <row r="268" spans="1:30" s="941" customFormat="1" ht="36.75" thickBot="1">
      <c r="A268" s="401" t="s">
        <v>440</v>
      </c>
      <c r="B268" s="402" t="s">
        <v>1329</v>
      </c>
      <c r="C268" s="1887" t="s">
        <v>1474</v>
      </c>
      <c r="D268" s="1482" t="s">
        <v>1475</v>
      </c>
      <c r="E268" s="1482" t="s">
        <v>1529</v>
      </c>
      <c r="F268" s="1483" t="s">
        <v>1527</v>
      </c>
      <c r="G268" s="382" t="s">
        <v>460</v>
      </c>
      <c r="H268" s="383" t="s">
        <v>461</v>
      </c>
      <c r="I268" s="383" t="s">
        <v>1330</v>
      </c>
      <c r="J268" s="1202" t="s">
        <v>18</v>
      </c>
      <c r="K268" s="944"/>
      <c r="L268" s="401" t="s">
        <v>440</v>
      </c>
      <c r="M268" s="402" t="s">
        <v>1329</v>
      </c>
      <c r="N268" s="1887" t="s">
        <v>1474</v>
      </c>
      <c r="O268" s="1482" t="s">
        <v>1475</v>
      </c>
      <c r="P268" s="1482" t="s">
        <v>1529</v>
      </c>
      <c r="Q268" s="1483" t="s">
        <v>1527</v>
      </c>
      <c r="R268" s="382" t="s">
        <v>460</v>
      </c>
      <c r="S268" s="383" t="s">
        <v>461</v>
      </c>
      <c r="T268" s="383" t="s">
        <v>1330</v>
      </c>
      <c r="U268" s="1202" t="s">
        <v>18</v>
      </c>
      <c r="V268" s="926"/>
      <c r="W268" s="926"/>
    </row>
    <row r="269" spans="1:30">
      <c r="A269" s="201" t="s">
        <v>446</v>
      </c>
      <c r="B269" s="202"/>
      <c r="C269" s="1092"/>
      <c r="D269" s="1093"/>
      <c r="E269" s="1093"/>
      <c r="F269" s="1439" t="str">
        <f t="shared" ref="F269:F277" si="212">IF(ISERROR(E269/D269),"-",E269/D269)</f>
        <v>-</v>
      </c>
      <c r="G269" s="203"/>
      <c r="H269" s="204"/>
      <c r="I269" s="204"/>
      <c r="J269" s="205">
        <f t="shared" ref="J269:J276" si="213">+B269+IF(D269&lt;=E269,E269,D269)+G269+H269+I269</f>
        <v>0</v>
      </c>
      <c r="K269" s="942"/>
      <c r="L269" s="201" t="s">
        <v>446</v>
      </c>
      <c r="M269" s="202"/>
      <c r="N269" s="1092"/>
      <c r="O269" s="1093"/>
      <c r="P269" s="1093"/>
      <c r="Q269" s="1439" t="str">
        <f t="shared" ref="Q269:Q277" si="214">IF(ISERROR(P269/O269),"-",P269/O269)</f>
        <v>-</v>
      </c>
      <c r="R269" s="203"/>
      <c r="S269" s="204"/>
      <c r="T269" s="204"/>
      <c r="U269" s="205">
        <f t="shared" ref="U269:U276" si="215">+M269+IF(O269&lt;=P269,P269,O269)+R269+S269+T269</f>
        <v>0</v>
      </c>
      <c r="V269" s="195"/>
      <c r="W269" s="195"/>
      <c r="X269" s="118"/>
      <c r="Y269" s="118"/>
      <c r="Z269" s="118"/>
      <c r="AA269" s="118"/>
      <c r="AB269" s="118"/>
      <c r="AC269" s="118"/>
      <c r="AD269" s="118"/>
    </row>
    <row r="270" spans="1:30">
      <c r="A270" s="220" t="s">
        <v>447</v>
      </c>
      <c r="B270" s="212"/>
      <c r="C270" s="221"/>
      <c r="D270" s="1096"/>
      <c r="E270" s="1096"/>
      <c r="F270" s="1440" t="str">
        <f t="shared" si="212"/>
        <v>-</v>
      </c>
      <c r="G270" s="213"/>
      <c r="H270" s="214"/>
      <c r="I270" s="214"/>
      <c r="J270" s="215">
        <f t="shared" si="213"/>
        <v>0</v>
      </c>
      <c r="K270" s="942"/>
      <c r="L270" s="220" t="s">
        <v>447</v>
      </c>
      <c r="M270" s="212"/>
      <c r="N270" s="221"/>
      <c r="O270" s="1096"/>
      <c r="P270" s="1096"/>
      <c r="Q270" s="1440" t="str">
        <f t="shared" si="214"/>
        <v>-</v>
      </c>
      <c r="R270" s="213"/>
      <c r="S270" s="214"/>
      <c r="T270" s="214"/>
      <c r="U270" s="215">
        <f t="shared" si="215"/>
        <v>0</v>
      </c>
      <c r="V270" s="195"/>
      <c r="W270" s="195"/>
      <c r="X270" s="118"/>
      <c r="Y270" s="118"/>
      <c r="Z270" s="118"/>
      <c r="AA270" s="118"/>
      <c r="AB270" s="118"/>
      <c r="AC270" s="118"/>
      <c r="AD270" s="118"/>
    </row>
    <row r="271" spans="1:30">
      <c r="A271" s="211" t="s">
        <v>448</v>
      </c>
      <c r="B271" s="212"/>
      <c r="C271" s="221"/>
      <c r="D271" s="1096">
        <v>44291</v>
      </c>
      <c r="E271" s="1096">
        <v>44291</v>
      </c>
      <c r="F271" s="1440">
        <f t="shared" si="212"/>
        <v>1</v>
      </c>
      <c r="G271" s="213"/>
      <c r="H271" s="214"/>
      <c r="I271" s="214"/>
      <c r="J271" s="215">
        <f t="shared" si="213"/>
        <v>44291</v>
      </c>
      <c r="K271" s="942"/>
      <c r="L271" s="211" t="s">
        <v>448</v>
      </c>
      <c r="M271" s="212"/>
      <c r="N271" s="221"/>
      <c r="O271" s="1096">
        <v>2432</v>
      </c>
      <c r="P271" s="1096">
        <v>2432</v>
      </c>
      <c r="Q271" s="1440">
        <f t="shared" si="214"/>
        <v>1</v>
      </c>
      <c r="R271" s="213"/>
      <c r="S271" s="214"/>
      <c r="T271" s="214"/>
      <c r="U271" s="215">
        <f t="shared" si="215"/>
        <v>2432</v>
      </c>
      <c r="V271" s="195"/>
      <c r="W271" s="195"/>
      <c r="X271" s="118"/>
      <c r="Y271" s="118"/>
      <c r="Z271" s="118"/>
      <c r="AA271" s="118"/>
      <c r="AB271" s="118"/>
      <c r="AC271" s="118"/>
      <c r="AD271" s="118"/>
    </row>
    <row r="272" spans="1:30">
      <c r="A272" s="211" t="s">
        <v>449</v>
      </c>
      <c r="B272" s="212"/>
      <c r="C272" s="221"/>
      <c r="D272" s="1096"/>
      <c r="E272" s="1096"/>
      <c r="F272" s="1440" t="str">
        <f t="shared" si="212"/>
        <v>-</v>
      </c>
      <c r="G272" s="213"/>
      <c r="H272" s="214"/>
      <c r="I272" s="214"/>
      <c r="J272" s="215">
        <f t="shared" si="213"/>
        <v>0</v>
      </c>
      <c r="K272" s="942"/>
      <c r="L272" s="211" t="s">
        <v>449</v>
      </c>
      <c r="M272" s="212"/>
      <c r="N272" s="221"/>
      <c r="O272" s="1096"/>
      <c r="P272" s="1096"/>
      <c r="Q272" s="1440" t="str">
        <f t="shared" si="214"/>
        <v>-</v>
      </c>
      <c r="R272" s="213"/>
      <c r="S272" s="214"/>
      <c r="T272" s="214"/>
      <c r="U272" s="215">
        <f t="shared" si="215"/>
        <v>0</v>
      </c>
      <c r="V272" s="195"/>
      <c r="W272" s="195"/>
      <c r="X272" s="118"/>
      <c r="Z272" s="118"/>
      <c r="AA272" s="118"/>
      <c r="AB272" s="118"/>
      <c r="AD272" s="118"/>
    </row>
    <row r="273" spans="1:30">
      <c r="A273" s="221" t="s">
        <v>450</v>
      </c>
      <c r="B273" s="222"/>
      <c r="C273" s="221"/>
      <c r="D273" s="1096"/>
      <c r="E273" s="1096"/>
      <c r="F273" s="1440" t="str">
        <f t="shared" si="212"/>
        <v>-</v>
      </c>
      <c r="G273" s="213"/>
      <c r="H273" s="214"/>
      <c r="I273" s="214"/>
      <c r="J273" s="215">
        <f t="shared" si="213"/>
        <v>0</v>
      </c>
      <c r="K273" s="942"/>
      <c r="L273" s="221" t="s">
        <v>450</v>
      </c>
      <c r="M273" s="222"/>
      <c r="N273" s="221"/>
      <c r="O273" s="1096"/>
      <c r="P273" s="1096"/>
      <c r="Q273" s="1440" t="str">
        <f t="shared" si="214"/>
        <v>-</v>
      </c>
      <c r="R273" s="213"/>
      <c r="S273" s="214"/>
      <c r="T273" s="214"/>
      <c r="U273" s="215">
        <f t="shared" si="215"/>
        <v>0</v>
      </c>
      <c r="V273" s="195"/>
      <c r="W273" s="195"/>
      <c r="X273" s="118"/>
      <c r="Y273" s="118"/>
      <c r="Z273" s="118"/>
      <c r="AA273" s="118"/>
      <c r="AB273" s="118"/>
      <c r="AC273" s="118"/>
      <c r="AD273" s="118"/>
    </row>
    <row r="274" spans="1:30">
      <c r="A274" s="221" t="s">
        <v>451</v>
      </c>
      <c r="B274" s="222"/>
      <c r="C274" s="221"/>
      <c r="D274" s="1096">
        <v>16000</v>
      </c>
      <c r="E274" s="1096">
        <v>16000</v>
      </c>
      <c r="F274" s="1440">
        <f t="shared" si="212"/>
        <v>1</v>
      </c>
      <c r="G274" s="213">
        <v>49225</v>
      </c>
      <c r="H274" s="214"/>
      <c r="I274" s="214"/>
      <c r="J274" s="215">
        <f t="shared" si="213"/>
        <v>65225</v>
      </c>
      <c r="K274" s="942"/>
      <c r="L274" s="221" t="s">
        <v>451</v>
      </c>
      <c r="M274" s="222"/>
      <c r="N274" s="221"/>
      <c r="O274" s="1096"/>
      <c r="P274" s="1096"/>
      <c r="Q274" s="1440" t="str">
        <f t="shared" si="214"/>
        <v>-</v>
      </c>
      <c r="R274" s="213">
        <v>186726</v>
      </c>
      <c r="S274" s="214"/>
      <c r="T274" s="214"/>
      <c r="U274" s="215">
        <f t="shared" si="215"/>
        <v>186726</v>
      </c>
      <c r="V274" s="195"/>
      <c r="W274" s="195"/>
      <c r="X274" s="118"/>
      <c r="Y274" s="118"/>
      <c r="Z274" s="118"/>
      <c r="AA274" s="118"/>
      <c r="AB274" s="118"/>
      <c r="AC274" s="118"/>
      <c r="AD274" s="118"/>
    </row>
    <row r="275" spans="1:30">
      <c r="A275" s="223" t="s">
        <v>452</v>
      </c>
      <c r="B275" s="224"/>
      <c r="C275" s="223"/>
      <c r="D275" s="1099"/>
      <c r="E275" s="1099"/>
      <c r="F275" s="1442" t="str">
        <f t="shared" si="212"/>
        <v>-</v>
      </c>
      <c r="G275" s="225"/>
      <c r="H275" s="226"/>
      <c r="I275" s="226"/>
      <c r="J275" s="215">
        <f t="shared" si="213"/>
        <v>0</v>
      </c>
      <c r="K275" s="942"/>
      <c r="L275" s="223" t="s">
        <v>452</v>
      </c>
      <c r="M275" s="224"/>
      <c r="N275" s="223"/>
      <c r="O275" s="1099">
        <v>5842</v>
      </c>
      <c r="P275" s="1099">
        <v>5842</v>
      </c>
      <c r="Q275" s="1442">
        <f t="shared" si="214"/>
        <v>1</v>
      </c>
      <c r="R275" s="213"/>
      <c r="S275" s="226"/>
      <c r="T275" s="226"/>
      <c r="U275" s="215">
        <f t="shared" si="215"/>
        <v>5842</v>
      </c>
      <c r="V275" s="195"/>
      <c r="W275" s="195"/>
      <c r="X275" s="118"/>
      <c r="Y275" s="118"/>
      <c r="Z275" s="118"/>
      <c r="AA275" s="118"/>
      <c r="AB275" s="118"/>
      <c r="AC275" s="118"/>
      <c r="AD275" s="118"/>
    </row>
    <row r="276" spans="1:30" ht="12.75" thickBot="1">
      <c r="A276" s="223" t="s">
        <v>453</v>
      </c>
      <c r="B276" s="224"/>
      <c r="C276" s="223"/>
      <c r="D276" s="1099"/>
      <c r="E276" s="1099"/>
      <c r="F276" s="1442" t="str">
        <f t="shared" si="212"/>
        <v>-</v>
      </c>
      <c r="G276" s="225"/>
      <c r="H276" s="226"/>
      <c r="I276" s="226"/>
      <c r="J276" s="215">
        <f t="shared" si="213"/>
        <v>0</v>
      </c>
      <c r="K276" s="942"/>
      <c r="L276" s="223" t="s">
        <v>453</v>
      </c>
      <c r="M276" s="224"/>
      <c r="N276" s="223"/>
      <c r="O276" s="1099"/>
      <c r="P276" s="1099"/>
      <c r="Q276" s="1442" t="str">
        <f t="shared" si="214"/>
        <v>-</v>
      </c>
      <c r="R276" s="225"/>
      <c r="S276" s="226"/>
      <c r="T276" s="226"/>
      <c r="U276" s="215">
        <f t="shared" si="215"/>
        <v>0</v>
      </c>
      <c r="V276" s="195"/>
      <c r="W276" s="195"/>
      <c r="X276" s="118"/>
      <c r="Y276" s="118"/>
      <c r="Z276" s="118"/>
      <c r="AA276" s="118"/>
      <c r="AB276" s="118"/>
      <c r="AC276" s="118"/>
      <c r="AD276" s="118"/>
    </row>
    <row r="277" spans="1:30" ht="12.75" thickBot="1">
      <c r="A277" s="194" t="s">
        <v>454</v>
      </c>
      <c r="B277" s="216">
        <f t="shared" ref="B277:J277" si="216">+B269+B270+B271+B272+B273+B274+B275+B276</f>
        <v>0</v>
      </c>
      <c r="C277" s="194">
        <f t="shared" si="216"/>
        <v>0</v>
      </c>
      <c r="D277" s="1098">
        <f t="shared" si="216"/>
        <v>60291</v>
      </c>
      <c r="E277" s="1098">
        <f t="shared" si="216"/>
        <v>60291</v>
      </c>
      <c r="F277" s="1441">
        <f t="shared" si="212"/>
        <v>1</v>
      </c>
      <c r="G277" s="218">
        <f t="shared" ref="G277:O277" si="217">+G269+G270+G271+G272+G273+G274+G275+G276</f>
        <v>49225</v>
      </c>
      <c r="H277" s="216">
        <f t="shared" si="217"/>
        <v>0</v>
      </c>
      <c r="I277" s="216">
        <f t="shared" si="217"/>
        <v>0</v>
      </c>
      <c r="J277" s="217">
        <f t="shared" si="217"/>
        <v>109516</v>
      </c>
      <c r="L277" s="194" t="s">
        <v>454</v>
      </c>
      <c r="M277" s="216">
        <f t="shared" ref="M277:U277" si="218">+M269+M270+M271+M272+M273+M274+M275+M276</f>
        <v>0</v>
      </c>
      <c r="N277" s="194">
        <f t="shared" si="218"/>
        <v>0</v>
      </c>
      <c r="O277" s="1098">
        <f t="shared" si="218"/>
        <v>8274</v>
      </c>
      <c r="P277" s="1098">
        <f t="shared" si="218"/>
        <v>8274</v>
      </c>
      <c r="Q277" s="1441">
        <f t="shared" si="214"/>
        <v>1</v>
      </c>
      <c r="R277" s="218">
        <f t="shared" ref="R277:U277" si="219">+R269+R270+R271+R272+R273+R274+R275+R276</f>
        <v>186726</v>
      </c>
      <c r="S277" s="216">
        <f t="shared" si="219"/>
        <v>0</v>
      </c>
      <c r="T277" s="216">
        <f t="shared" si="219"/>
        <v>0</v>
      </c>
      <c r="U277" s="217">
        <f t="shared" si="219"/>
        <v>195000</v>
      </c>
      <c r="V277" s="195"/>
      <c r="W277" s="195"/>
      <c r="Y277" s="942"/>
      <c r="AC277" s="942"/>
    </row>
    <row r="278" spans="1:30">
      <c r="A278" s="195"/>
      <c r="B278" s="195"/>
      <c r="C278" s="195"/>
      <c r="D278" s="195"/>
      <c r="E278" s="195"/>
      <c r="F278" s="195"/>
      <c r="G278" s="195"/>
      <c r="H278" s="195"/>
      <c r="I278" s="195"/>
      <c r="J278" s="195"/>
      <c r="K278" s="942"/>
      <c r="L278" s="195"/>
      <c r="M278" s="195"/>
      <c r="N278" s="195"/>
      <c r="O278" s="195"/>
      <c r="P278" s="195"/>
      <c r="Q278" s="195"/>
      <c r="R278" s="195"/>
      <c r="S278" s="195"/>
      <c r="T278" s="195"/>
      <c r="U278" s="195"/>
      <c r="V278" s="195"/>
      <c r="W278" s="195"/>
    </row>
    <row r="280" spans="1:30" s="935" customFormat="1" ht="15.75" customHeight="1">
      <c r="A280" s="193" t="s">
        <v>2753</v>
      </c>
      <c r="B280" s="1246" t="s">
        <v>2747</v>
      </c>
      <c r="C280" s="1246"/>
      <c r="D280" s="1246"/>
      <c r="E280" s="1246"/>
      <c r="F280" s="1246"/>
      <c r="G280" s="1246"/>
      <c r="H280" s="1199"/>
      <c r="I280" s="1199"/>
      <c r="J280" s="1199"/>
      <c r="K280" s="831"/>
      <c r="L280" s="193" t="s">
        <v>2733</v>
      </c>
      <c r="M280" s="1246" t="s">
        <v>1440</v>
      </c>
      <c r="N280" s="1246"/>
      <c r="O280" s="1246"/>
      <c r="P280" s="1246"/>
      <c r="Q280" s="1246"/>
      <c r="R280" s="1246"/>
      <c r="S280" s="1246"/>
      <c r="T280" s="1246"/>
      <c r="U280" s="1246"/>
      <c r="V280" s="1196"/>
      <c r="W280" s="1196"/>
    </row>
    <row r="281" spans="1:30" s="935" customFormat="1" ht="15.75" customHeight="1">
      <c r="A281" s="1248" t="s">
        <v>2748</v>
      </c>
      <c r="B281" s="1248"/>
      <c r="C281" s="1248"/>
      <c r="D281" s="1248"/>
      <c r="E281" s="1248"/>
      <c r="F281" s="1248"/>
      <c r="G281" s="1248"/>
      <c r="H281" s="1248"/>
      <c r="I281" s="1248"/>
      <c r="J281" s="1248"/>
      <c r="K281" s="831"/>
      <c r="L281" s="1248" t="s">
        <v>1442</v>
      </c>
      <c r="M281" s="1248"/>
      <c r="N281" s="1248"/>
      <c r="O281" s="1248"/>
      <c r="P281" s="1248"/>
      <c r="Q281" s="1248"/>
      <c r="R281" s="1248"/>
      <c r="S281" s="1248"/>
      <c r="T281" s="1248"/>
      <c r="U281" s="1248"/>
      <c r="V281" s="1197"/>
      <c r="W281" s="1197"/>
    </row>
    <row r="282" spans="1:30" s="935" customFormat="1" ht="15.75">
      <c r="A282" s="1245" t="s">
        <v>1214</v>
      </c>
      <c r="B282" s="1245"/>
      <c r="C282" s="1245"/>
      <c r="D282" s="1245"/>
      <c r="E282" s="1245"/>
      <c r="F282" s="1245"/>
      <c r="G282" s="1245"/>
      <c r="H282" s="1245"/>
      <c r="I282" s="1245"/>
      <c r="J282" s="1245"/>
      <c r="K282" s="831"/>
      <c r="L282" s="1245" t="s">
        <v>1443</v>
      </c>
      <c r="M282" s="1245"/>
      <c r="N282" s="1245"/>
      <c r="O282" s="1245"/>
      <c r="P282" s="1245"/>
      <c r="Q282" s="1245"/>
      <c r="R282" s="1245"/>
      <c r="S282" s="1245"/>
      <c r="T282" s="1245"/>
      <c r="U282" s="1245"/>
      <c r="V282" s="1198"/>
      <c r="W282" s="1198"/>
    </row>
    <row r="283" spans="1:30" s="938" customFormat="1" ht="12.75" thickBot="1">
      <c r="A283" s="937"/>
      <c r="B283" s="937"/>
      <c r="G283" s="937"/>
      <c r="H283" s="937"/>
      <c r="J283" s="238" t="s">
        <v>281</v>
      </c>
      <c r="K283" s="939"/>
      <c r="L283" s="937"/>
      <c r="M283" s="937"/>
      <c r="R283" s="937"/>
      <c r="S283" s="937"/>
      <c r="U283" s="238" t="s">
        <v>281</v>
      </c>
      <c r="V283" s="925"/>
      <c r="W283" s="925"/>
    </row>
    <row r="284" spans="1:30" s="941" customFormat="1" ht="36.75" thickBot="1">
      <c r="A284" s="401" t="s">
        <v>432</v>
      </c>
      <c r="B284" s="402" t="s">
        <v>1329</v>
      </c>
      <c r="C284" s="1887" t="s">
        <v>1474</v>
      </c>
      <c r="D284" s="1482" t="s">
        <v>1475</v>
      </c>
      <c r="E284" s="1482" t="s">
        <v>1529</v>
      </c>
      <c r="F284" s="1483" t="s">
        <v>1527</v>
      </c>
      <c r="G284" s="382" t="s">
        <v>460</v>
      </c>
      <c r="H284" s="383" t="s">
        <v>461</v>
      </c>
      <c r="I284" s="383" t="s">
        <v>1330</v>
      </c>
      <c r="J284" s="1202" t="s">
        <v>18</v>
      </c>
      <c r="K284" s="940"/>
      <c r="L284" s="401" t="s">
        <v>432</v>
      </c>
      <c r="M284" s="402" t="s">
        <v>1329</v>
      </c>
      <c r="N284" s="1887" t="s">
        <v>1474</v>
      </c>
      <c r="O284" s="1482" t="s">
        <v>1475</v>
      </c>
      <c r="P284" s="1482" t="s">
        <v>1529</v>
      </c>
      <c r="Q284" s="1483" t="s">
        <v>1527</v>
      </c>
      <c r="R284" s="382" t="s">
        <v>460</v>
      </c>
      <c r="S284" s="383" t="s">
        <v>461</v>
      </c>
      <c r="T284" s="383" t="s">
        <v>1330</v>
      </c>
      <c r="U284" s="1202" t="s">
        <v>18</v>
      </c>
      <c r="V284" s="926"/>
      <c r="W284" s="926"/>
    </row>
    <row r="285" spans="1:30">
      <c r="A285" s="201" t="s">
        <v>433</v>
      </c>
      <c r="B285" s="202">
        <f t="shared" ref="B285:J285" si="220">+B302-B290-B289-B288-B287</f>
        <v>0</v>
      </c>
      <c r="C285" s="1092">
        <f t="shared" si="220"/>
        <v>0</v>
      </c>
      <c r="D285" s="1093">
        <f t="shared" si="220"/>
        <v>-438917</v>
      </c>
      <c r="E285" s="1093">
        <f t="shared" si="220"/>
        <v>-438917</v>
      </c>
      <c r="F285" s="1439">
        <f t="shared" ref="F285:F291" si="221">IF(ISERROR(E285/D285),"-",E285/D285)</f>
        <v>1</v>
      </c>
      <c r="G285" s="203">
        <f t="shared" ref="G285:O285" si="222">+G302-G290-G289-G288-G287</f>
        <v>438917</v>
      </c>
      <c r="H285" s="204">
        <f t="shared" si="222"/>
        <v>0</v>
      </c>
      <c r="I285" s="204">
        <f t="shared" si="222"/>
        <v>0</v>
      </c>
      <c r="J285" s="205">
        <f t="shared" si="222"/>
        <v>0</v>
      </c>
      <c r="K285" s="942"/>
      <c r="L285" s="201" t="s">
        <v>433</v>
      </c>
      <c r="M285" s="202">
        <f t="shared" ref="M285:U285" si="223">+M302-M290-M289-M288-M287</f>
        <v>0</v>
      </c>
      <c r="N285" s="1092">
        <f t="shared" si="223"/>
        <v>0</v>
      </c>
      <c r="O285" s="1093">
        <f t="shared" si="223"/>
        <v>-342083</v>
      </c>
      <c r="P285" s="1093">
        <f t="shared" si="223"/>
        <v>-342083</v>
      </c>
      <c r="Q285" s="1439">
        <f t="shared" ref="Q285:Q291" si="224">IF(ISERROR(P285/O285),"-",P285/O285)</f>
        <v>1</v>
      </c>
      <c r="R285" s="203">
        <f t="shared" ref="R285:U285" si="225">+R302-R290-R289-R288-R287</f>
        <v>342083</v>
      </c>
      <c r="S285" s="204">
        <f t="shared" si="225"/>
        <v>0</v>
      </c>
      <c r="T285" s="204">
        <f t="shared" si="225"/>
        <v>0</v>
      </c>
      <c r="U285" s="205">
        <f t="shared" si="225"/>
        <v>0</v>
      </c>
      <c r="W285" s="195">
        <f>+B285+M285+M135++B135+M110+B110+M85+B85+M60+B60+M35+B35+M10+B10</f>
        <v>-1791425</v>
      </c>
    </row>
    <row r="286" spans="1:30">
      <c r="A286" s="206" t="s">
        <v>434</v>
      </c>
      <c r="B286" s="207"/>
      <c r="C286" s="1094"/>
      <c r="D286" s="1095"/>
      <c r="E286" s="1095"/>
      <c r="F286" s="1440" t="str">
        <f t="shared" si="221"/>
        <v>-</v>
      </c>
      <c r="G286" s="208"/>
      <c r="H286" s="209"/>
      <c r="I286" s="209"/>
      <c r="J286" s="210">
        <f t="shared" ref="J286:J290" si="226">+B286+IF(D286&lt;=E286,E286,D286)+G286+H286+I286</f>
        <v>0</v>
      </c>
      <c r="K286" s="942"/>
      <c r="L286" s="206" t="s">
        <v>434</v>
      </c>
      <c r="M286" s="207"/>
      <c r="N286" s="1094"/>
      <c r="O286" s="1095"/>
      <c r="P286" s="1095"/>
      <c r="Q286" s="1440" t="str">
        <f t="shared" si="224"/>
        <v>-</v>
      </c>
      <c r="R286" s="208"/>
      <c r="S286" s="209"/>
      <c r="T286" s="209"/>
      <c r="U286" s="210">
        <f t="shared" ref="U286:U290" si="227">+M286+IF(O286&lt;=P286,P286,O286)+R286+S286+T286</f>
        <v>0</v>
      </c>
      <c r="V286" s="927"/>
      <c r="W286" s="927"/>
      <c r="X286" s="118">
        <f>+D11+D36+O11+O36+D61+O61+D86+O86+D111+O111+D136+O136+D286+O286+D161+O161+D186+O186+D211+O211+D236+O236+D261+O261</f>
        <v>0</v>
      </c>
      <c r="Z286" s="118"/>
      <c r="AA286" s="118"/>
      <c r="AB286" s="118">
        <f>+E11+E36+P11+P36+E61+P61+E86+P86+E111+P111+E136+P136+E286+P286+E161+P161+E186+P186+E211+P211+E236+P236+E261+P261</f>
        <v>0</v>
      </c>
    </row>
    <row r="287" spans="1:30">
      <c r="A287" s="211" t="s">
        <v>435</v>
      </c>
      <c r="B287" s="212"/>
      <c r="C287" s="221"/>
      <c r="D287" s="1096">
        <v>438917</v>
      </c>
      <c r="E287" s="1096">
        <v>438917</v>
      </c>
      <c r="F287" s="1440">
        <f t="shared" si="221"/>
        <v>1</v>
      </c>
      <c r="G287" s="213"/>
      <c r="H287" s="214"/>
      <c r="I287" s="214"/>
      <c r="J287" s="215">
        <f t="shared" si="226"/>
        <v>438917</v>
      </c>
      <c r="K287" s="942"/>
      <c r="L287" s="211" t="s">
        <v>435</v>
      </c>
      <c r="M287" s="212">
        <f>45016-45016+441153-441153</f>
        <v>0</v>
      </c>
      <c r="N287" s="221"/>
      <c r="O287" s="1096">
        <v>342083</v>
      </c>
      <c r="P287" s="1096">
        <v>342083</v>
      </c>
      <c r="Q287" s="1440">
        <f t="shared" si="224"/>
        <v>1</v>
      </c>
      <c r="R287" s="213">
        <f>783236+279246+9928-45016+45016-441153+441153-342083</f>
        <v>730327</v>
      </c>
      <c r="S287" s="214"/>
      <c r="T287" s="214"/>
      <c r="U287" s="215">
        <f t="shared" si="227"/>
        <v>1072410</v>
      </c>
      <c r="V287" s="195"/>
      <c r="W287" s="195"/>
      <c r="X287" s="118">
        <f t="shared" ref="X287:X302" si="228">+D12+D37+O12+O37+D62+O62+D87+O87+D112+O112+D137+O137+D287+O287+D162+O162+D187+O187+D212+O212+D237+O237+D262+O262</f>
        <v>1854213</v>
      </c>
      <c r="Y287" s="118">
        <f>+'1.mell._Össz_Mérleg2018'!D24+'1.mell._Össz_Mérleg2018'!D57</f>
        <v>1854213</v>
      </c>
      <c r="Z287" s="118">
        <f>+Y287-X287</f>
        <v>0</v>
      </c>
      <c r="AA287" s="118"/>
      <c r="AB287" s="118">
        <f t="shared" ref="AB287:AB302" si="229">+E12+E37+P12+P37+E62+P62+E87+P87+E112+P112+E137+P137+E287+P287+E162+P162+E187+P187+E212+P212+E237+P237+E262+P262</f>
        <v>1854213</v>
      </c>
      <c r="AC287" s="118">
        <f>+'1.mell._Össz_Mérleg2018'!E24+'1.mell._Össz_Mérleg2018'!E57</f>
        <v>1854213</v>
      </c>
      <c r="AD287" s="118">
        <f>+AC287-AB287</f>
        <v>0</v>
      </c>
    </row>
    <row r="288" spans="1:30">
      <c r="A288" s="211" t="s">
        <v>436</v>
      </c>
      <c r="B288" s="212"/>
      <c r="C288" s="221"/>
      <c r="D288" s="1096"/>
      <c r="E288" s="1096"/>
      <c r="F288" s="1440" t="str">
        <f t="shared" si="221"/>
        <v>-</v>
      </c>
      <c r="G288" s="213"/>
      <c r="H288" s="214"/>
      <c r="I288" s="214"/>
      <c r="J288" s="215">
        <f t="shared" si="226"/>
        <v>0</v>
      </c>
      <c r="K288" s="942"/>
      <c r="L288" s="211" t="s">
        <v>436</v>
      </c>
      <c r="M288" s="212"/>
      <c r="N288" s="221"/>
      <c r="O288" s="1096"/>
      <c r="P288" s="1096"/>
      <c r="Q288" s="1440" t="str">
        <f t="shared" si="224"/>
        <v>-</v>
      </c>
      <c r="R288" s="213"/>
      <c r="S288" s="214"/>
      <c r="T288" s="214"/>
      <c r="U288" s="215">
        <f t="shared" si="227"/>
        <v>0</v>
      </c>
      <c r="V288" s="195"/>
      <c r="W288" s="195"/>
      <c r="X288" s="118">
        <f t="shared" si="228"/>
        <v>0</v>
      </c>
      <c r="Z288" s="118"/>
      <c r="AA288" s="118"/>
      <c r="AB288" s="118">
        <f t="shared" si="229"/>
        <v>0</v>
      </c>
    </row>
    <row r="289" spans="1:30">
      <c r="A289" s="211" t="s">
        <v>437</v>
      </c>
      <c r="B289" s="212"/>
      <c r="C289" s="221"/>
      <c r="D289" s="1096"/>
      <c r="E289" s="1096"/>
      <c r="F289" s="1440" t="str">
        <f t="shared" si="221"/>
        <v>-</v>
      </c>
      <c r="G289" s="213"/>
      <c r="H289" s="214"/>
      <c r="I289" s="214"/>
      <c r="J289" s="215">
        <f t="shared" si="226"/>
        <v>0</v>
      </c>
      <c r="K289" s="942"/>
      <c r="L289" s="211" t="s">
        <v>437</v>
      </c>
      <c r="M289" s="212"/>
      <c r="N289" s="221"/>
      <c r="O289" s="1096"/>
      <c r="P289" s="1096"/>
      <c r="Q289" s="1440" t="str">
        <f t="shared" si="224"/>
        <v>-</v>
      </c>
      <c r="R289" s="213"/>
      <c r="S289" s="214"/>
      <c r="T289" s="214"/>
      <c r="U289" s="215">
        <f t="shared" si="227"/>
        <v>0</v>
      </c>
      <c r="V289" s="195"/>
      <c r="W289" s="195"/>
      <c r="X289" s="118">
        <f t="shared" si="228"/>
        <v>0</v>
      </c>
      <c r="Z289" s="118"/>
      <c r="AA289" s="118"/>
      <c r="AB289" s="118">
        <f t="shared" si="229"/>
        <v>0</v>
      </c>
    </row>
    <row r="290" spans="1:30" ht="12.75" thickBot="1">
      <c r="A290" s="211" t="s">
        <v>438</v>
      </c>
      <c r="B290" s="212"/>
      <c r="C290" s="221"/>
      <c r="D290" s="1096"/>
      <c r="E290" s="1096"/>
      <c r="F290" s="1440" t="str">
        <f t="shared" si="221"/>
        <v>-</v>
      </c>
      <c r="G290" s="213"/>
      <c r="H290" s="214"/>
      <c r="I290" s="214"/>
      <c r="J290" s="215">
        <f t="shared" si="226"/>
        <v>0</v>
      </c>
      <c r="K290" s="942"/>
      <c r="L290" s="211" t="s">
        <v>438</v>
      </c>
      <c r="M290" s="212"/>
      <c r="N290" s="221"/>
      <c r="O290" s="1096"/>
      <c r="P290" s="1096"/>
      <c r="Q290" s="1440" t="str">
        <f t="shared" si="224"/>
        <v>-</v>
      </c>
      <c r="R290" s="213">
        <v>160300</v>
      </c>
      <c r="S290" s="214"/>
      <c r="T290" s="214"/>
      <c r="U290" s="215">
        <f t="shared" si="227"/>
        <v>160300</v>
      </c>
      <c r="V290" s="195"/>
      <c r="W290" s="195"/>
      <c r="X290" s="118">
        <f t="shared" si="228"/>
        <v>0</v>
      </c>
      <c r="Z290" s="118"/>
      <c r="AA290" s="118"/>
      <c r="AB290" s="118">
        <f t="shared" si="229"/>
        <v>0</v>
      </c>
    </row>
    <row r="291" spans="1:30" ht="12.75" thickBot="1">
      <c r="A291" s="194" t="s">
        <v>439</v>
      </c>
      <c r="B291" s="216">
        <f t="shared" ref="B291:J291" si="230">+B285+B287+B288+B289+B290</f>
        <v>0</v>
      </c>
      <c r="C291" s="194">
        <f t="shared" si="230"/>
        <v>0</v>
      </c>
      <c r="D291" s="1098">
        <f t="shared" si="230"/>
        <v>0</v>
      </c>
      <c r="E291" s="1098">
        <f t="shared" si="230"/>
        <v>0</v>
      </c>
      <c r="F291" s="1441" t="str">
        <f t="shared" si="221"/>
        <v>-</v>
      </c>
      <c r="G291" s="218">
        <f t="shared" ref="G291:O291" si="231">+G285+G287+G288+G289+G290</f>
        <v>438917</v>
      </c>
      <c r="H291" s="216">
        <f t="shared" si="231"/>
        <v>0</v>
      </c>
      <c r="I291" s="216">
        <f t="shared" si="231"/>
        <v>0</v>
      </c>
      <c r="J291" s="217">
        <f t="shared" si="231"/>
        <v>438917</v>
      </c>
      <c r="K291" s="942"/>
      <c r="L291" s="194" t="s">
        <v>439</v>
      </c>
      <c r="M291" s="216">
        <f t="shared" ref="M291:U291" si="232">+M285+M287+M288+M289+M290</f>
        <v>0</v>
      </c>
      <c r="N291" s="194">
        <f t="shared" si="232"/>
        <v>0</v>
      </c>
      <c r="O291" s="1098">
        <f t="shared" si="232"/>
        <v>0</v>
      </c>
      <c r="P291" s="1098">
        <f t="shared" si="232"/>
        <v>0</v>
      </c>
      <c r="Q291" s="1441" t="str">
        <f t="shared" si="224"/>
        <v>-</v>
      </c>
      <c r="R291" s="218">
        <f t="shared" ref="R291:U291" si="233">+R285+R287+R288+R289+R290</f>
        <v>1232710</v>
      </c>
      <c r="S291" s="216">
        <f t="shared" si="233"/>
        <v>0</v>
      </c>
      <c r="T291" s="216">
        <f t="shared" si="233"/>
        <v>0</v>
      </c>
      <c r="U291" s="217">
        <f t="shared" si="233"/>
        <v>1232710</v>
      </c>
      <c r="V291" s="195"/>
      <c r="W291" s="195"/>
      <c r="X291" s="118">
        <f t="shared" si="228"/>
        <v>987586</v>
      </c>
      <c r="AB291" s="118">
        <f t="shared" si="229"/>
        <v>977838</v>
      </c>
    </row>
    <row r="292" spans="1:30" ht="12.75" thickBot="1">
      <c r="A292" s="219"/>
      <c r="B292" s="219"/>
      <c r="C292" s="219"/>
      <c r="D292" s="219"/>
      <c r="E292" s="219"/>
      <c r="F292" s="219"/>
      <c r="G292" s="219"/>
      <c r="H292" s="219"/>
      <c r="I292" s="219"/>
      <c r="J292" s="219"/>
      <c r="K292" s="942"/>
      <c r="L292" s="219"/>
      <c r="M292" s="219"/>
      <c r="N292" s="219"/>
      <c r="O292" s="219"/>
      <c r="P292" s="219"/>
      <c r="Q292" s="219"/>
      <c r="R292" s="219"/>
      <c r="S292" s="219"/>
      <c r="T292" s="219"/>
      <c r="U292" s="219"/>
      <c r="V292" s="219"/>
      <c r="W292" s="219"/>
      <c r="X292" s="118"/>
      <c r="Z292" s="118"/>
      <c r="AA292" s="118"/>
      <c r="AB292" s="118"/>
    </row>
    <row r="293" spans="1:30" s="941" customFormat="1" ht="36.75" thickBot="1">
      <c r="A293" s="401" t="s">
        <v>440</v>
      </c>
      <c r="B293" s="402" t="s">
        <v>1329</v>
      </c>
      <c r="C293" s="1887" t="s">
        <v>1474</v>
      </c>
      <c r="D293" s="1482" t="s">
        <v>1475</v>
      </c>
      <c r="E293" s="1482" t="s">
        <v>1529</v>
      </c>
      <c r="F293" s="1483" t="s">
        <v>1527</v>
      </c>
      <c r="G293" s="382" t="s">
        <v>460</v>
      </c>
      <c r="H293" s="383" t="s">
        <v>461</v>
      </c>
      <c r="I293" s="383" t="s">
        <v>1330</v>
      </c>
      <c r="J293" s="1202" t="s">
        <v>18</v>
      </c>
      <c r="K293" s="944"/>
      <c r="L293" s="401" t="s">
        <v>440</v>
      </c>
      <c r="M293" s="402" t="s">
        <v>1329</v>
      </c>
      <c r="N293" s="1887" t="s">
        <v>1474</v>
      </c>
      <c r="O293" s="1482" t="s">
        <v>1475</v>
      </c>
      <c r="P293" s="1482" t="s">
        <v>1529</v>
      </c>
      <c r="Q293" s="1483" t="s">
        <v>1527</v>
      </c>
      <c r="R293" s="382" t="s">
        <v>460</v>
      </c>
      <c r="S293" s="383" t="s">
        <v>461</v>
      </c>
      <c r="T293" s="383" t="s">
        <v>1330</v>
      </c>
      <c r="U293" s="1202" t="s">
        <v>18</v>
      </c>
      <c r="V293" s="926"/>
      <c r="W293" s="926"/>
      <c r="X293" s="118"/>
      <c r="AB293" s="118"/>
    </row>
    <row r="294" spans="1:30">
      <c r="A294" s="201" t="s">
        <v>446</v>
      </c>
      <c r="B294" s="202"/>
      <c r="C294" s="1092"/>
      <c r="D294" s="1093"/>
      <c r="E294" s="1093"/>
      <c r="F294" s="1439" t="str">
        <f t="shared" ref="F294:F302" si="234">IF(ISERROR(E294/D294),"-",E294/D294)</f>
        <v>-</v>
      </c>
      <c r="G294" s="203"/>
      <c r="H294" s="204"/>
      <c r="I294" s="204"/>
      <c r="J294" s="205">
        <f t="shared" ref="J294:J301" si="235">+B294+IF(D294&lt;=E294,E294,D294)+G294+H294+I294</f>
        <v>0</v>
      </c>
      <c r="K294" s="942"/>
      <c r="L294" s="201" t="s">
        <v>446</v>
      </c>
      <c r="M294" s="202"/>
      <c r="N294" s="1092"/>
      <c r="O294" s="1093"/>
      <c r="P294" s="1093"/>
      <c r="Q294" s="1439" t="str">
        <f t="shared" ref="Q294:Q302" si="236">IF(ISERROR(P294/O294),"-",P294/O294)</f>
        <v>-</v>
      </c>
      <c r="R294" s="203"/>
      <c r="S294" s="204"/>
      <c r="T294" s="204"/>
      <c r="U294" s="205">
        <f t="shared" ref="U294:U301" si="237">+M294+IF(O294&lt;=P294,P294,O294)+R294+S294+T294</f>
        <v>0</v>
      </c>
      <c r="V294" s="195"/>
      <c r="W294" s="195"/>
      <c r="X294" s="118">
        <f t="shared" si="228"/>
        <v>96862</v>
      </c>
      <c r="Y294" s="118">
        <f>+'1.mell._Össz_Mérleg2018'!D111</f>
        <v>96862</v>
      </c>
      <c r="Z294" s="118">
        <f>+Y294-X294</f>
        <v>0</v>
      </c>
      <c r="AA294" s="118"/>
      <c r="AB294" s="118">
        <f t="shared" si="229"/>
        <v>96862</v>
      </c>
      <c r="AC294" s="118">
        <f>+'1.mell._Össz_Mérleg2018'!E111</f>
        <v>96862</v>
      </c>
      <c r="AD294" s="118">
        <f t="shared" ref="AD294:AD301" si="238">+AC294-AB294</f>
        <v>0</v>
      </c>
    </row>
    <row r="295" spans="1:30">
      <c r="A295" s="220" t="s">
        <v>447</v>
      </c>
      <c r="B295" s="212"/>
      <c r="C295" s="221"/>
      <c r="D295" s="1096"/>
      <c r="E295" s="1096"/>
      <c r="F295" s="1440" t="str">
        <f t="shared" si="234"/>
        <v>-</v>
      </c>
      <c r="G295" s="213"/>
      <c r="H295" s="214"/>
      <c r="I295" s="214"/>
      <c r="J295" s="215">
        <f t="shared" si="235"/>
        <v>0</v>
      </c>
      <c r="K295" s="942"/>
      <c r="L295" s="220" t="s">
        <v>447</v>
      </c>
      <c r="M295" s="212"/>
      <c r="N295" s="221"/>
      <c r="O295" s="1096"/>
      <c r="P295" s="1096"/>
      <c r="Q295" s="1440" t="str">
        <f t="shared" si="236"/>
        <v>-</v>
      </c>
      <c r="R295" s="213"/>
      <c r="S295" s="214"/>
      <c r="T295" s="214"/>
      <c r="U295" s="215">
        <f t="shared" si="237"/>
        <v>0</v>
      </c>
      <c r="V295" s="195"/>
      <c r="W295" s="195"/>
      <c r="X295" s="118">
        <f t="shared" si="228"/>
        <v>16944</v>
      </c>
      <c r="Y295" s="118">
        <f>+'1.mell._Össz_Mérleg2018'!D115</f>
        <v>16944</v>
      </c>
      <c r="Z295" s="118">
        <f>+Y295-X295</f>
        <v>0</v>
      </c>
      <c r="AA295" s="118"/>
      <c r="AB295" s="118">
        <f t="shared" si="229"/>
        <v>16944</v>
      </c>
      <c r="AC295" s="118">
        <f>+'1.mell._Össz_Mérleg2018'!E115</f>
        <v>16944</v>
      </c>
      <c r="AD295" s="118">
        <f t="shared" si="238"/>
        <v>0</v>
      </c>
    </row>
    <row r="296" spans="1:30">
      <c r="A296" s="211" t="s">
        <v>448</v>
      </c>
      <c r="B296" s="212"/>
      <c r="C296" s="221"/>
      <c r="D296" s="1096"/>
      <c r="E296" s="1096"/>
      <c r="F296" s="1440" t="str">
        <f t="shared" si="234"/>
        <v>-</v>
      </c>
      <c r="G296" s="213"/>
      <c r="H296" s="214"/>
      <c r="I296" s="214"/>
      <c r="J296" s="215">
        <f t="shared" si="235"/>
        <v>0</v>
      </c>
      <c r="K296" s="942"/>
      <c r="L296" s="211" t="s">
        <v>448</v>
      </c>
      <c r="M296" s="212"/>
      <c r="N296" s="221"/>
      <c r="O296" s="1096"/>
      <c r="P296" s="1096"/>
      <c r="Q296" s="1440" t="str">
        <f t="shared" si="236"/>
        <v>-</v>
      </c>
      <c r="R296" s="213">
        <v>11412</v>
      </c>
      <c r="S296" s="214"/>
      <c r="T296" s="214"/>
      <c r="U296" s="215">
        <f t="shared" si="237"/>
        <v>11412</v>
      </c>
      <c r="V296" s="195"/>
      <c r="W296" s="195"/>
      <c r="X296" s="118">
        <f t="shared" si="228"/>
        <v>274265</v>
      </c>
      <c r="Y296" s="118">
        <f>+'1.mell._Össz_Mérleg2018'!D117</f>
        <v>274265</v>
      </c>
      <c r="Z296" s="118">
        <f>+Y296-X296</f>
        <v>0</v>
      </c>
      <c r="AA296" s="118"/>
      <c r="AB296" s="118">
        <f t="shared" si="229"/>
        <v>271494</v>
      </c>
      <c r="AC296" s="118">
        <f>+'1.mell._Össz_Mérleg2018'!E117</f>
        <v>271494</v>
      </c>
      <c r="AD296" s="118">
        <f t="shared" si="238"/>
        <v>0</v>
      </c>
    </row>
    <row r="297" spans="1:30">
      <c r="A297" s="211" t="s">
        <v>449</v>
      </c>
      <c r="B297" s="212"/>
      <c r="C297" s="221"/>
      <c r="D297" s="1096"/>
      <c r="E297" s="1096"/>
      <c r="F297" s="1440" t="str">
        <f t="shared" si="234"/>
        <v>-</v>
      </c>
      <c r="G297" s="213"/>
      <c r="H297" s="214"/>
      <c r="I297" s="214"/>
      <c r="J297" s="215">
        <f t="shared" si="235"/>
        <v>0</v>
      </c>
      <c r="K297" s="942"/>
      <c r="L297" s="211" t="s">
        <v>449</v>
      </c>
      <c r="M297" s="212"/>
      <c r="N297" s="221"/>
      <c r="O297" s="1096"/>
      <c r="P297" s="1096"/>
      <c r="Q297" s="1440" t="str">
        <f t="shared" si="236"/>
        <v>-</v>
      </c>
      <c r="R297" s="213"/>
      <c r="S297" s="214"/>
      <c r="T297" s="214"/>
      <c r="U297" s="215">
        <f t="shared" si="237"/>
        <v>0</v>
      </c>
      <c r="V297" s="195"/>
      <c r="W297" s="195"/>
      <c r="X297" s="118">
        <f t="shared" si="228"/>
        <v>0</v>
      </c>
      <c r="Z297" s="118"/>
      <c r="AA297" s="118"/>
      <c r="AB297" s="118">
        <f t="shared" si="229"/>
        <v>0</v>
      </c>
      <c r="AD297" s="118">
        <f t="shared" si="238"/>
        <v>0</v>
      </c>
    </row>
    <row r="298" spans="1:30">
      <c r="A298" s="221" t="s">
        <v>450</v>
      </c>
      <c r="B298" s="222"/>
      <c r="C298" s="221"/>
      <c r="D298" s="1096"/>
      <c r="E298" s="1096"/>
      <c r="F298" s="1440" t="str">
        <f t="shared" si="234"/>
        <v>-</v>
      </c>
      <c r="G298" s="213"/>
      <c r="H298" s="214"/>
      <c r="I298" s="214"/>
      <c r="J298" s="215">
        <f t="shared" si="235"/>
        <v>0</v>
      </c>
      <c r="K298" s="942"/>
      <c r="L298" s="221" t="s">
        <v>450</v>
      </c>
      <c r="M298" s="222"/>
      <c r="N298" s="221"/>
      <c r="O298" s="1096"/>
      <c r="P298" s="1096"/>
      <c r="Q298" s="1440" t="str">
        <f t="shared" si="236"/>
        <v>-</v>
      </c>
      <c r="R298" s="213"/>
      <c r="S298" s="214"/>
      <c r="T298" s="214"/>
      <c r="U298" s="215">
        <f t="shared" si="237"/>
        <v>0</v>
      </c>
      <c r="V298" s="195"/>
      <c r="W298" s="195"/>
      <c r="X298" s="118">
        <f t="shared" si="228"/>
        <v>2720</v>
      </c>
      <c r="Y298" s="118">
        <f>+'1.mell._Össz_Mérleg2018'!D139</f>
        <v>2720</v>
      </c>
      <c r="Z298" s="118">
        <f>+Y298-X298</f>
        <v>0</v>
      </c>
      <c r="AA298" s="118"/>
      <c r="AB298" s="118">
        <f t="shared" si="229"/>
        <v>2720</v>
      </c>
      <c r="AC298" s="118">
        <f>+'1.mell._Össz_Mérleg2018'!E139</f>
        <v>2720</v>
      </c>
      <c r="AD298" s="118">
        <f t="shared" si="238"/>
        <v>0</v>
      </c>
    </row>
    <row r="299" spans="1:30">
      <c r="A299" s="221" t="s">
        <v>451</v>
      </c>
      <c r="B299" s="222"/>
      <c r="C299" s="221"/>
      <c r="D299" s="1096"/>
      <c r="E299" s="1096"/>
      <c r="F299" s="1440" t="str">
        <f t="shared" si="234"/>
        <v>-</v>
      </c>
      <c r="G299" s="213">
        <v>438917</v>
      </c>
      <c r="H299" s="214"/>
      <c r="I299" s="214"/>
      <c r="J299" s="215">
        <f t="shared" si="235"/>
        <v>438917</v>
      </c>
      <c r="K299" s="942"/>
      <c r="L299" s="221" t="s">
        <v>451</v>
      </c>
      <c r="M299" s="222"/>
      <c r="N299" s="221"/>
      <c r="O299" s="1096"/>
      <c r="P299" s="1096"/>
      <c r="Q299" s="1440" t="str">
        <f t="shared" si="236"/>
        <v>-</v>
      </c>
      <c r="R299" s="213">
        <f>900311+320987</f>
        <v>1221298</v>
      </c>
      <c r="S299" s="214"/>
      <c r="T299" s="214"/>
      <c r="U299" s="215">
        <f t="shared" si="237"/>
        <v>1221298</v>
      </c>
      <c r="X299" s="118">
        <f t="shared" si="228"/>
        <v>384122</v>
      </c>
      <c r="Y299" s="118">
        <f>+'1.mell._Össz_Mérleg2018'!D151</f>
        <v>384122</v>
      </c>
      <c r="Z299" s="118">
        <f>+Y299-X299</f>
        <v>0</v>
      </c>
      <c r="AA299" s="118"/>
      <c r="AB299" s="118">
        <f t="shared" si="229"/>
        <v>377145</v>
      </c>
      <c r="AC299" s="118">
        <f>+'1.mell._Össz_Mérleg2018'!E151</f>
        <v>377145</v>
      </c>
      <c r="AD299" s="118">
        <f t="shared" si="238"/>
        <v>0</v>
      </c>
    </row>
    <row r="300" spans="1:30">
      <c r="A300" s="223" t="s">
        <v>452</v>
      </c>
      <c r="B300" s="224"/>
      <c r="C300" s="223"/>
      <c r="D300" s="1099"/>
      <c r="E300" s="1099"/>
      <c r="F300" s="1442" t="str">
        <f t="shared" si="234"/>
        <v>-</v>
      </c>
      <c r="G300" s="225"/>
      <c r="H300" s="226"/>
      <c r="I300" s="226"/>
      <c r="J300" s="215">
        <f t="shared" si="235"/>
        <v>0</v>
      </c>
      <c r="K300" s="942"/>
      <c r="L300" s="223" t="s">
        <v>452</v>
      </c>
      <c r="M300" s="224"/>
      <c r="N300" s="223"/>
      <c r="O300" s="1099"/>
      <c r="P300" s="1099"/>
      <c r="Q300" s="1442" t="str">
        <f t="shared" si="236"/>
        <v>-</v>
      </c>
      <c r="R300" s="225"/>
      <c r="S300" s="226"/>
      <c r="T300" s="226"/>
      <c r="U300" s="215">
        <f t="shared" si="237"/>
        <v>0</v>
      </c>
      <c r="V300" s="195"/>
      <c r="W300" s="195"/>
      <c r="X300" s="118">
        <f t="shared" si="228"/>
        <v>212673</v>
      </c>
      <c r="Y300" s="118">
        <f>+'1.mell._Össz_Mérleg2018'!D160</f>
        <v>212673</v>
      </c>
      <c r="Z300" s="118">
        <f>+Y300-X300</f>
        <v>0</v>
      </c>
      <c r="AA300" s="118"/>
      <c r="AB300" s="118">
        <f t="shared" si="229"/>
        <v>212673</v>
      </c>
      <c r="AC300" s="118">
        <f>+'1.mell._Össz_Mérleg2018'!E160</f>
        <v>212673</v>
      </c>
      <c r="AD300" s="118">
        <f t="shared" si="238"/>
        <v>0</v>
      </c>
    </row>
    <row r="301" spans="1:30" ht="12.75" thickBot="1">
      <c r="A301" s="223" t="s">
        <v>453</v>
      </c>
      <c r="B301" s="224"/>
      <c r="C301" s="223"/>
      <c r="D301" s="1099"/>
      <c r="E301" s="1099"/>
      <c r="F301" s="1442" t="str">
        <f t="shared" si="234"/>
        <v>-</v>
      </c>
      <c r="G301" s="225"/>
      <c r="H301" s="226"/>
      <c r="I301" s="226"/>
      <c r="J301" s="215">
        <f t="shared" si="235"/>
        <v>0</v>
      </c>
      <c r="K301" s="942"/>
      <c r="L301" s="223" t="s">
        <v>453</v>
      </c>
      <c r="M301" s="224"/>
      <c r="N301" s="223"/>
      <c r="O301" s="1099"/>
      <c r="P301" s="1099"/>
      <c r="Q301" s="1442" t="str">
        <f t="shared" si="236"/>
        <v>-</v>
      </c>
      <c r="R301" s="225"/>
      <c r="S301" s="226"/>
      <c r="T301" s="226"/>
      <c r="U301" s="215">
        <f t="shared" si="237"/>
        <v>0</v>
      </c>
      <c r="V301" s="195"/>
      <c r="W301" s="195"/>
      <c r="X301" s="118">
        <f t="shared" si="228"/>
        <v>0</v>
      </c>
      <c r="Y301" s="118">
        <f>+'1.mell._Össz_Mérleg2018'!D170</f>
        <v>0</v>
      </c>
      <c r="Z301" s="118">
        <f>+Y301-X301</f>
        <v>0</v>
      </c>
      <c r="AA301" s="118"/>
      <c r="AB301" s="118">
        <f t="shared" si="229"/>
        <v>0</v>
      </c>
      <c r="AC301" s="118">
        <f>+'1.mell._Össz_Mérleg2018'!E170</f>
        <v>0</v>
      </c>
      <c r="AD301" s="118">
        <f t="shared" si="238"/>
        <v>0</v>
      </c>
    </row>
    <row r="302" spans="1:30" ht="12.75" thickBot="1">
      <c r="A302" s="194" t="s">
        <v>454</v>
      </c>
      <c r="B302" s="216">
        <f t="shared" ref="B302:J302" si="239">+B294+B295+B296+B297+B298+B299+B300+B301</f>
        <v>0</v>
      </c>
      <c r="C302" s="194">
        <f t="shared" si="239"/>
        <v>0</v>
      </c>
      <c r="D302" s="1098">
        <f t="shared" si="239"/>
        <v>0</v>
      </c>
      <c r="E302" s="1098">
        <f t="shared" si="239"/>
        <v>0</v>
      </c>
      <c r="F302" s="1441" t="str">
        <f t="shared" si="234"/>
        <v>-</v>
      </c>
      <c r="G302" s="218">
        <f t="shared" ref="G302:O302" si="240">+G294+G295+G296+G297+G298+G299+G300+G301</f>
        <v>438917</v>
      </c>
      <c r="H302" s="216">
        <f t="shared" si="240"/>
        <v>0</v>
      </c>
      <c r="I302" s="216">
        <f t="shared" si="240"/>
        <v>0</v>
      </c>
      <c r="J302" s="217">
        <f t="shared" si="240"/>
        <v>438917</v>
      </c>
      <c r="L302" s="194" t="s">
        <v>454</v>
      </c>
      <c r="M302" s="216">
        <f t="shared" ref="M302:U302" si="241">+M294+M295+M296+M297+M298+M299+M300+M301</f>
        <v>0</v>
      </c>
      <c r="N302" s="194">
        <f t="shared" si="241"/>
        <v>0</v>
      </c>
      <c r="O302" s="1098">
        <f t="shared" si="241"/>
        <v>0</v>
      </c>
      <c r="P302" s="1098">
        <f t="shared" si="241"/>
        <v>0</v>
      </c>
      <c r="Q302" s="1441" t="str">
        <f t="shared" si="236"/>
        <v>-</v>
      </c>
      <c r="R302" s="218">
        <f t="shared" ref="R302:U302" si="242">+R294+R295+R296+R297+R298+R299+R300+R301</f>
        <v>1232710</v>
      </c>
      <c r="S302" s="216">
        <f t="shared" si="242"/>
        <v>0</v>
      </c>
      <c r="T302" s="216">
        <f t="shared" si="242"/>
        <v>0</v>
      </c>
      <c r="U302" s="217">
        <f t="shared" si="242"/>
        <v>1232710</v>
      </c>
      <c r="V302" s="195"/>
      <c r="W302" s="195"/>
      <c r="X302" s="118">
        <f t="shared" si="228"/>
        <v>987586</v>
      </c>
      <c r="Y302" s="942"/>
      <c r="Z302" s="118"/>
      <c r="AA302" s="118"/>
      <c r="AB302" s="118">
        <f t="shared" si="229"/>
        <v>977838</v>
      </c>
      <c r="AC302" s="942"/>
    </row>
    <row r="303" spans="1:30">
      <c r="A303" s="195"/>
      <c r="B303" s="195"/>
      <c r="C303" s="195"/>
      <c r="D303" s="195"/>
      <c r="E303" s="195"/>
      <c r="F303" s="195"/>
      <c r="G303" s="195"/>
      <c r="H303" s="195"/>
      <c r="I303" s="195"/>
      <c r="J303" s="195"/>
      <c r="K303" s="942"/>
      <c r="L303" s="195"/>
      <c r="M303" s="195"/>
      <c r="N303" s="195"/>
      <c r="O303" s="195"/>
      <c r="P303" s="195"/>
      <c r="Q303" s="195"/>
      <c r="R303" s="195"/>
      <c r="S303" s="195"/>
      <c r="T303" s="195"/>
      <c r="U303" s="195"/>
      <c r="V303" s="195"/>
      <c r="W303" s="195"/>
    </row>
    <row r="305" spans="1:23" s="935" customFormat="1" ht="15.75">
      <c r="A305" s="1249" t="s">
        <v>1331</v>
      </c>
      <c r="B305" s="1249"/>
      <c r="C305" s="1249"/>
      <c r="D305" s="1249"/>
      <c r="E305" s="1249"/>
      <c r="F305" s="1249"/>
      <c r="G305" s="1249"/>
      <c r="H305" s="1249"/>
      <c r="I305" s="1249"/>
      <c r="J305" s="1249"/>
      <c r="K305" s="832"/>
      <c r="L305" s="196"/>
      <c r="M305" s="196"/>
      <c r="N305" s="614"/>
      <c r="O305" s="614"/>
      <c r="P305" s="614"/>
      <c r="Q305" s="614"/>
      <c r="R305" s="614"/>
      <c r="S305" s="614"/>
      <c r="T305" s="614"/>
      <c r="U305" s="614"/>
      <c r="V305" s="614"/>
      <c r="W305" s="614"/>
    </row>
    <row r="306" spans="1:23" s="938" customFormat="1" ht="12.75" thickBot="1">
      <c r="A306" s="937"/>
      <c r="B306" s="937"/>
      <c r="C306" s="937"/>
      <c r="D306" s="937"/>
      <c r="E306" s="937"/>
      <c r="F306" s="937"/>
      <c r="G306" s="937"/>
      <c r="H306" s="937"/>
      <c r="J306" s="238" t="s">
        <v>281</v>
      </c>
      <c r="K306" s="939"/>
      <c r="L306" s="937"/>
      <c r="M306" s="937"/>
      <c r="N306" s="937"/>
      <c r="O306" s="937"/>
      <c r="P306" s="937"/>
      <c r="Q306" s="937"/>
      <c r="R306" s="937"/>
      <c r="S306" s="937"/>
      <c r="T306" s="937"/>
      <c r="U306" s="937"/>
      <c r="V306" s="937"/>
      <c r="W306" s="937"/>
    </row>
    <row r="307" spans="1:23" s="947" customFormat="1" ht="36.75" thickBot="1">
      <c r="A307" s="308" t="s">
        <v>440</v>
      </c>
      <c r="B307" s="1203" t="s">
        <v>1329</v>
      </c>
      <c r="C307" s="1887" t="s">
        <v>1474</v>
      </c>
      <c r="D307" s="1482" t="s">
        <v>1475</v>
      </c>
      <c r="E307" s="1482" t="s">
        <v>1529</v>
      </c>
      <c r="F307" s="1483" t="s">
        <v>1527</v>
      </c>
      <c r="G307" s="933" t="s">
        <v>460</v>
      </c>
      <c r="H307" s="934" t="s">
        <v>461</v>
      </c>
      <c r="I307" s="934" t="s">
        <v>1330</v>
      </c>
      <c r="J307" s="880" t="s">
        <v>18</v>
      </c>
      <c r="K307" s="946"/>
      <c r="L307" s="616"/>
      <c r="M307" s="616"/>
      <c r="N307" s="616"/>
      <c r="O307" s="616"/>
      <c r="P307" s="616"/>
      <c r="Q307" s="616"/>
      <c r="R307" s="616"/>
      <c r="S307" s="616"/>
      <c r="T307" s="616"/>
      <c r="U307" s="616"/>
      <c r="V307" s="616"/>
      <c r="W307" s="616"/>
    </row>
    <row r="308" spans="1:23">
      <c r="A308" s="928" t="s">
        <v>19</v>
      </c>
      <c r="B308" s="929"/>
      <c r="C308" s="1100"/>
      <c r="D308" s="1101"/>
      <c r="E308" s="1101"/>
      <c r="F308" s="1443">
        <f t="shared" ref="F308:F309" si="243">+D308+E308</f>
        <v>0</v>
      </c>
      <c r="G308" s="930"/>
      <c r="H308" s="931"/>
      <c r="I308" s="932"/>
      <c r="J308" s="496">
        <f>+B308+IF(D308&lt;=E308,E308,D308)+G308+H308+I308</f>
        <v>0</v>
      </c>
      <c r="K308" s="942"/>
      <c r="L308" s="948"/>
      <c r="M308" s="948"/>
      <c r="N308" s="948"/>
      <c r="O308" s="948"/>
      <c r="P308" s="948"/>
      <c r="Q308" s="948"/>
      <c r="R308" s="948"/>
      <c r="S308" s="948"/>
      <c r="T308" s="948"/>
      <c r="U308" s="948"/>
      <c r="V308" s="948"/>
      <c r="W308" s="948"/>
    </row>
    <row r="309" spans="1:23" ht="12.75" thickBot="1">
      <c r="A309" s="227"/>
      <c r="B309" s="228"/>
      <c r="C309" s="229"/>
      <c r="D309" s="230"/>
      <c r="E309" s="230"/>
      <c r="F309" s="1097">
        <f t="shared" si="243"/>
        <v>0</v>
      </c>
      <c r="G309" s="229"/>
      <c r="H309" s="230"/>
      <c r="I309" s="231"/>
      <c r="J309" s="232"/>
      <c r="K309" s="942"/>
      <c r="L309" s="948"/>
      <c r="M309" s="948"/>
      <c r="N309" s="948"/>
      <c r="O309" s="948"/>
      <c r="P309" s="948"/>
      <c r="Q309" s="948"/>
      <c r="R309" s="948"/>
      <c r="S309" s="948"/>
      <c r="T309" s="948"/>
      <c r="U309" s="948"/>
      <c r="V309" s="948"/>
      <c r="W309" s="948"/>
    </row>
    <row r="310" spans="1:23" ht="12.75" thickBot="1">
      <c r="A310" s="197" t="s">
        <v>441</v>
      </c>
      <c r="B310" s="233">
        <f t="shared" ref="B310:J310" si="244">+B308+B309</f>
        <v>0</v>
      </c>
      <c r="C310" s="234">
        <f t="shared" si="244"/>
        <v>0</v>
      </c>
      <c r="D310" s="235">
        <f t="shared" ref="D310:E310" si="245">+D308+D309</f>
        <v>0</v>
      </c>
      <c r="E310" s="235">
        <f t="shared" si="245"/>
        <v>0</v>
      </c>
      <c r="F310" s="233">
        <f t="shared" si="244"/>
        <v>0</v>
      </c>
      <c r="G310" s="234">
        <f t="shared" si="244"/>
        <v>0</v>
      </c>
      <c r="H310" s="235">
        <f t="shared" si="244"/>
        <v>0</v>
      </c>
      <c r="I310" s="236">
        <f t="shared" si="244"/>
        <v>0</v>
      </c>
      <c r="J310" s="237">
        <f t="shared" si="244"/>
        <v>0</v>
      </c>
    </row>
    <row r="312" spans="1:23">
      <c r="A312" s="199"/>
      <c r="B312" s="948"/>
      <c r="C312" s="948"/>
      <c r="D312" s="948"/>
      <c r="E312" s="948"/>
      <c r="F312" s="948"/>
      <c r="G312" s="948"/>
      <c r="H312" s="948"/>
      <c r="I312" s="948"/>
      <c r="J312" s="948"/>
    </row>
  </sheetData>
  <mergeCells count="65">
    <mergeCell ref="B280:G280"/>
    <mergeCell ref="A256:J256"/>
    <mergeCell ref="A257:J257"/>
    <mergeCell ref="L256:U256"/>
    <mergeCell ref="L257:U257"/>
    <mergeCell ref="A231:J231"/>
    <mergeCell ref="A232:J232"/>
    <mergeCell ref="L231:U231"/>
    <mergeCell ref="L232:U232"/>
    <mergeCell ref="A206:J206"/>
    <mergeCell ref="L206:U206"/>
    <mergeCell ref="A207:J207"/>
    <mergeCell ref="L207:U207"/>
    <mergeCell ref="M280:U280"/>
    <mergeCell ref="A281:J281"/>
    <mergeCell ref="L281:U281"/>
    <mergeCell ref="A282:J282"/>
    <mergeCell ref="L282:U282"/>
    <mergeCell ref="A181:J181"/>
    <mergeCell ref="L181:U181"/>
    <mergeCell ref="A182:J182"/>
    <mergeCell ref="L182:U182"/>
    <mergeCell ref="B155:J155"/>
    <mergeCell ref="M155:U155"/>
    <mergeCell ref="A156:J156"/>
    <mergeCell ref="L156:U156"/>
    <mergeCell ref="A157:J157"/>
    <mergeCell ref="L157:U157"/>
    <mergeCell ref="A305:J305"/>
    <mergeCell ref="B130:J130"/>
    <mergeCell ref="M130:U130"/>
    <mergeCell ref="A131:J131"/>
    <mergeCell ref="L131:U131"/>
    <mergeCell ref="A132:J132"/>
    <mergeCell ref="L132:U132"/>
    <mergeCell ref="B105:J105"/>
    <mergeCell ref="A106:J106"/>
    <mergeCell ref="L106:U106"/>
    <mergeCell ref="A107:J107"/>
    <mergeCell ref="L107:U107"/>
    <mergeCell ref="B80:J80"/>
    <mergeCell ref="M80:U80"/>
    <mergeCell ref="A81:J81"/>
    <mergeCell ref="L81:U81"/>
    <mergeCell ref="A82:J82"/>
    <mergeCell ref="L82:U82"/>
    <mergeCell ref="B55:J55"/>
    <mergeCell ref="M55:U55"/>
    <mergeCell ref="A56:J56"/>
    <mergeCell ref="L56:U56"/>
    <mergeCell ref="A57:J57"/>
    <mergeCell ref="L57:U57"/>
    <mergeCell ref="B30:J30"/>
    <mergeCell ref="M30:U30"/>
    <mergeCell ref="A31:J31"/>
    <mergeCell ref="L31:U31"/>
    <mergeCell ref="A32:J32"/>
    <mergeCell ref="L32:U32"/>
    <mergeCell ref="A7:J7"/>
    <mergeCell ref="L7:U7"/>
    <mergeCell ref="A3:U3"/>
    <mergeCell ref="B5:J5"/>
    <mergeCell ref="M5:U5"/>
    <mergeCell ref="A6:J6"/>
    <mergeCell ref="L6:U6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5" fitToHeight="2" orientation="landscape" r:id="rId1"/>
  <headerFooter>
    <oddHeader xml:space="preserve">&amp;C4. melléklet - &amp;P. oldal </oddHeader>
  </headerFooter>
  <rowBreaks count="3" manualBreakCount="3">
    <brk id="79" max="20" man="1"/>
    <brk id="154" max="20" man="1"/>
    <brk id="229" max="2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 codeName="Munka18">
    <tabColor rgb="FF00B0F0"/>
    <pageSetUpPr fitToPage="1"/>
  </sheetPr>
  <dimension ref="A1:Z53"/>
  <sheetViews>
    <sheetView zoomScaleNormal="100" workbookViewId="0">
      <selection activeCell="C11" sqref="C11"/>
    </sheetView>
  </sheetViews>
  <sheetFormatPr defaultRowHeight="12"/>
  <cols>
    <col min="1" max="1" width="5" style="183" customWidth="1"/>
    <col min="2" max="2" width="42.5703125" style="183" bestFit="1" customWidth="1"/>
    <col min="3" max="5" width="9.5703125" style="183" customWidth="1"/>
    <col min="6" max="6" width="9.5703125" style="1445" customWidth="1"/>
    <col min="7" max="25" width="7.28515625" style="183" bestFit="1" customWidth="1"/>
    <col min="26" max="26" width="10.28515625" style="183" customWidth="1"/>
    <col min="27" max="16384" width="9.140625" style="183"/>
  </cols>
  <sheetData>
    <row r="1" spans="1:26" s="184" customFormat="1" ht="15.75">
      <c r="A1" s="143"/>
      <c r="B1" s="143"/>
      <c r="C1" s="143"/>
      <c r="D1" s="143"/>
      <c r="E1" s="143"/>
      <c r="F1" s="1444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92" t="s">
        <v>456</v>
      </c>
    </row>
    <row r="2" spans="1:26" s="184" customFormat="1" ht="15.75">
      <c r="A2" s="143"/>
      <c r="B2" s="143"/>
      <c r="C2" s="143"/>
      <c r="D2" s="143"/>
      <c r="E2" s="143"/>
      <c r="F2" s="1444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92"/>
    </row>
    <row r="3" spans="1:26" s="184" customFormat="1" ht="15.75">
      <c r="A3" s="1268" t="s">
        <v>457</v>
      </c>
      <c r="B3" s="1268"/>
      <c r="C3" s="1268"/>
      <c r="D3" s="1268"/>
      <c r="E3" s="1268"/>
      <c r="F3" s="1268"/>
      <c r="G3" s="1268"/>
      <c r="H3" s="1268"/>
      <c r="I3" s="1268"/>
      <c r="J3" s="1268"/>
      <c r="K3" s="1268"/>
      <c r="L3" s="1268"/>
      <c r="M3" s="1268"/>
      <c r="N3" s="1268"/>
      <c r="O3" s="1268"/>
      <c r="P3" s="1268"/>
      <c r="Q3" s="1268"/>
      <c r="R3" s="1268"/>
      <c r="S3" s="1268"/>
      <c r="T3" s="1268"/>
      <c r="U3" s="1268"/>
      <c r="V3" s="1268"/>
      <c r="W3" s="1268"/>
      <c r="X3" s="1268"/>
      <c r="Y3" s="1268"/>
      <c r="Z3" s="1268"/>
    </row>
    <row r="4" spans="1:26" ht="12.75" thickBot="1">
      <c r="A4" s="145"/>
      <c r="B4" s="145"/>
      <c r="C4" s="145"/>
      <c r="D4" s="145"/>
      <c r="E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242" t="s">
        <v>49</v>
      </c>
    </row>
    <row r="5" spans="1:26" ht="14.25" thickBot="1">
      <c r="A5" s="1269" t="s">
        <v>17</v>
      </c>
      <c r="B5" s="1271" t="s">
        <v>7</v>
      </c>
      <c r="C5" s="1275" t="s">
        <v>478</v>
      </c>
      <c r="D5" s="1276"/>
      <c r="E5" s="1276"/>
      <c r="F5" s="1276"/>
      <c r="G5" s="1276"/>
      <c r="H5" s="1276"/>
      <c r="I5" s="1276"/>
      <c r="J5" s="1276"/>
      <c r="K5" s="1276"/>
      <c r="L5" s="1276"/>
      <c r="M5" s="1276"/>
      <c r="N5" s="1276"/>
      <c r="O5" s="1276"/>
      <c r="P5" s="1276"/>
      <c r="Q5" s="1276"/>
      <c r="R5" s="1276"/>
      <c r="S5" s="1276"/>
      <c r="T5" s="1276"/>
      <c r="U5" s="1276"/>
      <c r="V5" s="1276"/>
      <c r="W5" s="1276"/>
      <c r="X5" s="1276"/>
      <c r="Y5" s="1277"/>
      <c r="Z5" s="1273" t="s">
        <v>18</v>
      </c>
    </row>
    <row r="6" spans="1:26" ht="36.75" thickBot="1">
      <c r="A6" s="1270"/>
      <c r="B6" s="1272"/>
      <c r="C6" s="1057" t="s">
        <v>1474</v>
      </c>
      <c r="D6" s="6" t="s">
        <v>1475</v>
      </c>
      <c r="E6" s="6" t="s">
        <v>1529</v>
      </c>
      <c r="F6" s="1398" t="s">
        <v>1527</v>
      </c>
      <c r="G6" s="241" t="s">
        <v>460</v>
      </c>
      <c r="H6" s="241" t="s">
        <v>461</v>
      </c>
      <c r="I6" s="241" t="s">
        <v>462</v>
      </c>
      <c r="J6" s="241" t="s">
        <v>463</v>
      </c>
      <c r="K6" s="241" t="s">
        <v>464</v>
      </c>
      <c r="L6" s="241" t="s">
        <v>465</v>
      </c>
      <c r="M6" s="241" t="s">
        <v>466</v>
      </c>
      <c r="N6" s="241" t="s">
        <v>1051</v>
      </c>
      <c r="O6" s="241" t="s">
        <v>1209</v>
      </c>
      <c r="P6" s="241" t="s">
        <v>1245</v>
      </c>
      <c r="Q6" s="241" t="s">
        <v>1246</v>
      </c>
      <c r="R6" s="241" t="s">
        <v>1247</v>
      </c>
      <c r="S6" s="241" t="s">
        <v>1248</v>
      </c>
      <c r="T6" s="241" t="s">
        <v>1249</v>
      </c>
      <c r="U6" s="241" t="s">
        <v>1250</v>
      </c>
      <c r="V6" s="241" t="s">
        <v>1251</v>
      </c>
      <c r="W6" s="241" t="s">
        <v>1252</v>
      </c>
      <c r="X6" s="241" t="s">
        <v>1253</v>
      </c>
      <c r="Y6" s="241" t="s">
        <v>1254</v>
      </c>
      <c r="Z6" s="1274"/>
    </row>
    <row r="7" spans="1:26" ht="13.5" customHeight="1" thickBot="1">
      <c r="A7" s="240">
        <v>1</v>
      </c>
      <c r="B7" s="239">
        <v>2</v>
      </c>
      <c r="C7" s="1265">
        <v>3</v>
      </c>
      <c r="D7" s="1266"/>
      <c r="E7" s="1266"/>
      <c r="F7" s="1267"/>
      <c r="G7" s="243">
        <v>4</v>
      </c>
      <c r="H7" s="243">
        <v>5</v>
      </c>
      <c r="I7" s="243">
        <v>6</v>
      </c>
      <c r="J7" s="243">
        <v>7</v>
      </c>
      <c r="K7" s="243">
        <v>8</v>
      </c>
      <c r="L7" s="243">
        <v>9</v>
      </c>
      <c r="M7" s="243">
        <v>10</v>
      </c>
      <c r="N7" s="243">
        <v>11</v>
      </c>
      <c r="O7" s="243">
        <v>12</v>
      </c>
      <c r="P7" s="243">
        <v>13</v>
      </c>
      <c r="Q7" s="243">
        <v>14</v>
      </c>
      <c r="R7" s="243">
        <v>15</v>
      </c>
      <c r="S7" s="243">
        <v>16</v>
      </c>
      <c r="T7" s="243">
        <v>17</v>
      </c>
      <c r="U7" s="243">
        <v>18</v>
      </c>
      <c r="V7" s="243">
        <v>19</v>
      </c>
      <c r="W7" s="243">
        <v>20</v>
      </c>
      <c r="X7" s="243">
        <v>21</v>
      </c>
      <c r="Y7" s="243">
        <v>22</v>
      </c>
      <c r="Z7" s="244" t="s">
        <v>1332</v>
      </c>
    </row>
    <row r="8" spans="1:26">
      <c r="A8" s="277" t="s">
        <v>4</v>
      </c>
      <c r="B8" s="881" t="s">
        <v>1036</v>
      </c>
      <c r="C8" s="1102">
        <v>288650</v>
      </c>
      <c r="D8" s="1103">
        <v>447278</v>
      </c>
      <c r="E8" s="1103">
        <v>323742</v>
      </c>
      <c r="F8" s="1446">
        <f t="shared" ref="F8:F37" si="0">IF(ISERROR(E8/D8),"-",E8/D8)</f>
        <v>0.72380488197496862</v>
      </c>
      <c r="G8" s="993">
        <f>+ROUND(C8*1.043,0)</f>
        <v>301062</v>
      </c>
      <c r="H8" s="993">
        <f>+ROUND(G8*1.038,0)</f>
        <v>312502</v>
      </c>
      <c r="I8" s="993">
        <f>+ROUND(H8*1.037,0)</f>
        <v>324065</v>
      </c>
      <c r="J8" s="246">
        <f t="shared" ref="J8:Y13" si="1">+I8</f>
        <v>324065</v>
      </c>
      <c r="K8" s="246">
        <f t="shared" ref="K8:K13" si="2">+J8</f>
        <v>324065</v>
      </c>
      <c r="L8" s="246">
        <f t="shared" si="1"/>
        <v>324065</v>
      </c>
      <c r="M8" s="246">
        <f t="shared" si="1"/>
        <v>324065</v>
      </c>
      <c r="N8" s="246">
        <f t="shared" si="1"/>
        <v>324065</v>
      </c>
      <c r="O8" s="246">
        <f t="shared" si="1"/>
        <v>324065</v>
      </c>
      <c r="P8" s="246">
        <f t="shared" si="1"/>
        <v>324065</v>
      </c>
      <c r="Q8" s="246">
        <f t="shared" si="1"/>
        <v>324065</v>
      </c>
      <c r="R8" s="246">
        <f t="shared" si="1"/>
        <v>324065</v>
      </c>
      <c r="S8" s="246">
        <f t="shared" si="1"/>
        <v>324065</v>
      </c>
      <c r="T8" s="246">
        <f t="shared" si="1"/>
        <v>324065</v>
      </c>
      <c r="U8" s="246">
        <f t="shared" si="1"/>
        <v>324065</v>
      </c>
      <c r="V8" s="246">
        <f t="shared" si="1"/>
        <v>324065</v>
      </c>
      <c r="W8" s="246">
        <f t="shared" si="1"/>
        <v>324065</v>
      </c>
      <c r="X8" s="246">
        <f t="shared" si="1"/>
        <v>324065</v>
      </c>
      <c r="Y8" s="246">
        <f t="shared" si="1"/>
        <v>324065</v>
      </c>
      <c r="Z8" s="247">
        <f>SUM(G8:Y8)+D8</f>
        <v>6569947</v>
      </c>
    </row>
    <row r="9" spans="1:26" ht="36">
      <c r="A9" s="278" t="s">
        <v>5</v>
      </c>
      <c r="B9" s="248" t="s">
        <v>904</v>
      </c>
      <c r="C9" s="1104">
        <v>236</v>
      </c>
      <c r="D9" s="1105">
        <v>472</v>
      </c>
      <c r="E9" s="1105">
        <v>236</v>
      </c>
      <c r="F9" s="1447">
        <f t="shared" si="0"/>
        <v>0.5</v>
      </c>
      <c r="G9" s="250">
        <f>+C9</f>
        <v>236</v>
      </c>
      <c r="H9" s="250">
        <f>+G9</f>
        <v>236</v>
      </c>
      <c r="I9" s="246">
        <f>+H9</f>
        <v>236</v>
      </c>
      <c r="J9" s="246">
        <f t="shared" si="1"/>
        <v>236</v>
      </c>
      <c r="K9" s="246">
        <f t="shared" si="2"/>
        <v>236</v>
      </c>
      <c r="L9" s="246">
        <f t="shared" si="1"/>
        <v>236</v>
      </c>
      <c r="M9" s="246">
        <f t="shared" si="1"/>
        <v>236</v>
      </c>
      <c r="N9" s="246">
        <f t="shared" si="1"/>
        <v>236</v>
      </c>
      <c r="O9" s="246">
        <f t="shared" si="1"/>
        <v>236</v>
      </c>
      <c r="P9" s="246">
        <f t="shared" si="1"/>
        <v>236</v>
      </c>
      <c r="Q9" s="246">
        <f t="shared" si="1"/>
        <v>236</v>
      </c>
      <c r="R9" s="246">
        <f t="shared" si="1"/>
        <v>236</v>
      </c>
      <c r="S9" s="246">
        <f t="shared" si="1"/>
        <v>236</v>
      </c>
      <c r="T9" s="246">
        <f t="shared" si="1"/>
        <v>236</v>
      </c>
      <c r="U9" s="246">
        <f t="shared" si="1"/>
        <v>236</v>
      </c>
      <c r="V9" s="246">
        <f t="shared" si="1"/>
        <v>236</v>
      </c>
      <c r="W9" s="246">
        <f t="shared" si="1"/>
        <v>236</v>
      </c>
      <c r="X9" s="246">
        <f t="shared" si="1"/>
        <v>236</v>
      </c>
      <c r="Y9" s="246">
        <f t="shared" si="1"/>
        <v>236</v>
      </c>
      <c r="Z9" s="251">
        <f t="shared" ref="Z9:Z13" si="3">SUM(G9:Y9)+D9</f>
        <v>4956</v>
      </c>
    </row>
    <row r="10" spans="1:26">
      <c r="A10" s="278" t="s">
        <v>6</v>
      </c>
      <c r="B10" s="248" t="s">
        <v>905</v>
      </c>
      <c r="C10" s="1104">
        <v>0</v>
      </c>
      <c r="D10" s="1105">
        <v>0</v>
      </c>
      <c r="E10" s="1105"/>
      <c r="F10" s="1447" t="str">
        <f t="shared" si="0"/>
        <v>-</v>
      </c>
      <c r="G10" s="250"/>
      <c r="H10" s="250"/>
      <c r="I10" s="246">
        <f>+H10</f>
        <v>0</v>
      </c>
      <c r="J10" s="246">
        <f t="shared" si="1"/>
        <v>0</v>
      </c>
      <c r="K10" s="246">
        <f t="shared" si="2"/>
        <v>0</v>
      </c>
      <c r="L10" s="246">
        <f t="shared" si="1"/>
        <v>0</v>
      </c>
      <c r="M10" s="246">
        <f t="shared" si="1"/>
        <v>0</v>
      </c>
      <c r="N10" s="246">
        <f t="shared" si="1"/>
        <v>0</v>
      </c>
      <c r="O10" s="246">
        <f t="shared" si="1"/>
        <v>0</v>
      </c>
      <c r="P10" s="246">
        <f t="shared" si="1"/>
        <v>0</v>
      </c>
      <c r="Q10" s="246">
        <f t="shared" si="1"/>
        <v>0</v>
      </c>
      <c r="R10" s="246">
        <f t="shared" si="1"/>
        <v>0</v>
      </c>
      <c r="S10" s="246">
        <f t="shared" si="1"/>
        <v>0</v>
      </c>
      <c r="T10" s="246">
        <f t="shared" si="1"/>
        <v>0</v>
      </c>
      <c r="U10" s="246">
        <f t="shared" si="1"/>
        <v>0</v>
      </c>
      <c r="V10" s="246">
        <f t="shared" si="1"/>
        <v>0</v>
      </c>
      <c r="W10" s="246">
        <f t="shared" si="1"/>
        <v>0</v>
      </c>
      <c r="X10" s="246">
        <f t="shared" si="1"/>
        <v>0</v>
      </c>
      <c r="Y10" s="246">
        <f t="shared" si="1"/>
        <v>0</v>
      </c>
      <c r="Z10" s="251">
        <f t="shared" si="3"/>
        <v>0</v>
      </c>
    </row>
    <row r="11" spans="1:26" ht="36">
      <c r="A11" s="278" t="s">
        <v>3</v>
      </c>
      <c r="B11" s="248" t="s">
        <v>906</v>
      </c>
      <c r="C11" s="1104">
        <v>15350</v>
      </c>
      <c r="D11" s="1105">
        <v>8386</v>
      </c>
      <c r="E11" s="1105">
        <v>6864</v>
      </c>
      <c r="F11" s="1447">
        <f t="shared" si="0"/>
        <v>0.81850703553541615</v>
      </c>
      <c r="G11" s="959">
        <v>350</v>
      </c>
      <c r="H11" s="959">
        <v>350</v>
      </c>
      <c r="I11" s="959">
        <v>350</v>
      </c>
      <c r="J11" s="246">
        <f t="shared" si="1"/>
        <v>350</v>
      </c>
      <c r="K11" s="246">
        <f t="shared" si="2"/>
        <v>350</v>
      </c>
      <c r="L11" s="246">
        <f t="shared" si="1"/>
        <v>350</v>
      </c>
      <c r="M11" s="246">
        <f t="shared" si="1"/>
        <v>350</v>
      </c>
      <c r="N11" s="246">
        <f t="shared" si="1"/>
        <v>350</v>
      </c>
      <c r="O11" s="246">
        <f t="shared" si="1"/>
        <v>350</v>
      </c>
      <c r="P11" s="246">
        <f t="shared" si="1"/>
        <v>350</v>
      </c>
      <c r="Q11" s="246">
        <f t="shared" si="1"/>
        <v>350</v>
      </c>
      <c r="R11" s="246">
        <f t="shared" si="1"/>
        <v>350</v>
      </c>
      <c r="S11" s="246">
        <f t="shared" si="1"/>
        <v>350</v>
      </c>
      <c r="T11" s="246">
        <f t="shared" si="1"/>
        <v>350</v>
      </c>
      <c r="U11" s="246">
        <f t="shared" si="1"/>
        <v>350</v>
      </c>
      <c r="V11" s="246">
        <f t="shared" si="1"/>
        <v>350</v>
      </c>
      <c r="W11" s="246">
        <f t="shared" si="1"/>
        <v>350</v>
      </c>
      <c r="X11" s="246">
        <f t="shared" si="1"/>
        <v>350</v>
      </c>
      <c r="Y11" s="246">
        <f t="shared" si="1"/>
        <v>350</v>
      </c>
      <c r="Z11" s="251">
        <f t="shared" si="3"/>
        <v>15036</v>
      </c>
    </row>
    <row r="12" spans="1:26" ht="12.75">
      <c r="A12" s="278" t="s">
        <v>16</v>
      </c>
      <c r="B12" s="690" t="s">
        <v>907</v>
      </c>
      <c r="C12" s="1106">
        <v>15000</v>
      </c>
      <c r="D12" s="1107">
        <v>12686</v>
      </c>
      <c r="E12" s="1107">
        <v>5947</v>
      </c>
      <c r="F12" s="1447">
        <f t="shared" si="0"/>
        <v>0.46878448683588209</v>
      </c>
      <c r="G12" s="249">
        <f>+C12-5000</f>
        <v>10000</v>
      </c>
      <c r="H12" s="249">
        <f>+G12</f>
        <v>10000</v>
      </c>
      <c r="I12" s="246">
        <f>+H12</f>
        <v>10000</v>
      </c>
      <c r="J12" s="246">
        <f t="shared" si="1"/>
        <v>10000</v>
      </c>
      <c r="K12" s="246">
        <f t="shared" si="2"/>
        <v>10000</v>
      </c>
      <c r="L12" s="246">
        <f t="shared" si="1"/>
        <v>10000</v>
      </c>
      <c r="M12" s="246">
        <f t="shared" si="1"/>
        <v>10000</v>
      </c>
      <c r="N12" s="246">
        <f t="shared" si="1"/>
        <v>10000</v>
      </c>
      <c r="O12" s="246">
        <f t="shared" si="1"/>
        <v>10000</v>
      </c>
      <c r="P12" s="246">
        <f t="shared" si="1"/>
        <v>10000</v>
      </c>
      <c r="Q12" s="246">
        <f t="shared" si="1"/>
        <v>10000</v>
      </c>
      <c r="R12" s="246">
        <f t="shared" si="1"/>
        <v>10000</v>
      </c>
      <c r="S12" s="246">
        <f t="shared" si="1"/>
        <v>10000</v>
      </c>
      <c r="T12" s="246">
        <f t="shared" si="1"/>
        <v>10000</v>
      </c>
      <c r="U12" s="246">
        <f t="shared" si="1"/>
        <v>10000</v>
      </c>
      <c r="V12" s="246">
        <f t="shared" si="1"/>
        <v>10000</v>
      </c>
      <c r="W12" s="246">
        <f t="shared" si="1"/>
        <v>10000</v>
      </c>
      <c r="X12" s="246">
        <f t="shared" si="1"/>
        <v>10000</v>
      </c>
      <c r="Y12" s="246">
        <f t="shared" si="1"/>
        <v>10000</v>
      </c>
      <c r="Z12" s="251">
        <f t="shared" si="3"/>
        <v>202686</v>
      </c>
    </row>
    <row r="13" spans="1:26" ht="24.75" thickBot="1">
      <c r="A13" s="279" t="s">
        <v>15</v>
      </c>
      <c r="B13" s="252" t="s">
        <v>1037</v>
      </c>
      <c r="C13" s="1108"/>
      <c r="D13" s="1109"/>
      <c r="E13" s="1109"/>
      <c r="F13" s="1448" t="str">
        <f t="shared" si="0"/>
        <v>-</v>
      </c>
      <c r="G13" s="253"/>
      <c r="H13" s="253"/>
      <c r="I13" s="282"/>
      <c r="J13" s="282">
        <f t="shared" si="1"/>
        <v>0</v>
      </c>
      <c r="K13" s="282">
        <f t="shared" si="2"/>
        <v>0</v>
      </c>
      <c r="L13" s="282">
        <f t="shared" si="1"/>
        <v>0</v>
      </c>
      <c r="M13" s="282">
        <f t="shared" si="1"/>
        <v>0</v>
      </c>
      <c r="N13" s="282">
        <f t="shared" si="1"/>
        <v>0</v>
      </c>
      <c r="O13" s="282">
        <f t="shared" si="1"/>
        <v>0</v>
      </c>
      <c r="P13" s="282">
        <f t="shared" si="1"/>
        <v>0</v>
      </c>
      <c r="Q13" s="282">
        <f t="shared" si="1"/>
        <v>0</v>
      </c>
      <c r="R13" s="282">
        <f t="shared" si="1"/>
        <v>0</v>
      </c>
      <c r="S13" s="282">
        <f t="shared" si="1"/>
        <v>0</v>
      </c>
      <c r="T13" s="282">
        <f t="shared" si="1"/>
        <v>0</v>
      </c>
      <c r="U13" s="282">
        <f t="shared" si="1"/>
        <v>0</v>
      </c>
      <c r="V13" s="282">
        <f t="shared" si="1"/>
        <v>0</v>
      </c>
      <c r="W13" s="282">
        <f t="shared" si="1"/>
        <v>0</v>
      </c>
      <c r="X13" s="282">
        <f t="shared" si="1"/>
        <v>0</v>
      </c>
      <c r="Y13" s="282">
        <f t="shared" si="1"/>
        <v>0</v>
      </c>
      <c r="Z13" s="254">
        <f t="shared" si="3"/>
        <v>0</v>
      </c>
    </row>
    <row r="14" spans="1:26" ht="15" thickBot="1">
      <c r="A14" s="280" t="s">
        <v>14</v>
      </c>
      <c r="B14" s="255" t="s">
        <v>908</v>
      </c>
      <c r="C14" s="1110">
        <f>+C8+C9+C12+C11+C10+C13</f>
        <v>319236</v>
      </c>
      <c r="D14" s="256">
        <f>+D8+D9+D12+D11+D10+D13</f>
        <v>468822</v>
      </c>
      <c r="E14" s="256">
        <f>+E8+E9+E12+E11+E10+E13</f>
        <v>336789</v>
      </c>
      <c r="F14" s="1449">
        <f t="shared" si="0"/>
        <v>0.71837285792902206</v>
      </c>
      <c r="G14" s="922">
        <f>+G8+G9+G12+G11+G10+G13</f>
        <v>311648</v>
      </c>
      <c r="H14" s="256">
        <f t="shared" ref="H14:Z14" si="4">+H8+H9+H12+H11+H10+H13</f>
        <v>323088</v>
      </c>
      <c r="I14" s="256">
        <f t="shared" si="4"/>
        <v>334651</v>
      </c>
      <c r="J14" s="256">
        <f t="shared" si="4"/>
        <v>334651</v>
      </c>
      <c r="K14" s="256">
        <f t="shared" si="4"/>
        <v>334651</v>
      </c>
      <c r="L14" s="256">
        <f t="shared" si="4"/>
        <v>334651</v>
      </c>
      <c r="M14" s="256">
        <f t="shared" si="4"/>
        <v>334651</v>
      </c>
      <c r="N14" s="256">
        <f>+N8+N9+N12+N11+N10+N13</f>
        <v>334651</v>
      </c>
      <c r="O14" s="256">
        <f>+O8+O9+O12+O11+O10+O13</f>
        <v>334651</v>
      </c>
      <c r="P14" s="256">
        <f t="shared" si="4"/>
        <v>334651</v>
      </c>
      <c r="Q14" s="256">
        <f>+Q8+Q9+Q12+Q11+Q10+Q13</f>
        <v>334651</v>
      </c>
      <c r="R14" s="256">
        <f>+R8+R9+R12+R11+R10+R13</f>
        <v>334651</v>
      </c>
      <c r="S14" s="256">
        <f t="shared" si="4"/>
        <v>334651</v>
      </c>
      <c r="T14" s="256">
        <f>+T8+T9+T12+T11+T10+T13</f>
        <v>334651</v>
      </c>
      <c r="U14" s="256">
        <f>+U8+U9+U12+U11+U10+U13</f>
        <v>334651</v>
      </c>
      <c r="V14" s="256">
        <f>+V8+V9+V12+V11+V10+V13</f>
        <v>334651</v>
      </c>
      <c r="W14" s="256">
        <f>+W8+W9+W12+W11+W10+W13</f>
        <v>334651</v>
      </c>
      <c r="X14" s="256">
        <f t="shared" si="4"/>
        <v>334651</v>
      </c>
      <c r="Y14" s="848">
        <f t="shared" si="4"/>
        <v>334651</v>
      </c>
      <c r="Z14" s="258">
        <f t="shared" si="4"/>
        <v>6792625</v>
      </c>
    </row>
    <row r="15" spans="1:26" ht="15" thickBot="1">
      <c r="A15" s="280" t="s">
        <v>13</v>
      </c>
      <c r="B15" s="255" t="s">
        <v>909</v>
      </c>
      <c r="C15" s="1110">
        <f>+ROUNDDOWN(C14*0.5,0)</f>
        <v>159618</v>
      </c>
      <c r="D15" s="256">
        <f>+ROUNDDOWN(D14*0.5,0)</f>
        <v>234411</v>
      </c>
      <c r="E15" s="256">
        <f>+ROUNDDOWN(E14*0.5,0)</f>
        <v>168394</v>
      </c>
      <c r="F15" s="1449">
        <f t="shared" si="0"/>
        <v>0.71837072492331844</v>
      </c>
      <c r="G15" s="261">
        <f t="shared" ref="G15:Z15" si="5">+ROUNDDOWN(G14*0.5,0)</f>
        <v>155824</v>
      </c>
      <c r="H15" s="261">
        <f t="shared" si="5"/>
        <v>161544</v>
      </c>
      <c r="I15" s="261">
        <f t="shared" si="5"/>
        <v>167325</v>
      </c>
      <c r="J15" s="261">
        <f t="shared" si="5"/>
        <v>167325</v>
      </c>
      <c r="K15" s="261">
        <f t="shared" si="5"/>
        <v>167325</v>
      </c>
      <c r="L15" s="261">
        <f t="shared" si="5"/>
        <v>167325</v>
      </c>
      <c r="M15" s="261">
        <f t="shared" si="5"/>
        <v>167325</v>
      </c>
      <c r="N15" s="261">
        <f>+ROUNDDOWN(N14*0.5,0)</f>
        <v>167325</v>
      </c>
      <c r="O15" s="261">
        <f>+ROUNDDOWN(O14*0.5,0)</f>
        <v>167325</v>
      </c>
      <c r="P15" s="261">
        <f t="shared" si="5"/>
        <v>167325</v>
      </c>
      <c r="Q15" s="261">
        <f>+ROUNDDOWN(Q14*0.5,0)</f>
        <v>167325</v>
      </c>
      <c r="R15" s="261">
        <f>+ROUNDDOWN(R14*0.5,0)</f>
        <v>167325</v>
      </c>
      <c r="S15" s="261">
        <f t="shared" si="5"/>
        <v>167325</v>
      </c>
      <c r="T15" s="261">
        <f>+ROUNDDOWN(T14*0.5,0)</f>
        <v>167325</v>
      </c>
      <c r="U15" s="261">
        <f>+ROUNDDOWN(U14*0.5,0)</f>
        <v>167325</v>
      </c>
      <c r="V15" s="261">
        <f>+ROUNDDOWN(V14*0.5,0)</f>
        <v>167325</v>
      </c>
      <c r="W15" s="261">
        <f>+ROUNDDOWN(W14*0.5,0)</f>
        <v>167325</v>
      </c>
      <c r="X15" s="261">
        <f t="shared" si="5"/>
        <v>167325</v>
      </c>
      <c r="Y15" s="261">
        <f t="shared" si="5"/>
        <v>167325</v>
      </c>
      <c r="Z15" s="258">
        <f t="shared" si="5"/>
        <v>3396312</v>
      </c>
    </row>
    <row r="16" spans="1:26" ht="27" thickBot="1">
      <c r="A16" s="280" t="s">
        <v>12</v>
      </c>
      <c r="B16" s="255" t="s">
        <v>915</v>
      </c>
      <c r="C16" s="1110">
        <f t="shared" ref="C16" si="6">+C17+C18+C19+C20+C21+C22+C23+C24+C25</f>
        <v>5000</v>
      </c>
      <c r="D16" s="256">
        <f t="shared" ref="D16:E16" si="7">+D17+D18+D19+D20+D21+D22+D23+D24+D25</f>
        <v>5000</v>
      </c>
      <c r="E16" s="256">
        <f t="shared" si="7"/>
        <v>2000</v>
      </c>
      <c r="F16" s="1449">
        <f t="shared" si="0"/>
        <v>0.4</v>
      </c>
      <c r="G16" s="257">
        <f t="shared" ref="F16:Z16" si="8">+G17+G18+G19+G20+G21+G22+G23+G24+G25</f>
        <v>2000</v>
      </c>
      <c r="H16" s="257">
        <f t="shared" si="8"/>
        <v>2000</v>
      </c>
      <c r="I16" s="257">
        <f t="shared" si="8"/>
        <v>2000</v>
      </c>
      <c r="J16" s="257">
        <f t="shared" si="8"/>
        <v>2000</v>
      </c>
      <c r="K16" s="257">
        <f t="shared" si="8"/>
        <v>2000</v>
      </c>
      <c r="L16" s="257">
        <f t="shared" si="8"/>
        <v>2000</v>
      </c>
      <c r="M16" s="257">
        <f t="shared" si="8"/>
        <v>2000</v>
      </c>
      <c r="N16" s="257">
        <f>+N17+N18+N19+N20+N21+N22+N23+N24+N25</f>
        <v>2000</v>
      </c>
      <c r="O16" s="257">
        <f>+O17+O18+O19+O20+O21+O22+O23+O24+O25</f>
        <v>2000</v>
      </c>
      <c r="P16" s="257">
        <f t="shared" si="8"/>
        <v>2000</v>
      </c>
      <c r="Q16" s="257">
        <f>+Q17+Q18+Q19+Q20+Q21+Q22+Q23+Q24+Q25</f>
        <v>2000</v>
      </c>
      <c r="R16" s="257">
        <f>+R17+R18+R19+R20+R21+R22+R23+R24+R25</f>
        <v>2000</v>
      </c>
      <c r="S16" s="257">
        <f t="shared" si="8"/>
        <v>2000</v>
      </c>
      <c r="T16" s="257">
        <f>+T17+T18+T19+T20+T21+T22+T23+T24+T25</f>
        <v>2000</v>
      </c>
      <c r="U16" s="257">
        <f>+U17+U18+U19+U20+U21+U22+U23+U24+U25</f>
        <v>2000</v>
      </c>
      <c r="V16" s="257">
        <f>+V17+V18+V19+V20+V21+V22+V23+V24+V25</f>
        <v>2000</v>
      </c>
      <c r="W16" s="257">
        <f>+W17+W18+W19+W20+W21+W22+W23+W24+W25</f>
        <v>2000</v>
      </c>
      <c r="X16" s="257">
        <f t="shared" si="8"/>
        <v>2000</v>
      </c>
      <c r="Y16" s="257">
        <f t="shared" si="8"/>
        <v>3525</v>
      </c>
      <c r="Z16" s="258">
        <f t="shared" si="8"/>
        <v>44525</v>
      </c>
    </row>
    <row r="17" spans="1:26">
      <c r="A17" s="277" t="s">
        <v>11</v>
      </c>
      <c r="B17" s="245" t="s">
        <v>467</v>
      </c>
      <c r="C17" s="1111"/>
      <c r="D17" s="1112"/>
      <c r="E17" s="1112"/>
      <c r="F17" s="1446" t="str">
        <f t="shared" si="0"/>
        <v>-</v>
      </c>
      <c r="G17" s="246"/>
      <c r="H17" s="246"/>
      <c r="I17" s="246"/>
      <c r="J17" s="246"/>
      <c r="K17" s="246"/>
      <c r="L17" s="246"/>
      <c r="M17" s="246"/>
      <c r="N17" s="246"/>
      <c r="O17" s="246"/>
      <c r="P17" s="246"/>
      <c r="Q17" s="246"/>
      <c r="R17" s="246"/>
      <c r="S17" s="246"/>
      <c r="T17" s="246"/>
      <c r="U17" s="246"/>
      <c r="V17" s="246"/>
      <c r="W17" s="246"/>
      <c r="X17" s="246"/>
      <c r="Y17" s="246"/>
      <c r="Z17" s="251">
        <f t="shared" ref="Z17:Z25" si="9">SUM(G17:Y17)+D17</f>
        <v>0</v>
      </c>
    </row>
    <row r="18" spans="1:26">
      <c r="A18" s="278" t="s">
        <v>10</v>
      </c>
      <c r="B18" s="248" t="s">
        <v>468</v>
      </c>
      <c r="C18" s="1104"/>
      <c r="D18" s="1105"/>
      <c r="E18" s="1105"/>
      <c r="F18" s="1447" t="str">
        <f t="shared" si="0"/>
        <v>-</v>
      </c>
      <c r="G18" s="250"/>
      <c r="H18" s="250"/>
      <c r="I18" s="250"/>
      <c r="J18" s="250"/>
      <c r="K18" s="250"/>
      <c r="L18" s="250"/>
      <c r="M18" s="250"/>
      <c r="N18" s="250"/>
      <c r="O18" s="250"/>
      <c r="P18" s="250"/>
      <c r="Q18" s="250"/>
      <c r="R18" s="250"/>
      <c r="S18" s="250"/>
      <c r="T18" s="250"/>
      <c r="U18" s="250"/>
      <c r="V18" s="250"/>
      <c r="W18" s="250"/>
      <c r="X18" s="250"/>
      <c r="Y18" s="250"/>
      <c r="Z18" s="251">
        <f t="shared" si="9"/>
        <v>0</v>
      </c>
    </row>
    <row r="19" spans="1:26">
      <c r="A19" s="278" t="s">
        <v>9</v>
      </c>
      <c r="B19" s="248" t="s">
        <v>469</v>
      </c>
      <c r="C19" s="1104"/>
      <c r="D19" s="1105"/>
      <c r="E19" s="1105"/>
      <c r="F19" s="1447" t="str">
        <f t="shared" si="0"/>
        <v>-</v>
      </c>
      <c r="G19" s="250"/>
      <c r="H19" s="250"/>
      <c r="I19" s="250"/>
      <c r="J19" s="250"/>
      <c r="K19" s="250"/>
      <c r="L19" s="250"/>
      <c r="M19" s="250"/>
      <c r="N19" s="250"/>
      <c r="O19" s="250"/>
      <c r="P19" s="250"/>
      <c r="Q19" s="250"/>
      <c r="R19" s="250"/>
      <c r="S19" s="250"/>
      <c r="T19" s="250"/>
      <c r="U19" s="250"/>
      <c r="V19" s="250"/>
      <c r="W19" s="250"/>
      <c r="X19" s="250"/>
      <c r="Y19" s="250"/>
      <c r="Z19" s="251">
        <f t="shared" si="9"/>
        <v>0</v>
      </c>
    </row>
    <row r="20" spans="1:26">
      <c r="A20" s="278" t="s">
        <v>45</v>
      </c>
      <c r="B20" s="248" t="s">
        <v>470</v>
      </c>
      <c r="C20" s="1104"/>
      <c r="D20" s="1105"/>
      <c r="E20" s="1105"/>
      <c r="F20" s="1447" t="str">
        <f t="shared" si="0"/>
        <v>-</v>
      </c>
      <c r="G20" s="250"/>
      <c r="H20" s="250"/>
      <c r="I20" s="250"/>
      <c r="J20" s="250"/>
      <c r="K20" s="250"/>
      <c r="L20" s="250"/>
      <c r="M20" s="250"/>
      <c r="N20" s="250"/>
      <c r="O20" s="250"/>
      <c r="P20" s="250"/>
      <c r="Q20" s="250"/>
      <c r="R20" s="250"/>
      <c r="S20" s="250"/>
      <c r="T20" s="250"/>
      <c r="U20" s="250"/>
      <c r="V20" s="250"/>
      <c r="W20" s="250"/>
      <c r="X20" s="250"/>
      <c r="Y20" s="250"/>
      <c r="Z20" s="251">
        <f t="shared" si="9"/>
        <v>0</v>
      </c>
    </row>
    <row r="21" spans="1:26">
      <c r="A21" s="278" t="s">
        <v>44</v>
      </c>
      <c r="B21" s="248" t="s">
        <v>471</v>
      </c>
      <c r="C21" s="1104"/>
      <c r="D21" s="1105"/>
      <c r="E21" s="1105"/>
      <c r="F21" s="1447" t="str">
        <f t="shared" si="0"/>
        <v>-</v>
      </c>
      <c r="G21" s="250"/>
      <c r="H21" s="250"/>
      <c r="I21" s="250"/>
      <c r="J21" s="250"/>
      <c r="K21" s="250"/>
      <c r="L21" s="250"/>
      <c r="M21" s="250"/>
      <c r="N21" s="250"/>
      <c r="O21" s="250"/>
      <c r="P21" s="250"/>
      <c r="Q21" s="250"/>
      <c r="R21" s="250"/>
      <c r="S21" s="250"/>
      <c r="T21" s="250"/>
      <c r="U21" s="250"/>
      <c r="V21" s="250"/>
      <c r="W21" s="250"/>
      <c r="X21" s="250"/>
      <c r="Y21" s="250"/>
      <c r="Z21" s="251">
        <f t="shared" si="9"/>
        <v>0</v>
      </c>
    </row>
    <row r="22" spans="1:26" ht="36">
      <c r="A22" s="278" t="s">
        <v>43</v>
      </c>
      <c r="B22" s="248" t="s">
        <v>913</v>
      </c>
      <c r="C22" s="1104"/>
      <c r="D22" s="1105"/>
      <c r="E22" s="1105"/>
      <c r="F22" s="1447" t="str">
        <f t="shared" si="0"/>
        <v>-</v>
      </c>
      <c r="G22" s="250"/>
      <c r="H22" s="250"/>
      <c r="I22" s="250"/>
      <c r="J22" s="250"/>
      <c r="K22" s="250"/>
      <c r="L22" s="250"/>
      <c r="M22" s="250"/>
      <c r="N22" s="250"/>
      <c r="O22" s="250"/>
      <c r="P22" s="250"/>
      <c r="Q22" s="250"/>
      <c r="R22" s="250"/>
      <c r="S22" s="250"/>
      <c r="T22" s="250"/>
      <c r="U22" s="250"/>
      <c r="V22" s="250"/>
      <c r="W22" s="250"/>
      <c r="X22" s="250"/>
      <c r="Y22" s="250"/>
      <c r="Z22" s="251">
        <f t="shared" si="9"/>
        <v>0</v>
      </c>
    </row>
    <row r="23" spans="1:26">
      <c r="A23" s="278" t="s">
        <v>40</v>
      </c>
      <c r="B23" s="248" t="s">
        <v>912</v>
      </c>
      <c r="C23" s="1104">
        <f>2000+3000</f>
        <v>5000</v>
      </c>
      <c r="D23" s="1105">
        <f>2000+3000</f>
        <v>5000</v>
      </c>
      <c r="E23" s="1105">
        <v>2000</v>
      </c>
      <c r="F23" s="1447">
        <f t="shared" si="0"/>
        <v>0.4</v>
      </c>
      <c r="G23" s="250">
        <v>2000</v>
      </c>
      <c r="H23" s="250">
        <v>2000</v>
      </c>
      <c r="I23" s="250">
        <v>2000</v>
      </c>
      <c r="J23" s="250">
        <v>2000</v>
      </c>
      <c r="K23" s="250">
        <v>2000</v>
      </c>
      <c r="L23" s="250">
        <v>2000</v>
      </c>
      <c r="M23" s="250">
        <v>2000</v>
      </c>
      <c r="N23" s="250">
        <v>2000</v>
      </c>
      <c r="O23" s="250">
        <v>2000</v>
      </c>
      <c r="P23" s="250">
        <v>2000</v>
      </c>
      <c r="Q23" s="250">
        <v>2000</v>
      </c>
      <c r="R23" s="250">
        <v>2000</v>
      </c>
      <c r="S23" s="250">
        <v>2000</v>
      </c>
      <c r="T23" s="250">
        <v>2000</v>
      </c>
      <c r="U23" s="250">
        <v>2000</v>
      </c>
      <c r="V23" s="250">
        <v>2000</v>
      </c>
      <c r="W23" s="250">
        <v>2000</v>
      </c>
      <c r="X23" s="250">
        <v>2000</v>
      </c>
      <c r="Y23" s="250">
        <v>3525</v>
      </c>
      <c r="Z23" s="251">
        <f t="shared" si="9"/>
        <v>44525</v>
      </c>
    </row>
    <row r="24" spans="1:26" ht="36">
      <c r="A24" s="278" t="s">
        <v>39</v>
      </c>
      <c r="B24" s="259" t="s">
        <v>914</v>
      </c>
      <c r="C24" s="1104"/>
      <c r="D24" s="1105"/>
      <c r="E24" s="1105"/>
      <c r="F24" s="1447" t="str">
        <f t="shared" si="0"/>
        <v>-</v>
      </c>
      <c r="G24" s="253"/>
      <c r="H24" s="253"/>
      <c r="I24" s="253"/>
      <c r="J24" s="253"/>
      <c r="K24" s="253"/>
      <c r="L24" s="253"/>
      <c r="M24" s="253"/>
      <c r="N24" s="253"/>
      <c r="O24" s="253"/>
      <c r="P24" s="253"/>
      <c r="Q24" s="253"/>
      <c r="R24" s="253"/>
      <c r="S24" s="253"/>
      <c r="T24" s="253"/>
      <c r="U24" s="253"/>
      <c r="V24" s="253"/>
      <c r="W24" s="253"/>
      <c r="X24" s="253"/>
      <c r="Y24" s="253"/>
      <c r="Z24" s="251">
        <f t="shared" si="9"/>
        <v>0</v>
      </c>
    </row>
    <row r="25" spans="1:26" ht="24.75" thickBot="1">
      <c r="A25" s="278" t="s">
        <v>38</v>
      </c>
      <c r="B25" s="259" t="s">
        <v>1038</v>
      </c>
      <c r="C25" s="1104"/>
      <c r="D25" s="1105"/>
      <c r="E25" s="1105"/>
      <c r="F25" s="1447" t="str">
        <f t="shared" si="0"/>
        <v>-</v>
      </c>
      <c r="G25" s="253"/>
      <c r="H25" s="253"/>
      <c r="I25" s="253"/>
      <c r="J25" s="253"/>
      <c r="K25" s="253"/>
      <c r="L25" s="253"/>
      <c r="M25" s="253"/>
      <c r="N25" s="253"/>
      <c r="O25" s="253"/>
      <c r="P25" s="253"/>
      <c r="Q25" s="253"/>
      <c r="R25" s="253"/>
      <c r="S25" s="253"/>
      <c r="T25" s="253"/>
      <c r="U25" s="253"/>
      <c r="V25" s="253"/>
      <c r="W25" s="253"/>
      <c r="X25" s="253"/>
      <c r="Y25" s="253"/>
      <c r="Z25" s="251">
        <f t="shared" si="9"/>
        <v>0</v>
      </c>
    </row>
    <row r="26" spans="1:26" ht="27" thickBot="1">
      <c r="A26" s="280" t="s">
        <v>36</v>
      </c>
      <c r="B26" s="255" t="s">
        <v>916</v>
      </c>
      <c r="C26" s="1110">
        <f>+C27+C28+C29+C30+C31+C32+C33+C34+C35</f>
        <v>0</v>
      </c>
      <c r="D26" s="256">
        <f>+D27+D28+D29+D30+D31+D32+D33+D34+D35</f>
        <v>3880</v>
      </c>
      <c r="E26" s="256">
        <f>+E27+E28+E29+E30+E31+E32+E33+E34+E35</f>
        <v>3880</v>
      </c>
      <c r="F26" s="1449">
        <f t="shared" si="0"/>
        <v>1</v>
      </c>
      <c r="G26" s="257">
        <f t="shared" ref="G26:Z26" si="10">+G27+G28+G29+G30+G31+G32+G33+G34+G35</f>
        <v>21205</v>
      </c>
      <c r="H26" s="257">
        <f t="shared" si="10"/>
        <v>19807</v>
      </c>
      <c r="I26" s="257">
        <f t="shared" si="10"/>
        <v>19808</v>
      </c>
      <c r="J26" s="257">
        <f t="shared" si="10"/>
        <v>0</v>
      </c>
      <c r="K26" s="257">
        <f t="shared" si="10"/>
        <v>0</v>
      </c>
      <c r="L26" s="257">
        <f t="shared" si="10"/>
        <v>0</v>
      </c>
      <c r="M26" s="257">
        <f t="shared" si="10"/>
        <v>0</v>
      </c>
      <c r="N26" s="257">
        <f>+N27+N28+N29+N30+N31+N32+N33+N34+N35</f>
        <v>0</v>
      </c>
      <c r="O26" s="257">
        <f>+O27+O28+O29+O30+O31+O32+O33+O34+O35</f>
        <v>0</v>
      </c>
      <c r="P26" s="257">
        <f t="shared" si="10"/>
        <v>0</v>
      </c>
      <c r="Q26" s="257">
        <f>+Q27+Q28+Q29+Q30+Q31+Q32+Q33+Q34+Q35</f>
        <v>0</v>
      </c>
      <c r="R26" s="257">
        <f>+R27+R28+R29+R30+R31+R32+R33+R34+R35</f>
        <v>0</v>
      </c>
      <c r="S26" s="257">
        <f t="shared" si="10"/>
        <v>0</v>
      </c>
      <c r="T26" s="257">
        <f>+T27+T28+T29+T30+T31+T32+T33+T34+T35</f>
        <v>0</v>
      </c>
      <c r="U26" s="257">
        <f>+U27+U28+U29+U30+U31+U32+U33+U34+U35</f>
        <v>0</v>
      </c>
      <c r="V26" s="257">
        <f>+V27+V28+V29+V30+V31+V32+V33+V34+V35</f>
        <v>0</v>
      </c>
      <c r="W26" s="257">
        <f>+W27+W28+W29+W30+W31+W32+W33+W34+W35</f>
        <v>0</v>
      </c>
      <c r="X26" s="257">
        <f t="shared" si="10"/>
        <v>0</v>
      </c>
      <c r="Y26" s="257">
        <f t="shared" si="10"/>
        <v>0</v>
      </c>
      <c r="Z26" s="258">
        <f t="shared" si="10"/>
        <v>64700</v>
      </c>
    </row>
    <row r="27" spans="1:26">
      <c r="A27" s="277" t="s">
        <v>35</v>
      </c>
      <c r="B27" s="245" t="s">
        <v>467</v>
      </c>
      <c r="C27" s="1111"/>
      <c r="D27" s="1112"/>
      <c r="E27" s="1112"/>
      <c r="F27" s="1446" t="str">
        <f t="shared" si="0"/>
        <v>-</v>
      </c>
      <c r="G27" s="246">
        <v>8000</v>
      </c>
      <c r="H27" s="246"/>
      <c r="I27" s="246"/>
      <c r="J27" s="246"/>
      <c r="K27" s="246"/>
      <c r="L27" s="246"/>
      <c r="M27" s="246"/>
      <c r="N27" s="246"/>
      <c r="O27" s="246"/>
      <c r="P27" s="246"/>
      <c r="Q27" s="246"/>
      <c r="R27" s="246"/>
      <c r="S27" s="246"/>
      <c r="T27" s="246"/>
      <c r="U27" s="246"/>
      <c r="V27" s="246"/>
      <c r="W27" s="246"/>
      <c r="X27" s="246"/>
      <c r="Y27" s="246"/>
      <c r="Z27" s="251">
        <f t="shared" ref="Z27:Z35" si="11">SUM(G27:Y27)+D27</f>
        <v>8000</v>
      </c>
    </row>
    <row r="28" spans="1:26">
      <c r="A28" s="278" t="s">
        <v>34</v>
      </c>
      <c r="B28" s="248" t="s">
        <v>468</v>
      </c>
      <c r="C28" s="1104"/>
      <c r="D28" s="1105"/>
      <c r="E28" s="1105"/>
      <c r="F28" s="1447" t="str">
        <f t="shared" si="0"/>
        <v>-</v>
      </c>
      <c r="G28" s="250"/>
      <c r="H28" s="250"/>
      <c r="I28" s="250"/>
      <c r="J28" s="250"/>
      <c r="K28" s="250"/>
      <c r="L28" s="250"/>
      <c r="M28" s="250"/>
      <c r="N28" s="250"/>
      <c r="O28" s="250"/>
      <c r="P28" s="250"/>
      <c r="Q28" s="250"/>
      <c r="R28" s="250"/>
      <c r="S28" s="250"/>
      <c r="T28" s="250"/>
      <c r="U28" s="250"/>
      <c r="V28" s="250"/>
      <c r="W28" s="250"/>
      <c r="X28" s="250"/>
      <c r="Y28" s="250"/>
      <c r="Z28" s="251">
        <f t="shared" si="11"/>
        <v>0</v>
      </c>
    </row>
    <row r="29" spans="1:26">
      <c r="A29" s="278" t="s">
        <v>33</v>
      </c>
      <c r="B29" s="248" t="s">
        <v>469</v>
      </c>
      <c r="C29" s="1104"/>
      <c r="D29" s="1105"/>
      <c r="E29" s="1105"/>
      <c r="F29" s="1447" t="str">
        <f t="shared" si="0"/>
        <v>-</v>
      </c>
      <c r="G29" s="250"/>
      <c r="H29" s="250"/>
      <c r="I29" s="250"/>
      <c r="J29" s="250"/>
      <c r="K29" s="250"/>
      <c r="L29" s="250"/>
      <c r="M29" s="250"/>
      <c r="N29" s="250"/>
      <c r="O29" s="250"/>
      <c r="P29" s="250"/>
      <c r="Q29" s="250"/>
      <c r="R29" s="250"/>
      <c r="S29" s="250"/>
      <c r="T29" s="250"/>
      <c r="U29" s="250"/>
      <c r="V29" s="250"/>
      <c r="W29" s="250"/>
      <c r="X29" s="250"/>
      <c r="Y29" s="250"/>
      <c r="Z29" s="251">
        <f t="shared" si="11"/>
        <v>0</v>
      </c>
    </row>
    <row r="30" spans="1:26">
      <c r="A30" s="278" t="s">
        <v>32</v>
      </c>
      <c r="B30" s="248" t="s">
        <v>470</v>
      </c>
      <c r="C30" s="1104"/>
      <c r="D30" s="1105"/>
      <c r="E30" s="1105"/>
      <c r="F30" s="1447" t="str">
        <f t="shared" si="0"/>
        <v>-</v>
      </c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1">
        <f t="shared" si="11"/>
        <v>0</v>
      </c>
    </row>
    <row r="31" spans="1:26">
      <c r="A31" s="278" t="s">
        <v>472</v>
      </c>
      <c r="B31" s="248" t="s">
        <v>471</v>
      </c>
      <c r="C31" s="1104"/>
      <c r="D31" s="1105"/>
      <c r="E31" s="1105"/>
      <c r="F31" s="1447" t="str">
        <f t="shared" si="0"/>
        <v>-</v>
      </c>
      <c r="G31" s="250"/>
      <c r="H31" s="250"/>
      <c r="I31" s="250"/>
      <c r="J31" s="250"/>
      <c r="K31" s="250"/>
      <c r="L31" s="250"/>
      <c r="M31" s="250"/>
      <c r="N31" s="250"/>
      <c r="O31" s="250"/>
      <c r="P31" s="250"/>
      <c r="Q31" s="250"/>
      <c r="R31" s="250"/>
      <c r="S31" s="250"/>
      <c r="T31" s="250"/>
      <c r="U31" s="250"/>
      <c r="V31" s="250"/>
      <c r="W31" s="250"/>
      <c r="X31" s="250"/>
      <c r="Y31" s="250"/>
      <c r="Z31" s="251">
        <f t="shared" si="11"/>
        <v>0</v>
      </c>
    </row>
    <row r="32" spans="1:26" ht="36">
      <c r="A32" s="278" t="s">
        <v>473</v>
      </c>
      <c r="B32" s="248" t="s">
        <v>913</v>
      </c>
      <c r="C32" s="1104"/>
      <c r="D32" s="1105"/>
      <c r="E32" s="1105"/>
      <c r="F32" s="1447" t="str">
        <f t="shared" si="0"/>
        <v>-</v>
      </c>
      <c r="G32" s="250"/>
      <c r="H32" s="250"/>
      <c r="I32" s="250"/>
      <c r="J32" s="250"/>
      <c r="K32" s="250"/>
      <c r="L32" s="250"/>
      <c r="M32" s="250"/>
      <c r="N32" s="250"/>
      <c r="O32" s="250"/>
      <c r="P32" s="250"/>
      <c r="Q32" s="250"/>
      <c r="R32" s="250"/>
      <c r="S32" s="250"/>
      <c r="T32" s="250"/>
      <c r="U32" s="250"/>
      <c r="V32" s="250"/>
      <c r="W32" s="250"/>
      <c r="X32" s="250"/>
      <c r="Y32" s="250"/>
      <c r="Z32" s="251">
        <f t="shared" si="11"/>
        <v>0</v>
      </c>
    </row>
    <row r="33" spans="1:26">
      <c r="A33" s="278" t="s">
        <v>474</v>
      </c>
      <c r="B33" s="248" t="s">
        <v>912</v>
      </c>
      <c r="C33" s="1104"/>
      <c r="D33" s="1105">
        <v>3880</v>
      </c>
      <c r="E33" s="1105">
        <v>3880</v>
      </c>
      <c r="F33" s="1447">
        <f t="shared" si="0"/>
        <v>1</v>
      </c>
      <c r="G33" s="250">
        <v>13205</v>
      </c>
      <c r="H33" s="250">
        <v>19807</v>
      </c>
      <c r="I33" s="250">
        <v>19808</v>
      </c>
      <c r="J33" s="250"/>
      <c r="K33" s="250"/>
      <c r="L33" s="250"/>
      <c r="M33" s="250"/>
      <c r="N33" s="250"/>
      <c r="O33" s="250"/>
      <c r="P33" s="250"/>
      <c r="Q33" s="250"/>
      <c r="R33" s="250"/>
      <c r="S33" s="250"/>
      <c r="T33" s="250"/>
      <c r="U33" s="250"/>
      <c r="V33" s="250"/>
      <c r="W33" s="250"/>
      <c r="X33" s="250"/>
      <c r="Y33" s="250"/>
      <c r="Z33" s="251">
        <f t="shared" si="11"/>
        <v>56700</v>
      </c>
    </row>
    <row r="34" spans="1:26" ht="36">
      <c r="A34" s="278" t="s">
        <v>475</v>
      </c>
      <c r="B34" s="259" t="s">
        <v>914</v>
      </c>
      <c r="C34" s="1104"/>
      <c r="D34" s="1105"/>
      <c r="E34" s="1105"/>
      <c r="F34" s="1447" t="str">
        <f t="shared" si="0"/>
        <v>-</v>
      </c>
      <c r="G34" s="253"/>
      <c r="H34" s="253"/>
      <c r="I34" s="253"/>
      <c r="J34" s="253"/>
      <c r="K34" s="253"/>
      <c r="L34" s="253"/>
      <c r="M34" s="253"/>
      <c r="N34" s="253"/>
      <c r="O34" s="253"/>
      <c r="P34" s="253"/>
      <c r="Q34" s="253"/>
      <c r="R34" s="253"/>
      <c r="S34" s="253"/>
      <c r="T34" s="253"/>
      <c r="U34" s="253"/>
      <c r="V34" s="253"/>
      <c r="W34" s="253"/>
      <c r="X34" s="253"/>
      <c r="Y34" s="253"/>
      <c r="Z34" s="251">
        <f t="shared" si="11"/>
        <v>0</v>
      </c>
    </row>
    <row r="35" spans="1:26" ht="24.75" thickBot="1">
      <c r="A35" s="278" t="s">
        <v>488</v>
      </c>
      <c r="B35" s="259" t="s">
        <v>1038</v>
      </c>
      <c r="C35" s="1108"/>
      <c r="D35" s="1109"/>
      <c r="E35" s="1109"/>
      <c r="F35" s="1448" t="str">
        <f t="shared" si="0"/>
        <v>-</v>
      </c>
      <c r="G35" s="253"/>
      <c r="H35" s="253"/>
      <c r="I35" s="253"/>
      <c r="J35" s="253"/>
      <c r="K35" s="253"/>
      <c r="L35" s="253"/>
      <c r="M35" s="253"/>
      <c r="N35" s="253"/>
      <c r="O35" s="253"/>
      <c r="P35" s="253"/>
      <c r="Q35" s="253"/>
      <c r="R35" s="253"/>
      <c r="S35" s="253"/>
      <c r="T35" s="253"/>
      <c r="U35" s="253"/>
      <c r="V35" s="253"/>
      <c r="W35" s="253"/>
      <c r="X35" s="253"/>
      <c r="Y35" s="253"/>
      <c r="Z35" s="254">
        <f t="shared" si="11"/>
        <v>0</v>
      </c>
    </row>
    <row r="36" spans="1:26" ht="12.75" thickBot="1">
      <c r="A36" s="280" t="s">
        <v>489</v>
      </c>
      <c r="B36" s="255" t="s">
        <v>917</v>
      </c>
      <c r="C36" s="1110">
        <f t="shared" ref="C36" si="12">+C16+C26</f>
        <v>5000</v>
      </c>
      <c r="D36" s="256">
        <f t="shared" ref="D36:E36" si="13">+D16+D26</f>
        <v>8880</v>
      </c>
      <c r="E36" s="256">
        <f t="shared" si="13"/>
        <v>5880</v>
      </c>
      <c r="F36" s="1449">
        <f t="shared" si="0"/>
        <v>0.66216216216216217</v>
      </c>
      <c r="G36" s="257">
        <f t="shared" ref="F36:Z36" si="14">+G16+G26</f>
        <v>23205</v>
      </c>
      <c r="H36" s="257">
        <f t="shared" si="14"/>
        <v>21807</v>
      </c>
      <c r="I36" s="257">
        <f t="shared" si="14"/>
        <v>21808</v>
      </c>
      <c r="J36" s="257">
        <f t="shared" si="14"/>
        <v>2000</v>
      </c>
      <c r="K36" s="257">
        <f t="shared" si="14"/>
        <v>2000</v>
      </c>
      <c r="L36" s="257">
        <f t="shared" si="14"/>
        <v>2000</v>
      </c>
      <c r="M36" s="257">
        <f t="shared" si="14"/>
        <v>2000</v>
      </c>
      <c r="N36" s="257">
        <f>+N16+N26</f>
        <v>2000</v>
      </c>
      <c r="O36" s="257">
        <f>+O16+O26</f>
        <v>2000</v>
      </c>
      <c r="P36" s="257">
        <f t="shared" si="14"/>
        <v>2000</v>
      </c>
      <c r="Q36" s="257">
        <f>+Q16+Q26</f>
        <v>2000</v>
      </c>
      <c r="R36" s="257">
        <f>+R16+R26</f>
        <v>2000</v>
      </c>
      <c r="S36" s="257">
        <f t="shared" si="14"/>
        <v>2000</v>
      </c>
      <c r="T36" s="257">
        <f>+T16+T26</f>
        <v>2000</v>
      </c>
      <c r="U36" s="257">
        <f>+U16+U26</f>
        <v>2000</v>
      </c>
      <c r="V36" s="257">
        <f>+V16+V26</f>
        <v>2000</v>
      </c>
      <c r="W36" s="257">
        <f>+W16+W26</f>
        <v>2000</v>
      </c>
      <c r="X36" s="257">
        <f t="shared" si="14"/>
        <v>2000</v>
      </c>
      <c r="Y36" s="257">
        <f t="shared" si="14"/>
        <v>3525</v>
      </c>
      <c r="Z36" s="258">
        <f t="shared" si="14"/>
        <v>109225</v>
      </c>
    </row>
    <row r="37" spans="1:26" ht="24.75" thickBot="1">
      <c r="A37" s="281" t="s">
        <v>490</v>
      </c>
      <c r="B37" s="260" t="s">
        <v>918</v>
      </c>
      <c r="C37" s="1113">
        <f t="shared" ref="C37" si="15">+C15-C36</f>
        <v>154618</v>
      </c>
      <c r="D37" s="1114">
        <f t="shared" ref="D37:E37" si="16">+D15-D36</f>
        <v>225531</v>
      </c>
      <c r="E37" s="1114">
        <f t="shared" si="16"/>
        <v>162514</v>
      </c>
      <c r="F37" s="1450">
        <f t="shared" si="0"/>
        <v>0.72058386651945849</v>
      </c>
      <c r="G37" s="261">
        <f t="shared" ref="F37:Z37" si="17">+G15-G36</f>
        <v>132619</v>
      </c>
      <c r="H37" s="261">
        <f t="shared" si="17"/>
        <v>139737</v>
      </c>
      <c r="I37" s="261">
        <f t="shared" si="17"/>
        <v>145517</v>
      </c>
      <c r="J37" s="261">
        <f t="shared" si="17"/>
        <v>165325</v>
      </c>
      <c r="K37" s="261">
        <f t="shared" si="17"/>
        <v>165325</v>
      </c>
      <c r="L37" s="261">
        <f t="shared" si="17"/>
        <v>165325</v>
      </c>
      <c r="M37" s="261">
        <f t="shared" si="17"/>
        <v>165325</v>
      </c>
      <c r="N37" s="261">
        <f>+N15-N36</f>
        <v>165325</v>
      </c>
      <c r="O37" s="261">
        <f>+O15-O36</f>
        <v>165325</v>
      </c>
      <c r="P37" s="261">
        <f t="shared" si="17"/>
        <v>165325</v>
      </c>
      <c r="Q37" s="261">
        <f>+Q15-Q36</f>
        <v>165325</v>
      </c>
      <c r="R37" s="261">
        <f>+R15-R36</f>
        <v>165325</v>
      </c>
      <c r="S37" s="261">
        <f t="shared" si="17"/>
        <v>165325</v>
      </c>
      <c r="T37" s="261">
        <f>+T15-T36</f>
        <v>165325</v>
      </c>
      <c r="U37" s="261">
        <f>+U15-U36</f>
        <v>165325</v>
      </c>
      <c r="V37" s="261">
        <f>+V15-V36</f>
        <v>165325</v>
      </c>
      <c r="W37" s="261">
        <f>+W15-W36</f>
        <v>165325</v>
      </c>
      <c r="X37" s="261">
        <f t="shared" si="17"/>
        <v>165325</v>
      </c>
      <c r="Y37" s="261">
        <f t="shared" si="17"/>
        <v>163800</v>
      </c>
      <c r="Z37" s="262">
        <f t="shared" si="17"/>
        <v>3287087</v>
      </c>
    </row>
    <row r="38" spans="1:26" ht="13.5">
      <c r="A38" s="1261" t="s">
        <v>479</v>
      </c>
      <c r="B38" s="1261"/>
      <c r="C38" s="1261"/>
      <c r="D38" s="1261"/>
      <c r="E38" s="1261"/>
      <c r="F38" s="1261"/>
      <c r="G38" s="1261"/>
      <c r="H38" s="1261"/>
      <c r="I38" s="1261"/>
      <c r="J38" s="1261"/>
      <c r="K38" s="1261"/>
      <c r="L38" s="1261"/>
      <c r="M38" s="1261"/>
      <c r="N38" s="1261"/>
      <c r="O38" s="1261"/>
      <c r="P38" s="1261"/>
      <c r="Q38" s="1261"/>
      <c r="R38" s="1261"/>
      <c r="S38" s="1261"/>
      <c r="T38" s="1261"/>
      <c r="U38" s="1261"/>
      <c r="V38" s="1261"/>
      <c r="W38" s="1261"/>
      <c r="X38" s="1261"/>
      <c r="Y38" s="1261"/>
      <c r="Z38" s="1261"/>
    </row>
    <row r="39" spans="1:26" ht="13.5">
      <c r="A39" s="1262" t="s">
        <v>1039</v>
      </c>
      <c r="B39" s="1262"/>
      <c r="C39" s="1262"/>
      <c r="D39" s="1262"/>
      <c r="E39" s="1262"/>
      <c r="F39" s="1262"/>
      <c r="G39" s="1262"/>
      <c r="H39" s="1262"/>
      <c r="I39" s="1262"/>
      <c r="J39" s="1262"/>
      <c r="K39" s="1262"/>
      <c r="L39" s="1262"/>
      <c r="M39" s="1262"/>
      <c r="N39" s="1262"/>
      <c r="O39" s="1262"/>
      <c r="P39" s="1262"/>
      <c r="Q39" s="1262"/>
      <c r="R39" s="1262"/>
      <c r="S39" s="1262"/>
      <c r="T39" s="1262"/>
      <c r="U39" s="1262"/>
      <c r="V39" s="1262"/>
      <c r="W39" s="1262"/>
      <c r="X39" s="1262"/>
      <c r="Y39" s="1262"/>
      <c r="Z39" s="1262"/>
    </row>
    <row r="40" spans="1:26" ht="27.75" customHeight="1">
      <c r="A40" s="1263" t="s">
        <v>1207</v>
      </c>
      <c r="B40" s="1263"/>
      <c r="C40" s="1263"/>
      <c r="D40" s="1263"/>
      <c r="E40" s="1263"/>
      <c r="F40" s="1263"/>
      <c r="G40" s="1263"/>
      <c r="H40" s="1263"/>
      <c r="I40" s="1263"/>
      <c r="J40" s="1263"/>
      <c r="K40" s="1263"/>
      <c r="L40" s="1263"/>
      <c r="M40" s="1263"/>
      <c r="N40" s="1263"/>
      <c r="O40" s="1263"/>
      <c r="P40" s="1263"/>
      <c r="Q40" s="1263"/>
      <c r="R40" s="1263"/>
      <c r="S40" s="1263"/>
      <c r="T40" s="1263"/>
      <c r="U40" s="1263"/>
      <c r="V40" s="1263"/>
      <c r="W40" s="1263"/>
      <c r="X40" s="1263"/>
      <c r="Y40" s="1263"/>
      <c r="Z40" s="1263"/>
    </row>
    <row r="42" spans="1:26" ht="15.75">
      <c r="A42" s="1264" t="s">
        <v>1333</v>
      </c>
      <c r="B42" s="1264"/>
      <c r="C42" s="1264"/>
      <c r="D42" s="1264"/>
      <c r="E42" s="1264"/>
      <c r="F42" s="1264"/>
      <c r="G42" s="1264"/>
      <c r="H42" s="1264"/>
      <c r="I42" s="1264"/>
      <c r="J42" s="1264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</row>
    <row r="43" spans="1:26">
      <c r="A43" s="263"/>
      <c r="B43" s="263"/>
      <c r="C43" s="263"/>
      <c r="D43" s="263"/>
      <c r="E43" s="263"/>
      <c r="F43" s="1451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</row>
    <row r="44" spans="1:26" ht="12.75" thickBot="1">
      <c r="A44" s="264"/>
      <c r="B44" s="264"/>
      <c r="C44" s="265"/>
      <c r="D44" s="265"/>
      <c r="E44" s="265"/>
      <c r="F44" s="1452" t="s">
        <v>49</v>
      </c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</row>
    <row r="45" spans="1:26" ht="36.75" customHeight="1" thickBot="1">
      <c r="A45" s="1254" t="s">
        <v>17</v>
      </c>
      <c r="B45" s="1256" t="s">
        <v>476</v>
      </c>
      <c r="C45" s="1258" t="s">
        <v>477</v>
      </c>
      <c r="D45" s="1259"/>
      <c r="E45" s="1259"/>
      <c r="F45" s="1260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</row>
    <row r="46" spans="1:26" ht="36.75" thickBot="1">
      <c r="A46" s="1255"/>
      <c r="B46" s="1257"/>
      <c r="C46" s="1057" t="s">
        <v>1474</v>
      </c>
      <c r="D46" s="6" t="s">
        <v>1475</v>
      </c>
      <c r="E46" s="6" t="s">
        <v>1529</v>
      </c>
      <c r="F46" s="1398" t="s">
        <v>1527</v>
      </c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</row>
    <row r="47" spans="1:26" ht="13.5" customHeight="1" thickBot="1">
      <c r="A47" s="267">
        <v>1</v>
      </c>
      <c r="B47" s="272">
        <v>2</v>
      </c>
      <c r="C47" s="1251">
        <v>3</v>
      </c>
      <c r="D47" s="1252"/>
      <c r="E47" s="1252"/>
      <c r="F47" s="1253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</row>
    <row r="48" spans="1:26">
      <c r="A48" s="268" t="s">
        <v>4</v>
      </c>
      <c r="B48" s="273" t="s">
        <v>1471</v>
      </c>
      <c r="C48" s="1115">
        <f>8000+20000</f>
        <v>28000</v>
      </c>
      <c r="D48" s="1116">
        <v>1397</v>
      </c>
      <c r="E48" s="1116">
        <v>1397</v>
      </c>
      <c r="F48" s="1453">
        <f>IF(ISERROR(E48/D48),"-",E48/D48)</f>
        <v>1</v>
      </c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</row>
    <row r="49" spans="1:26">
      <c r="A49" s="269" t="s">
        <v>5</v>
      </c>
      <c r="B49" s="274"/>
      <c r="C49" s="1117"/>
      <c r="D49" s="1118"/>
      <c r="E49" s="1118"/>
      <c r="F49" s="1454" t="str">
        <f>IF(ISERROR(E49/D49),"-",E49/D49)</f>
        <v>-</v>
      </c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5"/>
    </row>
    <row r="50" spans="1:26" ht="12.75" thickBot="1">
      <c r="A50" s="270" t="s">
        <v>6</v>
      </c>
      <c r="B50" s="275"/>
      <c r="C50" s="1119"/>
      <c r="D50" s="1120"/>
      <c r="E50" s="1120"/>
      <c r="F50" s="1455" t="str">
        <f>IF(ISERROR(E50/D50),"-",E50/D50)</f>
        <v>-</v>
      </c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</row>
    <row r="51" spans="1:26" ht="24.75" thickBot="1">
      <c r="A51" s="271" t="s">
        <v>3</v>
      </c>
      <c r="B51" s="276" t="s">
        <v>1470</v>
      </c>
      <c r="C51" s="1121">
        <f>SUM(C48:C50)</f>
        <v>28000</v>
      </c>
      <c r="D51" s="1122">
        <f>SUM(D48:D50)</f>
        <v>1397</v>
      </c>
      <c r="E51" s="1122">
        <f>SUM(E48:E50)</f>
        <v>1397</v>
      </c>
      <c r="F51" s="1456">
        <f>IF(ISERROR(E51/D51),"-",E51/D51)</f>
        <v>1</v>
      </c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</row>
    <row r="52" spans="1:26">
      <c r="A52" s="145"/>
      <c r="B52" s="145"/>
      <c r="C52" s="145"/>
      <c r="D52" s="145"/>
      <c r="E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</row>
    <row r="53" spans="1:26">
      <c r="A53" s="145"/>
      <c r="B53" s="145"/>
      <c r="C53" s="145"/>
      <c r="D53" s="145"/>
      <c r="E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5"/>
    </row>
  </sheetData>
  <mergeCells count="14">
    <mergeCell ref="C7:F7"/>
    <mergeCell ref="A3:Z3"/>
    <mergeCell ref="A5:A6"/>
    <mergeCell ref="B5:B6"/>
    <mergeCell ref="Z5:Z6"/>
    <mergeCell ref="C5:Y5"/>
    <mergeCell ref="C47:F47"/>
    <mergeCell ref="A45:A46"/>
    <mergeCell ref="B45:B46"/>
    <mergeCell ref="C45:F45"/>
    <mergeCell ref="A38:Z38"/>
    <mergeCell ref="A39:Z39"/>
    <mergeCell ref="A40:Z40"/>
    <mergeCell ref="A42:J42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57" orientation="landscape" horizontalDpi="200" verticalDpi="20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 codeName="Munka19">
    <tabColor rgb="FF00B0F0"/>
    <pageSetUpPr fitToPage="1"/>
  </sheetPr>
  <dimension ref="A1:L45"/>
  <sheetViews>
    <sheetView zoomScaleNormal="100" workbookViewId="0"/>
  </sheetViews>
  <sheetFormatPr defaultRowHeight="12"/>
  <cols>
    <col min="1" max="1" width="4.85546875" style="183" bestFit="1" customWidth="1"/>
    <col min="2" max="2" width="82.5703125" style="183" customWidth="1"/>
    <col min="3" max="11" width="10.140625" style="183" customWidth="1"/>
    <col min="12" max="12" width="13.140625" style="183" bestFit="1" customWidth="1"/>
    <col min="13" max="16384" width="9.140625" style="183"/>
  </cols>
  <sheetData>
    <row r="1" spans="1:12" s="184" customFormat="1" ht="15.75">
      <c r="A1" s="301"/>
      <c r="B1" s="300"/>
      <c r="C1" s="300"/>
      <c r="D1" s="300"/>
      <c r="E1" s="300"/>
      <c r="F1" s="300"/>
      <c r="G1" s="300"/>
      <c r="H1" s="300"/>
      <c r="I1" s="300"/>
      <c r="J1" s="300"/>
      <c r="K1" s="143"/>
      <c r="L1" s="192" t="s">
        <v>492</v>
      </c>
    </row>
    <row r="2" spans="1:12" s="184" customFormat="1" ht="15.75">
      <c r="A2" s="301"/>
      <c r="B2" s="300"/>
      <c r="C2" s="300"/>
      <c r="D2" s="300"/>
      <c r="E2" s="300"/>
      <c r="F2" s="300"/>
      <c r="G2" s="300"/>
      <c r="H2" s="300"/>
      <c r="I2" s="300"/>
      <c r="J2" s="300"/>
      <c r="K2" s="143"/>
      <c r="L2" s="192"/>
    </row>
    <row r="3" spans="1:12" s="185" customFormat="1" ht="15.75">
      <c r="A3" s="1248" t="s">
        <v>481</v>
      </c>
      <c r="B3" s="1248"/>
      <c r="C3" s="1248"/>
      <c r="D3" s="1248"/>
      <c r="E3" s="1248"/>
      <c r="F3" s="1248"/>
      <c r="G3" s="1248"/>
      <c r="H3" s="1248"/>
      <c r="I3" s="1248"/>
      <c r="J3" s="1248"/>
      <c r="K3" s="1248"/>
      <c r="L3" s="1248"/>
    </row>
    <row r="4" spans="1:12">
      <c r="A4" s="1280"/>
      <c r="B4" s="1280"/>
      <c r="C4" s="1280"/>
      <c r="D4" s="1280"/>
      <c r="E4" s="1280"/>
      <c r="F4" s="1280"/>
      <c r="G4" s="1280"/>
      <c r="H4" s="1280"/>
      <c r="I4" s="1280"/>
      <c r="J4" s="1280"/>
      <c r="K4" s="1280"/>
      <c r="L4" s="1280"/>
    </row>
    <row r="5" spans="1:12" ht="12.75" thickBot="1">
      <c r="A5" s="298"/>
      <c r="B5" s="302"/>
      <c r="C5" s="302"/>
      <c r="D5" s="302"/>
      <c r="E5" s="302"/>
      <c r="F5" s="302"/>
      <c r="G5" s="302"/>
      <c r="H5" s="302"/>
      <c r="I5" s="302"/>
      <c r="J5" s="302"/>
      <c r="K5" s="302"/>
      <c r="L5" s="242" t="s">
        <v>458</v>
      </c>
    </row>
    <row r="6" spans="1:12" ht="12.75" customHeight="1" thickBot="1">
      <c r="A6" s="1281" t="s">
        <v>8</v>
      </c>
      <c r="B6" s="1283" t="s">
        <v>482</v>
      </c>
      <c r="C6" s="1281" t="s">
        <v>483</v>
      </c>
      <c r="D6" s="1281" t="s">
        <v>1334</v>
      </c>
      <c r="E6" s="1285" t="s">
        <v>484</v>
      </c>
      <c r="F6" s="1286"/>
      <c r="G6" s="1286"/>
      <c r="H6" s="1286"/>
      <c r="I6" s="1286"/>
      <c r="J6" s="1286"/>
      <c r="K6" s="1287"/>
      <c r="L6" s="1283" t="s">
        <v>18</v>
      </c>
    </row>
    <row r="7" spans="1:12" ht="36.75" thickBot="1">
      <c r="A7" s="1282"/>
      <c r="B7" s="1284"/>
      <c r="C7" s="1284"/>
      <c r="D7" s="1282"/>
      <c r="E7" s="1057" t="s">
        <v>1474</v>
      </c>
      <c r="F7" s="6" t="s">
        <v>1475</v>
      </c>
      <c r="G7" s="6" t="s">
        <v>1529</v>
      </c>
      <c r="H7" s="1398" t="s">
        <v>1527</v>
      </c>
      <c r="I7" s="308" t="s">
        <v>460</v>
      </c>
      <c r="J7" s="310" t="s">
        <v>461</v>
      </c>
      <c r="K7" s="311" t="s">
        <v>1330</v>
      </c>
      <c r="L7" s="1284"/>
    </row>
    <row r="8" spans="1:12" ht="13.5" customHeight="1" thickBot="1">
      <c r="A8" s="306">
        <v>1</v>
      </c>
      <c r="B8" s="303">
        <v>2</v>
      </c>
      <c r="C8" s="297">
        <v>3</v>
      </c>
      <c r="D8" s="303">
        <v>4</v>
      </c>
      <c r="E8" s="1288">
        <v>5</v>
      </c>
      <c r="F8" s="1289"/>
      <c r="G8" s="1289"/>
      <c r="H8" s="1290"/>
      <c r="I8" s="296">
        <v>6</v>
      </c>
      <c r="J8" s="295">
        <v>7</v>
      </c>
      <c r="K8" s="294">
        <v>8</v>
      </c>
      <c r="L8" s="293" t="s">
        <v>485</v>
      </c>
    </row>
    <row r="9" spans="1:12" ht="12.75" thickBot="1">
      <c r="A9" s="299" t="s">
        <v>4</v>
      </c>
      <c r="B9" s="304" t="s">
        <v>955</v>
      </c>
      <c r="C9" s="292" t="s">
        <v>19</v>
      </c>
      <c r="D9" s="309">
        <f t="shared" ref="D9:L9" si="0">SUM(D10:D10)</f>
        <v>0</v>
      </c>
      <c r="E9" s="291">
        <f t="shared" si="0"/>
        <v>0</v>
      </c>
      <c r="F9" s="290">
        <f t="shared" si="0"/>
        <v>0</v>
      </c>
      <c r="G9" s="290">
        <f t="shared" si="0"/>
        <v>0</v>
      </c>
      <c r="H9" s="1457" t="str">
        <f t="shared" ref="H9:H41" si="1">IF(ISERROR(G9/F9),"-",G9/F9)</f>
        <v>-</v>
      </c>
      <c r="I9" s="291">
        <f t="shared" si="0"/>
        <v>0</v>
      </c>
      <c r="J9" s="290">
        <f t="shared" si="0"/>
        <v>0</v>
      </c>
      <c r="K9" s="305">
        <f t="shared" si="0"/>
        <v>0</v>
      </c>
      <c r="L9" s="289">
        <f t="shared" si="0"/>
        <v>0</v>
      </c>
    </row>
    <row r="10" spans="1:12" ht="12.75" thickBot="1">
      <c r="A10" s="288" t="s">
        <v>5</v>
      </c>
      <c r="B10" s="283" t="s">
        <v>19</v>
      </c>
      <c r="C10" s="287"/>
      <c r="D10" s="286"/>
      <c r="E10" s="285"/>
      <c r="F10" s="284"/>
      <c r="G10" s="284"/>
      <c r="H10" s="1458" t="str">
        <f t="shared" si="1"/>
        <v>-</v>
      </c>
      <c r="I10" s="285"/>
      <c r="J10" s="284"/>
      <c r="K10" s="312"/>
      <c r="L10" s="317">
        <f t="shared" ref="L10" si="2">+D10+IF(F10&lt;=G10,G10,F10)+I10+J10+K10</f>
        <v>0</v>
      </c>
    </row>
    <row r="11" spans="1:12" ht="12.75" thickBot="1">
      <c r="A11" s="299" t="s">
        <v>6</v>
      </c>
      <c r="B11" s="318" t="s">
        <v>956</v>
      </c>
      <c r="C11" s="292" t="s">
        <v>19</v>
      </c>
      <c r="D11" s="309">
        <f t="shared" ref="D11:L11" si="3">SUM(D12:D12)</f>
        <v>0</v>
      </c>
      <c r="E11" s="291">
        <f t="shared" si="3"/>
        <v>0</v>
      </c>
      <c r="F11" s="290">
        <f t="shared" si="3"/>
        <v>0</v>
      </c>
      <c r="G11" s="290">
        <f t="shared" si="3"/>
        <v>0</v>
      </c>
      <c r="H11" s="1457" t="str">
        <f t="shared" si="1"/>
        <v>-</v>
      </c>
      <c r="I11" s="291">
        <f t="shared" si="3"/>
        <v>0</v>
      </c>
      <c r="J11" s="290">
        <f t="shared" si="3"/>
        <v>0</v>
      </c>
      <c r="K11" s="305">
        <f t="shared" si="3"/>
        <v>0</v>
      </c>
      <c r="L11" s="289">
        <f t="shared" si="3"/>
        <v>0</v>
      </c>
    </row>
    <row r="12" spans="1:12" ht="12.75" thickBot="1">
      <c r="A12" s="288" t="s">
        <v>3</v>
      </c>
      <c r="B12" s="283" t="s">
        <v>1461</v>
      </c>
      <c r="C12" s="287" t="s">
        <v>459</v>
      </c>
      <c r="D12" s="319"/>
      <c r="E12" s="314"/>
      <c r="F12" s="315"/>
      <c r="G12" s="315"/>
      <c r="H12" s="1458" t="str">
        <f t="shared" si="1"/>
        <v>-</v>
      </c>
      <c r="I12" s="314"/>
      <c r="J12" s="315"/>
      <c r="K12" s="313"/>
      <c r="L12" s="320">
        <f t="shared" ref="L12" si="4">+D12+IF(F12&lt;=G12,G12,F12)+I12+J12+K12</f>
        <v>0</v>
      </c>
    </row>
    <row r="13" spans="1:12" ht="12.75" thickBot="1">
      <c r="A13" s="303" t="s">
        <v>16</v>
      </c>
      <c r="B13" s="321" t="s">
        <v>486</v>
      </c>
      <c r="C13" s="322" t="s">
        <v>19</v>
      </c>
      <c r="D13" s="323">
        <f t="shared" ref="D13:L13" si="5">SUM(D14:D14)</f>
        <v>0</v>
      </c>
      <c r="E13" s="325">
        <f t="shared" si="5"/>
        <v>0</v>
      </c>
      <c r="F13" s="326">
        <f t="shared" si="5"/>
        <v>0</v>
      </c>
      <c r="G13" s="326">
        <f t="shared" si="5"/>
        <v>0</v>
      </c>
      <c r="H13" s="1457" t="str">
        <f t="shared" si="1"/>
        <v>-</v>
      </c>
      <c r="I13" s="325">
        <f t="shared" si="5"/>
        <v>0</v>
      </c>
      <c r="J13" s="326">
        <f t="shared" si="5"/>
        <v>0</v>
      </c>
      <c r="K13" s="327">
        <f t="shared" si="5"/>
        <v>0</v>
      </c>
      <c r="L13" s="289">
        <f t="shared" si="5"/>
        <v>0</v>
      </c>
    </row>
    <row r="14" spans="1:12" ht="12.75" thickBot="1">
      <c r="A14" s="328" t="s">
        <v>15</v>
      </c>
      <c r="B14" s="329" t="s">
        <v>19</v>
      </c>
      <c r="C14" s="330"/>
      <c r="D14" s="319"/>
      <c r="E14" s="331"/>
      <c r="F14" s="332"/>
      <c r="G14" s="332"/>
      <c r="H14" s="1458" t="str">
        <f t="shared" si="1"/>
        <v>-</v>
      </c>
      <c r="I14" s="331"/>
      <c r="J14" s="332"/>
      <c r="K14" s="333"/>
      <c r="L14" s="320">
        <f t="shared" ref="L14" si="6">+D14+IF(F14&lt;=G14,G14,F14)+I14+J14+K14</f>
        <v>0</v>
      </c>
    </row>
    <row r="15" spans="1:12" ht="12.75" thickBot="1">
      <c r="A15" s="303" t="s">
        <v>14</v>
      </c>
      <c r="B15" s="334" t="s">
        <v>487</v>
      </c>
      <c r="C15" s="322" t="s">
        <v>19</v>
      </c>
      <c r="D15" s="323">
        <f t="shared" ref="D15:L15" si="7">SUM(D16:D39)</f>
        <v>70058</v>
      </c>
      <c r="E15" s="325">
        <f t="shared" si="7"/>
        <v>1745069</v>
      </c>
      <c r="F15" s="326">
        <f t="shared" ref="F15:G15" si="8">SUM(F16:F39)</f>
        <v>984911</v>
      </c>
      <c r="G15" s="326">
        <f t="shared" si="8"/>
        <v>977838</v>
      </c>
      <c r="H15" s="1459">
        <f t="shared" si="1"/>
        <v>0.99281864046599133</v>
      </c>
      <c r="I15" s="325">
        <f t="shared" si="7"/>
        <v>3556721</v>
      </c>
      <c r="J15" s="326">
        <f t="shared" si="7"/>
        <v>7378</v>
      </c>
      <c r="K15" s="327">
        <f t="shared" si="7"/>
        <v>0</v>
      </c>
      <c r="L15" s="289">
        <f t="shared" si="7"/>
        <v>4619068</v>
      </c>
    </row>
    <row r="16" spans="1:12">
      <c r="A16" s="335" t="s">
        <v>13</v>
      </c>
      <c r="B16" s="336" t="s">
        <v>1215</v>
      </c>
      <c r="C16" s="337" t="s">
        <v>445</v>
      </c>
      <c r="D16" s="338">
        <v>13129</v>
      </c>
      <c r="E16" s="339">
        <v>191871</v>
      </c>
      <c r="F16" s="340">
        <v>1025</v>
      </c>
      <c r="G16" s="340">
        <v>1025</v>
      </c>
      <c r="H16" s="1460">
        <f t="shared" si="1"/>
        <v>1</v>
      </c>
      <c r="I16" s="339">
        <v>190846</v>
      </c>
      <c r="J16" s="340"/>
      <c r="K16" s="341"/>
      <c r="L16" s="342">
        <f t="shared" ref="L16:L39" si="9">+D16+IF(F16&lt;=G16,G16,F16)+I16+J16+K16</f>
        <v>205000</v>
      </c>
    </row>
    <row r="17" spans="1:12">
      <c r="A17" s="335" t="s">
        <v>12</v>
      </c>
      <c r="B17" s="336" t="s">
        <v>1216</v>
      </c>
      <c r="C17" s="337" t="s">
        <v>445</v>
      </c>
      <c r="D17" s="338"/>
      <c r="E17" s="339">
        <v>177292</v>
      </c>
      <c r="F17" s="340">
        <v>0</v>
      </c>
      <c r="G17" s="340"/>
      <c r="H17" s="1460" t="str">
        <f t="shared" si="1"/>
        <v>-</v>
      </c>
      <c r="I17" s="339">
        <v>177292</v>
      </c>
      <c r="J17" s="340"/>
      <c r="K17" s="341"/>
      <c r="L17" s="342">
        <f t="shared" si="9"/>
        <v>177292</v>
      </c>
    </row>
    <row r="18" spans="1:12">
      <c r="A18" s="335" t="s">
        <v>11</v>
      </c>
      <c r="B18" s="336" t="s">
        <v>1449</v>
      </c>
      <c r="C18" s="337" t="s">
        <v>1462</v>
      </c>
      <c r="D18" s="338">
        <v>486</v>
      </c>
      <c r="E18" s="339">
        <v>8511</v>
      </c>
      <c r="F18" s="340">
        <v>8511</v>
      </c>
      <c r="G18" s="340">
        <v>8511</v>
      </c>
      <c r="H18" s="1460">
        <f t="shared" si="1"/>
        <v>1</v>
      </c>
      <c r="I18" s="339"/>
      <c r="J18" s="340"/>
      <c r="K18" s="341"/>
      <c r="L18" s="342">
        <f t="shared" si="9"/>
        <v>8997</v>
      </c>
    </row>
    <row r="19" spans="1:12" ht="24">
      <c r="A19" s="335" t="s">
        <v>10</v>
      </c>
      <c r="B19" s="336" t="s">
        <v>1450</v>
      </c>
      <c r="C19" s="337" t="s">
        <v>1462</v>
      </c>
      <c r="D19" s="338">
        <v>3436</v>
      </c>
      <c r="E19" s="339">
        <v>51564</v>
      </c>
      <c r="F19" s="340">
        <v>51904</v>
      </c>
      <c r="G19" s="340">
        <v>51904</v>
      </c>
      <c r="H19" s="1460">
        <f t="shared" si="1"/>
        <v>1</v>
      </c>
      <c r="I19" s="339"/>
      <c r="J19" s="340"/>
      <c r="K19" s="341"/>
      <c r="L19" s="342">
        <f t="shared" si="9"/>
        <v>55340</v>
      </c>
    </row>
    <row r="20" spans="1:12">
      <c r="A20" s="335" t="s">
        <v>9</v>
      </c>
      <c r="B20" s="336" t="s">
        <v>1464</v>
      </c>
      <c r="C20" s="337" t="s">
        <v>1462</v>
      </c>
      <c r="D20" s="338">
        <v>11987</v>
      </c>
      <c r="E20" s="339">
        <v>206472</v>
      </c>
      <c r="F20" s="340">
        <v>8481</v>
      </c>
      <c r="G20" s="340">
        <v>8481</v>
      </c>
      <c r="H20" s="1460">
        <f t="shared" si="1"/>
        <v>1</v>
      </c>
      <c r="I20" s="339">
        <v>268532</v>
      </c>
      <c r="J20" s="340"/>
      <c r="K20" s="341"/>
      <c r="L20" s="342">
        <f t="shared" si="9"/>
        <v>289000</v>
      </c>
    </row>
    <row r="21" spans="1:12" ht="24">
      <c r="A21" s="335" t="s">
        <v>45</v>
      </c>
      <c r="B21" s="336" t="s">
        <v>1452</v>
      </c>
      <c r="C21" s="337" t="s">
        <v>1462</v>
      </c>
      <c r="D21" s="338">
        <v>7243</v>
      </c>
      <c r="E21" s="339">
        <v>140587</v>
      </c>
      <c r="F21" s="340">
        <v>139338</v>
      </c>
      <c r="G21" s="340">
        <v>132643</v>
      </c>
      <c r="H21" s="1460">
        <f t="shared" si="1"/>
        <v>0.9519513700498069</v>
      </c>
      <c r="I21" s="339">
        <v>1249</v>
      </c>
      <c r="J21" s="340"/>
      <c r="K21" s="341"/>
      <c r="L21" s="342">
        <f t="shared" si="9"/>
        <v>147830</v>
      </c>
    </row>
    <row r="22" spans="1:12">
      <c r="A22" s="335" t="s">
        <v>44</v>
      </c>
      <c r="B22" s="336" t="s">
        <v>1453</v>
      </c>
      <c r="C22" s="337" t="s">
        <v>1462</v>
      </c>
      <c r="D22" s="338">
        <v>13863</v>
      </c>
      <c r="E22" s="339">
        <v>443592</v>
      </c>
      <c r="F22" s="340">
        <v>314996</v>
      </c>
      <c r="G22" s="340">
        <v>314996</v>
      </c>
      <c r="H22" s="1460">
        <f t="shared" si="1"/>
        <v>1</v>
      </c>
      <c r="I22" s="339">
        <v>147813</v>
      </c>
      <c r="J22" s="340"/>
      <c r="K22" s="341"/>
      <c r="L22" s="342">
        <f t="shared" si="9"/>
        <v>476672</v>
      </c>
    </row>
    <row r="23" spans="1:12">
      <c r="A23" s="335" t="s">
        <v>43</v>
      </c>
      <c r="B23" s="336" t="s">
        <v>1458</v>
      </c>
      <c r="C23" s="337" t="s">
        <v>1462</v>
      </c>
      <c r="D23" s="338">
        <v>1937</v>
      </c>
      <c r="E23" s="339">
        <v>35510</v>
      </c>
      <c r="F23" s="340">
        <v>35106</v>
      </c>
      <c r="G23" s="340">
        <v>35106</v>
      </c>
      <c r="H23" s="1460">
        <f t="shared" si="1"/>
        <v>1</v>
      </c>
      <c r="I23" s="339">
        <v>404</v>
      </c>
      <c r="J23" s="340"/>
      <c r="K23" s="341"/>
      <c r="L23" s="342">
        <f t="shared" si="9"/>
        <v>37447</v>
      </c>
    </row>
    <row r="24" spans="1:12">
      <c r="A24" s="335" t="s">
        <v>40</v>
      </c>
      <c r="B24" s="336" t="s">
        <v>1465</v>
      </c>
      <c r="C24" s="337" t="s">
        <v>1462</v>
      </c>
      <c r="D24" s="338">
        <v>1106</v>
      </c>
      <c r="E24" s="339">
        <v>16301</v>
      </c>
      <c r="F24" s="340">
        <v>14182</v>
      </c>
      <c r="G24" s="340">
        <v>14182</v>
      </c>
      <c r="H24" s="1460">
        <f t="shared" si="1"/>
        <v>1</v>
      </c>
      <c r="I24" s="339">
        <v>11938</v>
      </c>
      <c r="J24" s="340">
        <v>7378</v>
      </c>
      <c r="K24" s="341"/>
      <c r="L24" s="342">
        <f t="shared" si="9"/>
        <v>34604</v>
      </c>
    </row>
    <row r="25" spans="1:12">
      <c r="A25" s="335" t="s">
        <v>39</v>
      </c>
      <c r="B25" s="336" t="s">
        <v>1466</v>
      </c>
      <c r="C25" s="337" t="s">
        <v>1462</v>
      </c>
      <c r="D25" s="338">
        <v>641</v>
      </c>
      <c r="E25" s="339">
        <v>6957</v>
      </c>
      <c r="F25" s="340">
        <v>10223</v>
      </c>
      <c r="G25" s="340">
        <v>10223</v>
      </c>
      <c r="H25" s="1460">
        <f t="shared" si="1"/>
        <v>1</v>
      </c>
      <c r="I25" s="339">
        <v>5689</v>
      </c>
      <c r="J25" s="340"/>
      <c r="K25" s="341"/>
      <c r="L25" s="342">
        <f t="shared" si="9"/>
        <v>16553</v>
      </c>
    </row>
    <row r="26" spans="1:12">
      <c r="A26" s="335" t="s">
        <v>38</v>
      </c>
      <c r="B26" s="336" t="s">
        <v>1454</v>
      </c>
      <c r="C26" s="337" t="s">
        <v>1462</v>
      </c>
      <c r="D26" s="338">
        <v>13633</v>
      </c>
      <c r="E26" s="339">
        <v>406367</v>
      </c>
      <c r="F26" s="340">
        <v>7620</v>
      </c>
      <c r="G26" s="340">
        <v>7620</v>
      </c>
      <c r="H26" s="1460">
        <f t="shared" si="1"/>
        <v>1</v>
      </c>
      <c r="I26" s="339">
        <v>398747</v>
      </c>
      <c r="J26" s="340"/>
      <c r="K26" s="341"/>
      <c r="L26" s="342">
        <f t="shared" si="9"/>
        <v>420000</v>
      </c>
    </row>
    <row r="27" spans="1:12" ht="24">
      <c r="A27" s="335" t="s">
        <v>36</v>
      </c>
      <c r="B27" s="336" t="s">
        <v>1455</v>
      </c>
      <c r="C27" s="337" t="s">
        <v>1462</v>
      </c>
      <c r="D27" s="338">
        <v>2597</v>
      </c>
      <c r="E27" s="339">
        <v>60045</v>
      </c>
      <c r="F27" s="340">
        <v>2253</v>
      </c>
      <c r="G27" s="340">
        <v>2253</v>
      </c>
      <c r="H27" s="1460">
        <f t="shared" si="1"/>
        <v>1</v>
      </c>
      <c r="I27" s="339">
        <v>57792</v>
      </c>
      <c r="J27" s="340"/>
      <c r="K27" s="341"/>
      <c r="L27" s="342">
        <f t="shared" si="9"/>
        <v>62642</v>
      </c>
    </row>
    <row r="28" spans="1:12">
      <c r="A28" s="335" t="s">
        <v>35</v>
      </c>
      <c r="B28" s="336" t="s">
        <v>2706</v>
      </c>
      <c r="C28" s="337" t="s">
        <v>1462</v>
      </c>
      <c r="D28" s="338"/>
      <c r="E28" s="339"/>
      <c r="F28" s="340">
        <v>70406</v>
      </c>
      <c r="G28" s="340">
        <v>70028</v>
      </c>
      <c r="H28" s="1460">
        <f t="shared" si="1"/>
        <v>0.99463113939152914</v>
      </c>
      <c r="I28" s="339">
        <v>67982</v>
      </c>
      <c r="J28" s="340"/>
      <c r="K28" s="341"/>
      <c r="L28" s="342">
        <f t="shared" si="9"/>
        <v>138388</v>
      </c>
    </row>
    <row r="29" spans="1:12">
      <c r="A29" s="335" t="s">
        <v>34</v>
      </c>
      <c r="B29" s="336" t="s">
        <v>2758</v>
      </c>
      <c r="C29" s="337" t="s">
        <v>1462</v>
      </c>
      <c r="D29" s="338"/>
      <c r="E29" s="339"/>
      <c r="F29" s="340">
        <v>65524</v>
      </c>
      <c r="G29" s="340">
        <v>65524</v>
      </c>
      <c r="H29" s="1460">
        <f t="shared" ref="H29" si="10">IF(ISERROR(G29/F29),"-",G29/F29)</f>
        <v>1</v>
      </c>
      <c r="I29" s="339"/>
      <c r="J29" s="340"/>
      <c r="K29" s="341"/>
      <c r="L29" s="342">
        <f t="shared" ref="L29" si="11">+D29+IF(F29&lt;=G29,G29,F29)+I29+J29+K29</f>
        <v>65524</v>
      </c>
    </row>
    <row r="30" spans="1:12">
      <c r="A30" s="335" t="s">
        <v>33</v>
      </c>
      <c r="B30" s="336" t="s">
        <v>2759</v>
      </c>
      <c r="C30" s="337" t="s">
        <v>1462</v>
      </c>
      <c r="D30" s="338"/>
      <c r="E30" s="339"/>
      <c r="F30" s="340">
        <v>78730</v>
      </c>
      <c r="G30" s="340">
        <v>78730</v>
      </c>
      <c r="H30" s="1460">
        <f t="shared" si="1"/>
        <v>1</v>
      </c>
      <c r="I30" s="339">
        <v>51920</v>
      </c>
      <c r="J30" s="340"/>
      <c r="K30" s="341"/>
      <c r="L30" s="342">
        <f t="shared" si="9"/>
        <v>130650</v>
      </c>
    </row>
    <row r="31" spans="1:12">
      <c r="A31" s="335" t="s">
        <v>32</v>
      </c>
      <c r="B31" s="336" t="s">
        <v>2709</v>
      </c>
      <c r="C31" s="337" t="s">
        <v>1462</v>
      </c>
      <c r="D31" s="338"/>
      <c r="E31" s="339"/>
      <c r="F31" s="340">
        <v>78058</v>
      </c>
      <c r="G31" s="340">
        <v>78058</v>
      </c>
      <c r="H31" s="1460">
        <f t="shared" ref="H31" si="12">IF(ISERROR(G31/F31),"-",G31/F31)</f>
        <v>1</v>
      </c>
      <c r="I31" s="339">
        <v>36651</v>
      </c>
      <c r="J31" s="340"/>
      <c r="K31" s="341"/>
      <c r="L31" s="342">
        <f t="shared" ref="L31" si="13">+D31+IF(F31&lt;=G31,G31,F31)+I31+J31+K31</f>
        <v>114709</v>
      </c>
    </row>
    <row r="32" spans="1:12">
      <c r="A32" s="335" t="s">
        <v>472</v>
      </c>
      <c r="B32" s="336" t="s">
        <v>2760</v>
      </c>
      <c r="C32" s="337" t="s">
        <v>1462</v>
      </c>
      <c r="D32" s="338"/>
      <c r="E32" s="339"/>
      <c r="F32" s="340">
        <v>28992</v>
      </c>
      <c r="G32" s="340">
        <v>28992</v>
      </c>
      <c r="H32" s="1460">
        <f t="shared" si="1"/>
        <v>1</v>
      </c>
      <c r="I32" s="339">
        <v>51183</v>
      </c>
      <c r="J32" s="340"/>
      <c r="K32" s="341"/>
      <c r="L32" s="342">
        <f t="shared" si="9"/>
        <v>80175</v>
      </c>
    </row>
    <row r="33" spans="1:12">
      <c r="A33" s="335" t="s">
        <v>473</v>
      </c>
      <c r="B33" s="336" t="s">
        <v>2761</v>
      </c>
      <c r="C33" s="337" t="s">
        <v>1462</v>
      </c>
      <c r="D33" s="338"/>
      <c r="E33" s="339"/>
      <c r="F33" s="340"/>
      <c r="G33" s="340"/>
      <c r="H33" s="1460" t="str">
        <f t="shared" ref="H33" si="14">IF(ISERROR(G33/F33),"-",G33/F33)</f>
        <v>-</v>
      </c>
      <c r="I33" s="339">
        <v>28285</v>
      </c>
      <c r="J33" s="340"/>
      <c r="K33" s="341"/>
      <c r="L33" s="342">
        <f t="shared" ref="L33" si="15">+D33+IF(F33&lt;=G33,G33,F33)+I33+J33+K33</f>
        <v>28285</v>
      </c>
    </row>
    <row r="34" spans="1:12">
      <c r="A34" s="335" t="s">
        <v>474</v>
      </c>
      <c r="B34" s="336" t="s">
        <v>2755</v>
      </c>
      <c r="C34" s="337" t="s">
        <v>1462</v>
      </c>
      <c r="D34" s="338"/>
      <c r="E34" s="339"/>
      <c r="F34" s="340">
        <v>997</v>
      </c>
      <c r="G34" s="340">
        <v>997</v>
      </c>
      <c r="H34" s="1460">
        <f t="shared" si="1"/>
        <v>1</v>
      </c>
      <c r="I34" s="339">
        <v>68272</v>
      </c>
      <c r="J34" s="340"/>
      <c r="K34" s="341"/>
      <c r="L34" s="342">
        <f t="shared" si="9"/>
        <v>69269</v>
      </c>
    </row>
    <row r="35" spans="1:12">
      <c r="A35" s="335" t="s">
        <v>475</v>
      </c>
      <c r="B35" s="336" t="s">
        <v>2756</v>
      </c>
      <c r="C35" s="337" t="s">
        <v>1462</v>
      </c>
      <c r="D35" s="338"/>
      <c r="E35" s="339"/>
      <c r="F35" s="340"/>
      <c r="G35" s="340"/>
      <c r="H35" s="1460" t="str">
        <f t="shared" ref="H35:H38" si="16">IF(ISERROR(G35/F35),"-",G35/F35)</f>
        <v>-</v>
      </c>
      <c r="I35" s="339">
        <v>84548</v>
      </c>
      <c r="J35" s="340"/>
      <c r="K35" s="341"/>
      <c r="L35" s="342">
        <f t="shared" ref="L35:L38" si="17">+D35+IF(F35&lt;=G35,G35,F35)+I35+J35+K35</f>
        <v>84548</v>
      </c>
    </row>
    <row r="36" spans="1:12">
      <c r="A36" s="335" t="s">
        <v>488</v>
      </c>
      <c r="B36" s="336" t="s">
        <v>2762</v>
      </c>
      <c r="C36" s="337" t="s">
        <v>1462</v>
      </c>
      <c r="D36" s="338"/>
      <c r="E36" s="339"/>
      <c r="F36" s="340">
        <v>60291</v>
      </c>
      <c r="G36" s="340">
        <v>60291</v>
      </c>
      <c r="H36" s="1460">
        <f t="shared" si="16"/>
        <v>1</v>
      </c>
      <c r="I36" s="339">
        <v>49225</v>
      </c>
      <c r="J36" s="340"/>
      <c r="K36" s="341"/>
      <c r="L36" s="342">
        <f t="shared" si="17"/>
        <v>109516</v>
      </c>
    </row>
    <row r="37" spans="1:12">
      <c r="A37" s="335" t="s">
        <v>489</v>
      </c>
      <c r="B37" s="336" t="s">
        <v>2763</v>
      </c>
      <c r="C37" s="337" t="s">
        <v>1462</v>
      </c>
      <c r="D37" s="338"/>
      <c r="E37" s="339"/>
      <c r="F37" s="340">
        <v>8274</v>
      </c>
      <c r="G37" s="340">
        <v>8274</v>
      </c>
      <c r="H37" s="1460">
        <f t="shared" ref="H37" si="18">IF(ISERROR(G37/F37),"-",G37/F37)</f>
        <v>1</v>
      </c>
      <c r="I37" s="339">
        <v>186726</v>
      </c>
      <c r="J37" s="340"/>
      <c r="K37" s="341"/>
      <c r="L37" s="342">
        <f t="shared" ref="L37" si="19">+D37+IF(F37&lt;=G37,G37,F37)+I37+J37+K37</f>
        <v>195000</v>
      </c>
    </row>
    <row r="38" spans="1:12">
      <c r="A38" s="335" t="s">
        <v>490</v>
      </c>
      <c r="B38" s="336" t="s">
        <v>2757</v>
      </c>
      <c r="C38" s="337" t="s">
        <v>1462</v>
      </c>
      <c r="D38" s="338"/>
      <c r="E38" s="339"/>
      <c r="F38" s="340"/>
      <c r="G38" s="340"/>
      <c r="H38" s="1460" t="str">
        <f t="shared" si="16"/>
        <v>-</v>
      </c>
      <c r="I38" s="339">
        <v>438917</v>
      </c>
      <c r="J38" s="340"/>
      <c r="K38" s="341"/>
      <c r="L38" s="342">
        <f t="shared" si="17"/>
        <v>438917</v>
      </c>
    </row>
    <row r="39" spans="1:12" ht="24.75" thickBot="1">
      <c r="A39" s="335" t="s">
        <v>2764</v>
      </c>
      <c r="B39" s="336" t="s">
        <v>1456</v>
      </c>
      <c r="C39" s="337" t="s">
        <v>1462</v>
      </c>
      <c r="D39" s="338"/>
      <c r="E39" s="339"/>
      <c r="F39" s="340"/>
      <c r="G39" s="340"/>
      <c r="H39" s="1460" t="str">
        <f t="shared" si="1"/>
        <v>-</v>
      </c>
      <c r="I39" s="339">
        <v>1232710</v>
      </c>
      <c r="J39" s="340"/>
      <c r="K39" s="341"/>
      <c r="L39" s="342">
        <f t="shared" si="9"/>
        <v>1232710</v>
      </c>
    </row>
    <row r="40" spans="1:12" ht="12.75" thickBot="1">
      <c r="A40" s="303" t="s">
        <v>2765</v>
      </c>
      <c r="B40" s="321" t="s">
        <v>491</v>
      </c>
      <c r="C40" s="322" t="s">
        <v>19</v>
      </c>
      <c r="D40" s="323">
        <f t="shared" ref="D40:L40" si="20">SUM(D41:D44)</f>
        <v>4000</v>
      </c>
      <c r="E40" s="325">
        <f t="shared" si="20"/>
        <v>10282</v>
      </c>
      <c r="F40" s="326">
        <f t="shared" si="20"/>
        <v>13705</v>
      </c>
      <c r="G40" s="326">
        <f t="shared" si="20"/>
        <v>6280</v>
      </c>
      <c r="H40" s="1459">
        <f t="shared" si="1"/>
        <v>0.45822692448011676</v>
      </c>
      <c r="I40" s="325">
        <f t="shared" si="20"/>
        <v>50631</v>
      </c>
      <c r="J40" s="326">
        <f t="shared" si="20"/>
        <v>21807</v>
      </c>
      <c r="K40" s="324">
        <f t="shared" si="20"/>
        <v>55333</v>
      </c>
      <c r="L40" s="350">
        <f t="shared" si="20"/>
        <v>145476</v>
      </c>
    </row>
    <row r="41" spans="1:12">
      <c r="A41" s="346" t="s">
        <v>2766</v>
      </c>
      <c r="B41" s="754" t="s">
        <v>1160</v>
      </c>
      <c r="C41" s="347" t="s">
        <v>1161</v>
      </c>
      <c r="D41" s="817"/>
      <c r="E41" s="344">
        <v>5282</v>
      </c>
      <c r="F41" s="345">
        <f>4425+400</f>
        <v>4825</v>
      </c>
      <c r="G41" s="345">
        <v>400</v>
      </c>
      <c r="H41" s="1460">
        <f t="shared" si="1"/>
        <v>8.2901554404145081E-2</v>
      </c>
      <c r="I41" s="344"/>
      <c r="J41" s="345"/>
      <c r="K41" s="343"/>
      <c r="L41" s="351">
        <f t="shared" ref="L41:L44" si="21">+D41+IF(F41&lt;=G41,G41,F41)+I41+J41+K41</f>
        <v>4825</v>
      </c>
    </row>
    <row r="42" spans="1:12">
      <c r="A42" s="346" t="s">
        <v>2767</v>
      </c>
      <c r="B42" s="754" t="s">
        <v>1244</v>
      </c>
      <c r="C42" s="347" t="s">
        <v>445</v>
      </c>
      <c r="D42" s="1193">
        <f>7000-3000</f>
        <v>4000</v>
      </c>
      <c r="E42" s="344">
        <f>2000+3000</f>
        <v>5000</v>
      </c>
      <c r="F42" s="345">
        <f>2000+3000</f>
        <v>5000</v>
      </c>
      <c r="G42" s="345">
        <v>2000</v>
      </c>
      <c r="H42" s="1460">
        <f>IF(ISERROR(G45/F45),"-",G45/F45)</f>
        <v>0.98548190695923155</v>
      </c>
      <c r="I42" s="344">
        <v>2000</v>
      </c>
      <c r="J42" s="345">
        <v>2000</v>
      </c>
      <c r="K42" s="343">
        <f>37525-2000</f>
        <v>35525</v>
      </c>
      <c r="L42" s="351">
        <f t="shared" si="21"/>
        <v>48525</v>
      </c>
    </row>
    <row r="43" spans="1:12">
      <c r="A43" s="346" t="s">
        <v>2768</v>
      </c>
      <c r="B43" s="754" t="s">
        <v>1489</v>
      </c>
      <c r="C43" s="347" t="s">
        <v>459</v>
      </c>
      <c r="D43" s="1193"/>
      <c r="E43" s="344"/>
      <c r="F43" s="345"/>
      <c r="G43" s="345"/>
      <c r="H43" s="1460" t="str">
        <f>IF(ISERROR(G46/F46),"-",G46/F46)</f>
        <v>-</v>
      </c>
      <c r="I43" s="344">
        <v>35426</v>
      </c>
      <c r="J43" s="345"/>
      <c r="K43" s="343"/>
      <c r="L43" s="351">
        <f t="shared" si="21"/>
        <v>35426</v>
      </c>
    </row>
    <row r="44" spans="1:12" ht="12.75" thickBot="1">
      <c r="A44" s="346" t="s">
        <v>2769</v>
      </c>
      <c r="B44" s="754" t="s">
        <v>1497</v>
      </c>
      <c r="C44" s="347" t="s">
        <v>459</v>
      </c>
      <c r="D44" s="348"/>
      <c r="E44" s="344"/>
      <c r="F44" s="345">
        <v>3880</v>
      </c>
      <c r="G44" s="345">
        <v>3880</v>
      </c>
      <c r="H44" s="1460" t="str">
        <f>IF(ISERROR(G47/F47),"-",G47/F47)</f>
        <v>-</v>
      </c>
      <c r="I44" s="344">
        <v>13205</v>
      </c>
      <c r="J44" s="345">
        <v>19807</v>
      </c>
      <c r="K44" s="343">
        <v>19808</v>
      </c>
      <c r="L44" s="351">
        <f t="shared" si="21"/>
        <v>56700</v>
      </c>
    </row>
    <row r="45" spans="1:12" ht="12.75" thickBot="1">
      <c r="A45" s="1278" t="s">
        <v>2770</v>
      </c>
      <c r="B45" s="1279"/>
      <c r="C45" s="349" t="s">
        <v>19</v>
      </c>
      <c r="D45" s="309">
        <f t="shared" ref="D45:L45" si="22">+D9+D11+D13+D15+D40</f>
        <v>74058</v>
      </c>
      <c r="E45" s="291">
        <f t="shared" si="22"/>
        <v>1755351</v>
      </c>
      <c r="F45" s="290">
        <f t="shared" ref="F45:G45" si="23">+F9+F11+F13+F15+F40</f>
        <v>998616</v>
      </c>
      <c r="G45" s="290">
        <f t="shared" si="23"/>
        <v>984118</v>
      </c>
      <c r="H45" s="1459" t="str">
        <f>IF(ISERROR(G48/F48),"-",G48/F48)</f>
        <v>-</v>
      </c>
      <c r="I45" s="291">
        <f t="shared" si="22"/>
        <v>3607352</v>
      </c>
      <c r="J45" s="290">
        <f t="shared" si="22"/>
        <v>29185</v>
      </c>
      <c r="K45" s="307">
        <f t="shared" si="22"/>
        <v>55333</v>
      </c>
      <c r="L45" s="350">
        <f t="shared" si="22"/>
        <v>4764544</v>
      </c>
    </row>
  </sheetData>
  <mergeCells count="10">
    <mergeCell ref="A45:B45"/>
    <mergeCell ref="A3:L3"/>
    <mergeCell ref="A4:L4"/>
    <mergeCell ref="A6:A7"/>
    <mergeCell ref="B6:B7"/>
    <mergeCell ref="C6:C7"/>
    <mergeCell ref="D6:D7"/>
    <mergeCell ref="L6:L7"/>
    <mergeCell ref="E6:K6"/>
    <mergeCell ref="E8:H8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7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20">
    <tabColor rgb="FF00B0F0"/>
    <pageSetUpPr fitToPage="1"/>
  </sheetPr>
  <dimension ref="A1:M25"/>
  <sheetViews>
    <sheetView zoomScaleNormal="100" workbookViewId="0"/>
  </sheetViews>
  <sheetFormatPr defaultColWidth="15.28515625" defaultRowHeight="12"/>
  <cols>
    <col min="1" max="1" width="5.140625" style="183" customWidth="1"/>
    <col min="2" max="2" width="51.28515625" style="183" bestFit="1" customWidth="1"/>
    <col min="3" max="10" width="16.7109375" style="183" customWidth="1"/>
    <col min="11" max="11" width="15.28515625" style="183"/>
    <col min="12" max="13" width="15.28515625" style="183" hidden="1" customWidth="1"/>
    <col min="14" max="16384" width="15.28515625" style="183"/>
  </cols>
  <sheetData>
    <row r="1" spans="1:10" s="184" customFormat="1" ht="15.75">
      <c r="A1" s="143"/>
      <c r="B1" s="143"/>
      <c r="C1" s="143"/>
      <c r="D1" s="192"/>
      <c r="E1" s="143"/>
      <c r="F1" s="192"/>
      <c r="G1" s="143"/>
      <c r="H1" s="192"/>
      <c r="I1" s="143"/>
      <c r="J1" s="192" t="s">
        <v>493</v>
      </c>
    </row>
    <row r="2" spans="1:10" s="184" customFormat="1" ht="15.75">
      <c r="A2" s="143"/>
      <c r="B2" s="143"/>
      <c r="C2" s="143"/>
      <c r="D2" s="192"/>
      <c r="E2" s="143"/>
      <c r="F2" s="192"/>
      <c r="G2" s="143"/>
      <c r="H2" s="192"/>
      <c r="I2" s="143"/>
      <c r="J2" s="192"/>
    </row>
    <row r="3" spans="1:10" s="185" customFormat="1" ht="15.75">
      <c r="A3" s="1248" t="s">
        <v>1313</v>
      </c>
      <c r="B3" s="1248"/>
      <c r="C3" s="1248"/>
      <c r="D3" s="1248"/>
      <c r="E3" s="1248"/>
      <c r="F3" s="1248"/>
      <c r="G3" s="1248"/>
      <c r="H3" s="1248"/>
      <c r="I3" s="1248"/>
      <c r="J3" s="1248"/>
    </row>
    <row r="4" spans="1:10" s="185" customFormat="1" ht="15.75">
      <c r="A4" s="1291" t="s">
        <v>494</v>
      </c>
      <c r="B4" s="1291"/>
      <c r="C4" s="1291"/>
      <c r="D4" s="1291"/>
      <c r="E4" s="1291"/>
      <c r="F4" s="1291"/>
      <c r="G4" s="1291"/>
      <c r="H4" s="1291"/>
      <c r="I4" s="1291"/>
      <c r="J4" s="1291"/>
    </row>
    <row r="5" spans="1:10" ht="12.75" thickBot="1">
      <c r="A5" s="365"/>
      <c r="B5" s="364"/>
      <c r="C5" s="364"/>
      <c r="D5" s="363"/>
      <c r="E5" s="364"/>
      <c r="F5" s="363"/>
      <c r="G5" s="364"/>
      <c r="H5" s="363"/>
      <c r="I5" s="364"/>
      <c r="J5" s="363" t="s">
        <v>458</v>
      </c>
    </row>
    <row r="6" spans="1:10" ht="48.75" thickBot="1">
      <c r="A6" s="299" t="s">
        <v>17</v>
      </c>
      <c r="B6" s="367" t="s">
        <v>50</v>
      </c>
      <c r="C6" s="1212" t="s">
        <v>1477</v>
      </c>
      <c r="D6" s="1213" t="s">
        <v>1478</v>
      </c>
      <c r="E6" s="1212" t="s">
        <v>1479</v>
      </c>
      <c r="F6" s="1213" t="s">
        <v>1480</v>
      </c>
      <c r="G6" s="1212" t="s">
        <v>1538</v>
      </c>
      <c r="H6" s="1213" t="s">
        <v>1539</v>
      </c>
      <c r="I6" s="1461" t="s">
        <v>1527</v>
      </c>
      <c r="J6" s="1462" t="s">
        <v>1527</v>
      </c>
    </row>
    <row r="7" spans="1:10" ht="12.75" thickBot="1">
      <c r="A7" s="299">
        <v>1</v>
      </c>
      <c r="B7" s="367">
        <v>2</v>
      </c>
      <c r="C7" s="367">
        <v>3</v>
      </c>
      <c r="D7" s="366">
        <v>4</v>
      </c>
      <c r="E7" s="1212">
        <v>5</v>
      </c>
      <c r="F7" s="366">
        <v>6</v>
      </c>
      <c r="G7" s="367">
        <v>7</v>
      </c>
      <c r="H7" s="366">
        <v>8</v>
      </c>
      <c r="I7" s="1212">
        <v>9</v>
      </c>
      <c r="J7" s="1213">
        <v>10</v>
      </c>
    </row>
    <row r="8" spans="1:10">
      <c r="A8" s="362" t="s">
        <v>4</v>
      </c>
      <c r="B8" s="361" t="s">
        <v>495</v>
      </c>
      <c r="C8" s="354"/>
      <c r="D8" s="333"/>
      <c r="E8" s="354"/>
      <c r="F8" s="333"/>
      <c r="G8" s="354"/>
      <c r="H8" s="333"/>
      <c r="I8" s="1463" t="str">
        <f>IF(ISERROR(G8/E8),"-",G8/E8)</f>
        <v>-</v>
      </c>
      <c r="J8" s="1464" t="str">
        <f t="shared" ref="J8:J25" si="0">IF(ISERROR(H8/F8),"-",H8/F8)</f>
        <v>-</v>
      </c>
    </row>
    <row r="9" spans="1:10">
      <c r="A9" s="360" t="s">
        <v>5</v>
      </c>
      <c r="B9" s="359" t="s">
        <v>496</v>
      </c>
      <c r="C9" s="353"/>
      <c r="D9" s="316"/>
      <c r="E9" s="353"/>
      <c r="F9" s="316"/>
      <c r="G9" s="353"/>
      <c r="H9" s="316"/>
      <c r="I9" s="1465" t="str">
        <f t="shared" ref="I9:I25" si="1">IF(ISERROR(G9/E9),"-",G9/E9)</f>
        <v>-</v>
      </c>
      <c r="J9" s="1466" t="str">
        <f t="shared" si="0"/>
        <v>-</v>
      </c>
    </row>
    <row r="10" spans="1:10">
      <c r="A10" s="360" t="s">
        <v>6</v>
      </c>
      <c r="B10" s="359" t="s">
        <v>497</v>
      </c>
      <c r="C10" s="353"/>
      <c r="D10" s="316"/>
      <c r="E10" s="353"/>
      <c r="F10" s="316"/>
      <c r="G10" s="353"/>
      <c r="H10" s="316"/>
      <c r="I10" s="1465" t="str">
        <f t="shared" si="1"/>
        <v>-</v>
      </c>
      <c r="J10" s="1466" t="str">
        <f t="shared" si="0"/>
        <v>-</v>
      </c>
    </row>
    <row r="11" spans="1:10">
      <c r="A11" s="360" t="s">
        <v>3</v>
      </c>
      <c r="B11" s="359" t="s">
        <v>498</v>
      </c>
      <c r="C11" s="353"/>
      <c r="D11" s="316"/>
      <c r="E11" s="353"/>
      <c r="F11" s="316"/>
      <c r="G11" s="353"/>
      <c r="H11" s="316"/>
      <c r="I11" s="1465" t="str">
        <f t="shared" si="1"/>
        <v>-</v>
      </c>
      <c r="J11" s="1466" t="str">
        <f t="shared" si="0"/>
        <v>-</v>
      </c>
    </row>
    <row r="12" spans="1:10">
      <c r="A12" s="360" t="s">
        <v>16</v>
      </c>
      <c r="B12" s="359" t="s">
        <v>499</v>
      </c>
      <c r="C12" s="353">
        <f t="shared" ref="C12:J12" si="2">+C13+C14+C15+C16+C17+C18+C19</f>
        <v>294050</v>
      </c>
      <c r="D12" s="738">
        <f t="shared" si="2"/>
        <v>5400</v>
      </c>
      <c r="E12" s="353">
        <f t="shared" si="2"/>
        <v>447277</v>
      </c>
      <c r="F12" s="738">
        <f t="shared" si="2"/>
        <v>5279</v>
      </c>
      <c r="G12" s="353">
        <f t="shared" si="2"/>
        <v>329021</v>
      </c>
      <c r="H12" s="738">
        <f t="shared" si="2"/>
        <v>5279</v>
      </c>
      <c r="I12" s="1465">
        <f t="shared" si="1"/>
        <v>0.73560902975113851</v>
      </c>
      <c r="J12" s="1467">
        <f t="shared" si="0"/>
        <v>1</v>
      </c>
    </row>
    <row r="13" spans="1:10">
      <c r="A13" s="360" t="s">
        <v>227</v>
      </c>
      <c r="B13" s="358" t="s">
        <v>500</v>
      </c>
      <c r="C13" s="352">
        <v>31000</v>
      </c>
      <c r="D13" s="917"/>
      <c r="E13" s="352">
        <v>34001</v>
      </c>
      <c r="F13" s="917"/>
      <c r="G13" s="352">
        <v>32515</v>
      </c>
      <c r="H13" s="917"/>
      <c r="I13" s="1465">
        <f t="shared" si="1"/>
        <v>0.95629540307638006</v>
      </c>
      <c r="J13" s="1466" t="str">
        <f t="shared" si="0"/>
        <v>-</v>
      </c>
    </row>
    <row r="14" spans="1:10">
      <c r="A14" s="360" t="s">
        <v>228</v>
      </c>
      <c r="B14" s="358" t="s">
        <v>501</v>
      </c>
      <c r="C14" s="352">
        <v>7000</v>
      </c>
      <c r="D14" s="917"/>
      <c r="E14" s="352">
        <v>7271</v>
      </c>
      <c r="F14" s="917"/>
      <c r="G14" s="352">
        <v>7271</v>
      </c>
      <c r="H14" s="917"/>
      <c r="I14" s="1465">
        <f t="shared" si="1"/>
        <v>1</v>
      </c>
      <c r="J14" s="1466" t="str">
        <f t="shared" si="0"/>
        <v>-</v>
      </c>
    </row>
    <row r="15" spans="1:10">
      <c r="A15" s="360" t="s">
        <v>229</v>
      </c>
      <c r="B15" s="358" t="s">
        <v>502</v>
      </c>
      <c r="C15" s="352"/>
      <c r="D15" s="917"/>
      <c r="E15" s="352"/>
      <c r="F15" s="917"/>
      <c r="G15" s="352"/>
      <c r="H15" s="917"/>
      <c r="I15" s="1465" t="str">
        <f t="shared" si="1"/>
        <v>-</v>
      </c>
      <c r="J15" s="1466" t="str">
        <f t="shared" si="0"/>
        <v>-</v>
      </c>
    </row>
    <row r="16" spans="1:10">
      <c r="A16" s="360" t="s">
        <v>257</v>
      </c>
      <c r="B16" s="358" t="s">
        <v>503</v>
      </c>
      <c r="C16" s="352">
        <v>23700</v>
      </c>
      <c r="D16" s="917">
        <v>3200</v>
      </c>
      <c r="E16" s="352">
        <v>22037</v>
      </c>
      <c r="F16" s="917">
        <v>2873</v>
      </c>
      <c r="G16" s="352">
        <f>20789+H16</f>
        <v>23662</v>
      </c>
      <c r="H16" s="917">
        <v>2873</v>
      </c>
      <c r="I16" s="1465">
        <f t="shared" si="1"/>
        <v>1.0737396197304534</v>
      </c>
      <c r="J16" s="1466">
        <f t="shared" si="0"/>
        <v>1</v>
      </c>
    </row>
    <row r="17" spans="1:13">
      <c r="A17" s="360" t="s">
        <v>258</v>
      </c>
      <c r="B17" s="358" t="s">
        <v>504</v>
      </c>
      <c r="C17" s="352">
        <v>150</v>
      </c>
      <c r="D17" s="917"/>
      <c r="E17" s="352">
        <v>144</v>
      </c>
      <c r="F17" s="917"/>
      <c r="G17" s="352">
        <v>126</v>
      </c>
      <c r="H17" s="917"/>
      <c r="I17" s="1465">
        <f t="shared" si="1"/>
        <v>0.875</v>
      </c>
      <c r="J17" s="1466" t="str">
        <f t="shared" si="0"/>
        <v>-</v>
      </c>
    </row>
    <row r="18" spans="1:13">
      <c r="A18" s="360" t="s">
        <v>259</v>
      </c>
      <c r="B18" s="358" t="s">
        <v>505</v>
      </c>
      <c r="C18" s="352"/>
      <c r="D18" s="917"/>
      <c r="E18" s="352"/>
      <c r="F18" s="917"/>
      <c r="G18" s="352"/>
      <c r="H18" s="917"/>
      <c r="I18" s="1465" t="str">
        <f t="shared" si="1"/>
        <v>-</v>
      </c>
      <c r="J18" s="1466" t="str">
        <f t="shared" si="0"/>
        <v>-</v>
      </c>
    </row>
    <row r="19" spans="1:13">
      <c r="A19" s="360" t="s">
        <v>260</v>
      </c>
      <c r="B19" s="358" t="s">
        <v>506</v>
      </c>
      <c r="C19" s="352">
        <v>232200</v>
      </c>
      <c r="D19" s="917">
        <v>2200</v>
      </c>
      <c r="E19" s="352">
        <v>383824</v>
      </c>
      <c r="F19" s="917">
        <v>2406</v>
      </c>
      <c r="G19" s="352">
        <f>263041+H19</f>
        <v>265447</v>
      </c>
      <c r="H19" s="917">
        <v>2406</v>
      </c>
      <c r="I19" s="1465">
        <f t="shared" si="1"/>
        <v>0.69158520571928805</v>
      </c>
      <c r="J19" s="1466">
        <f t="shared" si="0"/>
        <v>1</v>
      </c>
    </row>
    <row r="20" spans="1:13">
      <c r="A20" s="360" t="s">
        <v>15</v>
      </c>
      <c r="B20" s="359" t="s">
        <v>507</v>
      </c>
      <c r="C20" s="353"/>
      <c r="D20" s="316"/>
      <c r="E20" s="353"/>
      <c r="F20" s="316"/>
      <c r="G20" s="353"/>
      <c r="H20" s="316"/>
      <c r="I20" s="1465" t="str">
        <f t="shared" si="1"/>
        <v>-</v>
      </c>
      <c r="J20" s="1466" t="str">
        <f t="shared" si="0"/>
        <v>-</v>
      </c>
    </row>
    <row r="21" spans="1:13">
      <c r="A21" s="360" t="s">
        <v>14</v>
      </c>
      <c r="B21" s="359" t="s">
        <v>508</v>
      </c>
      <c r="C21" s="353"/>
      <c r="D21" s="316"/>
      <c r="E21" s="353"/>
      <c r="F21" s="316"/>
      <c r="G21" s="353"/>
      <c r="H21" s="316"/>
      <c r="I21" s="1465" t="str">
        <f t="shared" si="1"/>
        <v>-</v>
      </c>
      <c r="J21" s="1466" t="str">
        <f t="shared" si="0"/>
        <v>-</v>
      </c>
    </row>
    <row r="22" spans="1:13">
      <c r="A22" s="360" t="s">
        <v>13</v>
      </c>
      <c r="B22" s="359" t="s">
        <v>509</v>
      </c>
      <c r="C22" s="353"/>
      <c r="D22" s="316"/>
      <c r="E22" s="353"/>
      <c r="F22" s="316"/>
      <c r="G22" s="353"/>
      <c r="H22" s="316"/>
      <c r="I22" s="1465" t="str">
        <f t="shared" si="1"/>
        <v>-</v>
      </c>
      <c r="J22" s="1466" t="str">
        <f t="shared" si="0"/>
        <v>-</v>
      </c>
    </row>
    <row r="23" spans="1:13">
      <c r="A23" s="360" t="s">
        <v>12</v>
      </c>
      <c r="B23" s="359" t="s">
        <v>510</v>
      </c>
      <c r="C23" s="353"/>
      <c r="D23" s="316"/>
      <c r="E23" s="353"/>
      <c r="F23" s="316"/>
      <c r="G23" s="353"/>
      <c r="H23" s="316"/>
      <c r="I23" s="1465" t="str">
        <f t="shared" si="1"/>
        <v>-</v>
      </c>
      <c r="J23" s="1466" t="str">
        <f t="shared" si="0"/>
        <v>-</v>
      </c>
    </row>
    <row r="24" spans="1:13" ht="12.75" thickBot="1">
      <c r="A24" s="739" t="s">
        <v>11</v>
      </c>
      <c r="B24" s="740" t="s">
        <v>511</v>
      </c>
      <c r="C24" s="741"/>
      <c r="D24" s="742"/>
      <c r="E24" s="741"/>
      <c r="F24" s="742"/>
      <c r="G24" s="741"/>
      <c r="H24" s="742"/>
      <c r="I24" s="1468" t="str">
        <f t="shared" si="1"/>
        <v>-</v>
      </c>
      <c r="J24" s="1469" t="str">
        <f t="shared" si="0"/>
        <v>-</v>
      </c>
    </row>
    <row r="25" spans="1:13" ht="12.75" thickBot="1">
      <c r="A25" s="356" t="s">
        <v>10</v>
      </c>
      <c r="B25" s="368" t="s">
        <v>441</v>
      </c>
      <c r="C25" s="368">
        <f t="shared" ref="C25:H25" si="3">+C8+C9+C10+C11+C12+C20+C21+C22+C23+C24</f>
        <v>294050</v>
      </c>
      <c r="D25" s="355">
        <f t="shared" si="3"/>
        <v>5400</v>
      </c>
      <c r="E25" s="368">
        <f t="shared" si="3"/>
        <v>447277</v>
      </c>
      <c r="F25" s="355">
        <f t="shared" si="3"/>
        <v>5279</v>
      </c>
      <c r="G25" s="368">
        <f t="shared" si="3"/>
        <v>329021</v>
      </c>
      <c r="H25" s="355">
        <f t="shared" si="3"/>
        <v>5279</v>
      </c>
      <c r="I25" s="1461">
        <f t="shared" si="1"/>
        <v>0.73560902975113851</v>
      </c>
      <c r="J25" s="1462">
        <f t="shared" si="0"/>
        <v>1</v>
      </c>
      <c r="L25" s="624">
        <f>32515+20789+7271+263041+126</f>
        <v>323742</v>
      </c>
      <c r="M25" s="624">
        <f>+G25-H25-L25</f>
        <v>0</v>
      </c>
    </row>
  </sheetData>
  <mergeCells count="2">
    <mergeCell ref="A3:J3"/>
    <mergeCell ref="A4:J4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5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 codeName="Munka21">
    <tabColor rgb="FF00B0F0"/>
    <pageSetUpPr fitToPage="1"/>
  </sheetPr>
  <dimension ref="A1:AG39"/>
  <sheetViews>
    <sheetView zoomScaleNormal="100" workbookViewId="0"/>
  </sheetViews>
  <sheetFormatPr defaultRowHeight="12"/>
  <cols>
    <col min="1" max="1" width="4.85546875" style="183" customWidth="1"/>
    <col min="2" max="2" width="44" style="183" bestFit="1" customWidth="1"/>
    <col min="3" max="5" width="10.28515625" style="183" customWidth="1"/>
    <col min="6" max="6" width="10.28515625" style="1445" customWidth="1"/>
    <col min="7" max="20" width="10.28515625" style="183" customWidth="1"/>
    <col min="21" max="33" width="9.140625" style="183" hidden="1" customWidth="1"/>
    <col min="34" max="34" width="0" style="183" hidden="1" customWidth="1"/>
    <col min="35" max="16384" width="9.140625" style="183"/>
  </cols>
  <sheetData>
    <row r="1" spans="1:32" s="184" customFormat="1" ht="15.75">
      <c r="A1" s="143"/>
      <c r="B1" s="143"/>
      <c r="C1" s="143"/>
      <c r="D1" s="143"/>
      <c r="E1" s="143"/>
      <c r="F1" s="1444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92" t="s">
        <v>900</v>
      </c>
      <c r="T1" s="192"/>
      <c r="Y1" s="788"/>
      <c r="Z1" s="788"/>
      <c r="AA1" s="788"/>
      <c r="AB1" s="788"/>
      <c r="AC1" s="788"/>
      <c r="AD1" s="788"/>
      <c r="AE1" s="788"/>
      <c r="AF1" s="788"/>
    </row>
    <row r="2" spans="1:32" s="184" customFormat="1" ht="16.5" thickBot="1">
      <c r="A2" s="143"/>
      <c r="B2" s="143"/>
      <c r="C2" s="143"/>
      <c r="D2" s="143"/>
      <c r="E2" s="143"/>
      <c r="F2" s="1444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92"/>
      <c r="T2" s="192"/>
      <c r="Y2" s="788"/>
      <c r="Z2" s="788">
        <v>3</v>
      </c>
      <c r="AA2" s="788">
        <v>5</v>
      </c>
      <c r="AB2" s="788">
        <v>7</v>
      </c>
      <c r="AC2" s="788">
        <v>9</v>
      </c>
      <c r="AD2" s="788">
        <v>12</v>
      </c>
      <c r="AE2" s="788"/>
      <c r="AF2" s="788"/>
    </row>
    <row r="3" spans="1:32" s="185" customFormat="1" ht="16.5" thickBot="1">
      <c r="A3" s="1292" t="s">
        <v>1314</v>
      </c>
      <c r="B3" s="1292"/>
      <c r="C3" s="1292"/>
      <c r="D3" s="1292"/>
      <c r="E3" s="1292"/>
      <c r="F3" s="1292"/>
      <c r="G3" s="1292"/>
      <c r="H3" s="1292"/>
      <c r="I3" s="1292"/>
      <c r="J3" s="1292"/>
      <c r="K3" s="1292"/>
      <c r="L3" s="1292"/>
      <c r="M3" s="1292"/>
      <c r="N3" s="1292"/>
      <c r="O3" s="1292"/>
      <c r="P3" s="1292"/>
      <c r="Q3" s="1292"/>
      <c r="R3" s="1292"/>
      <c r="S3" s="1292"/>
      <c r="T3" s="952"/>
      <c r="Y3" s="789" t="s">
        <v>1028</v>
      </c>
      <c r="Z3" s="790" t="s">
        <v>515</v>
      </c>
      <c r="AA3" s="791" t="s">
        <v>517</v>
      </c>
      <c r="AB3" s="791" t="s">
        <v>519</v>
      </c>
      <c r="AC3" s="791" t="s">
        <v>521</v>
      </c>
      <c r="AD3" s="792" t="s">
        <v>1029</v>
      </c>
      <c r="AE3" s="793" t="s">
        <v>18</v>
      </c>
      <c r="AF3" s="788"/>
    </row>
    <row r="4" spans="1:32" ht="12.75" thickBot="1">
      <c r="A4" s="145"/>
      <c r="B4" s="145"/>
      <c r="C4" s="145"/>
      <c r="D4" s="145"/>
      <c r="E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398" t="s">
        <v>49</v>
      </c>
      <c r="T4" s="398"/>
      <c r="Y4" s="795" t="s">
        <v>1030</v>
      </c>
      <c r="Z4" s="796">
        <v>100000</v>
      </c>
      <c r="AA4" s="797">
        <v>10000</v>
      </c>
      <c r="AB4" s="797">
        <v>0</v>
      </c>
      <c r="AC4" s="797">
        <v>100000</v>
      </c>
      <c r="AD4" s="798">
        <v>20000</v>
      </c>
      <c r="AE4" s="813">
        <f t="shared" ref="AE4:AE11" si="0">SUM(Z4:AD4)</f>
        <v>230000</v>
      </c>
      <c r="AF4" s="788">
        <v>230000</v>
      </c>
    </row>
    <row r="5" spans="1:32" ht="36.75" thickBot="1">
      <c r="A5" s="377" t="s">
        <v>17</v>
      </c>
      <c r="B5" s="378" t="s">
        <v>7</v>
      </c>
      <c r="C5" s="1057" t="s">
        <v>1474</v>
      </c>
      <c r="D5" s="6" t="s">
        <v>1475</v>
      </c>
      <c r="E5" s="6" t="s">
        <v>1529</v>
      </c>
      <c r="F5" s="1398" t="s">
        <v>1527</v>
      </c>
      <c r="G5" s="384" t="s">
        <v>513</v>
      </c>
      <c r="H5" s="376" t="s">
        <v>514</v>
      </c>
      <c r="I5" s="376" t="s">
        <v>515</v>
      </c>
      <c r="J5" s="376" t="s">
        <v>516</v>
      </c>
      <c r="K5" s="376" t="s">
        <v>517</v>
      </c>
      <c r="L5" s="376" t="s">
        <v>518</v>
      </c>
      <c r="M5" s="376" t="s">
        <v>519</v>
      </c>
      <c r="N5" s="376" t="s">
        <v>520</v>
      </c>
      <c r="O5" s="376" t="s">
        <v>521</v>
      </c>
      <c r="P5" s="376" t="s">
        <v>522</v>
      </c>
      <c r="Q5" s="376" t="s">
        <v>523</v>
      </c>
      <c r="R5" s="376" t="s">
        <v>524</v>
      </c>
      <c r="S5" s="379" t="s">
        <v>441</v>
      </c>
      <c r="T5" s="785"/>
      <c r="Y5" s="800" t="s">
        <v>1031</v>
      </c>
      <c r="Z5" s="801">
        <f>8000+4000</f>
        <v>12000</v>
      </c>
      <c r="AA5" s="802">
        <f>2000+1000</f>
        <v>3000</v>
      </c>
      <c r="AB5" s="802">
        <v>0</v>
      </c>
      <c r="AC5" s="802">
        <f>2000+1000</f>
        <v>3000</v>
      </c>
      <c r="AD5" s="803">
        <v>2500</v>
      </c>
      <c r="AE5" s="814">
        <f t="shared" si="0"/>
        <v>20500</v>
      </c>
      <c r="AF5" s="794">
        <v>20500</v>
      </c>
    </row>
    <row r="6" spans="1:32" ht="12.75" thickBot="1">
      <c r="A6" s="375"/>
      <c r="B6" s="1293" t="s">
        <v>525</v>
      </c>
      <c r="C6" s="1294"/>
      <c r="D6" s="1295"/>
      <c r="E6" s="1295"/>
      <c r="F6" s="1295"/>
      <c r="G6" s="1295"/>
      <c r="H6" s="1295"/>
      <c r="I6" s="1295"/>
      <c r="J6" s="1295"/>
      <c r="K6" s="1295"/>
      <c r="L6" s="1295"/>
      <c r="M6" s="1295"/>
      <c r="N6" s="1295"/>
      <c r="O6" s="1295"/>
      <c r="P6" s="1295"/>
      <c r="Q6" s="1295"/>
      <c r="R6" s="1295"/>
      <c r="S6" s="1296"/>
      <c r="T6" s="953"/>
      <c r="U6" s="624"/>
      <c r="Y6" s="800" t="s">
        <v>1032</v>
      </c>
      <c r="Z6" s="801">
        <v>11500</v>
      </c>
      <c r="AA6" s="802">
        <v>4000</v>
      </c>
      <c r="AB6" s="802">
        <v>0</v>
      </c>
      <c r="AC6" s="802">
        <v>11500</v>
      </c>
      <c r="AD6" s="803">
        <v>4000</v>
      </c>
      <c r="AE6" s="814">
        <f t="shared" si="0"/>
        <v>31000</v>
      </c>
      <c r="AF6" s="799">
        <v>31000</v>
      </c>
    </row>
    <row r="7" spans="1:32">
      <c r="A7" s="374" t="s">
        <v>4</v>
      </c>
      <c r="B7" s="373" t="s">
        <v>530</v>
      </c>
      <c r="C7" s="1123">
        <f>+'1.mell._Össz_Mérleg2018'!C11</f>
        <v>907219</v>
      </c>
      <c r="D7" s="1124">
        <f>+'1.mell._Össz_Mérleg2018'!D11</f>
        <v>1592229</v>
      </c>
      <c r="E7" s="1124">
        <f>+'1.mell._Össz_Mérleg2018'!E11</f>
        <v>1592229</v>
      </c>
      <c r="F7" s="1470">
        <f t="shared" ref="F7:F16" si="1">IF(ISERROR(E7/D7),"-",E7/D7)</f>
        <v>1</v>
      </c>
      <c r="G7" s="960">
        <v>149170</v>
      </c>
      <c r="H7" s="961">
        <v>116305</v>
      </c>
      <c r="I7" s="961">
        <v>296829</v>
      </c>
      <c r="J7" s="961">
        <v>64784</v>
      </c>
      <c r="K7" s="961">
        <v>65900</v>
      </c>
      <c r="L7" s="961">
        <v>192869</v>
      </c>
      <c r="M7" s="961">
        <v>124608</v>
      </c>
      <c r="N7" s="961">
        <v>79795</v>
      </c>
      <c r="O7" s="961">
        <v>80492</v>
      </c>
      <c r="P7" s="961">
        <v>76166</v>
      </c>
      <c r="Q7" s="961">
        <v>110260</v>
      </c>
      <c r="R7" s="962">
        <f>235053-2</f>
        <v>235051</v>
      </c>
      <c r="S7" s="372">
        <f>SUM(G7:R7)</f>
        <v>1592229</v>
      </c>
      <c r="T7" s="786"/>
      <c r="U7" s="624">
        <f>+E7-S7</f>
        <v>0</v>
      </c>
      <c r="V7" s="183">
        <f t="shared" ref="V7:V15" si="2">+C7/12</f>
        <v>75601.583333333328</v>
      </c>
      <c r="W7" s="183">
        <f>+U7/12</f>
        <v>0</v>
      </c>
      <c r="Y7" s="800" t="s">
        <v>1033</v>
      </c>
      <c r="Z7" s="805">
        <v>9500</v>
      </c>
      <c r="AA7" s="806">
        <v>3000</v>
      </c>
      <c r="AB7" s="806">
        <v>0</v>
      </c>
      <c r="AC7" s="806">
        <v>9500</v>
      </c>
      <c r="AD7" s="807">
        <v>3000</v>
      </c>
      <c r="AE7" s="815">
        <f t="shared" si="0"/>
        <v>25000</v>
      </c>
      <c r="AF7" s="804">
        <v>25000</v>
      </c>
    </row>
    <row r="8" spans="1:32">
      <c r="A8" s="371" t="s">
        <v>5</v>
      </c>
      <c r="B8" s="370" t="s">
        <v>526</v>
      </c>
      <c r="C8" s="1125">
        <f>+'1.mell._Össz_Mérleg2018'!C25</f>
        <v>328710</v>
      </c>
      <c r="D8" s="1126">
        <f>+'1.mell._Össz_Mérleg2018'!D25</f>
        <v>488335</v>
      </c>
      <c r="E8" s="1126">
        <f>+'1.mell._Össz_Mérleg2018'!E25</f>
        <v>356668</v>
      </c>
      <c r="F8" s="1471">
        <f t="shared" si="1"/>
        <v>0.73037566424687972</v>
      </c>
      <c r="G8" s="963">
        <v>7316</v>
      </c>
      <c r="H8" s="964">
        <v>3293</v>
      </c>
      <c r="I8" s="964">
        <v>137771</v>
      </c>
      <c r="J8" s="964">
        <v>7915</v>
      </c>
      <c r="K8" s="964">
        <v>23930</v>
      </c>
      <c r="L8" s="964">
        <v>12954</v>
      </c>
      <c r="M8" s="964">
        <v>6714</v>
      </c>
      <c r="N8" s="964">
        <v>4820</v>
      </c>
      <c r="O8" s="964">
        <v>143269</v>
      </c>
      <c r="P8" s="964">
        <v>18102</v>
      </c>
      <c r="Q8" s="964">
        <v>10289</v>
      </c>
      <c r="R8" s="964">
        <f>-19706+1</f>
        <v>-19705</v>
      </c>
      <c r="S8" s="369">
        <f t="shared" ref="S8:S15" si="3">SUM(G8:R8)</f>
        <v>356668</v>
      </c>
      <c r="T8" s="786"/>
      <c r="U8" s="624">
        <f t="shared" ref="U8:U30" si="4">+E8-S8</f>
        <v>0</v>
      </c>
      <c r="V8" s="183">
        <f t="shared" si="2"/>
        <v>27392.5</v>
      </c>
      <c r="W8" s="183">
        <f>+U8/12</f>
        <v>0</v>
      </c>
      <c r="Y8" s="800" t="s">
        <v>1034</v>
      </c>
      <c r="Z8" s="801">
        <v>0</v>
      </c>
      <c r="AA8" s="802">
        <v>0</v>
      </c>
      <c r="AB8" s="802">
        <v>75</v>
      </c>
      <c r="AC8" s="802">
        <v>75</v>
      </c>
      <c r="AD8" s="803">
        <v>0</v>
      </c>
      <c r="AE8" s="814">
        <f t="shared" si="0"/>
        <v>150</v>
      </c>
      <c r="AF8" s="804">
        <v>150</v>
      </c>
    </row>
    <row r="9" spans="1:32">
      <c r="A9" s="371" t="s">
        <v>6</v>
      </c>
      <c r="B9" s="370" t="s">
        <v>531</v>
      </c>
      <c r="C9" s="1125">
        <f>+'1.mell._Össz_Mérleg2018'!C32</f>
        <v>140709</v>
      </c>
      <c r="D9" s="1126">
        <f>+'1.mell._Össz_Mérleg2018'!D32</f>
        <v>137160</v>
      </c>
      <c r="E9" s="1126">
        <f>+'1.mell._Össz_Mérleg2018'!E32</f>
        <v>124554</v>
      </c>
      <c r="F9" s="1471">
        <f t="shared" si="1"/>
        <v>0.908092738407699</v>
      </c>
      <c r="G9" s="963">
        <v>3785</v>
      </c>
      <c r="H9" s="964">
        <v>4226</v>
      </c>
      <c r="I9" s="964">
        <v>15153</v>
      </c>
      <c r="J9" s="964">
        <v>3868</v>
      </c>
      <c r="K9" s="964">
        <v>7309</v>
      </c>
      <c r="L9" s="964">
        <v>11055</v>
      </c>
      <c r="M9" s="964">
        <v>9678</v>
      </c>
      <c r="N9" s="964">
        <v>8703</v>
      </c>
      <c r="O9" s="964">
        <v>9662</v>
      </c>
      <c r="P9" s="964">
        <v>7090</v>
      </c>
      <c r="Q9" s="964">
        <v>5638</v>
      </c>
      <c r="R9" s="964">
        <v>38387</v>
      </c>
      <c r="S9" s="369">
        <f t="shared" si="3"/>
        <v>124554</v>
      </c>
      <c r="T9" s="786"/>
      <c r="U9" s="624">
        <f t="shared" si="4"/>
        <v>0</v>
      </c>
      <c r="V9" s="183">
        <f t="shared" si="2"/>
        <v>11725.75</v>
      </c>
      <c r="W9" s="183">
        <f>+U9/12</f>
        <v>0</v>
      </c>
      <c r="Y9" s="800" t="s">
        <v>1208</v>
      </c>
      <c r="Z9" s="805">
        <v>3500</v>
      </c>
      <c r="AA9" s="806"/>
      <c r="AB9" s="806"/>
      <c r="AC9" s="806">
        <v>3500</v>
      </c>
      <c r="AD9" s="807"/>
      <c r="AE9" s="815">
        <f>SUM(Z9:AD9)</f>
        <v>7000</v>
      </c>
      <c r="AF9" s="804">
        <v>7000</v>
      </c>
    </row>
    <row r="10" spans="1:32">
      <c r="A10" s="371" t="s">
        <v>3</v>
      </c>
      <c r="B10" s="370" t="s">
        <v>532</v>
      </c>
      <c r="C10" s="1127">
        <f>+'1.mell._Össz_Mérleg2018'!C44</f>
        <v>2000</v>
      </c>
      <c r="D10" s="1128">
        <f>+'1.mell._Össz_Mérleg2018'!D44</f>
        <v>40394</v>
      </c>
      <c r="E10" s="1128">
        <f>+'1.mell._Össz_Mérleg2018'!E44</f>
        <v>3492</v>
      </c>
      <c r="F10" s="1472">
        <f t="shared" si="1"/>
        <v>8.6448482447888303E-2</v>
      </c>
      <c r="G10" s="963">
        <v>5</v>
      </c>
      <c r="H10" s="964"/>
      <c r="I10" s="964"/>
      <c r="J10" s="964"/>
      <c r="K10" s="964"/>
      <c r="L10" s="964"/>
      <c r="M10" s="964"/>
      <c r="N10" s="964"/>
      <c r="O10" s="964">
        <v>13</v>
      </c>
      <c r="P10" s="964"/>
      <c r="Q10" s="964">
        <v>100</v>
      </c>
      <c r="R10" s="965">
        <f>3375-1</f>
        <v>3374</v>
      </c>
      <c r="S10" s="369">
        <f t="shared" si="3"/>
        <v>3492</v>
      </c>
      <c r="T10" s="786"/>
      <c r="U10" s="624">
        <f t="shared" si="4"/>
        <v>0</v>
      </c>
      <c r="V10" s="183">
        <f t="shared" si="2"/>
        <v>166.66666666666666</v>
      </c>
      <c r="Y10" s="800" t="s">
        <v>1035</v>
      </c>
      <c r="Z10" s="805">
        <v>1000</v>
      </c>
      <c r="AA10" s="806">
        <v>500</v>
      </c>
      <c r="AB10" s="806">
        <v>0</v>
      </c>
      <c r="AC10" s="806">
        <v>1000</v>
      </c>
      <c r="AD10" s="807">
        <v>500</v>
      </c>
      <c r="AE10" s="815">
        <f t="shared" si="0"/>
        <v>3000</v>
      </c>
      <c r="AF10" s="804">
        <v>3000</v>
      </c>
    </row>
    <row r="11" spans="1:32" ht="12.75" thickBot="1">
      <c r="A11" s="371" t="s">
        <v>16</v>
      </c>
      <c r="B11" s="370" t="s">
        <v>533</v>
      </c>
      <c r="C11" s="1127">
        <f>+'1.mell._Össz_Mérleg2018'!C51</f>
        <v>71832</v>
      </c>
      <c r="D11" s="1128">
        <f>+'1.mell._Össz_Mérleg2018'!D51</f>
        <v>1331164</v>
      </c>
      <c r="E11" s="1128">
        <f>+'1.mell._Össz_Mérleg2018'!E51</f>
        <v>1331164</v>
      </c>
      <c r="F11" s="1472">
        <f t="shared" si="1"/>
        <v>1</v>
      </c>
      <c r="G11" s="963">
        <v>342083</v>
      </c>
      <c r="H11" s="964">
        <v>20000</v>
      </c>
      <c r="I11" s="964">
        <v>188109</v>
      </c>
      <c r="J11" s="964">
        <v>177089</v>
      </c>
      <c r="K11" s="964"/>
      <c r="L11" s="964">
        <v>16474</v>
      </c>
      <c r="M11" s="964">
        <v>134</v>
      </c>
      <c r="N11" s="964">
        <v>441625</v>
      </c>
      <c r="O11" s="964">
        <v>55037</v>
      </c>
      <c r="P11" s="964">
        <v>11490</v>
      </c>
      <c r="Q11" s="964">
        <v>340</v>
      </c>
      <c r="R11" s="965">
        <v>78783</v>
      </c>
      <c r="S11" s="369">
        <f t="shared" si="3"/>
        <v>1331164</v>
      </c>
      <c r="T11" s="786"/>
      <c r="U11" s="624">
        <f t="shared" si="4"/>
        <v>0</v>
      </c>
      <c r="V11" s="183">
        <f t="shared" si="2"/>
        <v>5986</v>
      </c>
      <c r="Y11" s="808" t="s">
        <v>18</v>
      </c>
      <c r="Z11" s="809">
        <f>SUM(Z4:Z10)</f>
        <v>137500</v>
      </c>
      <c r="AA11" s="810">
        <f>SUM(AA4:AA10)</f>
        <v>20500</v>
      </c>
      <c r="AB11" s="810">
        <f>SUM(AB4:AB10)</f>
        <v>75</v>
      </c>
      <c r="AC11" s="810">
        <f>SUM(AC4:AC10)</f>
        <v>128575</v>
      </c>
      <c r="AD11" s="811">
        <f>SUM(AD4:AD10)</f>
        <v>30000</v>
      </c>
      <c r="AE11" s="812">
        <f t="shared" si="0"/>
        <v>316650</v>
      </c>
      <c r="AF11" s="804"/>
    </row>
    <row r="12" spans="1:32">
      <c r="A12" s="371" t="s">
        <v>15</v>
      </c>
      <c r="B12" s="370" t="s">
        <v>534</v>
      </c>
      <c r="C12" s="1127">
        <f>+'1.mell._Össz_Mérleg2018'!C58</f>
        <v>15350</v>
      </c>
      <c r="D12" s="1128">
        <f>+'1.mell._Össz_Mérleg2018'!D58</f>
        <v>8386</v>
      </c>
      <c r="E12" s="1128">
        <f>+'1.mell._Össz_Mérleg2018'!E58</f>
        <v>6864</v>
      </c>
      <c r="F12" s="1472">
        <f t="shared" si="1"/>
        <v>0.81850703553541615</v>
      </c>
      <c r="G12" s="963">
        <v>59</v>
      </c>
      <c r="H12" s="964">
        <v>59</v>
      </c>
      <c r="I12" s="964">
        <v>3964</v>
      </c>
      <c r="J12" s="964">
        <v>56</v>
      </c>
      <c r="K12" s="964">
        <v>349</v>
      </c>
      <c r="L12" s="964">
        <v>229</v>
      </c>
      <c r="M12" s="964">
        <v>59</v>
      </c>
      <c r="N12" s="964">
        <v>59</v>
      </c>
      <c r="O12" s="964">
        <v>56</v>
      </c>
      <c r="P12" s="964">
        <v>18</v>
      </c>
      <c r="Q12" s="964">
        <v>1892</v>
      </c>
      <c r="R12" s="964">
        <f>59+5</f>
        <v>64</v>
      </c>
      <c r="S12" s="369">
        <f t="shared" si="3"/>
        <v>6864</v>
      </c>
      <c r="T12" s="786"/>
      <c r="U12" s="624">
        <f t="shared" si="4"/>
        <v>0</v>
      </c>
      <c r="V12" s="183">
        <f t="shared" si="2"/>
        <v>1279.1666666666667</v>
      </c>
      <c r="W12" s="183">
        <f>+U12/12</f>
        <v>0</v>
      </c>
      <c r="Y12" s="799"/>
      <c r="Z12" s="799"/>
      <c r="AA12" s="799"/>
      <c r="AB12" s="799"/>
      <c r="AC12" s="799"/>
      <c r="AD12" s="799"/>
      <c r="AE12" s="799"/>
      <c r="AF12" s="804"/>
    </row>
    <row r="13" spans="1:32">
      <c r="A13" s="371" t="s">
        <v>14</v>
      </c>
      <c r="B13" s="370" t="s">
        <v>535</v>
      </c>
      <c r="C13" s="1127">
        <f>+'1.mell._Össz_Mérleg2018'!C64</f>
        <v>1500</v>
      </c>
      <c r="D13" s="1128">
        <f>+'1.mell._Össz_Mérleg2018'!D64</f>
        <v>9930</v>
      </c>
      <c r="E13" s="1128">
        <f>+'1.mell._Össz_Mérleg2018'!E64</f>
        <v>3009</v>
      </c>
      <c r="F13" s="1472">
        <f t="shared" si="1"/>
        <v>0.3030211480362538</v>
      </c>
      <c r="G13" s="963">
        <v>65</v>
      </c>
      <c r="H13" s="964">
        <v>50</v>
      </c>
      <c r="I13" s="964">
        <v>2075</v>
      </c>
      <c r="J13" s="964">
        <v>60</v>
      </c>
      <c r="K13" s="964">
        <v>83</v>
      </c>
      <c r="L13" s="964">
        <v>58</v>
      </c>
      <c r="M13" s="964">
        <v>83</v>
      </c>
      <c r="N13" s="964">
        <v>384</v>
      </c>
      <c r="O13" s="964">
        <v>59</v>
      </c>
      <c r="P13" s="964">
        <v>40</v>
      </c>
      <c r="Q13" s="964">
        <v>34</v>
      </c>
      <c r="R13" s="964">
        <f>20-2</f>
        <v>18</v>
      </c>
      <c r="S13" s="369">
        <f t="shared" si="3"/>
        <v>3009</v>
      </c>
      <c r="T13" s="786"/>
      <c r="U13" s="624">
        <f t="shared" si="4"/>
        <v>0</v>
      </c>
      <c r="V13" s="183">
        <f t="shared" si="2"/>
        <v>125</v>
      </c>
      <c r="W13" s="183">
        <f>+U13/12</f>
        <v>0</v>
      </c>
      <c r="Y13" s="799"/>
      <c r="Z13" s="799"/>
      <c r="AA13" s="799"/>
      <c r="AB13" s="799"/>
      <c r="AC13" s="799"/>
      <c r="AD13" s="799"/>
      <c r="AE13" s="799"/>
      <c r="AF13" s="804"/>
    </row>
    <row r="14" spans="1:32">
      <c r="A14" s="371" t="s">
        <v>13</v>
      </c>
      <c r="B14" s="370" t="s">
        <v>536</v>
      </c>
      <c r="C14" s="1127">
        <f>+'1.mell._Össz_Mérleg2018'!C72</f>
        <v>1832034</v>
      </c>
      <c r="D14" s="1128">
        <f>+'1.mell._Össz_Mérleg2018'!D72</f>
        <v>449560</v>
      </c>
      <c r="E14" s="1128">
        <f>+'1.mell._Össz_Mérleg2018'!E72</f>
        <v>449560</v>
      </c>
      <c r="F14" s="1472">
        <f t="shared" si="1"/>
        <v>1</v>
      </c>
      <c r="G14" s="963">
        <v>422889</v>
      </c>
      <c r="H14" s="964"/>
      <c r="I14" s="964"/>
      <c r="J14" s="964"/>
      <c r="K14" s="964"/>
      <c r="L14" s="964"/>
      <c r="M14" s="964"/>
      <c r="N14" s="964"/>
      <c r="O14" s="964"/>
      <c r="P14" s="964"/>
      <c r="Q14" s="964"/>
      <c r="R14" s="965">
        <v>26671</v>
      </c>
      <c r="S14" s="369">
        <f t="shared" si="3"/>
        <v>449560</v>
      </c>
      <c r="T14" s="786"/>
      <c r="U14" s="624">
        <f t="shared" si="4"/>
        <v>0</v>
      </c>
      <c r="V14" s="183">
        <f t="shared" si="2"/>
        <v>152669.5</v>
      </c>
      <c r="Y14" s="804"/>
      <c r="Z14" s="804"/>
      <c r="AA14" s="804"/>
      <c r="AB14" s="804"/>
      <c r="AC14" s="804"/>
      <c r="AD14" s="804"/>
      <c r="AE14" s="804"/>
      <c r="AF14" s="804"/>
    </row>
    <row r="15" spans="1:32" ht="12.75" thickBot="1">
      <c r="A15" s="371" t="s">
        <v>12</v>
      </c>
      <c r="B15" s="370" t="s">
        <v>537</v>
      </c>
      <c r="C15" s="1127">
        <f>+'1.mell._Össz_Mérleg2018'!C87</f>
        <v>8000</v>
      </c>
      <c r="D15" s="1128">
        <f>+'1.mell._Össz_Mérleg2018'!D87</f>
        <v>1857788</v>
      </c>
      <c r="E15" s="1128">
        <f>+'1.mell._Össz_Mérleg2018'!E87</f>
        <v>1857788</v>
      </c>
      <c r="F15" s="1472">
        <f t="shared" si="1"/>
        <v>1</v>
      </c>
      <c r="G15" s="963">
        <v>1857788</v>
      </c>
      <c r="H15" s="964"/>
      <c r="I15" s="964"/>
      <c r="J15" s="964"/>
      <c r="K15" s="964"/>
      <c r="L15" s="964"/>
      <c r="M15" s="964"/>
      <c r="N15" s="964"/>
      <c r="O15" s="964"/>
      <c r="P15" s="964"/>
      <c r="Q15" s="964"/>
      <c r="R15" s="965"/>
      <c r="S15" s="369">
        <f t="shared" si="3"/>
        <v>1857788</v>
      </c>
      <c r="T15" s="786"/>
      <c r="U15" s="624">
        <f t="shared" si="4"/>
        <v>0</v>
      </c>
      <c r="V15" s="183">
        <f t="shared" si="2"/>
        <v>666.66666666666663</v>
      </c>
      <c r="Y15" s="804"/>
      <c r="Z15" s="804"/>
      <c r="AA15" s="804"/>
      <c r="AB15" s="804"/>
      <c r="AC15" s="804"/>
      <c r="AD15" s="804"/>
      <c r="AE15" s="804"/>
      <c r="AF15" s="804"/>
    </row>
    <row r="16" spans="1:32" ht="12.75" thickBot="1">
      <c r="A16" s="385" t="s">
        <v>11</v>
      </c>
      <c r="B16" s="380" t="s">
        <v>527</v>
      </c>
      <c r="C16" s="387">
        <f>SUM(C7:C15)</f>
        <v>3307354</v>
      </c>
      <c r="D16" s="388">
        <f>SUM(D7:D15)</f>
        <v>5914946</v>
      </c>
      <c r="E16" s="388">
        <f>SUM(E7:E15)</f>
        <v>5725328</v>
      </c>
      <c r="F16" s="1473">
        <f t="shared" si="1"/>
        <v>0.96794256447987859</v>
      </c>
      <c r="G16" s="387">
        <f t="shared" ref="G16:S16" si="5">SUM(G7:G15)</f>
        <v>2783160</v>
      </c>
      <c r="H16" s="388">
        <f t="shared" si="5"/>
        <v>143933</v>
      </c>
      <c r="I16" s="388">
        <f t="shared" si="5"/>
        <v>643901</v>
      </c>
      <c r="J16" s="388">
        <f t="shared" si="5"/>
        <v>253772</v>
      </c>
      <c r="K16" s="388">
        <f t="shared" si="5"/>
        <v>97571</v>
      </c>
      <c r="L16" s="388">
        <f t="shared" si="5"/>
        <v>233639</v>
      </c>
      <c r="M16" s="388">
        <f t="shared" si="5"/>
        <v>141276</v>
      </c>
      <c r="N16" s="388">
        <f t="shared" si="5"/>
        <v>535386</v>
      </c>
      <c r="O16" s="388">
        <f t="shared" si="5"/>
        <v>288588</v>
      </c>
      <c r="P16" s="388">
        <f t="shared" si="5"/>
        <v>112906</v>
      </c>
      <c r="Q16" s="388">
        <f t="shared" si="5"/>
        <v>128553</v>
      </c>
      <c r="R16" s="380">
        <f t="shared" si="5"/>
        <v>362643</v>
      </c>
      <c r="S16" s="389">
        <f t="shared" si="5"/>
        <v>5725328</v>
      </c>
      <c r="T16" s="786"/>
      <c r="U16" s="624">
        <f t="shared" si="4"/>
        <v>0</v>
      </c>
      <c r="Y16" s="804"/>
      <c r="Z16" s="804"/>
      <c r="AA16" s="804"/>
      <c r="AB16" s="804"/>
      <c r="AC16" s="804"/>
      <c r="AD16" s="804"/>
      <c r="AE16" s="804"/>
      <c r="AF16" s="804"/>
    </row>
    <row r="17" spans="1:32" ht="12.75" thickBot="1">
      <c r="A17" s="390"/>
      <c r="B17" s="1293" t="s">
        <v>528</v>
      </c>
      <c r="C17" s="1294"/>
      <c r="D17" s="1297"/>
      <c r="E17" s="1297"/>
      <c r="F17" s="1297"/>
      <c r="G17" s="1297"/>
      <c r="H17" s="1297"/>
      <c r="I17" s="1297"/>
      <c r="J17" s="1297"/>
      <c r="K17" s="1297"/>
      <c r="L17" s="1297"/>
      <c r="M17" s="1297"/>
      <c r="N17" s="1297"/>
      <c r="O17" s="1297"/>
      <c r="P17" s="1297"/>
      <c r="Q17" s="1297"/>
      <c r="R17" s="1297"/>
      <c r="S17" s="1296"/>
      <c r="T17" s="953"/>
      <c r="U17" s="624"/>
      <c r="Y17" s="804"/>
      <c r="Z17" s="804"/>
      <c r="AA17" s="804"/>
      <c r="AB17" s="804"/>
      <c r="AC17" s="804"/>
      <c r="AD17" s="804"/>
      <c r="AE17" s="804"/>
      <c r="AF17" s="804"/>
    </row>
    <row r="18" spans="1:32">
      <c r="A18" s="374" t="s">
        <v>10</v>
      </c>
      <c r="B18" s="373" t="s">
        <v>446</v>
      </c>
      <c r="C18" s="1123">
        <f>+'1.mell._Össz_Mérleg2018'!C110</f>
        <v>613440</v>
      </c>
      <c r="D18" s="1124">
        <f>+'1.mell._Össz_Mérleg2018'!D110</f>
        <v>839058</v>
      </c>
      <c r="E18" s="1124">
        <f>+'1.mell._Össz_Mérleg2018'!E110</f>
        <v>839058</v>
      </c>
      <c r="F18" s="1470">
        <f t="shared" ref="F18:F30" si="6">IF(ISERROR(E18/D18),"-",E18/D18)</f>
        <v>1</v>
      </c>
      <c r="G18" s="960">
        <v>59431</v>
      </c>
      <c r="H18" s="961">
        <v>59336</v>
      </c>
      <c r="I18" s="961">
        <v>61063</v>
      </c>
      <c r="J18" s="961">
        <v>67890</v>
      </c>
      <c r="K18" s="961">
        <v>84524</v>
      </c>
      <c r="L18" s="961">
        <v>76397</v>
      </c>
      <c r="M18" s="961">
        <v>71275</v>
      </c>
      <c r="N18" s="961">
        <v>70885</v>
      </c>
      <c r="O18" s="961">
        <v>70782</v>
      </c>
      <c r="P18" s="961">
        <v>66720</v>
      </c>
      <c r="Q18" s="961">
        <v>69572</v>
      </c>
      <c r="R18" s="961">
        <f>81184-1</f>
        <v>81183</v>
      </c>
      <c r="S18" s="372">
        <f t="shared" ref="S18:S27" si="7">SUM(G18:R18)</f>
        <v>839058</v>
      </c>
      <c r="T18" s="786"/>
      <c r="U18" s="624">
        <f t="shared" si="4"/>
        <v>0</v>
      </c>
      <c r="V18" s="183">
        <f>+C18/12</f>
        <v>51120</v>
      </c>
      <c r="W18" s="183">
        <f>+U18/12</f>
        <v>0</v>
      </c>
      <c r="Z18" s="804"/>
      <c r="AA18" s="804"/>
      <c r="AB18" s="804"/>
      <c r="AC18" s="804"/>
      <c r="AD18" s="804"/>
      <c r="AE18" s="804"/>
    </row>
    <row r="19" spans="1:32">
      <c r="A19" s="371" t="s">
        <v>9</v>
      </c>
      <c r="B19" s="370" t="s">
        <v>447</v>
      </c>
      <c r="C19" s="1127">
        <f>+'1.mell._Össz_Mérleg2018'!C114</f>
        <v>124419</v>
      </c>
      <c r="D19" s="1128">
        <f>+'1.mell._Össz_Mérleg2018'!D114</f>
        <v>154821</v>
      </c>
      <c r="E19" s="1128">
        <f>+'1.mell._Össz_Mérleg2018'!E114</f>
        <v>153994</v>
      </c>
      <c r="F19" s="1472">
        <f t="shared" si="6"/>
        <v>0.99465834738181513</v>
      </c>
      <c r="G19" s="963">
        <v>11634</v>
      </c>
      <c r="H19" s="964">
        <v>11491</v>
      </c>
      <c r="I19" s="964">
        <v>10946</v>
      </c>
      <c r="J19" s="964">
        <v>13951</v>
      </c>
      <c r="K19" s="964">
        <v>14950</v>
      </c>
      <c r="L19" s="964">
        <v>12999</v>
      </c>
      <c r="M19" s="964">
        <v>14744</v>
      </c>
      <c r="N19" s="964">
        <v>12405</v>
      </c>
      <c r="O19" s="964">
        <v>12381</v>
      </c>
      <c r="P19" s="964">
        <v>13676</v>
      </c>
      <c r="Q19" s="964">
        <v>12527</v>
      </c>
      <c r="R19" s="964">
        <f>12289+1</f>
        <v>12290</v>
      </c>
      <c r="S19" s="369">
        <f t="shared" si="7"/>
        <v>153994</v>
      </c>
      <c r="T19" s="786"/>
      <c r="U19" s="624">
        <f t="shared" si="4"/>
        <v>0</v>
      </c>
      <c r="V19" s="183">
        <f t="shared" ref="V19:V27" si="8">+C19/12</f>
        <v>10368.25</v>
      </c>
      <c r="W19" s="183">
        <f>+U19/12</f>
        <v>0</v>
      </c>
    </row>
    <row r="20" spans="1:32">
      <c r="A20" s="371" t="s">
        <v>45</v>
      </c>
      <c r="B20" s="370" t="s">
        <v>448</v>
      </c>
      <c r="C20" s="1127">
        <f>+'1.mell._Össz_Mérleg2018'!C116</f>
        <v>441900</v>
      </c>
      <c r="D20" s="1128">
        <f>+'1.mell._Össz_Mérleg2018'!D116</f>
        <v>744258</v>
      </c>
      <c r="E20" s="1128">
        <f>+'1.mell._Össz_Mérleg2018'!E116</f>
        <v>690773</v>
      </c>
      <c r="F20" s="1472">
        <f t="shared" si="6"/>
        <v>0.92813647955413314</v>
      </c>
      <c r="G20" s="963">
        <v>21538</v>
      </c>
      <c r="H20" s="964">
        <v>17182</v>
      </c>
      <c r="I20" s="964">
        <v>66551</v>
      </c>
      <c r="J20" s="964">
        <v>29041</v>
      </c>
      <c r="K20" s="964">
        <v>31122</v>
      </c>
      <c r="L20" s="964">
        <v>106615</v>
      </c>
      <c r="M20" s="964">
        <v>40864</v>
      </c>
      <c r="N20" s="964">
        <v>58178</v>
      </c>
      <c r="O20" s="964">
        <v>40798</v>
      </c>
      <c r="P20" s="964">
        <v>62075</v>
      </c>
      <c r="Q20" s="964">
        <v>28203</v>
      </c>
      <c r="R20" s="964">
        <v>188606</v>
      </c>
      <c r="S20" s="369">
        <f t="shared" si="7"/>
        <v>690773</v>
      </c>
      <c r="T20" s="786"/>
      <c r="U20" s="624">
        <f t="shared" si="4"/>
        <v>0</v>
      </c>
      <c r="V20" s="183">
        <f t="shared" si="8"/>
        <v>36825</v>
      </c>
      <c r="W20" s="183">
        <f>+U20/12</f>
        <v>0</v>
      </c>
    </row>
    <row r="21" spans="1:32">
      <c r="A21" s="371" t="s">
        <v>44</v>
      </c>
      <c r="B21" s="370" t="s">
        <v>449</v>
      </c>
      <c r="C21" s="1127">
        <f>+'1.mell._Össz_Mérleg2018'!C123</f>
        <v>51635</v>
      </c>
      <c r="D21" s="1128">
        <f>+'1.mell._Össz_Mérleg2018'!D123</f>
        <v>56062</v>
      </c>
      <c r="E21" s="1128">
        <f>+'1.mell._Össz_Mérleg2018'!E123</f>
        <v>54350</v>
      </c>
      <c r="F21" s="1472">
        <f t="shared" si="6"/>
        <v>0.96946238093539294</v>
      </c>
      <c r="G21" s="963">
        <v>3065</v>
      </c>
      <c r="H21" s="964">
        <v>3431</v>
      </c>
      <c r="I21" s="964">
        <v>4364</v>
      </c>
      <c r="J21" s="964">
        <v>3843</v>
      </c>
      <c r="K21" s="964">
        <v>3220</v>
      </c>
      <c r="L21" s="964">
        <v>2290</v>
      </c>
      <c r="M21" s="964">
        <v>2071</v>
      </c>
      <c r="N21" s="964">
        <v>2082</v>
      </c>
      <c r="O21" s="964">
        <v>2160</v>
      </c>
      <c r="P21" s="964">
        <v>4350</v>
      </c>
      <c r="Q21" s="964">
        <v>639</v>
      </c>
      <c r="R21" s="964">
        <f>22836-1</f>
        <v>22835</v>
      </c>
      <c r="S21" s="369">
        <f t="shared" si="7"/>
        <v>54350</v>
      </c>
      <c r="T21" s="786"/>
      <c r="U21" s="624">
        <f t="shared" si="4"/>
        <v>0</v>
      </c>
      <c r="V21" s="183">
        <f t="shared" si="8"/>
        <v>4302.916666666667</v>
      </c>
      <c r="W21" s="183">
        <f>+U21/12</f>
        <v>0</v>
      </c>
    </row>
    <row r="22" spans="1:32">
      <c r="A22" s="371" t="s">
        <v>43</v>
      </c>
      <c r="B22" s="370" t="s">
        <v>450</v>
      </c>
      <c r="C22" s="1127">
        <f>+'1.mell._Össz_Mérleg2018'!C132</f>
        <v>333736</v>
      </c>
      <c r="D22" s="1128">
        <f>+'1.mell._Össz_Mérleg2018'!D132</f>
        <v>3209152</v>
      </c>
      <c r="E22" s="1128">
        <f>+'1.mell._Össz_Mérleg2018'!E132</f>
        <v>68830</v>
      </c>
      <c r="F22" s="1472">
        <f t="shared" si="6"/>
        <v>2.1448033623835829E-2</v>
      </c>
      <c r="G22" s="963">
        <v>4029</v>
      </c>
      <c r="H22" s="964">
        <v>3217</v>
      </c>
      <c r="I22" s="964">
        <v>9292</v>
      </c>
      <c r="J22" s="964">
        <v>4747</v>
      </c>
      <c r="K22" s="964">
        <v>14503</v>
      </c>
      <c r="L22" s="964">
        <v>1822</v>
      </c>
      <c r="M22" s="964">
        <v>3129</v>
      </c>
      <c r="N22" s="964">
        <v>0</v>
      </c>
      <c r="O22" s="964">
        <v>19429</v>
      </c>
      <c r="P22" s="964">
        <v>7786</v>
      </c>
      <c r="Q22" s="964">
        <v>3156</v>
      </c>
      <c r="R22" s="964">
        <v>-2280</v>
      </c>
      <c r="S22" s="369">
        <f t="shared" si="7"/>
        <v>68830</v>
      </c>
      <c r="T22" s="786"/>
      <c r="U22" s="624">
        <f t="shared" si="4"/>
        <v>0</v>
      </c>
      <c r="V22" s="183">
        <f t="shared" si="8"/>
        <v>27811.333333333332</v>
      </c>
      <c r="W22" s="183">
        <f>+U22/12</f>
        <v>0</v>
      </c>
    </row>
    <row r="23" spans="1:32">
      <c r="A23" s="371" t="s">
        <v>40</v>
      </c>
      <c r="B23" s="370" t="s">
        <v>451</v>
      </c>
      <c r="C23" s="1127">
        <f>+'1.mell._Össz_Mérleg2018'!C150</f>
        <v>908654</v>
      </c>
      <c r="D23" s="1128">
        <f>+'1.mell._Össz_Mérleg2018'!D150</f>
        <v>530213</v>
      </c>
      <c r="E23" s="1128">
        <f>+'1.mell._Össz_Mérleg2018'!E150</f>
        <v>476531</v>
      </c>
      <c r="F23" s="1472">
        <f t="shared" si="6"/>
        <v>0.89875389701874531</v>
      </c>
      <c r="G23" s="963">
        <v>7636</v>
      </c>
      <c r="H23" s="964">
        <v>1017</v>
      </c>
      <c r="I23" s="964">
        <v>23539</v>
      </c>
      <c r="J23" s="964">
        <v>3697</v>
      </c>
      <c r="K23" s="964">
        <v>26371</v>
      </c>
      <c r="L23" s="964">
        <v>14835</v>
      </c>
      <c r="M23" s="964">
        <v>95963</v>
      </c>
      <c r="N23" s="964">
        <v>68297</v>
      </c>
      <c r="O23" s="964">
        <v>56937</v>
      </c>
      <c r="P23" s="964">
        <v>3910</v>
      </c>
      <c r="Q23" s="964">
        <v>65789</v>
      </c>
      <c r="R23" s="964">
        <f>108542-2</f>
        <v>108540</v>
      </c>
      <c r="S23" s="369">
        <f t="shared" si="7"/>
        <v>476531</v>
      </c>
      <c r="T23" s="786"/>
      <c r="U23" s="624">
        <f t="shared" si="4"/>
        <v>0</v>
      </c>
      <c r="V23" s="183">
        <f t="shared" si="8"/>
        <v>75721.166666666672</v>
      </c>
      <c r="W23" s="183">
        <f>+U23/4</f>
        <v>0</v>
      </c>
    </row>
    <row r="24" spans="1:32">
      <c r="A24" s="371" t="s">
        <v>39</v>
      </c>
      <c r="B24" s="370" t="s">
        <v>452</v>
      </c>
      <c r="C24" s="1127">
        <f>+'1.mell._Össz_Mérleg2018'!C159</f>
        <v>808224</v>
      </c>
      <c r="D24" s="1128">
        <f>+'1.mell._Össz_Mérleg2018'!D159</f>
        <v>228800</v>
      </c>
      <c r="E24" s="1128">
        <f>+'1.mell._Össz_Mérleg2018'!E159</f>
        <v>228800</v>
      </c>
      <c r="F24" s="1472">
        <f t="shared" si="6"/>
        <v>1</v>
      </c>
      <c r="G24" s="963">
        <v>3064</v>
      </c>
      <c r="H24" s="964"/>
      <c r="I24" s="964">
        <v>2505</v>
      </c>
      <c r="J24" s="964">
        <v>1461</v>
      </c>
      <c r="K24" s="964">
        <v>20317</v>
      </c>
      <c r="L24" s="964">
        <v>23057</v>
      </c>
      <c r="M24" s="964">
        <v>58364</v>
      </c>
      <c r="N24" s="964">
        <v>56834</v>
      </c>
      <c r="O24" s="964">
        <v>5965</v>
      </c>
      <c r="P24" s="964">
        <v>2568</v>
      </c>
      <c r="Q24" s="964">
        <v>47718</v>
      </c>
      <c r="R24" s="964">
        <v>6947</v>
      </c>
      <c r="S24" s="369">
        <f t="shared" si="7"/>
        <v>228800</v>
      </c>
      <c r="T24" s="786"/>
      <c r="U24" s="624">
        <f t="shared" si="4"/>
        <v>0</v>
      </c>
      <c r="V24" s="183">
        <f t="shared" si="8"/>
        <v>67352</v>
      </c>
      <c r="W24" s="183">
        <f>+U24/4</f>
        <v>0</v>
      </c>
    </row>
    <row r="25" spans="1:32">
      <c r="A25" s="371" t="s">
        <v>38</v>
      </c>
      <c r="B25" s="370" t="s">
        <v>453</v>
      </c>
      <c r="C25" s="1127">
        <f>+'1.mell._Össz_Mérleg2018'!C165</f>
        <v>0</v>
      </c>
      <c r="D25" s="1128">
        <f>+'1.mell._Össz_Mérleg2018'!D165</f>
        <v>1200</v>
      </c>
      <c r="E25" s="1128">
        <f>+'1.mell._Össz_Mérleg2018'!E165</f>
        <v>1200</v>
      </c>
      <c r="F25" s="1472">
        <f t="shared" si="6"/>
        <v>1</v>
      </c>
      <c r="G25" s="963"/>
      <c r="H25" s="964"/>
      <c r="I25" s="964"/>
      <c r="J25" s="964"/>
      <c r="K25" s="964"/>
      <c r="L25" s="964"/>
      <c r="M25" s="964"/>
      <c r="N25" s="964"/>
      <c r="O25" s="964"/>
      <c r="P25" s="964"/>
      <c r="Q25" s="964"/>
      <c r="R25" s="965">
        <v>1200</v>
      </c>
      <c r="S25" s="369">
        <f t="shared" si="7"/>
        <v>1200</v>
      </c>
      <c r="T25" s="786"/>
      <c r="U25" s="624">
        <f t="shared" si="4"/>
        <v>0</v>
      </c>
      <c r="V25" s="183">
        <f t="shared" si="8"/>
        <v>0</v>
      </c>
    </row>
    <row r="26" spans="1:32">
      <c r="A26" s="371" t="s">
        <v>36</v>
      </c>
      <c r="B26" s="370" t="s">
        <v>538</v>
      </c>
      <c r="C26" s="1127">
        <f>+'1.mell._Össz_Mérleg2018'!C178</f>
        <v>25346</v>
      </c>
      <c r="D26" s="1128">
        <f>+'1.mell._Össz_Mérleg2018'!D178</f>
        <v>151382</v>
      </c>
      <c r="E26" s="1128">
        <f>+'1.mell._Össz_Mérleg2018'!E178</f>
        <v>110911</v>
      </c>
      <c r="F26" s="1472">
        <f t="shared" si="6"/>
        <v>0.73265645849572603</v>
      </c>
      <c r="G26" s="963">
        <v>68327</v>
      </c>
      <c r="H26" s="964"/>
      <c r="I26" s="964">
        <v>36138</v>
      </c>
      <c r="J26" s="964"/>
      <c r="K26" s="964"/>
      <c r="L26" s="964"/>
      <c r="M26" s="964"/>
      <c r="N26" s="964"/>
      <c r="O26" s="964">
        <v>6446</v>
      </c>
      <c r="P26" s="964"/>
      <c r="Q26" s="964"/>
      <c r="R26" s="965"/>
      <c r="S26" s="369">
        <f t="shared" si="7"/>
        <v>110911</v>
      </c>
      <c r="T26" s="786"/>
      <c r="U26" s="624">
        <f t="shared" si="4"/>
        <v>0</v>
      </c>
      <c r="V26" s="183">
        <f t="shared" si="8"/>
        <v>2112.1666666666665</v>
      </c>
    </row>
    <row r="27" spans="1:32" ht="12.75" thickBot="1">
      <c r="A27" s="399" t="s">
        <v>35</v>
      </c>
      <c r="B27" s="400" t="s">
        <v>539</v>
      </c>
      <c r="C27" s="1129">
        <f>+'1.mell._Össz_Mérleg2018'!C193</f>
        <v>0</v>
      </c>
      <c r="D27" s="1130">
        <f>+'1.mell._Össz_Mérleg2018'!D193</f>
        <v>0</v>
      </c>
      <c r="E27" s="1130">
        <f>+'1.mell._Össz_Mérleg2018'!E193</f>
        <v>0</v>
      </c>
      <c r="F27" s="1474" t="str">
        <f t="shared" si="6"/>
        <v>-</v>
      </c>
      <c r="G27" s="966"/>
      <c r="H27" s="967"/>
      <c r="I27" s="967"/>
      <c r="J27" s="967"/>
      <c r="K27" s="967"/>
      <c r="L27" s="967"/>
      <c r="M27" s="967"/>
      <c r="N27" s="967"/>
      <c r="O27" s="967"/>
      <c r="P27" s="967"/>
      <c r="Q27" s="967"/>
      <c r="R27" s="968"/>
      <c r="S27" s="816">
        <f t="shared" si="7"/>
        <v>0</v>
      </c>
      <c r="T27" s="786"/>
      <c r="U27" s="624">
        <f t="shared" si="4"/>
        <v>0</v>
      </c>
      <c r="V27" s="183">
        <f t="shared" si="8"/>
        <v>0</v>
      </c>
    </row>
    <row r="28" spans="1:32" ht="12.75" thickBot="1">
      <c r="A28" s="385" t="s">
        <v>34</v>
      </c>
      <c r="B28" s="380" t="s">
        <v>529</v>
      </c>
      <c r="C28" s="387">
        <f>SUM(C18:C27)</f>
        <v>3307354</v>
      </c>
      <c r="D28" s="388">
        <f>SUM(D18:D27)</f>
        <v>5914946</v>
      </c>
      <c r="E28" s="388">
        <f>SUM(E18:E27)</f>
        <v>2624447</v>
      </c>
      <c r="F28" s="1473">
        <f t="shared" si="6"/>
        <v>0.44369754178651843</v>
      </c>
      <c r="G28" s="388">
        <f t="shared" ref="G28:S28" si="9">SUM(G18:G27)</f>
        <v>178724</v>
      </c>
      <c r="H28" s="388">
        <f t="shared" si="9"/>
        <v>95674</v>
      </c>
      <c r="I28" s="388">
        <f t="shared" si="9"/>
        <v>214398</v>
      </c>
      <c r="J28" s="388">
        <f t="shared" si="9"/>
        <v>124630</v>
      </c>
      <c r="K28" s="388">
        <f t="shared" si="9"/>
        <v>195007</v>
      </c>
      <c r="L28" s="388">
        <f t="shared" si="9"/>
        <v>238015</v>
      </c>
      <c r="M28" s="388">
        <f t="shared" si="9"/>
        <v>286410</v>
      </c>
      <c r="N28" s="388">
        <f t="shared" si="9"/>
        <v>268681</v>
      </c>
      <c r="O28" s="388">
        <f t="shared" si="9"/>
        <v>214898</v>
      </c>
      <c r="P28" s="388">
        <f t="shared" si="9"/>
        <v>161085</v>
      </c>
      <c r="Q28" s="388">
        <f t="shared" si="9"/>
        <v>227604</v>
      </c>
      <c r="R28" s="386">
        <f t="shared" si="9"/>
        <v>419321</v>
      </c>
      <c r="S28" s="391">
        <f t="shared" si="9"/>
        <v>2624447</v>
      </c>
      <c r="T28" s="786"/>
      <c r="U28" s="624">
        <f t="shared" si="4"/>
        <v>0</v>
      </c>
    </row>
    <row r="29" spans="1:32" ht="12.75" thickBot="1">
      <c r="A29" s="392" t="s">
        <v>33</v>
      </c>
      <c r="B29" s="381" t="s">
        <v>540</v>
      </c>
      <c r="C29" s="1131">
        <f>+C16-C28</f>
        <v>0</v>
      </c>
      <c r="D29" s="394">
        <f>+D16-D28</f>
        <v>0</v>
      </c>
      <c r="E29" s="394">
        <f>+E16-E28</f>
        <v>3100881</v>
      </c>
      <c r="F29" s="1456" t="str">
        <f t="shared" si="6"/>
        <v>-</v>
      </c>
      <c r="G29" s="394">
        <f t="shared" ref="G29:S29" si="10">+G16-G28</f>
        <v>2604436</v>
      </c>
      <c r="H29" s="394">
        <f t="shared" si="10"/>
        <v>48259</v>
      </c>
      <c r="I29" s="394">
        <f t="shared" si="10"/>
        <v>429503</v>
      </c>
      <c r="J29" s="394">
        <f t="shared" si="10"/>
        <v>129142</v>
      </c>
      <c r="K29" s="394">
        <f t="shared" si="10"/>
        <v>-97436</v>
      </c>
      <c r="L29" s="394">
        <f t="shared" si="10"/>
        <v>-4376</v>
      </c>
      <c r="M29" s="394">
        <f t="shared" si="10"/>
        <v>-145134</v>
      </c>
      <c r="N29" s="394">
        <f t="shared" si="10"/>
        <v>266705</v>
      </c>
      <c r="O29" s="394">
        <f t="shared" si="10"/>
        <v>73690</v>
      </c>
      <c r="P29" s="394">
        <f t="shared" si="10"/>
        <v>-48179</v>
      </c>
      <c r="Q29" s="394">
        <f t="shared" si="10"/>
        <v>-99051</v>
      </c>
      <c r="R29" s="393">
        <f t="shared" si="10"/>
        <v>-56678</v>
      </c>
      <c r="S29" s="395">
        <f t="shared" si="10"/>
        <v>3100881</v>
      </c>
      <c r="T29" s="787"/>
      <c r="U29" s="624">
        <f t="shared" si="4"/>
        <v>0</v>
      </c>
    </row>
    <row r="30" spans="1:32" ht="12.75" thickBot="1">
      <c r="A30" s="392" t="s">
        <v>32</v>
      </c>
      <c r="B30" s="381" t="s">
        <v>541</v>
      </c>
      <c r="C30" s="1131">
        <f>+C29</f>
        <v>0</v>
      </c>
      <c r="D30" s="394">
        <f>+D29</f>
        <v>0</v>
      </c>
      <c r="E30" s="394">
        <f>+E29</f>
        <v>3100881</v>
      </c>
      <c r="F30" s="1456" t="str">
        <f t="shared" si="6"/>
        <v>-</v>
      </c>
      <c r="G30" s="394">
        <f>+G29</f>
        <v>2604436</v>
      </c>
      <c r="H30" s="394">
        <f>+G30+H29</f>
        <v>2652695</v>
      </c>
      <c r="I30" s="394">
        <f t="shared" ref="I30:R30" si="11">+H30+I29</f>
        <v>3082198</v>
      </c>
      <c r="J30" s="394">
        <f t="shared" si="11"/>
        <v>3211340</v>
      </c>
      <c r="K30" s="394">
        <f t="shared" si="11"/>
        <v>3113904</v>
      </c>
      <c r="L30" s="394">
        <f t="shared" si="11"/>
        <v>3109528</v>
      </c>
      <c r="M30" s="394">
        <f t="shared" si="11"/>
        <v>2964394</v>
      </c>
      <c r="N30" s="394">
        <f t="shared" si="11"/>
        <v>3231099</v>
      </c>
      <c r="O30" s="394">
        <f t="shared" si="11"/>
        <v>3304789</v>
      </c>
      <c r="P30" s="394">
        <f t="shared" si="11"/>
        <v>3256610</v>
      </c>
      <c r="Q30" s="394">
        <f t="shared" si="11"/>
        <v>3157559</v>
      </c>
      <c r="R30" s="393">
        <f t="shared" si="11"/>
        <v>3100881</v>
      </c>
      <c r="S30" s="395">
        <f>+S29</f>
        <v>3100881</v>
      </c>
      <c r="T30" s="787"/>
      <c r="U30" s="624">
        <f t="shared" si="4"/>
        <v>0</v>
      </c>
    </row>
    <row r="31" spans="1:32">
      <c r="A31" s="145"/>
      <c r="B31" s="145"/>
      <c r="C31" s="145"/>
      <c r="D31" s="145"/>
      <c r="E31" s="145"/>
      <c r="G31" s="396"/>
      <c r="H31" s="396"/>
      <c r="I31" s="396"/>
      <c r="J31" s="396"/>
      <c r="K31" s="396"/>
      <c r="L31" s="396"/>
      <c r="M31" s="396"/>
      <c r="N31" s="396"/>
      <c r="O31" s="396"/>
      <c r="P31" s="396"/>
      <c r="Q31" s="396"/>
      <c r="R31" s="396"/>
      <c r="S31" s="145"/>
      <c r="T31" s="145"/>
    </row>
    <row r="32" spans="1:32">
      <c r="A32" s="145"/>
      <c r="B32" s="145"/>
      <c r="C32" s="145"/>
      <c r="D32" s="145"/>
      <c r="E32" s="145"/>
      <c r="F32" s="1475"/>
      <c r="G32" s="145"/>
      <c r="H32" s="145"/>
      <c r="I32" s="145"/>
      <c r="J32" s="145"/>
      <c r="K32" s="145"/>
      <c r="L32" s="145"/>
      <c r="M32" s="145"/>
      <c r="N32" s="397"/>
      <c r="O32" s="397"/>
      <c r="P32" s="145"/>
      <c r="Q32" s="145"/>
      <c r="R32" s="145"/>
      <c r="S32" s="145"/>
      <c r="T32" s="145"/>
    </row>
    <row r="33" spans="1:20">
      <c r="A33" s="145"/>
      <c r="B33" s="145"/>
      <c r="C33" s="145"/>
      <c r="D33" s="145"/>
      <c r="E33" s="145"/>
      <c r="G33" s="145"/>
      <c r="H33" s="145"/>
      <c r="I33" s="145"/>
      <c r="J33" s="145"/>
      <c r="K33" s="145"/>
      <c r="L33" s="145"/>
      <c r="M33" s="145"/>
      <c r="N33" s="397"/>
      <c r="O33" s="397"/>
      <c r="P33" s="145"/>
      <c r="Q33" s="145"/>
      <c r="R33" s="145"/>
      <c r="S33" s="145"/>
      <c r="T33" s="145"/>
    </row>
    <row r="34" spans="1:20">
      <c r="A34" s="145"/>
      <c r="B34" s="145"/>
      <c r="C34" s="145"/>
      <c r="D34" s="145"/>
      <c r="E34" s="145"/>
      <c r="G34" s="145"/>
      <c r="H34" s="145"/>
      <c r="I34" s="145"/>
      <c r="J34" s="145"/>
      <c r="K34" s="145"/>
      <c r="L34" s="145"/>
      <c r="M34" s="145"/>
      <c r="N34" s="397"/>
      <c r="O34" s="397"/>
      <c r="P34" s="145"/>
      <c r="Q34" s="145"/>
      <c r="R34" s="145"/>
      <c r="S34" s="145"/>
      <c r="T34" s="145"/>
    </row>
    <row r="35" spans="1:20">
      <c r="A35" s="145"/>
      <c r="B35" s="145"/>
      <c r="C35" s="145"/>
      <c r="D35" s="145"/>
      <c r="E35" s="145"/>
      <c r="G35" s="145"/>
      <c r="H35" s="145"/>
      <c r="I35" s="145"/>
      <c r="J35" s="145"/>
      <c r="K35" s="145"/>
      <c r="L35" s="145"/>
      <c r="M35" s="145"/>
      <c r="N35" s="397"/>
      <c r="O35" s="397"/>
      <c r="P35" s="145"/>
      <c r="Q35" s="145"/>
      <c r="R35" s="145"/>
      <c r="S35" s="145"/>
      <c r="T35" s="145"/>
    </row>
    <row r="36" spans="1:20">
      <c r="A36" s="145"/>
      <c r="B36" s="145"/>
      <c r="C36" s="145"/>
      <c r="D36" s="145"/>
      <c r="E36" s="145"/>
      <c r="G36" s="145"/>
      <c r="H36" s="145"/>
      <c r="I36" s="145"/>
      <c r="J36" s="145"/>
      <c r="K36" s="145"/>
      <c r="L36" s="145"/>
      <c r="M36" s="145"/>
      <c r="N36" s="397"/>
      <c r="O36" s="397"/>
      <c r="P36" s="145"/>
      <c r="Q36" s="145"/>
      <c r="R36" s="145"/>
      <c r="S36" s="145"/>
      <c r="T36" s="145"/>
    </row>
    <row r="37" spans="1:20">
      <c r="A37" s="145"/>
      <c r="B37" s="145"/>
      <c r="C37" s="145"/>
      <c r="D37" s="145"/>
      <c r="E37" s="145"/>
      <c r="G37" s="145"/>
      <c r="H37" s="145"/>
      <c r="I37" s="145"/>
      <c r="J37" s="145"/>
      <c r="K37" s="145"/>
      <c r="L37" s="145"/>
      <c r="M37" s="145"/>
      <c r="N37" s="397"/>
      <c r="O37" s="397"/>
      <c r="P37" s="145"/>
      <c r="Q37" s="145"/>
      <c r="R37" s="145"/>
      <c r="S37" s="145"/>
      <c r="T37" s="145"/>
    </row>
    <row r="38" spans="1:20">
      <c r="G38" s="145"/>
      <c r="H38" s="145"/>
      <c r="I38" s="145"/>
      <c r="J38" s="145"/>
      <c r="K38" s="145"/>
      <c r="L38" s="145"/>
      <c r="M38" s="145"/>
      <c r="N38" s="397"/>
      <c r="O38" s="397"/>
    </row>
    <row r="39" spans="1:20">
      <c r="G39" s="396"/>
      <c r="H39" s="396"/>
      <c r="I39" s="396"/>
      <c r="J39" s="396"/>
      <c r="K39" s="396"/>
      <c r="L39" s="396"/>
      <c r="M39" s="396"/>
      <c r="N39" s="397"/>
      <c r="O39" s="397"/>
    </row>
  </sheetData>
  <mergeCells count="3">
    <mergeCell ref="A3:S3"/>
    <mergeCell ref="B6:S6"/>
    <mergeCell ref="B17:S17"/>
  </mergeCells>
  <printOptions horizontalCentered="1"/>
  <pageMargins left="0.39370078740157483" right="0.39370078740157483" top="0.39370078740157483" bottom="0.39370078740157483" header="0.19685039370078741" footer="0.19685039370078741"/>
  <pageSetup scale="59" orientation="landscape" horizontalDpi="200" verticalDpi="200" r:id="rId1"/>
  <colBreaks count="1" manualBreakCount="1">
    <brk id="19" max="29" man="1"/>
  </colBreaks>
</worksheet>
</file>

<file path=xl/worksheets/sheet17.xml><?xml version="1.0" encoding="utf-8"?>
<worksheet xmlns="http://schemas.openxmlformats.org/spreadsheetml/2006/main" xmlns:r="http://schemas.openxmlformats.org/officeDocument/2006/relationships">
  <sheetPr codeName="Munka22">
    <tabColor rgb="FF00B0F0"/>
  </sheetPr>
  <dimension ref="A1:AE264"/>
  <sheetViews>
    <sheetView zoomScaleNormal="100" workbookViewId="0"/>
  </sheetViews>
  <sheetFormatPr defaultRowHeight="12"/>
  <cols>
    <col min="1" max="1" width="6.5703125" style="4" customWidth="1"/>
    <col min="2" max="2" width="109.5703125" style="4" bestFit="1" customWidth="1"/>
    <col min="3" max="7" width="9.28515625" style="4" customWidth="1"/>
    <col min="8" max="8" width="9.28515625" style="1415" customWidth="1"/>
    <col min="9" max="9" width="9.140625" style="4"/>
    <col min="10" max="12" width="9.140625" style="4" hidden="1" customWidth="1"/>
    <col min="13" max="14" width="0" style="4" hidden="1" customWidth="1"/>
    <col min="15" max="16384" width="9.140625" style="4"/>
  </cols>
  <sheetData>
    <row r="1" spans="1:31" s="50" customFormat="1" ht="15.75">
      <c r="E1" s="51"/>
      <c r="F1" s="51"/>
      <c r="G1" s="51"/>
      <c r="H1" s="1476" t="s">
        <v>429</v>
      </c>
    </row>
    <row r="2" spans="1:31" s="50" customFormat="1" ht="15.75">
      <c r="H2" s="1396"/>
    </row>
    <row r="3" spans="1:31" s="52" customFormat="1" ht="15.75">
      <c r="A3" s="1216" t="s">
        <v>331</v>
      </c>
      <c r="B3" s="1216"/>
      <c r="C3" s="1216"/>
      <c r="D3" s="1216"/>
      <c r="E3" s="1216"/>
      <c r="F3" s="1216"/>
      <c r="G3" s="1216"/>
      <c r="H3" s="1216"/>
    </row>
    <row r="4" spans="1:31" s="52" customFormat="1" ht="15.75">
      <c r="A4" s="1216" t="s">
        <v>1321</v>
      </c>
      <c r="B4" s="1216"/>
      <c r="C4" s="1216"/>
      <c r="D4" s="1216"/>
      <c r="E4" s="1216"/>
      <c r="F4" s="1216"/>
      <c r="G4" s="1216"/>
      <c r="H4" s="1216"/>
    </row>
    <row r="5" spans="1:31" s="50" customFormat="1" ht="15.75">
      <c r="A5" s="1298" t="s">
        <v>542</v>
      </c>
      <c r="B5" s="1298"/>
      <c r="C5" s="1298"/>
      <c r="D5" s="1298"/>
      <c r="E5" s="1298"/>
      <c r="F5" s="1298"/>
      <c r="G5" s="1298"/>
      <c r="H5" s="1298"/>
      <c r="I5" s="413"/>
      <c r="J5" s="830"/>
      <c r="K5" s="830"/>
      <c r="L5" s="830"/>
      <c r="M5" s="830"/>
      <c r="N5" s="830"/>
      <c r="O5" s="830"/>
      <c r="P5" s="830"/>
      <c r="Q5" s="830"/>
      <c r="R5" s="830"/>
      <c r="S5" s="830"/>
      <c r="T5" s="830"/>
      <c r="U5" s="830"/>
      <c r="V5" s="830"/>
      <c r="W5" s="830"/>
      <c r="X5" s="830"/>
      <c r="Y5" s="830"/>
      <c r="Z5" s="830"/>
      <c r="AA5" s="830"/>
      <c r="AB5" s="830"/>
      <c r="AC5" s="830"/>
      <c r="AD5" s="830"/>
      <c r="AE5" s="830"/>
    </row>
    <row r="6" spans="1:31" s="52" customFormat="1" ht="15.75">
      <c r="A6" s="1216" t="s">
        <v>48</v>
      </c>
      <c r="B6" s="1216"/>
      <c r="C6" s="1216"/>
      <c r="D6" s="1216"/>
      <c r="E6" s="1216"/>
      <c r="F6" s="1216"/>
      <c r="G6" s="1216"/>
      <c r="H6" s="1216"/>
    </row>
    <row r="7" spans="1:31" s="36" customFormat="1" ht="12.75" thickBot="1">
      <c r="A7" s="38" t="s">
        <v>280</v>
      </c>
      <c r="E7" s="37"/>
      <c r="F7" s="37"/>
      <c r="G7" s="37"/>
      <c r="H7" s="1477" t="s">
        <v>281</v>
      </c>
    </row>
    <row r="8" spans="1:31" s="8" customFormat="1" ht="54" customHeight="1" thickBot="1">
      <c r="A8" s="79" t="s">
        <v>17</v>
      </c>
      <c r="B8" s="80" t="s">
        <v>328</v>
      </c>
      <c r="C8" s="412" t="s">
        <v>1335</v>
      </c>
      <c r="D8" s="7" t="s">
        <v>1528</v>
      </c>
      <c r="E8" s="1057" t="s">
        <v>1474</v>
      </c>
      <c r="F8" s="6" t="s">
        <v>1475</v>
      </c>
      <c r="G8" s="7" t="s">
        <v>1529</v>
      </c>
      <c r="H8" s="1398" t="s">
        <v>1527</v>
      </c>
    </row>
    <row r="9" spans="1:31" s="3" customFormat="1" ht="13.5" customHeight="1" thickBot="1">
      <c r="A9" s="83" t="s">
        <v>253</v>
      </c>
      <c r="B9" s="882" t="s">
        <v>254</v>
      </c>
      <c r="C9" s="951" t="s">
        <v>255</v>
      </c>
      <c r="D9" s="950" t="s">
        <v>361</v>
      </c>
      <c r="E9" s="1225" t="s">
        <v>362</v>
      </c>
      <c r="F9" s="1226"/>
      <c r="G9" s="1226"/>
      <c r="H9" s="1227"/>
    </row>
    <row r="10" spans="1:31" s="3" customFormat="1" ht="12.75" thickBot="1">
      <c r="A10" s="95" t="s">
        <v>4</v>
      </c>
      <c r="B10" s="63" t="s">
        <v>297</v>
      </c>
      <c r="C10" s="414">
        <f t="shared" ref="C10:H10" si="0">+C11+C25+C32+C44</f>
        <v>1725432</v>
      </c>
      <c r="D10" s="133">
        <f t="shared" si="0"/>
        <v>1723144</v>
      </c>
      <c r="E10" s="1065">
        <f t="shared" si="0"/>
        <v>1378638</v>
      </c>
      <c r="F10" s="32">
        <f t="shared" si="0"/>
        <v>2258118</v>
      </c>
      <c r="G10" s="32">
        <f t="shared" si="0"/>
        <v>2076943</v>
      </c>
      <c r="H10" s="1478">
        <f t="shared" ref="H10:H73" si="1">IF(ISERROR(G10/F10),"-",G10/F10)</f>
        <v>0.91976725751267208</v>
      </c>
    </row>
    <row r="11" spans="1:31" s="3" customFormat="1" ht="12.75" customHeight="1" thickBot="1">
      <c r="A11" s="83" t="s">
        <v>5</v>
      </c>
      <c r="B11" s="64" t="s">
        <v>298</v>
      </c>
      <c r="C11" s="132">
        <f t="shared" ref="C11:H11" si="2">+C12+C19+C20+C21+C22+C23</f>
        <v>1289762</v>
      </c>
      <c r="D11" s="29">
        <f t="shared" si="2"/>
        <v>1247972</v>
      </c>
      <c r="E11" s="1049">
        <f t="shared" si="2"/>
        <v>907219</v>
      </c>
      <c r="F11" s="28">
        <f t="shared" si="2"/>
        <v>1592229</v>
      </c>
      <c r="G11" s="28">
        <f t="shared" si="2"/>
        <v>1592229</v>
      </c>
      <c r="H11" s="1408">
        <f t="shared" si="1"/>
        <v>1</v>
      </c>
    </row>
    <row r="12" spans="1:31" s="3" customFormat="1">
      <c r="A12" s="84" t="s">
        <v>54</v>
      </c>
      <c r="B12" s="65" t="s">
        <v>299</v>
      </c>
      <c r="C12" s="411">
        <f t="shared" ref="C12:H12" si="3">+C13+C14+C15+C16+C17+C18</f>
        <v>773966</v>
      </c>
      <c r="D12" s="35">
        <f t="shared" si="3"/>
        <v>792240</v>
      </c>
      <c r="E12" s="1051">
        <f t="shared" si="3"/>
        <v>836999</v>
      </c>
      <c r="F12" s="10">
        <f t="shared" si="3"/>
        <v>789695</v>
      </c>
      <c r="G12" s="10">
        <f t="shared" si="3"/>
        <v>789695</v>
      </c>
      <c r="H12" s="1410">
        <f t="shared" si="1"/>
        <v>1</v>
      </c>
    </row>
    <row r="13" spans="1:31" s="13" customFormat="1">
      <c r="A13" s="86" t="s">
        <v>190</v>
      </c>
      <c r="B13" s="66" t="s">
        <v>93</v>
      </c>
      <c r="C13" s="407">
        <v>219613</v>
      </c>
      <c r="D13" s="15">
        <v>230199</v>
      </c>
      <c r="E13" s="502">
        <f>+'1.mell._Össz_Mérleg2018'!C13</f>
        <v>231705</v>
      </c>
      <c r="F13" s="12">
        <f>+'1.mell._Össz_Mérleg2018'!D13</f>
        <v>231822</v>
      </c>
      <c r="G13" s="12">
        <f>+'1.mell._Össz_Mérleg2018'!E13</f>
        <v>231822</v>
      </c>
      <c r="H13" s="1412">
        <f t="shared" si="1"/>
        <v>1</v>
      </c>
      <c r="I13" s="3"/>
      <c r="J13" s="3"/>
    </row>
    <row r="14" spans="1:31" s="13" customFormat="1">
      <c r="A14" s="86" t="s">
        <v>191</v>
      </c>
      <c r="B14" s="66" t="s">
        <v>94</v>
      </c>
      <c r="C14" s="407">
        <v>218999</v>
      </c>
      <c r="D14" s="15">
        <v>226163</v>
      </c>
      <c r="E14" s="502">
        <f>+'1.mell._Össz_Mérleg2018'!C14</f>
        <v>220632</v>
      </c>
      <c r="F14" s="12">
        <f>+'1.mell._Össz_Mérleg2018'!D14</f>
        <v>223149</v>
      </c>
      <c r="G14" s="12">
        <f>+'1.mell._Össz_Mérleg2018'!E14</f>
        <v>223149</v>
      </c>
      <c r="H14" s="1412">
        <f t="shared" si="1"/>
        <v>1</v>
      </c>
      <c r="I14" s="3"/>
      <c r="J14" s="3"/>
    </row>
    <row r="15" spans="1:31" s="13" customFormat="1">
      <c r="A15" s="86" t="s">
        <v>192</v>
      </c>
      <c r="B15" s="66" t="s">
        <v>95</v>
      </c>
      <c r="C15" s="407">
        <v>245337</v>
      </c>
      <c r="D15" s="15">
        <v>263714</v>
      </c>
      <c r="E15" s="502">
        <f>+'1.mell._Össz_Mérleg2018'!C15</f>
        <v>244921</v>
      </c>
      <c r="F15" s="12">
        <f>+'1.mell._Össz_Mérleg2018'!D15</f>
        <v>254533</v>
      </c>
      <c r="G15" s="12">
        <f>+'1.mell._Össz_Mérleg2018'!E15</f>
        <v>254533</v>
      </c>
      <c r="H15" s="1412">
        <f t="shared" si="1"/>
        <v>1</v>
      </c>
      <c r="I15" s="3"/>
      <c r="J15" s="3"/>
    </row>
    <row r="16" spans="1:31" s="13" customFormat="1">
      <c r="A16" s="86" t="s">
        <v>193</v>
      </c>
      <c r="B16" s="66" t="s">
        <v>96</v>
      </c>
      <c r="C16" s="407">
        <v>16625</v>
      </c>
      <c r="D16" s="15">
        <v>18880</v>
      </c>
      <c r="E16" s="502">
        <f>+'1.mell._Össz_Mérleg2018'!C16</f>
        <v>19805</v>
      </c>
      <c r="F16" s="12">
        <f>+'1.mell._Össz_Mérleg2018'!D16</f>
        <v>21839</v>
      </c>
      <c r="G16" s="12">
        <f>+'1.mell._Össz_Mérleg2018'!E16</f>
        <v>21839</v>
      </c>
      <c r="H16" s="1412">
        <f t="shared" si="1"/>
        <v>1</v>
      </c>
      <c r="I16" s="3"/>
      <c r="J16" s="3"/>
    </row>
    <row r="17" spans="1:10" s="13" customFormat="1">
      <c r="A17" s="86" t="s">
        <v>194</v>
      </c>
      <c r="B17" s="66" t="s">
        <v>959</v>
      </c>
      <c r="C17" s="407">
        <v>65928</v>
      </c>
      <c r="D17" s="15">
        <v>51690</v>
      </c>
      <c r="E17" s="502">
        <f>+'1.mell._Össz_Mérleg2018'!C17</f>
        <v>119936</v>
      </c>
      <c r="F17" s="12">
        <f>+'1.mell._Össz_Mérleg2018'!D17</f>
        <v>58352</v>
      </c>
      <c r="G17" s="12">
        <f>+'1.mell._Össz_Mérleg2018'!E17</f>
        <v>58352</v>
      </c>
      <c r="H17" s="1412">
        <f t="shared" si="1"/>
        <v>1</v>
      </c>
      <c r="I17" s="3"/>
      <c r="J17" s="3"/>
    </row>
    <row r="18" spans="1:10" s="13" customFormat="1">
      <c r="A18" s="86" t="s">
        <v>195</v>
      </c>
      <c r="B18" s="66" t="s">
        <v>960</v>
      </c>
      <c r="C18" s="407">
        <v>7464</v>
      </c>
      <c r="D18" s="15">
        <v>1594</v>
      </c>
      <c r="E18" s="502">
        <f>+'1.mell._Össz_Mérleg2018'!C18</f>
        <v>0</v>
      </c>
      <c r="F18" s="12">
        <f>+'1.mell._Össz_Mérleg2018'!D18</f>
        <v>0</v>
      </c>
      <c r="G18" s="12">
        <f>+'1.mell._Össz_Mérleg2018'!E18</f>
        <v>0</v>
      </c>
      <c r="H18" s="1412" t="str">
        <f t="shared" si="1"/>
        <v>-</v>
      </c>
      <c r="I18" s="3"/>
      <c r="J18" s="3"/>
    </row>
    <row r="19" spans="1:10">
      <c r="A19" s="85" t="s">
        <v>55</v>
      </c>
      <c r="B19" s="67" t="s">
        <v>97</v>
      </c>
      <c r="C19" s="409">
        <v>2904</v>
      </c>
      <c r="D19" s="16">
        <v>1701</v>
      </c>
      <c r="E19" s="501">
        <f>+'1.mell._Össz_Mérleg2018'!C19</f>
        <v>3488</v>
      </c>
      <c r="F19" s="11">
        <f>+'1.mell._Össz_Mérleg2018'!D19</f>
        <v>1543</v>
      </c>
      <c r="G19" s="11">
        <f>+'1.mell._Össz_Mérleg2018'!E19</f>
        <v>1543</v>
      </c>
      <c r="H19" s="1412">
        <f t="shared" si="1"/>
        <v>1</v>
      </c>
      <c r="I19" s="3"/>
      <c r="J19" s="3"/>
    </row>
    <row r="20" spans="1:10">
      <c r="A20" s="85" t="s">
        <v>83</v>
      </c>
      <c r="B20" s="67" t="s">
        <v>98</v>
      </c>
      <c r="C20" s="409"/>
      <c r="D20" s="16"/>
      <c r="E20" s="501">
        <f>+'1.mell._Össz_Mérleg2018'!C20</f>
        <v>0</v>
      </c>
      <c r="F20" s="11">
        <f>+'1.mell._Össz_Mérleg2018'!D20</f>
        <v>0</v>
      </c>
      <c r="G20" s="11">
        <f>+'1.mell._Össz_Mérleg2018'!E20</f>
        <v>0</v>
      </c>
      <c r="H20" s="1412" t="str">
        <f t="shared" si="1"/>
        <v>-</v>
      </c>
      <c r="I20" s="3"/>
      <c r="J20" s="3"/>
    </row>
    <row r="21" spans="1:10">
      <c r="A21" s="85" t="s">
        <v>84</v>
      </c>
      <c r="B21" s="67" t="s">
        <v>99</v>
      </c>
      <c r="C21" s="409">
        <v>30000</v>
      </c>
      <c r="D21" s="16"/>
      <c r="E21" s="501">
        <f>+'1.mell._Össz_Mérleg2018'!C21</f>
        <v>0</v>
      </c>
      <c r="F21" s="11">
        <f>+'1.mell._Össz_Mérleg2018'!D21</f>
        <v>0</v>
      </c>
      <c r="G21" s="11">
        <f>+'1.mell._Össz_Mérleg2018'!E21</f>
        <v>0</v>
      </c>
      <c r="H21" s="1412" t="str">
        <f t="shared" si="1"/>
        <v>-</v>
      </c>
      <c r="I21" s="3"/>
      <c r="J21" s="3"/>
    </row>
    <row r="22" spans="1:10">
      <c r="A22" s="85" t="s">
        <v>85</v>
      </c>
      <c r="B22" s="67" t="s">
        <v>100</v>
      </c>
      <c r="C22" s="409"/>
      <c r="D22" s="16"/>
      <c r="E22" s="501">
        <f>+'1.mell._Össz_Mérleg2018'!C22</f>
        <v>0</v>
      </c>
      <c r="F22" s="11">
        <f>+'1.mell._Össz_Mérleg2018'!D22</f>
        <v>0</v>
      </c>
      <c r="G22" s="11">
        <f>+'1.mell._Össz_Mérleg2018'!E22</f>
        <v>0</v>
      </c>
      <c r="H22" s="1412" t="str">
        <f t="shared" si="1"/>
        <v>-</v>
      </c>
      <c r="I22" s="3"/>
      <c r="J22" s="3"/>
    </row>
    <row r="23" spans="1:10">
      <c r="A23" s="78" t="s">
        <v>86</v>
      </c>
      <c r="B23" s="68" t="s">
        <v>101</v>
      </c>
      <c r="C23" s="410">
        <v>482892</v>
      </c>
      <c r="D23" s="23">
        <v>454031</v>
      </c>
      <c r="E23" s="500">
        <f>+'1.mell._Össz_Mérleg2018'!C23</f>
        <v>66732</v>
      </c>
      <c r="F23" s="22">
        <f>+'1.mell._Össz_Mérleg2018'!D23</f>
        <v>800991</v>
      </c>
      <c r="G23" s="22">
        <f>+'1.mell._Össz_Mérleg2018'!E23</f>
        <v>800991</v>
      </c>
      <c r="H23" s="1411">
        <f t="shared" si="1"/>
        <v>1</v>
      </c>
      <c r="I23" s="3"/>
      <c r="J23" s="3"/>
    </row>
    <row r="24" spans="1:10" s="13" customFormat="1" ht="12.75" thickBot="1">
      <c r="A24" s="89" t="s">
        <v>332</v>
      </c>
      <c r="B24" s="818" t="s">
        <v>333</v>
      </c>
      <c r="C24" s="883">
        <v>1808</v>
      </c>
      <c r="D24" s="994"/>
      <c r="E24" s="1050">
        <f>+'1.mell._Össz_Mérleg2018'!C24</f>
        <v>0</v>
      </c>
      <c r="F24" s="43">
        <f>+'1.mell._Össz_Mérleg2018'!D24</f>
        <v>564550</v>
      </c>
      <c r="G24" s="43">
        <f>+'1.mell._Össz_Mérleg2018'!E24</f>
        <v>564550</v>
      </c>
      <c r="H24" s="1411">
        <f t="shared" si="1"/>
        <v>1</v>
      </c>
      <c r="I24" s="3"/>
      <c r="J24" s="3"/>
    </row>
    <row r="25" spans="1:10" s="3" customFormat="1" ht="12.75" customHeight="1" thickBot="1">
      <c r="A25" s="83" t="s">
        <v>6</v>
      </c>
      <c r="B25" s="64" t="s">
        <v>835</v>
      </c>
      <c r="C25" s="414">
        <f t="shared" ref="C25:H25" si="4">+C26+C27+C28+C29+C30+C31</f>
        <v>297390</v>
      </c>
      <c r="D25" s="133">
        <f t="shared" si="4"/>
        <v>313142</v>
      </c>
      <c r="E25" s="1048">
        <f t="shared" si="4"/>
        <v>328710</v>
      </c>
      <c r="F25" s="134">
        <f t="shared" si="4"/>
        <v>488335</v>
      </c>
      <c r="G25" s="134">
        <f t="shared" si="4"/>
        <v>356668</v>
      </c>
      <c r="H25" s="1421">
        <f t="shared" si="1"/>
        <v>0.73037566424687972</v>
      </c>
    </row>
    <row r="26" spans="1:10" ht="12.75" customHeight="1">
      <c r="A26" s="84" t="s">
        <v>58</v>
      </c>
      <c r="B26" s="65" t="s">
        <v>102</v>
      </c>
      <c r="C26" s="884">
        <v>22</v>
      </c>
      <c r="D26" s="48">
        <v>66</v>
      </c>
      <c r="E26" s="631">
        <f>+'1.mell._Össz_Mérleg2018'!C26</f>
        <v>60</v>
      </c>
      <c r="F26" s="47">
        <f>+'1.mell._Össz_Mérleg2018'!D26</f>
        <v>62</v>
      </c>
      <c r="G26" s="47">
        <f>+'1.mell._Össz_Mérleg2018'!E26</f>
        <v>62</v>
      </c>
      <c r="H26" s="1422">
        <f t="shared" si="1"/>
        <v>1</v>
      </c>
      <c r="I26" s="3"/>
      <c r="J26" s="3"/>
    </row>
    <row r="27" spans="1:10" ht="12.75" customHeight="1">
      <c r="A27" s="85" t="s">
        <v>59</v>
      </c>
      <c r="B27" s="67" t="s">
        <v>103</v>
      </c>
      <c r="C27" s="409"/>
      <c r="D27" s="16"/>
      <c r="E27" s="501">
        <f>+'1.mell._Össz_Mérleg2018'!C27</f>
        <v>0</v>
      </c>
      <c r="F27" s="11">
        <f>+'1.mell._Össz_Mérleg2018'!D27</f>
        <v>0</v>
      </c>
      <c r="G27" s="11">
        <f>+'1.mell._Össz_Mérleg2018'!E27</f>
        <v>0</v>
      </c>
      <c r="H27" s="1412" t="str">
        <f t="shared" si="1"/>
        <v>-</v>
      </c>
      <c r="I27" s="3"/>
      <c r="J27" s="3"/>
    </row>
    <row r="28" spans="1:10" ht="12.75" customHeight="1">
      <c r="A28" s="85" t="s">
        <v>60</v>
      </c>
      <c r="B28" s="67" t="s">
        <v>104</v>
      </c>
      <c r="C28" s="409"/>
      <c r="D28" s="16"/>
      <c r="E28" s="501">
        <f>+'1.mell._Össz_Mérleg2018'!C28</f>
        <v>0</v>
      </c>
      <c r="F28" s="11">
        <f>+'1.mell._Össz_Mérleg2018'!D28</f>
        <v>0</v>
      </c>
      <c r="G28" s="11">
        <f>+'1.mell._Össz_Mérleg2018'!E28</f>
        <v>0</v>
      </c>
      <c r="H28" s="1412" t="str">
        <f t="shared" si="1"/>
        <v>-</v>
      </c>
      <c r="I28" s="3"/>
      <c r="J28" s="3"/>
    </row>
    <row r="29" spans="1:10" ht="12.75" customHeight="1">
      <c r="A29" s="85" t="s">
        <v>180</v>
      </c>
      <c r="B29" s="67" t="s">
        <v>105</v>
      </c>
      <c r="C29" s="409">
        <v>41989</v>
      </c>
      <c r="D29" s="16">
        <v>62211</v>
      </c>
      <c r="E29" s="501">
        <f>+'1.mell._Össz_Mérleg2018'!C29</f>
        <v>58500</v>
      </c>
      <c r="F29" s="11">
        <f>+'1.mell._Össz_Mérleg2018'!D29</f>
        <v>63309</v>
      </c>
      <c r="G29" s="11">
        <f>+'1.mell._Össz_Mérleg2018'!E29</f>
        <v>60575</v>
      </c>
      <c r="H29" s="1412">
        <f t="shared" si="1"/>
        <v>0.95681498681072197</v>
      </c>
      <c r="I29" s="3"/>
      <c r="J29" s="3"/>
    </row>
    <row r="30" spans="1:10" ht="12.75" customHeight="1">
      <c r="A30" s="78" t="s">
        <v>181</v>
      </c>
      <c r="B30" s="68" t="s">
        <v>106</v>
      </c>
      <c r="C30" s="409">
        <v>250569</v>
      </c>
      <c r="D30" s="16">
        <v>239839</v>
      </c>
      <c r="E30" s="501">
        <f>+'1.mell._Össz_Mérleg2018'!C30</f>
        <v>256650</v>
      </c>
      <c r="F30" s="11">
        <f>+'1.mell._Össz_Mérleg2018'!D30</f>
        <v>412278</v>
      </c>
      <c r="G30" s="11">
        <f>+'1.mell._Össz_Mérleg2018'!E30</f>
        <v>290084</v>
      </c>
      <c r="H30" s="1412">
        <f t="shared" si="1"/>
        <v>0.70361261090817362</v>
      </c>
      <c r="I30" s="3"/>
      <c r="J30" s="3"/>
    </row>
    <row r="31" spans="1:10" ht="12.75" customHeight="1" thickBot="1">
      <c r="A31" s="78" t="s">
        <v>834</v>
      </c>
      <c r="B31" s="68" t="s">
        <v>836</v>
      </c>
      <c r="C31" s="410">
        <v>4810</v>
      </c>
      <c r="D31" s="23">
        <v>11026</v>
      </c>
      <c r="E31" s="500">
        <f>+'1.mell._Össz_Mérleg2018'!C31</f>
        <v>13500</v>
      </c>
      <c r="F31" s="22">
        <f>+'1.mell._Össz_Mérleg2018'!D31</f>
        <v>12686</v>
      </c>
      <c r="G31" s="22">
        <f>+'1.mell._Össz_Mérleg2018'!E31</f>
        <v>5947</v>
      </c>
      <c r="H31" s="1411">
        <f t="shared" si="1"/>
        <v>0.46878448683588209</v>
      </c>
      <c r="I31" s="3"/>
      <c r="J31" s="3"/>
    </row>
    <row r="32" spans="1:10" s="3" customFormat="1" ht="12.75" customHeight="1" thickBot="1">
      <c r="A32" s="83" t="s">
        <v>3</v>
      </c>
      <c r="B32" s="64" t="s">
        <v>1040</v>
      </c>
      <c r="C32" s="132">
        <f t="shared" ref="C32:H32" si="5">+C33+C34+C35+C36+C37+C38+C39+C40+C41+C42+C43</f>
        <v>117970</v>
      </c>
      <c r="D32" s="29">
        <f t="shared" si="5"/>
        <v>147411</v>
      </c>
      <c r="E32" s="1049">
        <f t="shared" si="5"/>
        <v>140709</v>
      </c>
      <c r="F32" s="28">
        <f t="shared" si="5"/>
        <v>137160</v>
      </c>
      <c r="G32" s="28">
        <f t="shared" si="5"/>
        <v>124554</v>
      </c>
      <c r="H32" s="1408">
        <f t="shared" si="1"/>
        <v>0.908092738407699</v>
      </c>
    </row>
    <row r="33" spans="1:10" ht="12.75" customHeight="1">
      <c r="A33" s="84" t="s">
        <v>61</v>
      </c>
      <c r="B33" s="65" t="s">
        <v>107</v>
      </c>
      <c r="C33" s="411">
        <v>12253</v>
      </c>
      <c r="D33" s="35">
        <v>10051</v>
      </c>
      <c r="E33" s="1051">
        <f>+'1.mell._Össz_Mérleg2018'!C33</f>
        <v>1181</v>
      </c>
      <c r="F33" s="10">
        <f>+'1.mell._Össz_Mérleg2018'!D33</f>
        <v>8969</v>
      </c>
      <c r="G33" s="10">
        <f>+'1.mell._Össz_Mérleg2018'!E33</f>
        <v>8714</v>
      </c>
      <c r="H33" s="1410">
        <f t="shared" si="1"/>
        <v>0.97156873675995092</v>
      </c>
      <c r="I33" s="504"/>
      <c r="J33" s="3"/>
    </row>
    <row r="34" spans="1:10" ht="12.75" customHeight="1">
      <c r="A34" s="85" t="s">
        <v>62</v>
      </c>
      <c r="B34" s="67" t="s">
        <v>108</v>
      </c>
      <c r="C34" s="409">
        <v>31985</v>
      </c>
      <c r="D34" s="16">
        <v>38009</v>
      </c>
      <c r="E34" s="501">
        <f>+'1.mell._Össz_Mérleg2018'!C34</f>
        <v>55552</v>
      </c>
      <c r="F34" s="11">
        <f>+'1.mell._Össz_Mérleg2018'!D34</f>
        <v>55397</v>
      </c>
      <c r="G34" s="11">
        <f>+'1.mell._Össz_Mérleg2018'!E34</f>
        <v>54287</v>
      </c>
      <c r="H34" s="1412">
        <f t="shared" si="1"/>
        <v>0.97996281387078721</v>
      </c>
      <c r="J34" s="3"/>
    </row>
    <row r="35" spans="1:10" ht="12.75" customHeight="1">
      <c r="A35" s="85" t="s">
        <v>63</v>
      </c>
      <c r="B35" s="67" t="s">
        <v>109</v>
      </c>
      <c r="C35" s="409">
        <v>23043</v>
      </c>
      <c r="D35" s="16">
        <v>23547</v>
      </c>
      <c r="E35" s="501">
        <f>+'1.mell._Össz_Mérleg2018'!C35</f>
        <v>20182</v>
      </c>
      <c r="F35" s="11">
        <f>+'1.mell._Össz_Mérleg2018'!D35</f>
        <v>25810</v>
      </c>
      <c r="G35" s="11">
        <f>+'1.mell._Össz_Mérleg2018'!E35</f>
        <v>16417</v>
      </c>
      <c r="H35" s="1412">
        <f t="shared" si="1"/>
        <v>0.63607129019759778</v>
      </c>
      <c r="J35" s="3"/>
    </row>
    <row r="36" spans="1:10" ht="12.75" customHeight="1">
      <c r="A36" s="85" t="s">
        <v>64</v>
      </c>
      <c r="B36" s="67" t="s">
        <v>110</v>
      </c>
      <c r="C36" s="409">
        <v>10065</v>
      </c>
      <c r="D36" s="16">
        <v>9315</v>
      </c>
      <c r="E36" s="501">
        <f>+'1.mell._Össz_Mérleg2018'!C36</f>
        <v>236</v>
      </c>
      <c r="F36" s="11">
        <f>+'1.mell._Össz_Mérleg2018'!D36</f>
        <v>472</v>
      </c>
      <c r="G36" s="11">
        <f>+'1.mell._Össz_Mérleg2018'!E36</f>
        <v>236</v>
      </c>
      <c r="H36" s="1412">
        <f t="shared" si="1"/>
        <v>0.5</v>
      </c>
      <c r="J36" s="3"/>
    </row>
    <row r="37" spans="1:10" ht="12.75" customHeight="1">
      <c r="A37" s="85" t="s">
        <v>65</v>
      </c>
      <c r="B37" s="67" t="s">
        <v>111</v>
      </c>
      <c r="C37" s="409">
        <v>8903</v>
      </c>
      <c r="D37" s="16">
        <v>9094</v>
      </c>
      <c r="E37" s="501">
        <f>+'1.mell._Össz_Mérleg2018'!C37</f>
        <v>9347</v>
      </c>
      <c r="F37" s="11">
        <f>+'1.mell._Össz_Mérleg2018'!D37</f>
        <v>8465</v>
      </c>
      <c r="G37" s="11">
        <f>+'1.mell._Össz_Mérleg2018'!E37</f>
        <v>8465</v>
      </c>
      <c r="H37" s="1412">
        <f t="shared" si="1"/>
        <v>1</v>
      </c>
      <c r="J37" s="3"/>
    </row>
    <row r="38" spans="1:10" ht="12.75" customHeight="1">
      <c r="A38" s="85" t="s">
        <v>222</v>
      </c>
      <c r="B38" s="67" t="s">
        <v>112</v>
      </c>
      <c r="C38" s="409">
        <v>19483</v>
      </c>
      <c r="D38" s="16">
        <v>21658</v>
      </c>
      <c r="E38" s="501">
        <f>+'1.mell._Össz_Mérleg2018'!C38</f>
        <v>22680</v>
      </c>
      <c r="F38" s="11">
        <f>+'1.mell._Össz_Mérleg2018'!D38</f>
        <v>23066</v>
      </c>
      <c r="G38" s="11">
        <f>+'1.mell._Össz_Mérleg2018'!E38</f>
        <v>21996</v>
      </c>
      <c r="H38" s="1412">
        <f t="shared" si="1"/>
        <v>0.95361137605133095</v>
      </c>
      <c r="J38" s="3"/>
    </row>
    <row r="39" spans="1:10" ht="12.75" customHeight="1">
      <c r="A39" s="85" t="s">
        <v>223</v>
      </c>
      <c r="B39" s="67" t="s">
        <v>113</v>
      </c>
      <c r="C39" s="409">
        <v>8029</v>
      </c>
      <c r="D39" s="16">
        <v>10264</v>
      </c>
      <c r="E39" s="501">
        <f>+'1.mell._Össz_Mérleg2018'!C39</f>
        <v>10233</v>
      </c>
      <c r="F39" s="11">
        <f>+'1.mell._Össz_Mérleg2018'!D39</f>
        <v>6293</v>
      </c>
      <c r="G39" s="11">
        <f>+'1.mell._Össz_Mérleg2018'!E39</f>
        <v>6293</v>
      </c>
      <c r="H39" s="1412">
        <f t="shared" si="1"/>
        <v>1</v>
      </c>
      <c r="J39" s="3"/>
    </row>
    <row r="40" spans="1:10" ht="12.75" customHeight="1">
      <c r="A40" s="85" t="s">
        <v>224</v>
      </c>
      <c r="B40" s="67" t="s">
        <v>1050</v>
      </c>
      <c r="C40" s="409">
        <v>9</v>
      </c>
      <c r="D40" s="16">
        <v>11</v>
      </c>
      <c r="E40" s="501">
        <f>+'1.mell._Össz_Mérleg2018'!C40</f>
        <v>0</v>
      </c>
      <c r="F40" s="11">
        <f>+'1.mell._Össz_Mérleg2018'!D40</f>
        <v>1</v>
      </c>
      <c r="G40" s="11">
        <f>+'1.mell._Össz_Mérleg2018'!E40</f>
        <v>1</v>
      </c>
      <c r="H40" s="1412">
        <f t="shared" si="1"/>
        <v>1</v>
      </c>
      <c r="J40" s="3"/>
    </row>
    <row r="41" spans="1:10" ht="12.75" customHeight="1">
      <c r="A41" s="85" t="s">
        <v>225</v>
      </c>
      <c r="B41" s="67" t="s">
        <v>114</v>
      </c>
      <c r="C41" s="409"/>
      <c r="D41" s="16">
        <v>17087</v>
      </c>
      <c r="E41" s="501">
        <f>+'1.mell._Össz_Mérleg2018'!C41</f>
        <v>0</v>
      </c>
      <c r="F41" s="11">
        <f>+'1.mell._Össz_Mérleg2018'!D41</f>
        <v>3880</v>
      </c>
      <c r="G41" s="11">
        <f>+'1.mell._Össz_Mérleg2018'!E41</f>
        <v>3880</v>
      </c>
      <c r="H41" s="1412">
        <f t="shared" si="1"/>
        <v>1</v>
      </c>
      <c r="J41" s="3"/>
    </row>
    <row r="42" spans="1:10" ht="12.75" customHeight="1">
      <c r="A42" s="78" t="s">
        <v>226</v>
      </c>
      <c r="B42" s="68" t="s">
        <v>962</v>
      </c>
      <c r="C42" s="409">
        <v>338</v>
      </c>
      <c r="D42" s="16">
        <v>229</v>
      </c>
      <c r="E42" s="501">
        <f>+'1.mell._Össz_Mérleg2018'!C42</f>
        <v>0</v>
      </c>
      <c r="F42" s="11">
        <f>+'1.mell._Össz_Mérleg2018'!D42</f>
        <v>786</v>
      </c>
      <c r="G42" s="11">
        <f>+'1.mell._Össz_Mérleg2018'!E42</f>
        <v>786</v>
      </c>
      <c r="H42" s="1412">
        <f t="shared" si="1"/>
        <v>1</v>
      </c>
      <c r="J42" s="3"/>
    </row>
    <row r="43" spans="1:10" ht="12.75" customHeight="1" thickBot="1">
      <c r="A43" s="78" t="s">
        <v>961</v>
      </c>
      <c r="B43" s="68" t="s">
        <v>963</v>
      </c>
      <c r="C43" s="410">
        <v>3862</v>
      </c>
      <c r="D43" s="23">
        <v>8146</v>
      </c>
      <c r="E43" s="500">
        <f>+'1.mell._Össz_Mérleg2018'!C43</f>
        <v>21298</v>
      </c>
      <c r="F43" s="22">
        <f>+'1.mell._Össz_Mérleg2018'!D43</f>
        <v>4021</v>
      </c>
      <c r="G43" s="22">
        <f>+'1.mell._Össz_Mérleg2018'!E43</f>
        <v>3479</v>
      </c>
      <c r="H43" s="1411">
        <f t="shared" si="1"/>
        <v>0.86520765978612291</v>
      </c>
      <c r="J43" s="3"/>
    </row>
    <row r="44" spans="1:10" s="3" customFormat="1" ht="12.75" thickBot="1">
      <c r="A44" s="83" t="s">
        <v>16</v>
      </c>
      <c r="B44" s="64" t="s">
        <v>1041</v>
      </c>
      <c r="C44" s="132">
        <f t="shared" ref="C44:H44" si="6">+C45+C46+C47+C48+C49</f>
        <v>20310</v>
      </c>
      <c r="D44" s="29">
        <f t="shared" si="6"/>
        <v>14619</v>
      </c>
      <c r="E44" s="1049">
        <f t="shared" si="6"/>
        <v>2000</v>
      </c>
      <c r="F44" s="28">
        <f t="shared" si="6"/>
        <v>40394</v>
      </c>
      <c r="G44" s="28">
        <f t="shared" si="6"/>
        <v>3492</v>
      </c>
      <c r="H44" s="1408">
        <f t="shared" si="1"/>
        <v>8.6448482447888303E-2</v>
      </c>
    </row>
    <row r="45" spans="1:10" ht="12.75" customHeight="1">
      <c r="A45" s="84" t="s">
        <v>227</v>
      </c>
      <c r="B45" s="65" t="s">
        <v>115</v>
      </c>
      <c r="C45" s="411"/>
      <c r="D45" s="35"/>
      <c r="E45" s="1051">
        <f>+'1.mell._Össz_Mérleg2018'!C45</f>
        <v>0</v>
      </c>
      <c r="F45" s="10">
        <f>+'1.mell._Össz_Mérleg2018'!D45</f>
        <v>0</v>
      </c>
      <c r="G45" s="10">
        <f>+'1.mell._Össz_Mérleg2018'!E45</f>
        <v>0</v>
      </c>
      <c r="H45" s="1410" t="str">
        <f t="shared" si="1"/>
        <v>-</v>
      </c>
      <c r="J45" s="3"/>
    </row>
    <row r="46" spans="1:10" ht="12.75" customHeight="1">
      <c r="A46" s="84" t="s">
        <v>228</v>
      </c>
      <c r="B46" s="65" t="s">
        <v>964</v>
      </c>
      <c r="C46" s="411"/>
      <c r="D46" s="35"/>
      <c r="E46" s="1051">
        <f>+'1.mell._Össz_Mérleg2018'!C46</f>
        <v>0</v>
      </c>
      <c r="F46" s="10">
        <f>+'1.mell._Össz_Mérleg2018'!D46</f>
        <v>0</v>
      </c>
      <c r="G46" s="10">
        <f>+'1.mell._Össz_Mérleg2018'!E46</f>
        <v>0</v>
      </c>
      <c r="H46" s="1410" t="str">
        <f t="shared" si="1"/>
        <v>-</v>
      </c>
      <c r="J46" s="3"/>
    </row>
    <row r="47" spans="1:10" ht="12.75" customHeight="1">
      <c r="A47" s="84" t="s">
        <v>229</v>
      </c>
      <c r="B47" s="65" t="s">
        <v>965</v>
      </c>
      <c r="C47" s="411"/>
      <c r="D47" s="35"/>
      <c r="E47" s="1051">
        <f>+'1.mell._Össz_Mérleg2018'!C47</f>
        <v>0</v>
      </c>
      <c r="F47" s="10">
        <f>+'1.mell._Össz_Mérleg2018'!D47</f>
        <v>0</v>
      </c>
      <c r="G47" s="10">
        <f>+'1.mell._Össz_Mérleg2018'!E47</f>
        <v>0</v>
      </c>
      <c r="H47" s="1410" t="str">
        <f t="shared" si="1"/>
        <v>-</v>
      </c>
      <c r="J47" s="3"/>
    </row>
    <row r="48" spans="1:10" ht="12.75" customHeight="1">
      <c r="A48" s="85" t="s">
        <v>257</v>
      </c>
      <c r="B48" s="67" t="s">
        <v>966</v>
      </c>
      <c r="C48" s="409">
        <v>16982</v>
      </c>
      <c r="D48" s="16">
        <v>13769</v>
      </c>
      <c r="E48" s="501">
        <f>+'1.mell._Össz_Mérleg2018'!C48</f>
        <v>0</v>
      </c>
      <c r="F48" s="11">
        <f>+'1.mell._Össz_Mérleg2018'!D48</f>
        <v>39280</v>
      </c>
      <c r="G48" s="11">
        <f>+'1.mell._Össz_Mérleg2018'!E48</f>
        <v>3280</v>
      </c>
      <c r="H48" s="1412">
        <f t="shared" si="1"/>
        <v>8.3503054989816694E-2</v>
      </c>
      <c r="J48" s="3"/>
    </row>
    <row r="49" spans="1:10" ht="12.75" customHeight="1" thickBot="1">
      <c r="A49" s="78" t="s">
        <v>258</v>
      </c>
      <c r="B49" s="68" t="s">
        <v>967</v>
      </c>
      <c r="C49" s="410">
        <v>3328</v>
      </c>
      <c r="D49" s="23">
        <v>850</v>
      </c>
      <c r="E49" s="500">
        <f>+'1.mell._Össz_Mérleg2018'!C49</f>
        <v>2000</v>
      </c>
      <c r="F49" s="22">
        <f>+'1.mell._Össz_Mérleg2018'!D49</f>
        <v>1114</v>
      </c>
      <c r="G49" s="22">
        <f>+'1.mell._Össz_Mérleg2018'!E49</f>
        <v>212</v>
      </c>
      <c r="H49" s="1411">
        <f t="shared" si="1"/>
        <v>0.19030520646319568</v>
      </c>
      <c r="J49" s="3"/>
    </row>
    <row r="50" spans="1:10" s="3" customFormat="1" ht="12.75" thickBot="1">
      <c r="A50" s="83" t="s">
        <v>15</v>
      </c>
      <c r="B50" s="69" t="s">
        <v>300</v>
      </c>
      <c r="C50" s="132">
        <f t="shared" ref="C50:H50" si="7">+C51+C58+C64</f>
        <v>441810</v>
      </c>
      <c r="D50" s="29">
        <f t="shared" si="7"/>
        <v>1456207</v>
      </c>
      <c r="E50" s="1049">
        <f t="shared" si="7"/>
        <v>88682</v>
      </c>
      <c r="F50" s="28">
        <f t="shared" si="7"/>
        <v>1349480</v>
      </c>
      <c r="G50" s="28">
        <f t="shared" si="7"/>
        <v>1341037</v>
      </c>
      <c r="H50" s="1408">
        <f t="shared" si="1"/>
        <v>0.99374351602098587</v>
      </c>
    </row>
    <row r="51" spans="1:10" s="3" customFormat="1" ht="12.75" customHeight="1" thickBot="1">
      <c r="A51" s="83" t="s">
        <v>14</v>
      </c>
      <c r="B51" s="64" t="s">
        <v>301</v>
      </c>
      <c r="C51" s="132">
        <f t="shared" ref="C51:H51" si="8">+C52+C53+C54+C55+C56</f>
        <v>438918</v>
      </c>
      <c r="D51" s="29">
        <f t="shared" si="8"/>
        <v>1324933</v>
      </c>
      <c r="E51" s="1049">
        <f t="shared" si="8"/>
        <v>71832</v>
      </c>
      <c r="F51" s="28">
        <f t="shared" si="8"/>
        <v>1331164</v>
      </c>
      <c r="G51" s="28">
        <f t="shared" si="8"/>
        <v>1331164</v>
      </c>
      <c r="H51" s="1408">
        <f t="shared" si="1"/>
        <v>1</v>
      </c>
    </row>
    <row r="52" spans="1:10">
      <c r="A52" s="84" t="s">
        <v>185</v>
      </c>
      <c r="B52" s="113" t="s">
        <v>116</v>
      </c>
      <c r="C52" s="411">
        <v>43435</v>
      </c>
      <c r="D52" s="35">
        <v>3322</v>
      </c>
      <c r="E52" s="1051">
        <f>+'1.mell._Össz_Mérleg2018'!C52</f>
        <v>0</v>
      </c>
      <c r="F52" s="10">
        <f>+'1.mell._Össz_Mérleg2018'!D52</f>
        <v>22708</v>
      </c>
      <c r="G52" s="10">
        <f>+'1.mell._Össz_Mérleg2018'!E52</f>
        <v>22708</v>
      </c>
      <c r="H52" s="1410">
        <f t="shared" si="1"/>
        <v>1</v>
      </c>
      <c r="J52" s="3"/>
    </row>
    <row r="53" spans="1:10">
      <c r="A53" s="85" t="s">
        <v>186</v>
      </c>
      <c r="B53" s="67" t="s">
        <v>117</v>
      </c>
      <c r="C53" s="409"/>
      <c r="D53" s="16"/>
      <c r="E53" s="501">
        <f>+'1.mell._Össz_Mérleg2018'!C53</f>
        <v>0</v>
      </c>
      <c r="F53" s="11">
        <f>+'1.mell._Össz_Mérleg2018'!D53</f>
        <v>0</v>
      </c>
      <c r="G53" s="11">
        <f>+'1.mell._Össz_Mérleg2018'!E53</f>
        <v>0</v>
      </c>
      <c r="H53" s="1412" t="str">
        <f t="shared" si="1"/>
        <v>-</v>
      </c>
      <c r="J53" s="3"/>
    </row>
    <row r="54" spans="1:10">
      <c r="A54" s="85" t="s">
        <v>187</v>
      </c>
      <c r="B54" s="67" t="s">
        <v>118</v>
      </c>
      <c r="C54" s="409">
        <v>13191</v>
      </c>
      <c r="D54" s="16"/>
      <c r="E54" s="501">
        <f>+'1.mell._Össz_Mérleg2018'!C54</f>
        <v>0</v>
      </c>
      <c r="F54" s="11">
        <f>+'1.mell._Össz_Mérleg2018'!D54</f>
        <v>0</v>
      </c>
      <c r="G54" s="11">
        <f>+'1.mell._Össz_Mérleg2018'!E54</f>
        <v>0</v>
      </c>
      <c r="H54" s="1412" t="str">
        <f t="shared" si="1"/>
        <v>-</v>
      </c>
      <c r="J54" s="3"/>
    </row>
    <row r="55" spans="1:10">
      <c r="A55" s="85" t="s">
        <v>188</v>
      </c>
      <c r="B55" s="67" t="s">
        <v>119</v>
      </c>
      <c r="C55" s="409"/>
      <c r="D55" s="16"/>
      <c r="E55" s="501">
        <f>+'1.mell._Össz_Mérleg2018'!C55</f>
        <v>0</v>
      </c>
      <c r="F55" s="11">
        <f>+'1.mell._Össz_Mérleg2018'!D55</f>
        <v>0</v>
      </c>
      <c r="G55" s="11">
        <f>+'1.mell._Össz_Mérleg2018'!E55</f>
        <v>0</v>
      </c>
      <c r="H55" s="1412" t="str">
        <f t="shared" si="1"/>
        <v>-</v>
      </c>
      <c r="J55" s="3"/>
    </row>
    <row r="56" spans="1:10">
      <c r="A56" s="78" t="s">
        <v>189</v>
      </c>
      <c r="B56" s="68" t="s">
        <v>120</v>
      </c>
      <c r="C56" s="410">
        <v>382292</v>
      </c>
      <c r="D56" s="23">
        <v>1321611</v>
      </c>
      <c r="E56" s="500">
        <f>+'1.mell._Össz_Mérleg2018'!C56</f>
        <v>71832</v>
      </c>
      <c r="F56" s="22">
        <f>+'1.mell._Össz_Mérleg2018'!D56</f>
        <v>1308456</v>
      </c>
      <c r="G56" s="22">
        <f>+'1.mell._Össz_Mérleg2018'!E56</f>
        <v>1308456</v>
      </c>
      <c r="H56" s="1411">
        <f t="shared" si="1"/>
        <v>1</v>
      </c>
      <c r="J56" s="3"/>
    </row>
    <row r="57" spans="1:10" s="13" customFormat="1" ht="12.75" thickBot="1">
      <c r="A57" s="89" t="s">
        <v>334</v>
      </c>
      <c r="B57" s="818" t="s">
        <v>338</v>
      </c>
      <c r="C57" s="883">
        <v>382292</v>
      </c>
      <c r="D57" s="994"/>
      <c r="E57" s="1050">
        <f>+'1.mell._Össz_Mérleg2018'!C57</f>
        <v>55832</v>
      </c>
      <c r="F57" s="43">
        <f>+'1.mell._Össz_Mérleg2018'!D57</f>
        <v>1289663</v>
      </c>
      <c r="G57" s="43">
        <f>+'1.mell._Össz_Mérleg2018'!E57</f>
        <v>1289663</v>
      </c>
      <c r="H57" s="1411">
        <f t="shared" si="1"/>
        <v>1</v>
      </c>
      <c r="J57" s="3"/>
    </row>
    <row r="58" spans="1:10" s="3" customFormat="1" ht="12.75" customHeight="1" thickBot="1">
      <c r="A58" s="83" t="s">
        <v>13</v>
      </c>
      <c r="B58" s="64" t="s">
        <v>302</v>
      </c>
      <c r="C58" s="132">
        <f t="shared" ref="C58:H58" si="9">+C59+C60+C61+C62+C63</f>
        <v>1436</v>
      </c>
      <c r="D58" s="29">
        <f t="shared" si="9"/>
        <v>125604</v>
      </c>
      <c r="E58" s="1049">
        <f t="shared" si="9"/>
        <v>15350</v>
      </c>
      <c r="F58" s="28">
        <f t="shared" si="9"/>
        <v>8386</v>
      </c>
      <c r="G58" s="28">
        <f t="shared" si="9"/>
        <v>6864</v>
      </c>
      <c r="H58" s="1408">
        <f t="shared" si="1"/>
        <v>0.81850703553541615</v>
      </c>
    </row>
    <row r="59" spans="1:10" ht="12.75" customHeight="1">
      <c r="A59" s="84" t="s">
        <v>66</v>
      </c>
      <c r="B59" s="65" t="s">
        <v>121</v>
      </c>
      <c r="C59" s="411"/>
      <c r="D59" s="35"/>
      <c r="E59" s="1051">
        <f>+'1.mell._Össz_Mérleg2018'!C59</f>
        <v>0</v>
      </c>
      <c r="F59" s="10">
        <f>+'1.mell._Össz_Mérleg2018'!D59</f>
        <v>0</v>
      </c>
      <c r="G59" s="10">
        <f>+'1.mell._Össz_Mérleg2018'!E59</f>
        <v>0</v>
      </c>
      <c r="H59" s="1410" t="str">
        <f t="shared" si="1"/>
        <v>-</v>
      </c>
      <c r="J59" s="3"/>
    </row>
    <row r="60" spans="1:10" ht="12.75" customHeight="1">
      <c r="A60" s="85" t="s">
        <v>67</v>
      </c>
      <c r="B60" s="67" t="s">
        <v>122</v>
      </c>
      <c r="C60" s="409">
        <v>591</v>
      </c>
      <c r="D60" s="16">
        <v>122879</v>
      </c>
      <c r="E60" s="501">
        <f>+'1.mell._Össz_Mérleg2018'!C60</f>
        <v>15350</v>
      </c>
      <c r="F60" s="11">
        <f>+'1.mell._Össz_Mérleg2018'!D60</f>
        <v>6786</v>
      </c>
      <c r="G60" s="11">
        <f>+'1.mell._Össz_Mérleg2018'!E60</f>
        <v>5264</v>
      </c>
      <c r="H60" s="1412">
        <f t="shared" si="1"/>
        <v>0.77571470674918952</v>
      </c>
      <c r="J60" s="3"/>
    </row>
    <row r="61" spans="1:10" ht="12.75" customHeight="1">
      <c r="A61" s="85" t="s">
        <v>68</v>
      </c>
      <c r="B61" s="67" t="s">
        <v>123</v>
      </c>
      <c r="C61" s="409">
        <v>20</v>
      </c>
      <c r="D61" s="16">
        <v>2725</v>
      </c>
      <c r="E61" s="501">
        <f>+'1.mell._Össz_Mérleg2018'!C61</f>
        <v>0</v>
      </c>
      <c r="F61" s="11">
        <f>+'1.mell._Össz_Mérleg2018'!D61</f>
        <v>1600</v>
      </c>
      <c r="G61" s="11">
        <f>+'1.mell._Össz_Mérleg2018'!E61</f>
        <v>1600</v>
      </c>
      <c r="H61" s="1412">
        <f t="shared" si="1"/>
        <v>1</v>
      </c>
      <c r="J61" s="3"/>
    </row>
    <row r="62" spans="1:10" ht="12.75" customHeight="1">
      <c r="A62" s="85" t="s">
        <v>230</v>
      </c>
      <c r="B62" s="67" t="s">
        <v>124</v>
      </c>
      <c r="C62" s="409">
        <v>825</v>
      </c>
      <c r="D62" s="16"/>
      <c r="E62" s="501">
        <f>+'1.mell._Össz_Mérleg2018'!C62</f>
        <v>0</v>
      </c>
      <c r="F62" s="11">
        <f>+'1.mell._Össz_Mérleg2018'!D62</f>
        <v>0</v>
      </c>
      <c r="G62" s="11">
        <f>+'1.mell._Össz_Mérleg2018'!E62</f>
        <v>0</v>
      </c>
      <c r="H62" s="1412" t="str">
        <f t="shared" si="1"/>
        <v>-</v>
      </c>
      <c r="J62" s="3"/>
    </row>
    <row r="63" spans="1:10" ht="12.75" customHeight="1" thickBot="1">
      <c r="A63" s="78" t="s">
        <v>231</v>
      </c>
      <c r="B63" s="68" t="s">
        <v>125</v>
      </c>
      <c r="C63" s="410"/>
      <c r="D63" s="23"/>
      <c r="E63" s="500">
        <f>+'1.mell._Össz_Mérleg2018'!C63</f>
        <v>0</v>
      </c>
      <c r="F63" s="22">
        <f>+'1.mell._Össz_Mérleg2018'!D63</f>
        <v>0</v>
      </c>
      <c r="G63" s="22">
        <f>+'1.mell._Össz_Mérleg2018'!E63</f>
        <v>0</v>
      </c>
      <c r="H63" s="1411" t="str">
        <f t="shared" si="1"/>
        <v>-</v>
      </c>
      <c r="J63" s="3"/>
    </row>
    <row r="64" spans="1:10" s="3" customFormat="1" ht="12.75" thickBot="1">
      <c r="A64" s="83" t="s">
        <v>12</v>
      </c>
      <c r="B64" s="64" t="s">
        <v>971</v>
      </c>
      <c r="C64" s="132">
        <f t="shared" ref="C64:H64" si="10">+C65+C66+C67+C68+C69</f>
        <v>1456</v>
      </c>
      <c r="D64" s="29">
        <f t="shared" si="10"/>
        <v>5670</v>
      </c>
      <c r="E64" s="1049">
        <f t="shared" si="10"/>
        <v>1500</v>
      </c>
      <c r="F64" s="28">
        <f t="shared" si="10"/>
        <v>9930</v>
      </c>
      <c r="G64" s="28">
        <f t="shared" si="10"/>
        <v>3009</v>
      </c>
      <c r="H64" s="1408">
        <f t="shared" si="1"/>
        <v>0.3030211480362538</v>
      </c>
    </row>
    <row r="65" spans="1:10">
      <c r="A65" s="84" t="s">
        <v>69</v>
      </c>
      <c r="B65" s="65" t="s">
        <v>126</v>
      </c>
      <c r="C65" s="411"/>
      <c r="D65" s="35"/>
      <c r="E65" s="1051">
        <f>+'1.mell._Össz_Mérleg2018'!C65</f>
        <v>0</v>
      </c>
      <c r="F65" s="10">
        <f>+'1.mell._Össz_Mérleg2018'!D65</f>
        <v>0</v>
      </c>
      <c r="G65" s="10">
        <f>+'1.mell._Össz_Mérleg2018'!E65</f>
        <v>0</v>
      </c>
      <c r="H65" s="1410" t="str">
        <f t="shared" si="1"/>
        <v>-</v>
      </c>
      <c r="J65" s="3"/>
    </row>
    <row r="66" spans="1:10">
      <c r="A66" s="84" t="s">
        <v>70</v>
      </c>
      <c r="B66" s="65" t="s">
        <v>972</v>
      </c>
      <c r="C66" s="411"/>
      <c r="D66" s="35"/>
      <c r="E66" s="1051">
        <f>+'1.mell._Össz_Mérleg2018'!C66</f>
        <v>0</v>
      </c>
      <c r="F66" s="10">
        <f>+'1.mell._Össz_Mérleg2018'!D66</f>
        <v>0</v>
      </c>
      <c r="G66" s="10">
        <f>+'1.mell._Össz_Mérleg2018'!E66</f>
        <v>0</v>
      </c>
      <c r="H66" s="1410" t="str">
        <f t="shared" si="1"/>
        <v>-</v>
      </c>
      <c r="J66" s="3"/>
    </row>
    <row r="67" spans="1:10">
      <c r="A67" s="84" t="s">
        <v>71</v>
      </c>
      <c r="B67" s="65" t="s">
        <v>973</v>
      </c>
      <c r="C67" s="411"/>
      <c r="D67" s="35"/>
      <c r="E67" s="1051">
        <f>+'1.mell._Össz_Mérleg2018'!C67</f>
        <v>0</v>
      </c>
      <c r="F67" s="10">
        <f>+'1.mell._Össz_Mérleg2018'!D67</f>
        <v>0</v>
      </c>
      <c r="G67" s="10">
        <f>+'1.mell._Össz_Mérleg2018'!E67</f>
        <v>0</v>
      </c>
      <c r="H67" s="1410" t="str">
        <f t="shared" si="1"/>
        <v>-</v>
      </c>
      <c r="J67" s="3"/>
    </row>
    <row r="68" spans="1:10">
      <c r="A68" s="85" t="s">
        <v>72</v>
      </c>
      <c r="B68" s="67" t="s">
        <v>969</v>
      </c>
      <c r="C68" s="409">
        <v>1447</v>
      </c>
      <c r="D68" s="16">
        <v>5670</v>
      </c>
      <c r="E68" s="501">
        <f>+'1.mell._Össz_Mérleg2018'!C68</f>
        <v>0</v>
      </c>
      <c r="F68" s="11">
        <f>+'1.mell._Össz_Mérleg2018'!D68</f>
        <v>7894</v>
      </c>
      <c r="G68" s="11">
        <f>+'1.mell._Össz_Mérleg2018'!E68</f>
        <v>1009</v>
      </c>
      <c r="H68" s="1412">
        <f t="shared" si="1"/>
        <v>0.1278185964023309</v>
      </c>
      <c r="J68" s="3"/>
    </row>
    <row r="69" spans="1:10" ht="12.75" thickBot="1">
      <c r="A69" s="78" t="s">
        <v>968</v>
      </c>
      <c r="B69" s="68" t="s">
        <v>970</v>
      </c>
      <c r="C69" s="885">
        <v>9</v>
      </c>
      <c r="D69" s="992"/>
      <c r="E69" s="500">
        <f>+'1.mell._Össz_Mérleg2018'!C69</f>
        <v>1500</v>
      </c>
      <c r="F69" s="22">
        <f>+'1.mell._Össz_Mérleg2018'!D69</f>
        <v>2036</v>
      </c>
      <c r="G69" s="22">
        <f>+'1.mell._Össz_Mérleg2018'!E69</f>
        <v>2000</v>
      </c>
      <c r="H69" s="1411">
        <f t="shared" si="1"/>
        <v>0.98231827111984282</v>
      </c>
      <c r="J69" s="3"/>
    </row>
    <row r="70" spans="1:10" s="3" customFormat="1" ht="12.75" thickBot="1">
      <c r="A70" s="83" t="s">
        <v>11</v>
      </c>
      <c r="B70" s="69" t="s">
        <v>303</v>
      </c>
      <c r="C70" s="132">
        <f t="shared" ref="C70:H70" si="11">+C10+C50</f>
        <v>2167242</v>
      </c>
      <c r="D70" s="29">
        <f t="shared" si="11"/>
        <v>3179351</v>
      </c>
      <c r="E70" s="1049">
        <f t="shared" si="11"/>
        <v>1467320</v>
      </c>
      <c r="F70" s="28">
        <f t="shared" si="11"/>
        <v>3607598</v>
      </c>
      <c r="G70" s="28">
        <f t="shared" si="11"/>
        <v>3417980</v>
      </c>
      <c r="H70" s="1408">
        <f t="shared" si="1"/>
        <v>0.94743926568314984</v>
      </c>
    </row>
    <row r="71" spans="1:10" s="3" customFormat="1" ht="12.75" thickBot="1">
      <c r="A71" s="83" t="s">
        <v>10</v>
      </c>
      <c r="B71" s="70" t="s">
        <v>304</v>
      </c>
      <c r="C71" s="132">
        <f t="shared" ref="C71:H71" si="12">+C72</f>
        <v>573114</v>
      </c>
      <c r="D71" s="29">
        <f t="shared" si="12"/>
        <v>1002313</v>
      </c>
      <c r="E71" s="1049">
        <f t="shared" si="12"/>
        <v>1832034</v>
      </c>
      <c r="F71" s="28">
        <f t="shared" si="12"/>
        <v>449560</v>
      </c>
      <c r="G71" s="28">
        <f t="shared" si="12"/>
        <v>449560</v>
      </c>
      <c r="H71" s="1408">
        <f t="shared" si="1"/>
        <v>1</v>
      </c>
    </row>
    <row r="72" spans="1:10" s="3" customFormat="1" ht="12.75" thickBot="1">
      <c r="A72" s="83" t="s">
        <v>9</v>
      </c>
      <c r="B72" s="64" t="s">
        <v>980</v>
      </c>
      <c r="C72" s="132">
        <f t="shared" ref="C72:H72" si="13">+C73+C83+C84+C85</f>
        <v>573114</v>
      </c>
      <c r="D72" s="29">
        <f t="shared" si="13"/>
        <v>1002313</v>
      </c>
      <c r="E72" s="1049">
        <f t="shared" si="13"/>
        <v>1832034</v>
      </c>
      <c r="F72" s="28">
        <f t="shared" si="13"/>
        <v>449560</v>
      </c>
      <c r="G72" s="28">
        <f t="shared" si="13"/>
        <v>449560</v>
      </c>
      <c r="H72" s="1408">
        <f t="shared" si="1"/>
        <v>1</v>
      </c>
    </row>
    <row r="73" spans="1:10">
      <c r="A73" s="84" t="s">
        <v>73</v>
      </c>
      <c r="B73" s="65" t="s">
        <v>975</v>
      </c>
      <c r="C73" s="411">
        <f t="shared" ref="C73:H73" si="14">+C74+C75+C76+C77+C78+C79+C80+C81+C82</f>
        <v>573114</v>
      </c>
      <c r="D73" s="35">
        <f t="shared" si="14"/>
        <v>1002313</v>
      </c>
      <c r="E73" s="1051">
        <f t="shared" si="14"/>
        <v>1832034</v>
      </c>
      <c r="F73" s="10">
        <f t="shared" si="14"/>
        <v>449560</v>
      </c>
      <c r="G73" s="10">
        <f t="shared" si="14"/>
        <v>449560</v>
      </c>
      <c r="H73" s="1410">
        <f t="shared" si="1"/>
        <v>1</v>
      </c>
      <c r="J73" s="3"/>
    </row>
    <row r="74" spans="1:10" s="13" customFormat="1">
      <c r="A74" s="86" t="s">
        <v>196</v>
      </c>
      <c r="B74" s="66" t="s">
        <v>974</v>
      </c>
      <c r="C74" s="407">
        <v>405020</v>
      </c>
      <c r="D74" s="15">
        <v>613394</v>
      </c>
      <c r="E74" s="502">
        <f>+'1.mell._Össz_Mérleg2018'!C74</f>
        <v>0</v>
      </c>
      <c r="F74" s="12">
        <f>+'1.mell._Össz_Mérleg2018'!D74</f>
        <v>85565</v>
      </c>
      <c r="G74" s="12">
        <f>+'1.mell._Össz_Mérleg2018'!E74</f>
        <v>85565</v>
      </c>
      <c r="H74" s="1412">
        <f t="shared" ref="H74:H102" si="15">IF(ISERROR(G74/F74),"-",G74/F74)</f>
        <v>1</v>
      </c>
      <c r="J74" s="3"/>
    </row>
    <row r="75" spans="1:10" s="13" customFormat="1">
      <c r="A75" s="86" t="s">
        <v>197</v>
      </c>
      <c r="B75" s="66" t="s">
        <v>247</v>
      </c>
      <c r="C75" s="407"/>
      <c r="D75" s="15"/>
      <c r="E75" s="502">
        <f>+'1.mell._Össz_Mérleg2018'!C75</f>
        <v>0</v>
      </c>
      <c r="F75" s="12">
        <f>+'1.mell._Össz_Mérleg2018'!D75</f>
        <v>0</v>
      </c>
      <c r="G75" s="12">
        <f>+'1.mell._Össz_Mérleg2018'!E75</f>
        <v>0</v>
      </c>
      <c r="H75" s="1412" t="str">
        <f t="shared" si="15"/>
        <v>-</v>
      </c>
      <c r="J75" s="3"/>
    </row>
    <row r="76" spans="1:10" s="13" customFormat="1">
      <c r="A76" s="86" t="s">
        <v>198</v>
      </c>
      <c r="B76" s="66" t="s">
        <v>248</v>
      </c>
      <c r="C76" s="407">
        <v>142982</v>
      </c>
      <c r="D76" s="15">
        <f>363573-D91</f>
        <v>363573</v>
      </c>
      <c r="E76" s="502">
        <f>+'1.mell._Össz_Mérleg2018'!C76</f>
        <v>1832034</v>
      </c>
      <c r="F76" s="12">
        <f>+'1.mell._Össz_Mérleg2018'!D76</f>
        <v>337324</v>
      </c>
      <c r="G76" s="12">
        <f>+'1.mell._Össz_Mérleg2018'!E76</f>
        <v>337324</v>
      </c>
      <c r="H76" s="1412">
        <f t="shared" si="15"/>
        <v>1</v>
      </c>
      <c r="J76" s="3"/>
    </row>
    <row r="77" spans="1:10" s="13" customFormat="1">
      <c r="A77" s="86" t="s">
        <v>199</v>
      </c>
      <c r="B77" s="66" t="s">
        <v>249</v>
      </c>
      <c r="C77" s="407">
        <v>25112</v>
      </c>
      <c r="D77" s="15">
        <v>25346</v>
      </c>
      <c r="E77" s="502">
        <f>+'1.mell._Össz_Mérleg2018'!C77</f>
        <v>0</v>
      </c>
      <c r="F77" s="12">
        <f>+'1.mell._Össz_Mérleg2018'!D77</f>
        <v>26671</v>
      </c>
      <c r="G77" s="12">
        <f>+'1.mell._Össz_Mérleg2018'!E77</f>
        <v>26671</v>
      </c>
      <c r="H77" s="1412">
        <f t="shared" si="15"/>
        <v>1</v>
      </c>
      <c r="J77" s="3"/>
    </row>
    <row r="78" spans="1:10" s="13" customFormat="1">
      <c r="A78" s="86" t="s">
        <v>200</v>
      </c>
      <c r="B78" s="66" t="s">
        <v>250</v>
      </c>
      <c r="C78" s="407"/>
      <c r="D78" s="15"/>
      <c r="E78" s="502">
        <f>+'1.mell._Össz_Mérleg2018'!C78</f>
        <v>0</v>
      </c>
      <c r="F78" s="12">
        <f>+'1.mell._Össz_Mérleg2018'!D78</f>
        <v>0</v>
      </c>
      <c r="G78" s="12">
        <f>+'1.mell._Össz_Mérleg2018'!E78</f>
        <v>0</v>
      </c>
      <c r="H78" s="1412" t="str">
        <f t="shared" si="15"/>
        <v>-</v>
      </c>
      <c r="J78" s="3"/>
    </row>
    <row r="79" spans="1:10" s="13" customFormat="1">
      <c r="A79" s="103" t="s">
        <v>201</v>
      </c>
      <c r="B79" s="104" t="s">
        <v>251</v>
      </c>
      <c r="C79" s="406"/>
      <c r="D79" s="107"/>
      <c r="E79" s="1064">
        <f>+'1.mell._Össz_Mérleg2018'!C79</f>
        <v>0</v>
      </c>
      <c r="F79" s="106">
        <f>+'1.mell._Össz_Mérleg2018'!D79</f>
        <v>0</v>
      </c>
      <c r="G79" s="106">
        <f>+'1.mell._Össz_Mérleg2018'!E79</f>
        <v>0</v>
      </c>
      <c r="H79" s="1413" t="str">
        <f t="shared" si="15"/>
        <v>-</v>
      </c>
      <c r="J79" s="3"/>
    </row>
    <row r="80" spans="1:10" s="13" customFormat="1">
      <c r="A80" s="86" t="s">
        <v>204</v>
      </c>
      <c r="B80" s="66" t="s">
        <v>252</v>
      </c>
      <c r="C80" s="407"/>
      <c r="D80" s="15"/>
      <c r="E80" s="502">
        <f>+'1.mell._Össz_Mérleg2018'!C80</f>
        <v>0</v>
      </c>
      <c r="F80" s="12">
        <f>+'1.mell._Össz_Mérleg2018'!D80</f>
        <v>0</v>
      </c>
      <c r="G80" s="12">
        <f>+'1.mell._Össz_Mérleg2018'!E80</f>
        <v>0</v>
      </c>
      <c r="H80" s="1412" t="str">
        <f t="shared" si="15"/>
        <v>-</v>
      </c>
      <c r="J80" s="3"/>
    </row>
    <row r="81" spans="1:10" s="13" customFormat="1">
      <c r="A81" s="86" t="s">
        <v>202</v>
      </c>
      <c r="B81" s="66" t="s">
        <v>245</v>
      </c>
      <c r="C81" s="407"/>
      <c r="D81" s="15"/>
      <c r="E81" s="502">
        <f>+'1.mell._Össz_Mérleg2018'!C81</f>
        <v>0</v>
      </c>
      <c r="F81" s="12">
        <f>+'1.mell._Össz_Mérleg2018'!D81</f>
        <v>0</v>
      </c>
      <c r="G81" s="12">
        <f>+'1.mell._Össz_Mérleg2018'!E81</f>
        <v>0</v>
      </c>
      <c r="H81" s="1412" t="str">
        <f t="shared" si="15"/>
        <v>-</v>
      </c>
      <c r="J81" s="3"/>
    </row>
    <row r="82" spans="1:10" s="13" customFormat="1">
      <c r="A82" s="86" t="s">
        <v>976</v>
      </c>
      <c r="B82" s="66" t="s">
        <v>977</v>
      </c>
      <c r="C82" s="407"/>
      <c r="D82" s="15"/>
      <c r="E82" s="502">
        <f>+'1.mell._Össz_Mérleg2018'!C82</f>
        <v>0</v>
      </c>
      <c r="F82" s="12">
        <f>+'1.mell._Össz_Mérleg2018'!D82</f>
        <v>0</v>
      </c>
      <c r="G82" s="12">
        <f>+'1.mell._Össz_Mérleg2018'!E82</f>
        <v>0</v>
      </c>
      <c r="H82" s="1412" t="str">
        <f t="shared" si="15"/>
        <v>-</v>
      </c>
      <c r="J82" s="3"/>
    </row>
    <row r="83" spans="1:10">
      <c r="A83" s="85" t="s">
        <v>74</v>
      </c>
      <c r="B83" s="67" t="s">
        <v>243</v>
      </c>
      <c r="C83" s="409"/>
      <c r="D83" s="16"/>
      <c r="E83" s="501">
        <f>+'1.mell._Össz_Mérleg2018'!C83</f>
        <v>0</v>
      </c>
      <c r="F83" s="11">
        <f>+'1.mell._Össz_Mérleg2018'!D83</f>
        <v>0</v>
      </c>
      <c r="G83" s="11">
        <f>+'1.mell._Össz_Mérleg2018'!E83</f>
        <v>0</v>
      </c>
      <c r="H83" s="1412" t="str">
        <f t="shared" si="15"/>
        <v>-</v>
      </c>
      <c r="J83" s="3"/>
    </row>
    <row r="84" spans="1:10">
      <c r="A84" s="78" t="s">
        <v>203</v>
      </c>
      <c r="B84" s="68" t="s">
        <v>244</v>
      </c>
      <c r="C84" s="410"/>
      <c r="D84" s="23"/>
      <c r="E84" s="500">
        <f>+'1.mell._Össz_Mérleg2018'!C84</f>
        <v>0</v>
      </c>
      <c r="F84" s="22">
        <f>+'1.mell._Össz_Mérleg2018'!D84</f>
        <v>0</v>
      </c>
      <c r="G84" s="22">
        <f>+'1.mell._Össz_Mérleg2018'!E84</f>
        <v>0</v>
      </c>
      <c r="H84" s="1411" t="str">
        <f t="shared" si="15"/>
        <v>-</v>
      </c>
      <c r="J84" s="3"/>
    </row>
    <row r="85" spans="1:10" ht="12.75" thickBot="1">
      <c r="A85" s="78" t="s">
        <v>978</v>
      </c>
      <c r="B85" s="68" t="s">
        <v>979</v>
      </c>
      <c r="C85" s="410"/>
      <c r="D85" s="23"/>
      <c r="E85" s="500">
        <f>+'1.mell._Össz_Mérleg2018'!C85</f>
        <v>0</v>
      </c>
      <c r="F85" s="22">
        <f>+'1.mell._Össz_Mérleg2018'!D85</f>
        <v>0</v>
      </c>
      <c r="G85" s="22">
        <f>+'1.mell._Össz_Mérleg2018'!E85</f>
        <v>0</v>
      </c>
      <c r="H85" s="1411" t="str">
        <f t="shared" si="15"/>
        <v>-</v>
      </c>
      <c r="J85" s="3"/>
    </row>
    <row r="86" spans="1:10" s="3" customFormat="1" ht="12.75" thickBot="1">
      <c r="A86" s="83" t="s">
        <v>45</v>
      </c>
      <c r="B86" s="70" t="s">
        <v>305</v>
      </c>
      <c r="C86" s="132">
        <f t="shared" ref="C86:H86" si="16">+C87</f>
        <v>9970</v>
      </c>
      <c r="D86" s="29">
        <f t="shared" si="16"/>
        <v>0</v>
      </c>
      <c r="E86" s="1049">
        <f t="shared" si="16"/>
        <v>8000</v>
      </c>
      <c r="F86" s="28">
        <f t="shared" si="16"/>
        <v>1857788</v>
      </c>
      <c r="G86" s="28">
        <f t="shared" si="16"/>
        <v>1857788</v>
      </c>
      <c r="H86" s="1408">
        <f t="shared" si="15"/>
        <v>1</v>
      </c>
    </row>
    <row r="87" spans="1:10" s="3" customFormat="1" ht="12.75" thickBot="1">
      <c r="A87" s="83" t="s">
        <v>44</v>
      </c>
      <c r="B87" s="64" t="s">
        <v>982</v>
      </c>
      <c r="C87" s="132">
        <f t="shared" ref="C87:H87" si="17">+C88+C98+C99+C100</f>
        <v>9970</v>
      </c>
      <c r="D87" s="29">
        <f t="shared" si="17"/>
        <v>0</v>
      </c>
      <c r="E87" s="1049">
        <f t="shared" si="17"/>
        <v>8000</v>
      </c>
      <c r="F87" s="28">
        <f t="shared" si="17"/>
        <v>1857788</v>
      </c>
      <c r="G87" s="28">
        <f t="shared" si="17"/>
        <v>1857788</v>
      </c>
      <c r="H87" s="1408">
        <f t="shared" si="15"/>
        <v>1</v>
      </c>
    </row>
    <row r="88" spans="1:10">
      <c r="A88" s="84" t="s">
        <v>232</v>
      </c>
      <c r="B88" s="65" t="s">
        <v>1042</v>
      </c>
      <c r="C88" s="411">
        <f t="shared" ref="C88:H88" si="18">+C89+C90+C91+C92+C93+C94+C95+C96+C97</f>
        <v>9970</v>
      </c>
      <c r="D88" s="35">
        <f t="shared" si="18"/>
        <v>0</v>
      </c>
      <c r="E88" s="1051">
        <f t="shared" si="18"/>
        <v>8000</v>
      </c>
      <c r="F88" s="10">
        <f t="shared" si="18"/>
        <v>1857788</v>
      </c>
      <c r="G88" s="10">
        <f t="shared" si="18"/>
        <v>1857788</v>
      </c>
      <c r="H88" s="1410">
        <f t="shared" si="15"/>
        <v>1</v>
      </c>
      <c r="J88" s="3"/>
    </row>
    <row r="89" spans="1:10" s="13" customFormat="1">
      <c r="A89" s="86" t="s">
        <v>233</v>
      </c>
      <c r="B89" s="66" t="s">
        <v>974</v>
      </c>
      <c r="C89" s="407">
        <v>9970</v>
      </c>
      <c r="D89" s="15"/>
      <c r="E89" s="502">
        <f>+'1.mell._Össz_Mérleg2018'!C89</f>
        <v>8000</v>
      </c>
      <c r="F89" s="12">
        <f>+'1.mell._Össz_Mérleg2018'!D89</f>
        <v>0</v>
      </c>
      <c r="G89" s="12">
        <f>+'1.mell._Össz_Mérleg2018'!E89</f>
        <v>0</v>
      </c>
      <c r="H89" s="1412" t="str">
        <f t="shared" si="15"/>
        <v>-</v>
      </c>
      <c r="J89" s="3"/>
    </row>
    <row r="90" spans="1:10" s="13" customFormat="1">
      <c r="A90" s="86" t="s">
        <v>234</v>
      </c>
      <c r="B90" s="66" t="s">
        <v>247</v>
      </c>
      <c r="C90" s="407"/>
      <c r="D90" s="15"/>
      <c r="E90" s="502">
        <f>+'1.mell._Össz_Mérleg2018'!C90</f>
        <v>0</v>
      </c>
      <c r="F90" s="12">
        <f>+'1.mell._Össz_Mérleg2018'!D90</f>
        <v>0</v>
      </c>
      <c r="G90" s="12">
        <f>+'1.mell._Össz_Mérleg2018'!E90</f>
        <v>0</v>
      </c>
      <c r="H90" s="1412" t="str">
        <f t="shared" si="15"/>
        <v>-</v>
      </c>
      <c r="J90" s="3"/>
    </row>
    <row r="91" spans="1:10" s="13" customFormat="1">
      <c r="A91" s="86" t="s">
        <v>235</v>
      </c>
      <c r="B91" s="66" t="s">
        <v>248</v>
      </c>
      <c r="C91" s="407"/>
      <c r="D91" s="15"/>
      <c r="E91" s="502">
        <f>+'1.mell._Össz_Mérleg2018'!C91</f>
        <v>0</v>
      </c>
      <c r="F91" s="12">
        <f>+'1.mell._Össz_Mérleg2018'!D91</f>
        <v>1857788</v>
      </c>
      <c r="G91" s="12">
        <f>+'1.mell._Össz_Mérleg2018'!E91</f>
        <v>1857788</v>
      </c>
      <c r="H91" s="1412">
        <f t="shared" si="15"/>
        <v>1</v>
      </c>
      <c r="J91" s="3"/>
    </row>
    <row r="92" spans="1:10" s="13" customFormat="1">
      <c r="A92" s="86" t="s">
        <v>236</v>
      </c>
      <c r="B92" s="66" t="s">
        <v>249</v>
      </c>
      <c r="C92" s="407"/>
      <c r="D92" s="15"/>
      <c r="E92" s="502">
        <f>+'1.mell._Össz_Mérleg2018'!C92</f>
        <v>0</v>
      </c>
      <c r="F92" s="12">
        <f>+'1.mell._Össz_Mérleg2018'!D92</f>
        <v>0</v>
      </c>
      <c r="G92" s="12">
        <f>+'1.mell._Össz_Mérleg2018'!E92</f>
        <v>0</v>
      </c>
      <c r="H92" s="1412" t="str">
        <f t="shared" si="15"/>
        <v>-</v>
      </c>
      <c r="J92" s="3"/>
    </row>
    <row r="93" spans="1:10" s="13" customFormat="1">
      <c r="A93" s="86" t="s">
        <v>237</v>
      </c>
      <c r="B93" s="66" t="s">
        <v>250</v>
      </c>
      <c r="C93" s="407"/>
      <c r="D93" s="15"/>
      <c r="E93" s="502">
        <f>+'1.mell._Össz_Mérleg2018'!C93</f>
        <v>0</v>
      </c>
      <c r="F93" s="12">
        <f>+'1.mell._Össz_Mérleg2018'!D93</f>
        <v>0</v>
      </c>
      <c r="G93" s="12">
        <f>+'1.mell._Össz_Mérleg2018'!E93</f>
        <v>0</v>
      </c>
      <c r="H93" s="1412" t="str">
        <f t="shared" si="15"/>
        <v>-</v>
      </c>
      <c r="J93" s="3"/>
    </row>
    <row r="94" spans="1:10" s="13" customFormat="1">
      <c r="A94" s="103" t="s">
        <v>238</v>
      </c>
      <c r="B94" s="104" t="s">
        <v>251</v>
      </c>
      <c r="C94" s="406"/>
      <c r="D94" s="107"/>
      <c r="E94" s="1064">
        <f>+'1.mell._Össz_Mérleg2018'!C94</f>
        <v>0</v>
      </c>
      <c r="F94" s="106">
        <f>+'1.mell._Össz_Mérleg2018'!D94</f>
        <v>0</v>
      </c>
      <c r="G94" s="106">
        <f>+'1.mell._Össz_Mérleg2018'!E94</f>
        <v>0</v>
      </c>
      <c r="H94" s="1413" t="str">
        <f t="shared" si="15"/>
        <v>-</v>
      </c>
      <c r="J94" s="3"/>
    </row>
    <row r="95" spans="1:10" s="13" customFormat="1">
      <c r="A95" s="86" t="s">
        <v>239</v>
      </c>
      <c r="B95" s="66" t="s">
        <v>252</v>
      </c>
      <c r="C95" s="407"/>
      <c r="D95" s="15"/>
      <c r="E95" s="502">
        <f>+'1.mell._Össz_Mérleg2018'!C95</f>
        <v>0</v>
      </c>
      <c r="F95" s="12">
        <f>+'1.mell._Össz_Mérleg2018'!D95</f>
        <v>0</v>
      </c>
      <c r="G95" s="12">
        <f>+'1.mell._Össz_Mérleg2018'!E95</f>
        <v>0</v>
      </c>
      <c r="H95" s="1412" t="str">
        <f t="shared" si="15"/>
        <v>-</v>
      </c>
      <c r="J95" s="3"/>
    </row>
    <row r="96" spans="1:10" s="13" customFormat="1">
      <c r="A96" s="86" t="s">
        <v>240</v>
      </c>
      <c r="B96" s="66" t="s">
        <v>245</v>
      </c>
      <c r="C96" s="407"/>
      <c r="D96" s="15"/>
      <c r="E96" s="502">
        <f>+'1.mell._Össz_Mérleg2018'!C96</f>
        <v>0</v>
      </c>
      <c r="F96" s="12">
        <f>+'1.mell._Össz_Mérleg2018'!D96</f>
        <v>0</v>
      </c>
      <c r="G96" s="12">
        <f>+'1.mell._Össz_Mérleg2018'!E96</f>
        <v>0</v>
      </c>
      <c r="H96" s="1412" t="str">
        <f t="shared" si="15"/>
        <v>-</v>
      </c>
      <c r="J96" s="3"/>
    </row>
    <row r="97" spans="1:14" s="13" customFormat="1">
      <c r="A97" s="86" t="s">
        <v>981</v>
      </c>
      <c r="B97" s="66" t="s">
        <v>977</v>
      </c>
      <c r="C97" s="407"/>
      <c r="D97" s="15"/>
      <c r="E97" s="502">
        <f>+'1.mell._Össz_Mérleg2018'!C97</f>
        <v>0</v>
      </c>
      <c r="F97" s="12">
        <f>+'1.mell._Össz_Mérleg2018'!D97</f>
        <v>0</v>
      </c>
      <c r="G97" s="12">
        <f>+'1.mell._Össz_Mérleg2018'!E97</f>
        <v>0</v>
      </c>
      <c r="H97" s="1412" t="str">
        <f t="shared" si="15"/>
        <v>-</v>
      </c>
      <c r="J97" s="3"/>
    </row>
    <row r="98" spans="1:14">
      <c r="A98" s="85" t="s">
        <v>241</v>
      </c>
      <c r="B98" s="67" t="s">
        <v>243</v>
      </c>
      <c r="C98" s="409"/>
      <c r="D98" s="16"/>
      <c r="E98" s="501">
        <f>+'1.mell._Össz_Mérleg2018'!C98</f>
        <v>0</v>
      </c>
      <c r="F98" s="11">
        <f>+'1.mell._Össz_Mérleg2018'!D98</f>
        <v>0</v>
      </c>
      <c r="G98" s="11">
        <f>+'1.mell._Össz_Mérleg2018'!E98</f>
        <v>0</v>
      </c>
      <c r="H98" s="1412" t="str">
        <f t="shared" si="15"/>
        <v>-</v>
      </c>
      <c r="J98" s="3"/>
    </row>
    <row r="99" spans="1:14">
      <c r="A99" s="78" t="s">
        <v>242</v>
      </c>
      <c r="B99" s="68" t="s">
        <v>244</v>
      </c>
      <c r="C99" s="410"/>
      <c r="D99" s="23"/>
      <c r="E99" s="500">
        <f>+'1.mell._Össz_Mérleg2018'!C99</f>
        <v>0</v>
      </c>
      <c r="F99" s="22">
        <f>+'1.mell._Össz_Mérleg2018'!D99</f>
        <v>0</v>
      </c>
      <c r="G99" s="22">
        <f>+'1.mell._Össz_Mérleg2018'!E99</f>
        <v>0</v>
      </c>
      <c r="H99" s="1411" t="str">
        <f t="shared" si="15"/>
        <v>-</v>
      </c>
      <c r="J99" s="3"/>
    </row>
    <row r="100" spans="1:14" ht="12.75" thickBot="1">
      <c r="A100" s="78" t="s">
        <v>983</v>
      </c>
      <c r="B100" s="68" t="s">
        <v>979</v>
      </c>
      <c r="C100" s="410"/>
      <c r="D100" s="23"/>
      <c r="E100" s="500">
        <f>+'1.mell._Össz_Mérleg2018'!C100</f>
        <v>0</v>
      </c>
      <c r="F100" s="22">
        <f>+'1.mell._Össz_Mérleg2018'!D100</f>
        <v>0</v>
      </c>
      <c r="G100" s="22">
        <f>+'1.mell._Össz_Mérleg2018'!E100</f>
        <v>0</v>
      </c>
      <c r="H100" s="1411" t="str">
        <f t="shared" si="15"/>
        <v>-</v>
      </c>
      <c r="J100" s="3"/>
    </row>
    <row r="101" spans="1:14" s="3" customFormat="1" ht="12.75" thickBot="1">
      <c r="A101" s="83" t="s">
        <v>43</v>
      </c>
      <c r="B101" s="69" t="s">
        <v>306</v>
      </c>
      <c r="C101" s="132">
        <f t="shared" ref="C101:H101" si="19">+C71+C86</f>
        <v>583084</v>
      </c>
      <c r="D101" s="29">
        <f t="shared" si="19"/>
        <v>1002313</v>
      </c>
      <c r="E101" s="1049">
        <f t="shared" si="19"/>
        <v>1840034</v>
      </c>
      <c r="F101" s="28">
        <f t="shared" si="19"/>
        <v>2307348</v>
      </c>
      <c r="G101" s="28">
        <f t="shared" si="19"/>
        <v>2307348</v>
      </c>
      <c r="H101" s="1408">
        <f t="shared" si="15"/>
        <v>1</v>
      </c>
    </row>
    <row r="102" spans="1:14" s="3" customFormat="1" ht="12.75" thickBot="1">
      <c r="A102" s="87" t="s">
        <v>40</v>
      </c>
      <c r="B102" s="71" t="s">
        <v>307</v>
      </c>
      <c r="C102" s="405">
        <f t="shared" ref="C102:H102" si="20">+C70+C101</f>
        <v>2750326</v>
      </c>
      <c r="D102" s="26">
        <f t="shared" si="20"/>
        <v>4181664</v>
      </c>
      <c r="E102" s="1056">
        <f t="shared" si="20"/>
        <v>3307354</v>
      </c>
      <c r="F102" s="25">
        <f t="shared" si="20"/>
        <v>5914946</v>
      </c>
      <c r="G102" s="25">
        <f t="shared" si="20"/>
        <v>5725328</v>
      </c>
      <c r="H102" s="1414">
        <f t="shared" si="15"/>
        <v>0.96794256447987859</v>
      </c>
    </row>
    <row r="103" spans="1:14" s="13" customFormat="1">
      <c r="A103" s="714"/>
      <c r="B103" s="713"/>
      <c r="H103" s="1479"/>
      <c r="J103" s="713">
        <f>+C102-C208</f>
        <v>363573</v>
      </c>
      <c r="K103" s="713">
        <f>+D102-D208</f>
        <v>1753959</v>
      </c>
      <c r="L103" s="713">
        <f>+E102-E208</f>
        <v>0</v>
      </c>
      <c r="M103" s="713">
        <f t="shared" ref="M103:N103" si="21">+F102-F208</f>
        <v>0</v>
      </c>
      <c r="N103" s="713">
        <f t="shared" si="21"/>
        <v>3100881</v>
      </c>
    </row>
    <row r="104" spans="1:14" s="36" customFormat="1">
      <c r="A104" s="715"/>
      <c r="B104" s="505"/>
      <c r="C104" s="505"/>
      <c r="D104" s="505"/>
      <c r="E104" s="505"/>
      <c r="F104" s="505"/>
      <c r="G104" s="505"/>
      <c r="H104" s="1407"/>
      <c r="J104" s="3"/>
      <c r="K104" s="13">
        <f>+E76-K103</f>
        <v>78075</v>
      </c>
    </row>
    <row r="105" spans="1:14" s="52" customFormat="1" ht="15.75">
      <c r="A105" s="1216" t="s">
        <v>80</v>
      </c>
      <c r="B105" s="1216"/>
      <c r="C105" s="1216"/>
      <c r="D105" s="1216"/>
      <c r="E105" s="1216"/>
      <c r="F105" s="1216"/>
      <c r="G105" s="1216"/>
      <c r="H105" s="1216"/>
      <c r="J105" s="3"/>
    </row>
    <row r="106" spans="1:14" s="36" customFormat="1" ht="12.75" thickBot="1">
      <c r="A106" s="38" t="s">
        <v>279</v>
      </c>
      <c r="E106" s="37"/>
      <c r="F106" s="37"/>
      <c r="G106" s="37"/>
      <c r="H106" s="1477" t="s">
        <v>281</v>
      </c>
      <c r="J106" s="3"/>
    </row>
    <row r="107" spans="1:14" s="3" customFormat="1" ht="48.75" thickBot="1">
      <c r="A107" s="79" t="s">
        <v>17</v>
      </c>
      <c r="B107" s="80" t="s">
        <v>329</v>
      </c>
      <c r="C107" s="412" t="s">
        <v>1335</v>
      </c>
      <c r="D107" s="7" t="s">
        <v>1528</v>
      </c>
      <c r="E107" s="1057" t="s">
        <v>1474</v>
      </c>
      <c r="F107" s="6" t="s">
        <v>1475</v>
      </c>
      <c r="G107" s="7" t="s">
        <v>1529</v>
      </c>
      <c r="H107" s="1398" t="s">
        <v>1527</v>
      </c>
    </row>
    <row r="108" spans="1:14" s="3" customFormat="1" ht="13.5" customHeight="1" thickBot="1">
      <c r="A108" s="81" t="s">
        <v>253</v>
      </c>
      <c r="B108" s="82" t="s">
        <v>254</v>
      </c>
      <c r="C108" s="951" t="s">
        <v>255</v>
      </c>
      <c r="D108" s="950" t="s">
        <v>361</v>
      </c>
      <c r="E108" s="1225" t="s">
        <v>362</v>
      </c>
      <c r="F108" s="1226"/>
      <c r="G108" s="1226"/>
      <c r="H108" s="1227"/>
    </row>
    <row r="109" spans="1:14" s="3" customFormat="1" ht="12.75" thickBot="1">
      <c r="A109" s="83" t="s">
        <v>4</v>
      </c>
      <c r="B109" s="69" t="s">
        <v>308</v>
      </c>
      <c r="C109" s="132">
        <f t="shared" ref="C109:H109" si="22">+C110+C114+C116+C123+C132</f>
        <v>1745799</v>
      </c>
      <c r="D109" s="29">
        <f t="shared" si="22"/>
        <v>1508277</v>
      </c>
      <c r="E109" s="1049">
        <f t="shared" si="22"/>
        <v>1565130</v>
      </c>
      <c r="F109" s="28">
        <f t="shared" si="22"/>
        <v>5003351</v>
      </c>
      <c r="G109" s="28">
        <f t="shared" si="22"/>
        <v>1807005</v>
      </c>
      <c r="H109" s="1408">
        <f t="shared" ref="H109:H172" si="23">IF(ISERROR(G109/F109),"-",G109/F109)</f>
        <v>0.36115895127085829</v>
      </c>
    </row>
    <row r="110" spans="1:14" s="3" customFormat="1" ht="12.75" thickBot="1">
      <c r="A110" s="83" t="s">
        <v>5</v>
      </c>
      <c r="B110" s="64" t="s">
        <v>309</v>
      </c>
      <c r="C110" s="132">
        <f t="shared" ref="C110:H110" si="24">+C112+C113</f>
        <v>830339</v>
      </c>
      <c r="D110" s="29">
        <f t="shared" si="24"/>
        <v>756270</v>
      </c>
      <c r="E110" s="1049">
        <f t="shared" si="24"/>
        <v>613440</v>
      </c>
      <c r="F110" s="28">
        <f t="shared" si="24"/>
        <v>839058</v>
      </c>
      <c r="G110" s="28">
        <f t="shared" si="24"/>
        <v>839058</v>
      </c>
      <c r="H110" s="1408">
        <f t="shared" si="23"/>
        <v>1</v>
      </c>
    </row>
    <row r="111" spans="1:14" s="36" customFormat="1">
      <c r="A111" s="819" t="s">
        <v>349</v>
      </c>
      <c r="B111" s="820" t="s">
        <v>350</v>
      </c>
      <c r="C111" s="886"/>
      <c r="D111" s="995"/>
      <c r="E111" s="1058">
        <f>+'1.mell._Össz_Mérleg2018'!C111</f>
        <v>16807</v>
      </c>
      <c r="F111" s="97">
        <f>+'1.mell._Össz_Mérleg2018'!D111</f>
        <v>96862</v>
      </c>
      <c r="G111" s="97">
        <f>+'1.mell._Össz_Mérleg2018'!E111</f>
        <v>96862</v>
      </c>
      <c r="H111" s="1409">
        <f t="shared" si="23"/>
        <v>1</v>
      </c>
      <c r="J111" s="3"/>
    </row>
    <row r="112" spans="1:14">
      <c r="A112" s="84" t="s">
        <v>54</v>
      </c>
      <c r="B112" s="65" t="s">
        <v>127</v>
      </c>
      <c r="C112" s="411">
        <v>786426</v>
      </c>
      <c r="D112" s="35">
        <v>716804</v>
      </c>
      <c r="E112" s="1051">
        <f>+'1.mell._Össz_Mérleg2018'!C112</f>
        <v>561213</v>
      </c>
      <c r="F112" s="10">
        <f>+'1.mell._Össz_Mérleg2018'!D112</f>
        <v>746559</v>
      </c>
      <c r="G112" s="10">
        <f>+'1.mell._Össz_Mérleg2018'!E112</f>
        <v>746559</v>
      </c>
      <c r="H112" s="1410">
        <f t="shared" si="23"/>
        <v>1</v>
      </c>
      <c r="J112" s="3"/>
    </row>
    <row r="113" spans="1:10" ht="12.75" thickBot="1">
      <c r="A113" s="78" t="s">
        <v>55</v>
      </c>
      <c r="B113" s="68" t="s">
        <v>128</v>
      </c>
      <c r="C113" s="410">
        <v>43913</v>
      </c>
      <c r="D113" s="23">
        <v>39466</v>
      </c>
      <c r="E113" s="500">
        <f>+'1.mell._Össz_Mérleg2018'!C113</f>
        <v>52227</v>
      </c>
      <c r="F113" s="22">
        <f>+'1.mell._Össz_Mérleg2018'!D113</f>
        <v>92499</v>
      </c>
      <c r="G113" s="22">
        <f>+'1.mell._Össz_Mérleg2018'!E113</f>
        <v>92499</v>
      </c>
      <c r="H113" s="1411">
        <f t="shared" si="23"/>
        <v>1</v>
      </c>
      <c r="J113" s="3"/>
    </row>
    <row r="114" spans="1:10" s="3" customFormat="1" ht="12.75" thickBot="1">
      <c r="A114" s="83" t="s">
        <v>6</v>
      </c>
      <c r="B114" s="64" t="s">
        <v>256</v>
      </c>
      <c r="C114" s="132">
        <v>181883</v>
      </c>
      <c r="D114" s="29">
        <v>157139</v>
      </c>
      <c r="E114" s="1049">
        <f>+'1.mell._Össz_Mérleg2018'!C114</f>
        <v>124419</v>
      </c>
      <c r="F114" s="28">
        <f>+'1.mell._Össz_Mérleg2018'!D114</f>
        <v>154821</v>
      </c>
      <c r="G114" s="28">
        <f>+'1.mell._Össz_Mérleg2018'!E114</f>
        <v>153994</v>
      </c>
      <c r="H114" s="1408">
        <f t="shared" si="23"/>
        <v>0.99465834738181513</v>
      </c>
    </row>
    <row r="115" spans="1:10" s="36" customFormat="1" ht="12.75" thickBot="1">
      <c r="A115" s="819" t="s">
        <v>346</v>
      </c>
      <c r="B115" s="820" t="s">
        <v>347</v>
      </c>
      <c r="C115" s="886"/>
      <c r="D115" s="995"/>
      <c r="E115" s="1058">
        <f>+'1.mell._Össz_Mérleg2018'!C115</f>
        <v>4547</v>
      </c>
      <c r="F115" s="97">
        <f>+'1.mell._Össz_Mérleg2018'!D115</f>
        <v>16944</v>
      </c>
      <c r="G115" s="97">
        <f>+'1.mell._Össz_Mérleg2018'!E115</f>
        <v>16944</v>
      </c>
      <c r="H115" s="1409">
        <f t="shared" si="23"/>
        <v>1</v>
      </c>
      <c r="J115" s="3"/>
    </row>
    <row r="116" spans="1:10" s="3" customFormat="1" ht="12.75" thickBot="1">
      <c r="A116" s="83" t="s">
        <v>3</v>
      </c>
      <c r="B116" s="64" t="s">
        <v>343</v>
      </c>
      <c r="C116" s="132">
        <f t="shared" ref="C116:H116" si="25">+C118+C119+C120+C121+C122</f>
        <v>544402</v>
      </c>
      <c r="D116" s="29">
        <f t="shared" si="25"/>
        <v>464066</v>
      </c>
      <c r="E116" s="1049">
        <f t="shared" si="25"/>
        <v>441900</v>
      </c>
      <c r="F116" s="28">
        <f t="shared" si="25"/>
        <v>744258</v>
      </c>
      <c r="G116" s="28">
        <f t="shared" si="25"/>
        <v>690773</v>
      </c>
      <c r="H116" s="1408">
        <f t="shared" si="23"/>
        <v>0.92813647955413314</v>
      </c>
    </row>
    <row r="117" spans="1:10" s="36" customFormat="1">
      <c r="A117" s="819" t="s">
        <v>341</v>
      </c>
      <c r="B117" s="820" t="s">
        <v>348</v>
      </c>
      <c r="C117" s="886">
        <v>762</v>
      </c>
      <c r="D117" s="995"/>
      <c r="E117" s="1058">
        <f>+'1.mell._Össz_Mérleg2018'!C117</f>
        <v>63554</v>
      </c>
      <c r="F117" s="97">
        <f>+'1.mell._Össz_Mérleg2018'!D117</f>
        <v>274265</v>
      </c>
      <c r="G117" s="97">
        <f>+'1.mell._Össz_Mérleg2018'!E117</f>
        <v>271494</v>
      </c>
      <c r="H117" s="1409">
        <f t="shared" si="23"/>
        <v>0.98989663281862428</v>
      </c>
      <c r="J117" s="3"/>
    </row>
    <row r="118" spans="1:10">
      <c r="A118" s="84" t="s">
        <v>61</v>
      </c>
      <c r="B118" s="65" t="s">
        <v>129</v>
      </c>
      <c r="C118" s="411">
        <v>70633</v>
      </c>
      <c r="D118" s="35">
        <v>73607</v>
      </c>
      <c r="E118" s="1051">
        <f>+'1.mell._Össz_Mérleg2018'!C118</f>
        <v>35055</v>
      </c>
      <c r="F118" s="10">
        <f>+'1.mell._Össz_Mérleg2018'!D118</f>
        <v>73501</v>
      </c>
      <c r="G118" s="10">
        <f>+'1.mell._Össz_Mérleg2018'!E118</f>
        <v>70377</v>
      </c>
      <c r="H118" s="1410">
        <f t="shared" si="23"/>
        <v>0.9574971769091577</v>
      </c>
      <c r="J118" s="3"/>
    </row>
    <row r="119" spans="1:10">
      <c r="A119" s="85" t="s">
        <v>62</v>
      </c>
      <c r="B119" s="67" t="s">
        <v>130</v>
      </c>
      <c r="C119" s="409">
        <v>27032</v>
      </c>
      <c r="D119" s="16">
        <v>28983</v>
      </c>
      <c r="E119" s="501">
        <f>+'1.mell._Össz_Mérleg2018'!C119</f>
        <v>26490</v>
      </c>
      <c r="F119" s="11">
        <f>+'1.mell._Össz_Mérleg2018'!D119</f>
        <v>28469</v>
      </c>
      <c r="G119" s="11">
        <f>+'1.mell._Össz_Mérleg2018'!E119</f>
        <v>24473</v>
      </c>
      <c r="H119" s="1412">
        <f t="shared" si="23"/>
        <v>0.85963679792054515</v>
      </c>
      <c r="J119" s="3"/>
    </row>
    <row r="120" spans="1:10">
      <c r="A120" s="85" t="s">
        <v>63</v>
      </c>
      <c r="B120" s="67" t="s">
        <v>131</v>
      </c>
      <c r="C120" s="409">
        <v>290457</v>
      </c>
      <c r="D120" s="16">
        <v>253494</v>
      </c>
      <c r="E120" s="501">
        <f>+'1.mell._Össz_Mérleg2018'!C120</f>
        <v>270417</v>
      </c>
      <c r="F120" s="11">
        <f>+'1.mell._Össz_Mérleg2018'!D120</f>
        <v>473385</v>
      </c>
      <c r="G120" s="11">
        <f>+'1.mell._Össz_Mérleg2018'!E120</f>
        <v>437818</v>
      </c>
      <c r="H120" s="1412">
        <f t="shared" si="23"/>
        <v>0.92486665187954831</v>
      </c>
      <c r="J120" s="3"/>
    </row>
    <row r="121" spans="1:10">
      <c r="A121" s="85" t="s">
        <v>64</v>
      </c>
      <c r="B121" s="67" t="s">
        <v>132</v>
      </c>
      <c r="C121" s="409">
        <v>1134</v>
      </c>
      <c r="D121" s="16">
        <v>925</v>
      </c>
      <c r="E121" s="501">
        <f>+'1.mell._Össz_Mérleg2018'!C121</f>
        <v>1175</v>
      </c>
      <c r="F121" s="11">
        <f>+'1.mell._Össz_Mérleg2018'!D121</f>
        <v>3319</v>
      </c>
      <c r="G121" s="11">
        <f>+'1.mell._Össz_Mérleg2018'!E121</f>
        <v>3099</v>
      </c>
      <c r="H121" s="1412">
        <f t="shared" si="23"/>
        <v>0.9337149743898765</v>
      </c>
      <c r="J121" s="3"/>
    </row>
    <row r="122" spans="1:10" ht="12.75" thickBot="1">
      <c r="A122" s="78" t="s">
        <v>65</v>
      </c>
      <c r="B122" s="68" t="s">
        <v>133</v>
      </c>
      <c r="C122" s="410">
        <v>155146</v>
      </c>
      <c r="D122" s="23">
        <v>107057</v>
      </c>
      <c r="E122" s="500">
        <f>+'1.mell._Össz_Mérleg2018'!C122</f>
        <v>108763</v>
      </c>
      <c r="F122" s="22">
        <f>+'1.mell._Össz_Mérleg2018'!D122</f>
        <v>165584</v>
      </c>
      <c r="G122" s="22">
        <f>+'1.mell._Össz_Mérleg2018'!E122</f>
        <v>155006</v>
      </c>
      <c r="H122" s="1411">
        <f t="shared" si="23"/>
        <v>0.93611701613682485</v>
      </c>
      <c r="J122" s="3"/>
    </row>
    <row r="123" spans="1:10" s="3" customFormat="1" ht="12.75" thickBot="1">
      <c r="A123" s="83" t="s">
        <v>16</v>
      </c>
      <c r="B123" s="64" t="s">
        <v>310</v>
      </c>
      <c r="C123" s="132">
        <f t="shared" ref="C123:H123" si="26">+C124+C125+C126+C127+C128+C129+C130+C131</f>
        <v>46723</v>
      </c>
      <c r="D123" s="29">
        <f t="shared" si="26"/>
        <v>48986</v>
      </c>
      <c r="E123" s="1049">
        <f t="shared" si="26"/>
        <v>51635</v>
      </c>
      <c r="F123" s="28">
        <f t="shared" si="26"/>
        <v>56062</v>
      </c>
      <c r="G123" s="28">
        <f t="shared" si="26"/>
        <v>54350</v>
      </c>
      <c r="H123" s="1408">
        <f t="shared" si="23"/>
        <v>0.96946238093539294</v>
      </c>
    </row>
    <row r="124" spans="1:10">
      <c r="A124" s="84" t="s">
        <v>227</v>
      </c>
      <c r="B124" s="65" t="s">
        <v>134</v>
      </c>
      <c r="C124" s="411"/>
      <c r="D124" s="35"/>
      <c r="E124" s="1051">
        <f>+'1.mell._Össz_Mérleg2018'!C124</f>
        <v>0</v>
      </c>
      <c r="F124" s="10">
        <f>+'1.mell._Össz_Mérleg2018'!D124</f>
        <v>0</v>
      </c>
      <c r="G124" s="10">
        <f>+'1.mell._Össz_Mérleg2018'!E124</f>
        <v>0</v>
      </c>
      <c r="H124" s="1410" t="str">
        <f t="shared" si="23"/>
        <v>-</v>
      </c>
      <c r="J124" s="3"/>
    </row>
    <row r="125" spans="1:10">
      <c r="A125" s="85" t="s">
        <v>228</v>
      </c>
      <c r="B125" s="67" t="s">
        <v>135</v>
      </c>
      <c r="C125" s="409">
        <v>13069</v>
      </c>
      <c r="D125" s="16">
        <v>12895</v>
      </c>
      <c r="E125" s="501">
        <f>+'1.mell._Össz_Mérleg2018'!C125</f>
        <v>0</v>
      </c>
      <c r="F125" s="11">
        <f>+'1.mell._Össz_Mérleg2018'!D125</f>
        <v>12775</v>
      </c>
      <c r="G125" s="11">
        <f>+'1.mell._Össz_Mérleg2018'!E125</f>
        <v>12775</v>
      </c>
      <c r="H125" s="1412">
        <f t="shared" si="23"/>
        <v>1</v>
      </c>
      <c r="J125" s="3"/>
    </row>
    <row r="126" spans="1:10">
      <c r="A126" s="85" t="s">
        <v>229</v>
      </c>
      <c r="B126" s="67" t="s">
        <v>136</v>
      </c>
      <c r="C126" s="409"/>
      <c r="D126" s="16"/>
      <c r="E126" s="501">
        <f>+'1.mell._Össz_Mérleg2018'!C126</f>
        <v>0</v>
      </c>
      <c r="F126" s="11">
        <f>+'1.mell._Össz_Mérleg2018'!D126</f>
        <v>0</v>
      </c>
      <c r="G126" s="11">
        <f>+'1.mell._Össz_Mérleg2018'!E126</f>
        <v>0</v>
      </c>
      <c r="H126" s="1412" t="str">
        <f t="shared" si="23"/>
        <v>-</v>
      </c>
      <c r="J126" s="3"/>
    </row>
    <row r="127" spans="1:10">
      <c r="A127" s="85" t="s">
        <v>257</v>
      </c>
      <c r="B127" s="67" t="s">
        <v>137</v>
      </c>
      <c r="C127" s="409"/>
      <c r="D127" s="16"/>
      <c r="E127" s="501">
        <f>+'1.mell._Össz_Mérleg2018'!C127</f>
        <v>2300</v>
      </c>
      <c r="F127" s="11">
        <f>+'1.mell._Össz_Mérleg2018'!D127</f>
        <v>0</v>
      </c>
      <c r="G127" s="11">
        <f>+'1.mell._Össz_Mérleg2018'!E127</f>
        <v>0</v>
      </c>
      <c r="H127" s="1412" t="str">
        <f t="shared" si="23"/>
        <v>-</v>
      </c>
      <c r="J127" s="3"/>
    </row>
    <row r="128" spans="1:10">
      <c r="A128" s="85" t="s">
        <v>258</v>
      </c>
      <c r="B128" s="67" t="s">
        <v>138</v>
      </c>
      <c r="C128" s="409"/>
      <c r="D128" s="16"/>
      <c r="E128" s="501">
        <f>+'1.mell._Össz_Mérleg2018'!C128</f>
        <v>0</v>
      </c>
      <c r="F128" s="11">
        <f>+'1.mell._Össz_Mérleg2018'!D128</f>
        <v>0</v>
      </c>
      <c r="G128" s="11">
        <f>+'1.mell._Össz_Mérleg2018'!E128</f>
        <v>0</v>
      </c>
      <c r="H128" s="1412" t="str">
        <f t="shared" si="23"/>
        <v>-</v>
      </c>
      <c r="J128" s="3"/>
    </row>
    <row r="129" spans="1:10">
      <c r="A129" s="85" t="s">
        <v>259</v>
      </c>
      <c r="B129" s="67" t="s">
        <v>139</v>
      </c>
      <c r="C129" s="409"/>
      <c r="D129" s="16"/>
      <c r="E129" s="501">
        <f>+'1.mell._Össz_Mérleg2018'!C129</f>
        <v>18000</v>
      </c>
      <c r="F129" s="11">
        <f>+'1.mell._Össz_Mérleg2018'!D129</f>
        <v>0</v>
      </c>
      <c r="G129" s="11">
        <f>+'1.mell._Össz_Mérleg2018'!E129</f>
        <v>0</v>
      </c>
      <c r="H129" s="1412" t="str">
        <f t="shared" si="23"/>
        <v>-</v>
      </c>
      <c r="J129" s="3"/>
    </row>
    <row r="130" spans="1:10">
      <c r="A130" s="85" t="s">
        <v>260</v>
      </c>
      <c r="B130" s="67" t="s">
        <v>140</v>
      </c>
      <c r="C130" s="409">
        <v>1425</v>
      </c>
      <c r="D130" s="16"/>
      <c r="E130" s="501">
        <f>+'1.mell._Össz_Mérleg2018'!C130</f>
        <v>11935</v>
      </c>
      <c r="F130" s="11">
        <f>+'1.mell._Össz_Mérleg2018'!D130</f>
        <v>2300</v>
      </c>
      <c r="G130" s="11">
        <f>+'1.mell._Össz_Mérleg2018'!E130</f>
        <v>2300</v>
      </c>
      <c r="H130" s="1412">
        <f t="shared" si="23"/>
        <v>1</v>
      </c>
      <c r="J130" s="3"/>
    </row>
    <row r="131" spans="1:10" ht="12.75" thickBot="1">
      <c r="A131" s="78" t="s">
        <v>261</v>
      </c>
      <c r="B131" s="68" t="s">
        <v>141</v>
      </c>
      <c r="C131" s="410">
        <v>32229</v>
      </c>
      <c r="D131" s="23">
        <v>36091</v>
      </c>
      <c r="E131" s="500">
        <f>+'1.mell._Össz_Mérleg2018'!C131</f>
        <v>19400</v>
      </c>
      <c r="F131" s="22">
        <f>+'1.mell._Össz_Mérleg2018'!D131</f>
        <v>40987</v>
      </c>
      <c r="G131" s="22">
        <f>+'1.mell._Össz_Mérleg2018'!E131</f>
        <v>39275</v>
      </c>
      <c r="H131" s="1411">
        <f t="shared" si="23"/>
        <v>0.95823065850147604</v>
      </c>
      <c r="J131" s="3"/>
    </row>
    <row r="132" spans="1:10" s="3" customFormat="1" ht="12.75" thickBot="1">
      <c r="A132" s="83" t="s">
        <v>15</v>
      </c>
      <c r="B132" s="64" t="s">
        <v>987</v>
      </c>
      <c r="C132" s="132">
        <f t="shared" ref="C132:H132" si="27">+C133+C134+C135+C136+C137+C138+C140+C141+C142+C143+C144+C145+C146</f>
        <v>142452</v>
      </c>
      <c r="D132" s="29">
        <f t="shared" si="27"/>
        <v>81816</v>
      </c>
      <c r="E132" s="1049">
        <f t="shared" si="27"/>
        <v>333736</v>
      </c>
      <c r="F132" s="28">
        <f t="shared" si="27"/>
        <v>3209152</v>
      </c>
      <c r="G132" s="28">
        <f t="shared" si="27"/>
        <v>68830</v>
      </c>
      <c r="H132" s="1408">
        <f t="shared" si="23"/>
        <v>2.1448033623835829E-2</v>
      </c>
    </row>
    <row r="133" spans="1:10">
      <c r="A133" s="84" t="s">
        <v>87</v>
      </c>
      <c r="B133" s="65" t="s">
        <v>142</v>
      </c>
      <c r="C133" s="411"/>
      <c r="D133" s="35"/>
      <c r="E133" s="1051">
        <f>+'1.mell._Össz_Mérleg2018'!C133</f>
        <v>0</v>
      </c>
      <c r="F133" s="10">
        <f>+'1.mell._Össz_Mérleg2018'!D133</f>
        <v>0</v>
      </c>
      <c r="G133" s="10">
        <f>+'1.mell._Össz_Mérleg2018'!E133</f>
        <v>0</v>
      </c>
      <c r="H133" s="1410" t="str">
        <f t="shared" si="23"/>
        <v>-</v>
      </c>
      <c r="J133" s="3"/>
    </row>
    <row r="134" spans="1:10">
      <c r="A134" s="85" t="s">
        <v>88</v>
      </c>
      <c r="B134" s="67" t="s">
        <v>143</v>
      </c>
      <c r="C134" s="409">
        <v>19763</v>
      </c>
      <c r="D134" s="16">
        <v>4504</v>
      </c>
      <c r="E134" s="501">
        <f>+'1.mell._Össz_Mérleg2018'!C134</f>
        <v>5488</v>
      </c>
      <c r="F134" s="11">
        <f>+'1.mell._Össz_Mérleg2018'!D134</f>
        <v>4931</v>
      </c>
      <c r="G134" s="11">
        <f>+'1.mell._Össz_Mérleg2018'!E134</f>
        <v>4931</v>
      </c>
      <c r="H134" s="1412">
        <f t="shared" si="23"/>
        <v>1</v>
      </c>
      <c r="J134" s="3"/>
    </row>
    <row r="135" spans="1:10">
      <c r="A135" s="85" t="s">
        <v>182</v>
      </c>
      <c r="B135" s="67" t="s">
        <v>144</v>
      </c>
      <c r="C135" s="409"/>
      <c r="D135" s="16"/>
      <c r="E135" s="501">
        <f>+'1.mell._Össz_Mérleg2018'!C135</f>
        <v>0</v>
      </c>
      <c r="F135" s="11">
        <f>+'1.mell._Össz_Mérleg2018'!D135</f>
        <v>0</v>
      </c>
      <c r="G135" s="11">
        <f>+'1.mell._Össz_Mérleg2018'!E135</f>
        <v>0</v>
      </c>
      <c r="H135" s="1412" t="str">
        <f t="shared" si="23"/>
        <v>-</v>
      </c>
      <c r="J135" s="3"/>
    </row>
    <row r="136" spans="1:10">
      <c r="A136" s="85" t="s">
        <v>183</v>
      </c>
      <c r="B136" s="67" t="s">
        <v>145</v>
      </c>
      <c r="C136" s="409"/>
      <c r="D136" s="16"/>
      <c r="E136" s="501">
        <f>+'1.mell._Össz_Mérleg2018'!C136</f>
        <v>0</v>
      </c>
      <c r="F136" s="11">
        <f>+'1.mell._Össz_Mérleg2018'!D136</f>
        <v>0</v>
      </c>
      <c r="G136" s="11">
        <f>+'1.mell._Össz_Mérleg2018'!E136</f>
        <v>0</v>
      </c>
      <c r="H136" s="1412" t="str">
        <f t="shared" si="23"/>
        <v>-</v>
      </c>
      <c r="J136" s="3"/>
    </row>
    <row r="137" spans="1:10">
      <c r="A137" s="85" t="s">
        <v>184</v>
      </c>
      <c r="B137" s="67" t="s">
        <v>146</v>
      </c>
      <c r="C137" s="409"/>
      <c r="D137" s="16"/>
      <c r="E137" s="501">
        <f>+'1.mell._Össz_Mérleg2018'!C137</f>
        <v>0</v>
      </c>
      <c r="F137" s="11">
        <f>+'1.mell._Össz_Mérleg2018'!D137</f>
        <v>0</v>
      </c>
      <c r="G137" s="11">
        <f>+'1.mell._Össz_Mérleg2018'!E137</f>
        <v>0</v>
      </c>
      <c r="H137" s="1412" t="str">
        <f t="shared" si="23"/>
        <v>-</v>
      </c>
      <c r="J137" s="3"/>
    </row>
    <row r="138" spans="1:10">
      <c r="A138" s="85" t="s">
        <v>262</v>
      </c>
      <c r="B138" s="67" t="s">
        <v>147</v>
      </c>
      <c r="C138" s="409">
        <v>62879</v>
      </c>
      <c r="D138" s="16">
        <v>20525</v>
      </c>
      <c r="E138" s="501">
        <f>+'1.mell._Össz_Mérleg2018'!C138</f>
        <v>9087</v>
      </c>
      <c r="F138" s="11">
        <f>+'1.mell._Össz_Mérleg2018'!D138</f>
        <v>17874</v>
      </c>
      <c r="G138" s="11">
        <f>+'1.mell._Össz_Mérleg2018'!E138</f>
        <v>10526</v>
      </c>
      <c r="H138" s="1412">
        <f t="shared" si="23"/>
        <v>0.58890007832606017</v>
      </c>
      <c r="J138" s="3"/>
    </row>
    <row r="139" spans="1:10" s="13" customFormat="1">
      <c r="A139" s="89" t="s">
        <v>336</v>
      </c>
      <c r="B139" s="818" t="s">
        <v>993</v>
      </c>
      <c r="C139" s="883">
        <v>630</v>
      </c>
      <c r="D139" s="994"/>
      <c r="E139" s="1050">
        <f>+'1.mell._Össz_Mérleg2018'!C139</f>
        <v>0</v>
      </c>
      <c r="F139" s="43">
        <f>+'1.mell._Össz_Mérleg2018'!D139</f>
        <v>2720</v>
      </c>
      <c r="G139" s="43">
        <f>+'1.mell._Össz_Mérleg2018'!E139</f>
        <v>2720</v>
      </c>
      <c r="H139" s="1411">
        <f t="shared" si="23"/>
        <v>1</v>
      </c>
      <c r="J139" s="3"/>
    </row>
    <row r="140" spans="1:10">
      <c r="A140" s="85" t="s">
        <v>263</v>
      </c>
      <c r="B140" s="67" t="s">
        <v>148</v>
      </c>
      <c r="C140" s="409"/>
      <c r="D140" s="16"/>
      <c r="E140" s="501">
        <f>+'1.mell._Össz_Mérleg2018'!C140</f>
        <v>0</v>
      </c>
      <c r="F140" s="11">
        <f>+'1.mell._Össz_Mérleg2018'!D140</f>
        <v>0</v>
      </c>
      <c r="G140" s="11">
        <f>+'1.mell._Össz_Mérleg2018'!E140</f>
        <v>0</v>
      </c>
      <c r="H140" s="1412" t="str">
        <f t="shared" si="23"/>
        <v>-</v>
      </c>
      <c r="J140" s="3"/>
    </row>
    <row r="141" spans="1:10">
      <c r="A141" s="85" t="s">
        <v>264</v>
      </c>
      <c r="B141" s="67" t="s">
        <v>149</v>
      </c>
      <c r="C141" s="409">
        <v>6975</v>
      </c>
      <c r="D141" s="16"/>
      <c r="E141" s="501">
        <f>+'1.mell._Össz_Mérleg2018'!C141</f>
        <v>0</v>
      </c>
      <c r="F141" s="11">
        <f>+'1.mell._Össz_Mérleg2018'!D141</f>
        <v>9401</v>
      </c>
      <c r="G141" s="11">
        <f>+'1.mell._Össz_Mérleg2018'!E141</f>
        <v>9401</v>
      </c>
      <c r="H141" s="1412">
        <f t="shared" si="23"/>
        <v>1</v>
      </c>
      <c r="J141" s="3"/>
    </row>
    <row r="142" spans="1:10">
      <c r="A142" s="85" t="s">
        <v>265</v>
      </c>
      <c r="B142" s="67" t="s">
        <v>150</v>
      </c>
      <c r="C142" s="409"/>
      <c r="D142" s="16"/>
      <c r="E142" s="501">
        <f>+'1.mell._Össz_Mérleg2018'!C142</f>
        <v>0</v>
      </c>
      <c r="F142" s="11">
        <f>+'1.mell._Össz_Mérleg2018'!D142</f>
        <v>0</v>
      </c>
      <c r="G142" s="11">
        <f>+'1.mell._Össz_Mérleg2018'!E142</f>
        <v>0</v>
      </c>
      <c r="H142" s="1412" t="str">
        <f t="shared" si="23"/>
        <v>-</v>
      </c>
      <c r="J142" s="3"/>
    </row>
    <row r="143" spans="1:10">
      <c r="A143" s="85" t="s">
        <v>266</v>
      </c>
      <c r="B143" s="67" t="s">
        <v>151</v>
      </c>
      <c r="C143" s="409"/>
      <c r="D143" s="16"/>
      <c r="E143" s="501">
        <f>+'1.mell._Össz_Mérleg2018'!C143</f>
        <v>0</v>
      </c>
      <c r="F143" s="11">
        <f>+'1.mell._Össz_Mérleg2018'!D143</f>
        <v>0</v>
      </c>
      <c r="G143" s="11">
        <f>+'1.mell._Össz_Mérleg2018'!E143</f>
        <v>0</v>
      </c>
      <c r="H143" s="1412" t="str">
        <f t="shared" si="23"/>
        <v>-</v>
      </c>
      <c r="J143" s="3"/>
    </row>
    <row r="144" spans="1:10">
      <c r="A144" s="85" t="s">
        <v>267</v>
      </c>
      <c r="B144" s="67" t="s">
        <v>988</v>
      </c>
      <c r="C144" s="409"/>
      <c r="D144" s="16"/>
      <c r="E144" s="501">
        <f>+'1.mell._Össz_Mérleg2018'!C144</f>
        <v>0</v>
      </c>
      <c r="F144" s="11">
        <f>+'1.mell._Össz_Mérleg2018'!D144</f>
        <v>0</v>
      </c>
      <c r="G144" s="11">
        <f>+'1.mell._Össz_Mérleg2018'!E144</f>
        <v>0</v>
      </c>
      <c r="H144" s="1412" t="str">
        <f t="shared" si="23"/>
        <v>-</v>
      </c>
      <c r="J144" s="3"/>
    </row>
    <row r="145" spans="1:10">
      <c r="A145" s="85" t="s">
        <v>268</v>
      </c>
      <c r="B145" s="67" t="s">
        <v>989</v>
      </c>
      <c r="C145" s="409">
        <v>52835</v>
      </c>
      <c r="D145" s="16">
        <v>56787</v>
      </c>
      <c r="E145" s="501">
        <f>+'1.mell._Össz_Mérleg2018'!C145</f>
        <v>47100</v>
      </c>
      <c r="F145" s="11">
        <f>+'1.mell._Össz_Mérleg2018'!D145</f>
        <v>44807</v>
      </c>
      <c r="G145" s="11">
        <f>+'1.mell._Össz_Mérleg2018'!E145</f>
        <v>43972</v>
      </c>
      <c r="H145" s="1412">
        <f t="shared" si="23"/>
        <v>0.98136451893677323</v>
      </c>
      <c r="J145" s="3"/>
    </row>
    <row r="146" spans="1:10">
      <c r="A146" s="78" t="s">
        <v>984</v>
      </c>
      <c r="B146" s="68" t="s">
        <v>990</v>
      </c>
      <c r="C146" s="410">
        <f t="shared" ref="C146:H146" si="28">+C147+C148</f>
        <v>0</v>
      </c>
      <c r="D146" s="23">
        <f t="shared" si="28"/>
        <v>0</v>
      </c>
      <c r="E146" s="500">
        <f t="shared" si="28"/>
        <v>272061</v>
      </c>
      <c r="F146" s="22">
        <f t="shared" si="28"/>
        <v>3132139</v>
      </c>
      <c r="G146" s="22">
        <f t="shared" si="28"/>
        <v>0</v>
      </c>
      <c r="H146" s="1411">
        <f t="shared" si="23"/>
        <v>0</v>
      </c>
      <c r="J146" s="3"/>
    </row>
    <row r="147" spans="1:10" s="13" customFormat="1">
      <c r="A147" s="89" t="s">
        <v>985</v>
      </c>
      <c r="B147" s="74" t="s">
        <v>991</v>
      </c>
      <c r="C147" s="408"/>
      <c r="D147" s="44"/>
      <c r="E147" s="1050">
        <f>+'1.mell._Össz_Mérleg2018'!C147</f>
        <v>5000</v>
      </c>
      <c r="F147" s="43">
        <f>+'1.mell._Össz_Mérleg2018'!D147</f>
        <v>3132139</v>
      </c>
      <c r="G147" s="43">
        <f>+'1.mell._Össz_Mérleg2018'!E147</f>
        <v>0</v>
      </c>
      <c r="H147" s="1411">
        <f t="shared" si="23"/>
        <v>0</v>
      </c>
      <c r="J147" s="3"/>
    </row>
    <row r="148" spans="1:10" s="13" customFormat="1" ht="12.75" thickBot="1">
      <c r="A148" s="89" t="s">
        <v>986</v>
      </c>
      <c r="B148" s="74" t="s">
        <v>992</v>
      </c>
      <c r="C148" s="408"/>
      <c r="D148" s="44"/>
      <c r="E148" s="1050">
        <f>+'1.mell._Össz_Mérleg2018'!C148</f>
        <v>267061</v>
      </c>
      <c r="F148" s="43">
        <f>+'1.mell._Össz_Mérleg2018'!D148</f>
        <v>0</v>
      </c>
      <c r="G148" s="43">
        <f>+'1.mell._Össz_Mérleg2018'!E148</f>
        <v>0</v>
      </c>
      <c r="H148" s="1411" t="str">
        <f t="shared" si="23"/>
        <v>-</v>
      </c>
      <c r="J148" s="3"/>
    </row>
    <row r="149" spans="1:10" s="3" customFormat="1" ht="12.75" thickBot="1">
      <c r="A149" s="83" t="s">
        <v>14</v>
      </c>
      <c r="B149" s="69" t="s">
        <v>311</v>
      </c>
      <c r="C149" s="132">
        <f t="shared" ref="C149:H149" si="29">+C150+C159+C165</f>
        <v>210430</v>
      </c>
      <c r="D149" s="29">
        <f t="shared" si="29"/>
        <v>270952</v>
      </c>
      <c r="E149" s="1049">
        <f t="shared" si="29"/>
        <v>1716878</v>
      </c>
      <c r="F149" s="28">
        <f t="shared" si="29"/>
        <v>760213</v>
      </c>
      <c r="G149" s="28">
        <f t="shared" si="29"/>
        <v>706531</v>
      </c>
      <c r="H149" s="1408">
        <f t="shared" si="23"/>
        <v>0.92938558009399996</v>
      </c>
    </row>
    <row r="150" spans="1:10" s="3" customFormat="1" ht="12.75" thickBot="1">
      <c r="A150" s="83" t="s">
        <v>13</v>
      </c>
      <c r="B150" s="64" t="s">
        <v>312</v>
      </c>
      <c r="C150" s="132">
        <f t="shared" ref="C150:H150" si="30">+C152+C153+C154+C155+C156+C157+C158</f>
        <v>139538</v>
      </c>
      <c r="D150" s="29">
        <f t="shared" si="30"/>
        <v>208326</v>
      </c>
      <c r="E150" s="1049">
        <f t="shared" si="30"/>
        <v>908654</v>
      </c>
      <c r="F150" s="28">
        <f t="shared" si="30"/>
        <v>530213</v>
      </c>
      <c r="G150" s="28">
        <f t="shared" si="30"/>
        <v>476531</v>
      </c>
      <c r="H150" s="1408">
        <f t="shared" si="23"/>
        <v>0.89875389701874531</v>
      </c>
    </row>
    <row r="151" spans="1:10" s="36" customFormat="1">
      <c r="A151" s="819" t="s">
        <v>994</v>
      </c>
      <c r="B151" s="820" t="s">
        <v>342</v>
      </c>
      <c r="C151" s="886"/>
      <c r="D151" s="995"/>
      <c r="E151" s="1058">
        <f>+'1.mell._Össz_Mérleg2018'!C151</f>
        <v>867373</v>
      </c>
      <c r="F151" s="97">
        <f>+'1.mell._Össz_Mérleg2018'!D151</f>
        <v>384122</v>
      </c>
      <c r="G151" s="97">
        <f>+'1.mell._Össz_Mérleg2018'!E151</f>
        <v>377145</v>
      </c>
      <c r="H151" s="1409">
        <f t="shared" si="23"/>
        <v>0.98183649986202304</v>
      </c>
      <c r="J151" s="3"/>
    </row>
    <row r="152" spans="1:10">
      <c r="A152" s="84" t="s">
        <v>66</v>
      </c>
      <c r="B152" s="65" t="s">
        <v>152</v>
      </c>
      <c r="C152" s="411"/>
      <c r="D152" s="35">
        <v>142</v>
      </c>
      <c r="E152" s="1051">
        <f>+'1.mell._Össz_Mérleg2018'!C152</f>
        <v>5512</v>
      </c>
      <c r="F152" s="10">
        <f>+'1.mell._Össz_Mérleg2018'!D152</f>
        <v>1102</v>
      </c>
      <c r="G152" s="10">
        <f>+'1.mell._Össz_Mérleg2018'!E152</f>
        <v>1102</v>
      </c>
      <c r="H152" s="1410">
        <f t="shared" si="23"/>
        <v>1</v>
      </c>
      <c r="J152" s="3"/>
    </row>
    <row r="153" spans="1:10">
      <c r="A153" s="85" t="s">
        <v>67</v>
      </c>
      <c r="B153" s="67" t="s">
        <v>153</v>
      </c>
      <c r="C153" s="409">
        <v>73215</v>
      </c>
      <c r="D153" s="16">
        <v>138746</v>
      </c>
      <c r="E153" s="501">
        <f>+'1.mell._Össz_Mérleg2018'!C153</f>
        <v>316079</v>
      </c>
      <c r="F153" s="11">
        <f>+'1.mell._Össz_Mérleg2018'!D153</f>
        <v>357934</v>
      </c>
      <c r="G153" s="11">
        <f>+'1.mell._Össz_Mérleg2018'!E153</f>
        <v>312152</v>
      </c>
      <c r="H153" s="1412">
        <f t="shared" si="23"/>
        <v>0.87209373795168943</v>
      </c>
      <c r="J153" s="3"/>
    </row>
    <row r="154" spans="1:10">
      <c r="A154" s="85" t="s">
        <v>68</v>
      </c>
      <c r="B154" s="67" t="s">
        <v>154</v>
      </c>
      <c r="C154" s="409">
        <v>10089</v>
      </c>
      <c r="D154" s="16">
        <v>1078</v>
      </c>
      <c r="E154" s="501">
        <f>+'1.mell._Össz_Mérleg2018'!C154</f>
        <v>0</v>
      </c>
      <c r="F154" s="11">
        <f>+'1.mell._Össz_Mérleg2018'!D154</f>
        <v>19415</v>
      </c>
      <c r="G154" s="11">
        <f>+'1.mell._Össz_Mérleg2018'!E154</f>
        <v>19415</v>
      </c>
      <c r="H154" s="1412">
        <f t="shared" si="23"/>
        <v>1</v>
      </c>
      <c r="J154" s="3"/>
    </row>
    <row r="155" spans="1:10">
      <c r="A155" s="85" t="s">
        <v>230</v>
      </c>
      <c r="B155" s="67" t="s">
        <v>155</v>
      </c>
      <c r="C155" s="409">
        <v>29899</v>
      </c>
      <c r="D155" s="16">
        <v>52048</v>
      </c>
      <c r="E155" s="501">
        <f>+'1.mell._Össz_Mérleg2018'!C155</f>
        <v>417504</v>
      </c>
      <c r="F155" s="11">
        <f>+'1.mell._Össz_Mérleg2018'!D155</f>
        <v>61208</v>
      </c>
      <c r="G155" s="11">
        <f>+'1.mell._Össz_Mérleg2018'!E155</f>
        <v>55680</v>
      </c>
      <c r="H155" s="1412">
        <f t="shared" si="23"/>
        <v>0.90968500849562151</v>
      </c>
      <c r="J155" s="3"/>
    </row>
    <row r="156" spans="1:10">
      <c r="A156" s="85" t="s">
        <v>231</v>
      </c>
      <c r="B156" s="67" t="s">
        <v>156</v>
      </c>
      <c r="C156" s="409">
        <v>5933</v>
      </c>
      <c r="D156" s="16"/>
      <c r="E156" s="501">
        <f>+'1.mell._Össz_Mérleg2018'!C156</f>
        <v>0</v>
      </c>
      <c r="F156" s="11">
        <f>+'1.mell._Össz_Mérleg2018'!D156</f>
        <v>5000</v>
      </c>
      <c r="G156" s="11">
        <f>+'1.mell._Össz_Mérleg2018'!E156</f>
        <v>5000</v>
      </c>
      <c r="H156" s="1412">
        <f t="shared" si="23"/>
        <v>1</v>
      </c>
      <c r="J156" s="3"/>
    </row>
    <row r="157" spans="1:10">
      <c r="A157" s="85" t="s">
        <v>269</v>
      </c>
      <c r="B157" s="67" t="s">
        <v>157</v>
      </c>
      <c r="C157" s="409">
        <v>75</v>
      </c>
      <c r="D157" s="16"/>
      <c r="E157" s="501">
        <f>+'1.mell._Össz_Mérleg2018'!C157</f>
        <v>0</v>
      </c>
      <c r="F157" s="11">
        <f>+'1.mell._Össz_Mérleg2018'!D157</f>
        <v>0</v>
      </c>
      <c r="G157" s="11">
        <f>+'1.mell._Össz_Mérleg2018'!E157</f>
        <v>0</v>
      </c>
      <c r="H157" s="1412" t="str">
        <f t="shared" si="23"/>
        <v>-</v>
      </c>
      <c r="J157" s="3"/>
    </row>
    <row r="158" spans="1:10" ht="12.75" thickBot="1">
      <c r="A158" s="78" t="s">
        <v>270</v>
      </c>
      <c r="B158" s="68" t="s">
        <v>158</v>
      </c>
      <c r="C158" s="410">
        <v>20327</v>
      </c>
      <c r="D158" s="23">
        <v>16312</v>
      </c>
      <c r="E158" s="500">
        <f>+'1.mell._Össz_Mérleg2018'!C158</f>
        <v>169559</v>
      </c>
      <c r="F158" s="22">
        <f>+'1.mell._Össz_Mérleg2018'!D158</f>
        <v>85554</v>
      </c>
      <c r="G158" s="22">
        <f>+'1.mell._Össz_Mérleg2018'!E158</f>
        <v>83182</v>
      </c>
      <c r="H158" s="1411">
        <f t="shared" si="23"/>
        <v>0.97227482058115344</v>
      </c>
      <c r="J158" s="3"/>
    </row>
    <row r="159" spans="1:10" s="3" customFormat="1" ht="12.75" thickBot="1">
      <c r="A159" s="83" t="s">
        <v>12</v>
      </c>
      <c r="B159" s="64" t="s">
        <v>313</v>
      </c>
      <c r="C159" s="132">
        <f t="shared" ref="C159:H159" si="31">+C161+C162+C163+C164</f>
        <v>66214</v>
      </c>
      <c r="D159" s="29">
        <f t="shared" si="31"/>
        <v>62626</v>
      </c>
      <c r="E159" s="1049">
        <f t="shared" si="31"/>
        <v>808224</v>
      </c>
      <c r="F159" s="28">
        <f t="shared" si="31"/>
        <v>228800</v>
      </c>
      <c r="G159" s="28">
        <f t="shared" si="31"/>
        <v>228800</v>
      </c>
      <c r="H159" s="1408">
        <f t="shared" si="23"/>
        <v>1</v>
      </c>
    </row>
    <row r="160" spans="1:10" s="36" customFormat="1">
      <c r="A160" s="819" t="s">
        <v>344</v>
      </c>
      <c r="B160" s="820" t="s">
        <v>345</v>
      </c>
      <c r="C160" s="886">
        <v>22154</v>
      </c>
      <c r="D160" s="995"/>
      <c r="E160" s="1058">
        <f>+'1.mell._Össz_Mérleg2018'!C160</f>
        <v>792788</v>
      </c>
      <c r="F160" s="97">
        <f>+'1.mell._Össz_Mérleg2018'!D160</f>
        <v>212673</v>
      </c>
      <c r="G160" s="97">
        <f>+'1.mell._Össz_Mérleg2018'!E160</f>
        <v>212673</v>
      </c>
      <c r="H160" s="1409">
        <f t="shared" si="23"/>
        <v>1</v>
      </c>
      <c r="J160" s="3"/>
    </row>
    <row r="161" spans="1:10">
      <c r="A161" s="84" t="s">
        <v>69</v>
      </c>
      <c r="B161" s="65" t="s">
        <v>159</v>
      </c>
      <c r="C161" s="411">
        <v>50059</v>
      </c>
      <c r="D161" s="35">
        <f>49934+1</f>
        <v>49935</v>
      </c>
      <c r="E161" s="1051">
        <f>+'1.mell._Össz_Mérleg2018'!C161</f>
        <v>636396</v>
      </c>
      <c r="F161" s="10">
        <f>+'1.mell._Össz_Mérleg2018'!D161</f>
        <v>178158</v>
      </c>
      <c r="G161" s="10">
        <f>+'1.mell._Össz_Mérleg2018'!E161</f>
        <v>178158</v>
      </c>
      <c r="H161" s="1410">
        <f t="shared" si="23"/>
        <v>1</v>
      </c>
      <c r="J161" s="3"/>
    </row>
    <row r="162" spans="1:10">
      <c r="A162" s="85" t="s">
        <v>70</v>
      </c>
      <c r="B162" s="67" t="s">
        <v>160</v>
      </c>
      <c r="C162" s="409"/>
      <c r="D162" s="16"/>
      <c r="E162" s="501">
        <f>+'1.mell._Össz_Mérleg2018'!C162</f>
        <v>0</v>
      </c>
      <c r="F162" s="11">
        <f>+'1.mell._Össz_Mérleg2018'!D162</f>
        <v>0</v>
      </c>
      <c r="G162" s="11">
        <f>+'1.mell._Össz_Mérleg2018'!E162</f>
        <v>0</v>
      </c>
      <c r="H162" s="1412" t="str">
        <f t="shared" si="23"/>
        <v>-</v>
      </c>
      <c r="J162" s="3"/>
    </row>
    <row r="163" spans="1:10">
      <c r="A163" s="85" t="s">
        <v>71</v>
      </c>
      <c r="B163" s="67" t="s">
        <v>161</v>
      </c>
      <c r="C163" s="409">
        <v>2693</v>
      </c>
      <c r="D163" s="16"/>
      <c r="E163" s="501">
        <f>+'1.mell._Össz_Mérleg2018'!C163</f>
        <v>0</v>
      </c>
      <c r="F163" s="11">
        <f>+'1.mell._Össz_Mérleg2018'!D163</f>
        <v>2109</v>
      </c>
      <c r="G163" s="11">
        <f>+'1.mell._Össz_Mérleg2018'!E163</f>
        <v>2109</v>
      </c>
      <c r="H163" s="1412">
        <f t="shared" si="23"/>
        <v>1</v>
      </c>
      <c r="J163" s="3"/>
    </row>
    <row r="164" spans="1:10" ht="12.75" thickBot="1">
      <c r="A164" s="78" t="s">
        <v>72</v>
      </c>
      <c r="B164" s="68" t="s">
        <v>162</v>
      </c>
      <c r="C164" s="410">
        <v>13462</v>
      </c>
      <c r="D164" s="23">
        <v>12691</v>
      </c>
      <c r="E164" s="500">
        <f>+'1.mell._Össz_Mérleg2018'!C164</f>
        <v>171828</v>
      </c>
      <c r="F164" s="22">
        <f>+'1.mell._Össz_Mérleg2018'!D164</f>
        <v>48533</v>
      </c>
      <c r="G164" s="22">
        <f>+'1.mell._Össz_Mérleg2018'!E164</f>
        <v>48533</v>
      </c>
      <c r="H164" s="1411">
        <f t="shared" si="23"/>
        <v>1</v>
      </c>
      <c r="J164" s="3"/>
    </row>
    <row r="165" spans="1:10" s="3" customFormat="1" ht="12.75" thickBot="1">
      <c r="A165" s="83" t="s">
        <v>11</v>
      </c>
      <c r="B165" s="64" t="s">
        <v>996</v>
      </c>
      <c r="C165" s="132">
        <f t="shared" ref="C165:H165" si="32">+C166+C167+C168+C169+C171+C172+C173+C174+C175</f>
        <v>4678</v>
      </c>
      <c r="D165" s="29">
        <f t="shared" si="32"/>
        <v>0</v>
      </c>
      <c r="E165" s="1049">
        <f t="shared" si="32"/>
        <v>0</v>
      </c>
      <c r="F165" s="28">
        <f t="shared" si="32"/>
        <v>1200</v>
      </c>
      <c r="G165" s="28">
        <f t="shared" si="32"/>
        <v>1200</v>
      </c>
      <c r="H165" s="1408">
        <f t="shared" si="23"/>
        <v>1</v>
      </c>
    </row>
    <row r="166" spans="1:10">
      <c r="A166" s="84" t="s">
        <v>271</v>
      </c>
      <c r="B166" s="65" t="s">
        <v>163</v>
      </c>
      <c r="C166" s="411"/>
      <c r="D166" s="35"/>
      <c r="E166" s="1051">
        <f>+'1.mell._Össz_Mérleg2018'!C166</f>
        <v>0</v>
      </c>
      <c r="F166" s="10">
        <f>+'1.mell._Össz_Mérleg2018'!D166</f>
        <v>0</v>
      </c>
      <c r="G166" s="10">
        <f>+'1.mell._Össz_Mérleg2018'!E166</f>
        <v>0</v>
      </c>
      <c r="H166" s="1410" t="str">
        <f t="shared" si="23"/>
        <v>-</v>
      </c>
      <c r="J166" s="3"/>
    </row>
    <row r="167" spans="1:10">
      <c r="A167" s="85" t="s">
        <v>272</v>
      </c>
      <c r="B167" s="67" t="s">
        <v>164</v>
      </c>
      <c r="C167" s="409"/>
      <c r="D167" s="16"/>
      <c r="E167" s="501">
        <f>+'1.mell._Össz_Mérleg2018'!C167</f>
        <v>0</v>
      </c>
      <c r="F167" s="11">
        <f>+'1.mell._Össz_Mérleg2018'!D167</f>
        <v>0</v>
      </c>
      <c r="G167" s="11">
        <f>+'1.mell._Össz_Mérleg2018'!E167</f>
        <v>0</v>
      </c>
      <c r="H167" s="1412" t="str">
        <f t="shared" si="23"/>
        <v>-</v>
      </c>
      <c r="J167" s="3"/>
    </row>
    <row r="168" spans="1:10">
      <c r="A168" s="85" t="s">
        <v>273</v>
      </c>
      <c r="B168" s="67" t="s">
        <v>165</v>
      </c>
      <c r="C168" s="409"/>
      <c r="D168" s="16"/>
      <c r="E168" s="501">
        <f>+'1.mell._Össz_Mérleg2018'!C168</f>
        <v>0</v>
      </c>
      <c r="F168" s="11">
        <f>+'1.mell._Össz_Mérleg2018'!D168</f>
        <v>0</v>
      </c>
      <c r="G168" s="11">
        <f>+'1.mell._Össz_Mérleg2018'!E168</f>
        <v>0</v>
      </c>
      <c r="H168" s="1412" t="str">
        <f t="shared" si="23"/>
        <v>-</v>
      </c>
      <c r="J168" s="3"/>
    </row>
    <row r="169" spans="1:10">
      <c r="A169" s="85" t="s">
        <v>274</v>
      </c>
      <c r="B169" s="67" t="s">
        <v>166</v>
      </c>
      <c r="C169" s="409">
        <v>4678</v>
      </c>
      <c r="D169" s="16"/>
      <c r="E169" s="501">
        <f>+'1.mell._Össz_Mérleg2018'!C169</f>
        <v>0</v>
      </c>
      <c r="F169" s="11">
        <f>+'1.mell._Össz_Mérleg2018'!D169</f>
        <v>1200</v>
      </c>
      <c r="G169" s="11">
        <f>+'1.mell._Össz_Mérleg2018'!E169</f>
        <v>1200</v>
      </c>
      <c r="H169" s="1412">
        <f t="shared" si="23"/>
        <v>1</v>
      </c>
      <c r="J169" s="3"/>
    </row>
    <row r="170" spans="1:10" s="13" customFormat="1">
      <c r="A170" s="89" t="s">
        <v>339</v>
      </c>
      <c r="B170" s="818" t="s">
        <v>340</v>
      </c>
      <c r="C170" s="408">
        <v>4678</v>
      </c>
      <c r="D170" s="44"/>
      <c r="E170" s="1050">
        <f>+'1.mell._Össz_Mérleg2018'!C170</f>
        <v>0</v>
      </c>
      <c r="F170" s="43">
        <f>+'1.mell._Össz_Mérleg2018'!D170</f>
        <v>0</v>
      </c>
      <c r="G170" s="43">
        <f>+'1.mell._Össz_Mérleg2018'!E170</f>
        <v>0</v>
      </c>
      <c r="H170" s="1411" t="str">
        <f t="shared" si="23"/>
        <v>-</v>
      </c>
      <c r="J170" s="3"/>
    </row>
    <row r="171" spans="1:10">
      <c r="A171" s="85" t="s">
        <v>275</v>
      </c>
      <c r="B171" s="67" t="s">
        <v>167</v>
      </c>
      <c r="C171" s="409"/>
      <c r="D171" s="16"/>
      <c r="E171" s="501">
        <f>+'1.mell._Össz_Mérleg2018'!C171</f>
        <v>0</v>
      </c>
      <c r="F171" s="11">
        <f>+'1.mell._Össz_Mérleg2018'!D171</f>
        <v>0</v>
      </c>
      <c r="G171" s="11">
        <f>+'1.mell._Össz_Mérleg2018'!E171</f>
        <v>0</v>
      </c>
      <c r="H171" s="1412" t="str">
        <f t="shared" si="23"/>
        <v>-</v>
      </c>
      <c r="J171" s="3"/>
    </row>
    <row r="172" spans="1:10">
      <c r="A172" s="85" t="s">
        <v>276</v>
      </c>
      <c r="B172" s="67" t="s">
        <v>168</v>
      </c>
      <c r="C172" s="409"/>
      <c r="D172" s="16"/>
      <c r="E172" s="501">
        <f>+'1.mell._Össz_Mérleg2018'!C172</f>
        <v>0</v>
      </c>
      <c r="F172" s="11">
        <f>+'1.mell._Össz_Mérleg2018'!D172</f>
        <v>0</v>
      </c>
      <c r="G172" s="11">
        <f>+'1.mell._Össz_Mérleg2018'!E172</f>
        <v>0</v>
      </c>
      <c r="H172" s="1412" t="str">
        <f t="shared" si="23"/>
        <v>-</v>
      </c>
      <c r="J172" s="3"/>
    </row>
    <row r="173" spans="1:10">
      <c r="A173" s="85" t="s">
        <v>277</v>
      </c>
      <c r="B173" s="67" t="s">
        <v>169</v>
      </c>
      <c r="C173" s="409"/>
      <c r="D173" s="16"/>
      <c r="E173" s="501">
        <f>+'1.mell._Össz_Mérleg2018'!C173</f>
        <v>0</v>
      </c>
      <c r="F173" s="11">
        <f>+'1.mell._Össz_Mérleg2018'!D173</f>
        <v>0</v>
      </c>
      <c r="G173" s="11">
        <f>+'1.mell._Össz_Mérleg2018'!E173</f>
        <v>0</v>
      </c>
      <c r="H173" s="1412" t="str">
        <f t="shared" ref="H173:H208" si="33">IF(ISERROR(G173/F173),"-",G173/F173)</f>
        <v>-</v>
      </c>
      <c r="J173" s="3"/>
    </row>
    <row r="174" spans="1:10">
      <c r="A174" s="85" t="s">
        <v>278</v>
      </c>
      <c r="B174" s="67" t="s">
        <v>997</v>
      </c>
      <c r="C174" s="409"/>
      <c r="D174" s="16"/>
      <c r="E174" s="501">
        <f>+'1.mell._Össz_Mérleg2018'!C174</f>
        <v>0</v>
      </c>
      <c r="F174" s="11">
        <f>+'1.mell._Össz_Mérleg2018'!D174</f>
        <v>0</v>
      </c>
      <c r="G174" s="11">
        <f>+'1.mell._Össz_Mérleg2018'!E174</f>
        <v>0</v>
      </c>
      <c r="H174" s="1412" t="str">
        <f t="shared" si="33"/>
        <v>-</v>
      </c>
      <c r="J174" s="3"/>
    </row>
    <row r="175" spans="1:10" ht="12.75" thickBot="1">
      <c r="A175" s="78" t="s">
        <v>995</v>
      </c>
      <c r="B175" s="68" t="s">
        <v>998</v>
      </c>
      <c r="C175" s="410"/>
      <c r="D175" s="23"/>
      <c r="E175" s="500">
        <f>+'1.mell._Össz_Mérleg2018'!C175</f>
        <v>0</v>
      </c>
      <c r="F175" s="22">
        <f>+'1.mell._Össz_Mérleg2018'!D175</f>
        <v>0</v>
      </c>
      <c r="G175" s="22">
        <f>+'1.mell._Össz_Mérleg2018'!E175</f>
        <v>0</v>
      </c>
      <c r="H175" s="1411" t="str">
        <f t="shared" si="33"/>
        <v>-</v>
      </c>
      <c r="J175" s="3"/>
    </row>
    <row r="176" spans="1:10" s="3" customFormat="1" ht="12.75" thickBot="1">
      <c r="A176" s="83" t="s">
        <v>10</v>
      </c>
      <c r="B176" s="69" t="s">
        <v>314</v>
      </c>
      <c r="C176" s="132">
        <f t="shared" ref="C176:H176" si="34">+C109+C149</f>
        <v>1956229</v>
      </c>
      <c r="D176" s="29">
        <f t="shared" si="34"/>
        <v>1779229</v>
      </c>
      <c r="E176" s="1049">
        <f t="shared" si="34"/>
        <v>3282008</v>
      </c>
      <c r="F176" s="28">
        <f t="shared" si="34"/>
        <v>5763564</v>
      </c>
      <c r="G176" s="28">
        <f t="shared" si="34"/>
        <v>2513536</v>
      </c>
      <c r="H176" s="1408">
        <f t="shared" si="33"/>
        <v>0.43610793599238251</v>
      </c>
    </row>
    <row r="177" spans="1:10" s="3" customFormat="1" ht="12.75" thickBot="1">
      <c r="A177" s="83" t="s">
        <v>9</v>
      </c>
      <c r="B177" s="70" t="s">
        <v>315</v>
      </c>
      <c r="C177" s="132">
        <f t="shared" ref="C177:H177" si="35">+C178</f>
        <v>430524</v>
      </c>
      <c r="D177" s="29">
        <f t="shared" si="35"/>
        <v>638506</v>
      </c>
      <c r="E177" s="1049">
        <f t="shared" si="35"/>
        <v>25346</v>
      </c>
      <c r="F177" s="28">
        <f t="shared" si="35"/>
        <v>151382</v>
      </c>
      <c r="G177" s="28">
        <f t="shared" si="35"/>
        <v>110911</v>
      </c>
      <c r="H177" s="1408">
        <f t="shared" si="33"/>
        <v>0.73265645849572603</v>
      </c>
    </row>
    <row r="178" spans="1:10" s="3" customFormat="1" ht="12.75" thickBot="1">
      <c r="A178" s="83" t="s">
        <v>45</v>
      </c>
      <c r="B178" s="64" t="s">
        <v>1005</v>
      </c>
      <c r="C178" s="132">
        <f t="shared" ref="C178:H178" si="36">+C179+C189+C190+C191</f>
        <v>430524</v>
      </c>
      <c r="D178" s="29">
        <f t="shared" si="36"/>
        <v>638506</v>
      </c>
      <c r="E178" s="1049">
        <f t="shared" si="36"/>
        <v>25346</v>
      </c>
      <c r="F178" s="28">
        <f t="shared" si="36"/>
        <v>151382</v>
      </c>
      <c r="G178" s="28">
        <f t="shared" si="36"/>
        <v>110911</v>
      </c>
      <c r="H178" s="1408">
        <f t="shared" si="33"/>
        <v>0.73265645849572603</v>
      </c>
    </row>
    <row r="179" spans="1:10">
      <c r="A179" s="84" t="s">
        <v>75</v>
      </c>
      <c r="B179" s="65" t="s">
        <v>1006</v>
      </c>
      <c r="C179" s="411">
        <f t="shared" ref="C179:H179" si="37">+C180+C181+C182+C183+C184+C185+C186+C187+C188</f>
        <v>430524</v>
      </c>
      <c r="D179" s="35">
        <f t="shared" si="37"/>
        <v>638506</v>
      </c>
      <c r="E179" s="1051">
        <f t="shared" si="37"/>
        <v>25346</v>
      </c>
      <c r="F179" s="10">
        <f t="shared" si="37"/>
        <v>151382</v>
      </c>
      <c r="G179" s="10">
        <f t="shared" si="37"/>
        <v>110911</v>
      </c>
      <c r="H179" s="1410">
        <f t="shared" si="33"/>
        <v>0.73265645849572603</v>
      </c>
      <c r="J179" s="3"/>
    </row>
    <row r="180" spans="1:10" s="13" customFormat="1">
      <c r="A180" s="86" t="s">
        <v>205</v>
      </c>
      <c r="B180" s="66" t="s">
        <v>170</v>
      </c>
      <c r="C180" s="407">
        <v>405020</v>
      </c>
      <c r="D180" s="15">
        <v>613394</v>
      </c>
      <c r="E180" s="502">
        <f>+'1.mell._Össz_Mérleg2018'!C180</f>
        <v>0</v>
      </c>
      <c r="F180" s="12">
        <f>+'1.mell._Össz_Mérleg2018'!D180</f>
        <v>85565</v>
      </c>
      <c r="G180" s="12">
        <f>+'1.mell._Össz_Mérleg2018'!E180</f>
        <v>85565</v>
      </c>
      <c r="H180" s="1412">
        <f t="shared" si="33"/>
        <v>1</v>
      </c>
      <c r="J180" s="3"/>
    </row>
    <row r="181" spans="1:10" s="13" customFormat="1">
      <c r="A181" s="86" t="s">
        <v>206</v>
      </c>
      <c r="B181" s="66" t="s">
        <v>171</v>
      </c>
      <c r="C181" s="407"/>
      <c r="D181" s="15"/>
      <c r="E181" s="502">
        <f>+'1.mell._Össz_Mérleg2018'!C181</f>
        <v>0</v>
      </c>
      <c r="F181" s="12">
        <f>+'1.mell._Össz_Mérleg2018'!D181</f>
        <v>0</v>
      </c>
      <c r="G181" s="12">
        <f>+'1.mell._Össz_Mérleg2018'!E181</f>
        <v>0</v>
      </c>
      <c r="H181" s="1412" t="str">
        <f t="shared" si="33"/>
        <v>-</v>
      </c>
      <c r="J181" s="3"/>
    </row>
    <row r="182" spans="1:10" s="13" customFormat="1">
      <c r="A182" s="86" t="s">
        <v>207</v>
      </c>
      <c r="B182" s="66" t="s">
        <v>172</v>
      </c>
      <c r="C182" s="407"/>
      <c r="D182" s="15"/>
      <c r="E182" s="502">
        <f>+'1.mell._Össz_Mérleg2018'!C182</f>
        <v>0</v>
      </c>
      <c r="F182" s="12">
        <f>+'1.mell._Össz_Mérleg2018'!D182</f>
        <v>0</v>
      </c>
      <c r="G182" s="12">
        <f>+'1.mell._Össz_Mérleg2018'!E182</f>
        <v>0</v>
      </c>
      <c r="H182" s="1412" t="str">
        <f t="shared" si="33"/>
        <v>-</v>
      </c>
      <c r="J182" s="3"/>
    </row>
    <row r="183" spans="1:10" s="13" customFormat="1">
      <c r="A183" s="86" t="s">
        <v>208</v>
      </c>
      <c r="B183" s="66" t="s">
        <v>173</v>
      </c>
      <c r="C183" s="407">
        <v>25504</v>
      </c>
      <c r="D183" s="15">
        <v>25112</v>
      </c>
      <c r="E183" s="502">
        <f>+'1.mell._Össz_Mérleg2018'!C183</f>
        <v>25346</v>
      </c>
      <c r="F183" s="12">
        <f>+'1.mell._Össz_Mérleg2018'!D183</f>
        <v>25346</v>
      </c>
      <c r="G183" s="12">
        <f>+'1.mell._Össz_Mérleg2018'!E183</f>
        <v>25346</v>
      </c>
      <c r="H183" s="1412">
        <f t="shared" si="33"/>
        <v>1</v>
      </c>
      <c r="J183" s="3"/>
    </row>
    <row r="184" spans="1:10" s="13" customFormat="1">
      <c r="A184" s="103" t="s">
        <v>209</v>
      </c>
      <c r="B184" s="104" t="s">
        <v>174</v>
      </c>
      <c r="C184" s="406"/>
      <c r="D184" s="107"/>
      <c r="E184" s="1064">
        <f>+'1.mell._Össz_Mérleg2018'!C184</f>
        <v>0</v>
      </c>
      <c r="F184" s="106">
        <f>+'1.mell._Össz_Mérleg2018'!D184</f>
        <v>40471</v>
      </c>
      <c r="G184" s="106">
        <f>+'1.mell._Össz_Mérleg2018'!E184</f>
        <v>0</v>
      </c>
      <c r="H184" s="1413">
        <f t="shared" si="33"/>
        <v>0</v>
      </c>
      <c r="J184" s="3"/>
    </row>
    <row r="185" spans="1:10" s="13" customFormat="1">
      <c r="A185" s="86" t="s">
        <v>210</v>
      </c>
      <c r="B185" s="66" t="s">
        <v>179</v>
      </c>
      <c r="C185" s="407"/>
      <c r="D185" s="15"/>
      <c r="E185" s="502">
        <f>+'1.mell._Össz_Mérleg2018'!C185</f>
        <v>0</v>
      </c>
      <c r="F185" s="12">
        <f>+'1.mell._Össz_Mérleg2018'!D185</f>
        <v>0</v>
      </c>
      <c r="G185" s="12">
        <f>+'1.mell._Össz_Mérleg2018'!E185</f>
        <v>0</v>
      </c>
      <c r="H185" s="1412" t="str">
        <f t="shared" si="33"/>
        <v>-</v>
      </c>
      <c r="J185" s="3"/>
    </row>
    <row r="186" spans="1:10" s="13" customFormat="1">
      <c r="A186" s="86" t="s">
        <v>211</v>
      </c>
      <c r="B186" s="66" t="s">
        <v>175</v>
      </c>
      <c r="C186" s="407"/>
      <c r="D186" s="15"/>
      <c r="E186" s="502">
        <f>+'1.mell._Össz_Mérleg2018'!C186</f>
        <v>0</v>
      </c>
      <c r="F186" s="12">
        <f>+'1.mell._Össz_Mérleg2018'!D186</f>
        <v>0</v>
      </c>
      <c r="G186" s="12">
        <f>+'1.mell._Össz_Mérleg2018'!E186</f>
        <v>0</v>
      </c>
      <c r="H186" s="1412" t="str">
        <f t="shared" si="33"/>
        <v>-</v>
      </c>
      <c r="J186" s="3"/>
    </row>
    <row r="187" spans="1:10" s="13" customFormat="1">
      <c r="A187" s="86" t="s">
        <v>212</v>
      </c>
      <c r="B187" s="66" t="s">
        <v>176</v>
      </c>
      <c r="C187" s="407"/>
      <c r="D187" s="15"/>
      <c r="E187" s="502">
        <f>+'1.mell._Össz_Mérleg2018'!C187</f>
        <v>0</v>
      </c>
      <c r="F187" s="12">
        <f>+'1.mell._Össz_Mérleg2018'!D187</f>
        <v>0</v>
      </c>
      <c r="G187" s="12">
        <f>+'1.mell._Össz_Mérleg2018'!E187</f>
        <v>0</v>
      </c>
      <c r="H187" s="1412" t="str">
        <f t="shared" si="33"/>
        <v>-</v>
      </c>
      <c r="J187" s="3"/>
    </row>
    <row r="188" spans="1:10" s="13" customFormat="1">
      <c r="A188" s="86" t="s">
        <v>999</v>
      </c>
      <c r="B188" s="66" t="s">
        <v>1001</v>
      </c>
      <c r="C188" s="407"/>
      <c r="D188" s="15"/>
      <c r="E188" s="502">
        <f>+'1.mell._Össz_Mérleg2018'!C188</f>
        <v>0</v>
      </c>
      <c r="F188" s="12">
        <f>+'1.mell._Össz_Mérleg2018'!D188</f>
        <v>0</v>
      </c>
      <c r="G188" s="12">
        <f>+'1.mell._Össz_Mérleg2018'!E188</f>
        <v>0</v>
      </c>
      <c r="H188" s="1412" t="str">
        <f t="shared" si="33"/>
        <v>-</v>
      </c>
      <c r="J188" s="3"/>
    </row>
    <row r="189" spans="1:10">
      <c r="A189" s="85" t="s">
        <v>76</v>
      </c>
      <c r="B189" s="67" t="s">
        <v>177</v>
      </c>
      <c r="C189" s="409"/>
      <c r="D189" s="16"/>
      <c r="E189" s="501">
        <f>+'1.mell._Össz_Mérleg2018'!C189</f>
        <v>0</v>
      </c>
      <c r="F189" s="11">
        <f>+'1.mell._Össz_Mérleg2018'!D189</f>
        <v>0</v>
      </c>
      <c r="G189" s="11">
        <f>+'1.mell._Össz_Mérleg2018'!E189</f>
        <v>0</v>
      </c>
      <c r="H189" s="1412" t="str">
        <f t="shared" si="33"/>
        <v>-</v>
      </c>
      <c r="J189" s="3"/>
    </row>
    <row r="190" spans="1:10">
      <c r="A190" s="78" t="s">
        <v>77</v>
      </c>
      <c r="B190" s="68" t="s">
        <v>178</v>
      </c>
      <c r="C190" s="410"/>
      <c r="D190" s="23"/>
      <c r="E190" s="500">
        <f>+'1.mell._Össz_Mérleg2018'!C190</f>
        <v>0</v>
      </c>
      <c r="F190" s="22">
        <f>+'1.mell._Össz_Mérleg2018'!D190</f>
        <v>0</v>
      </c>
      <c r="G190" s="22">
        <f>+'1.mell._Össz_Mérleg2018'!E190</f>
        <v>0</v>
      </c>
      <c r="H190" s="1411" t="str">
        <f t="shared" si="33"/>
        <v>-</v>
      </c>
      <c r="J190" s="3"/>
    </row>
    <row r="191" spans="1:10" ht="12.75" thickBot="1">
      <c r="A191" s="78" t="s">
        <v>1004</v>
      </c>
      <c r="B191" s="68" t="s">
        <v>1002</v>
      </c>
      <c r="C191" s="410"/>
      <c r="D191" s="23"/>
      <c r="E191" s="500">
        <f>+'1.mell._Össz_Mérleg2018'!C191</f>
        <v>0</v>
      </c>
      <c r="F191" s="22">
        <f>+'1.mell._Össz_Mérleg2018'!D191</f>
        <v>0</v>
      </c>
      <c r="G191" s="22">
        <f>+'1.mell._Össz_Mérleg2018'!E191</f>
        <v>0</v>
      </c>
      <c r="H191" s="1411" t="str">
        <f t="shared" si="33"/>
        <v>-</v>
      </c>
      <c r="J191" s="3"/>
    </row>
    <row r="192" spans="1:10" s="3" customFormat="1" ht="12.75" thickBot="1">
      <c r="A192" s="83" t="s">
        <v>44</v>
      </c>
      <c r="B192" s="69" t="s">
        <v>316</v>
      </c>
      <c r="C192" s="132">
        <f t="shared" ref="C192:H192" si="38">+C193</f>
        <v>0</v>
      </c>
      <c r="D192" s="29">
        <f t="shared" si="38"/>
        <v>9970</v>
      </c>
      <c r="E192" s="1049">
        <f t="shared" si="38"/>
        <v>0</v>
      </c>
      <c r="F192" s="28">
        <f t="shared" si="38"/>
        <v>0</v>
      </c>
      <c r="G192" s="28">
        <f t="shared" si="38"/>
        <v>0</v>
      </c>
      <c r="H192" s="1408" t="str">
        <f t="shared" si="33"/>
        <v>-</v>
      </c>
    </row>
    <row r="193" spans="1:10" s="3" customFormat="1" ht="12.75" thickBot="1">
      <c r="A193" s="83" t="s">
        <v>43</v>
      </c>
      <c r="B193" s="64" t="s">
        <v>1000</v>
      </c>
      <c r="C193" s="132">
        <f t="shared" ref="C193:H193" si="39">+C194+C204+C205+C206</f>
        <v>0</v>
      </c>
      <c r="D193" s="29">
        <f t="shared" si="39"/>
        <v>9970</v>
      </c>
      <c r="E193" s="1049">
        <f t="shared" si="39"/>
        <v>0</v>
      </c>
      <c r="F193" s="28">
        <f t="shared" si="39"/>
        <v>0</v>
      </c>
      <c r="G193" s="28">
        <f t="shared" si="39"/>
        <v>0</v>
      </c>
      <c r="H193" s="1408" t="str">
        <f t="shared" si="33"/>
        <v>-</v>
      </c>
    </row>
    <row r="194" spans="1:10">
      <c r="A194" s="84" t="s">
        <v>78</v>
      </c>
      <c r="B194" s="65" t="s">
        <v>1043</v>
      </c>
      <c r="C194" s="411">
        <f t="shared" ref="C194:H194" si="40">+C195+C196+C197+C198+C199+C200+C201+C202+C203</f>
        <v>0</v>
      </c>
      <c r="D194" s="35">
        <f t="shared" si="40"/>
        <v>9970</v>
      </c>
      <c r="E194" s="1051">
        <f t="shared" si="40"/>
        <v>0</v>
      </c>
      <c r="F194" s="10">
        <f t="shared" si="40"/>
        <v>0</v>
      </c>
      <c r="G194" s="10">
        <f t="shared" si="40"/>
        <v>0</v>
      </c>
      <c r="H194" s="1410" t="str">
        <f t="shared" si="33"/>
        <v>-</v>
      </c>
      <c r="J194" s="3"/>
    </row>
    <row r="195" spans="1:10" s="13" customFormat="1">
      <c r="A195" s="86" t="s">
        <v>213</v>
      </c>
      <c r="B195" s="66" t="s">
        <v>170</v>
      </c>
      <c r="C195" s="407"/>
      <c r="D195" s="15">
        <v>9970</v>
      </c>
      <c r="E195" s="502">
        <f>+'1.mell._Össz_Mérleg2018'!C195</f>
        <v>0</v>
      </c>
      <c r="F195" s="12">
        <f>+'1.mell._Össz_Mérleg2018'!D195</f>
        <v>0</v>
      </c>
      <c r="G195" s="12">
        <f>+'1.mell._Össz_Mérleg2018'!E195</f>
        <v>0</v>
      </c>
      <c r="H195" s="1412" t="str">
        <f t="shared" si="33"/>
        <v>-</v>
      </c>
      <c r="J195" s="3"/>
    </row>
    <row r="196" spans="1:10" s="13" customFormat="1">
      <c r="A196" s="86" t="s">
        <v>214</v>
      </c>
      <c r="B196" s="66" t="s">
        <v>171</v>
      </c>
      <c r="C196" s="407"/>
      <c r="D196" s="15"/>
      <c r="E196" s="502">
        <f>+'1.mell._Össz_Mérleg2018'!C196</f>
        <v>0</v>
      </c>
      <c r="F196" s="12">
        <f>+'1.mell._Össz_Mérleg2018'!D196</f>
        <v>0</v>
      </c>
      <c r="G196" s="12">
        <f>+'1.mell._Össz_Mérleg2018'!E196</f>
        <v>0</v>
      </c>
      <c r="H196" s="1412" t="str">
        <f t="shared" si="33"/>
        <v>-</v>
      </c>
      <c r="J196" s="3"/>
    </row>
    <row r="197" spans="1:10" s="13" customFormat="1">
      <c r="A197" s="86" t="s">
        <v>215</v>
      </c>
      <c r="B197" s="66" t="s">
        <v>172</v>
      </c>
      <c r="C197" s="407"/>
      <c r="D197" s="15"/>
      <c r="E197" s="502">
        <f>+'1.mell._Össz_Mérleg2018'!C197</f>
        <v>0</v>
      </c>
      <c r="F197" s="12">
        <f>+'1.mell._Össz_Mérleg2018'!D197</f>
        <v>0</v>
      </c>
      <c r="G197" s="12">
        <f>+'1.mell._Össz_Mérleg2018'!E197</f>
        <v>0</v>
      </c>
      <c r="H197" s="1412" t="str">
        <f t="shared" si="33"/>
        <v>-</v>
      </c>
      <c r="J197" s="3"/>
    </row>
    <row r="198" spans="1:10" s="13" customFormat="1">
      <c r="A198" s="86" t="s">
        <v>216</v>
      </c>
      <c r="B198" s="66" t="s">
        <v>173</v>
      </c>
      <c r="C198" s="407"/>
      <c r="D198" s="15"/>
      <c r="E198" s="502">
        <f>+'1.mell._Össz_Mérleg2018'!C198</f>
        <v>0</v>
      </c>
      <c r="F198" s="12">
        <f>+'1.mell._Össz_Mérleg2018'!D198</f>
        <v>0</v>
      </c>
      <c r="G198" s="12">
        <f>+'1.mell._Össz_Mérleg2018'!E198</f>
        <v>0</v>
      </c>
      <c r="H198" s="1412" t="str">
        <f t="shared" si="33"/>
        <v>-</v>
      </c>
      <c r="J198" s="3"/>
    </row>
    <row r="199" spans="1:10" s="13" customFormat="1">
      <c r="A199" s="103" t="s">
        <v>217</v>
      </c>
      <c r="B199" s="104" t="s">
        <v>174</v>
      </c>
      <c r="C199" s="406"/>
      <c r="D199" s="107"/>
      <c r="E199" s="1064">
        <f>+'1.mell._Össz_Mérleg2018'!C199</f>
        <v>0</v>
      </c>
      <c r="F199" s="106">
        <f>+'1.mell._Össz_Mérleg2018'!D199</f>
        <v>0</v>
      </c>
      <c r="G199" s="106">
        <f>+'1.mell._Össz_Mérleg2018'!E199</f>
        <v>0</v>
      </c>
      <c r="H199" s="1413" t="str">
        <f t="shared" si="33"/>
        <v>-</v>
      </c>
      <c r="J199" s="3"/>
    </row>
    <row r="200" spans="1:10" s="13" customFormat="1">
      <c r="A200" s="86" t="s">
        <v>218</v>
      </c>
      <c r="B200" s="66" t="s">
        <v>179</v>
      </c>
      <c r="C200" s="407"/>
      <c r="D200" s="15"/>
      <c r="E200" s="502">
        <f>+'1.mell._Össz_Mérleg2018'!C200</f>
        <v>0</v>
      </c>
      <c r="F200" s="12">
        <f>+'1.mell._Össz_Mérleg2018'!D200</f>
        <v>0</v>
      </c>
      <c r="G200" s="12">
        <f>+'1.mell._Össz_Mérleg2018'!E200</f>
        <v>0</v>
      </c>
      <c r="H200" s="1412" t="str">
        <f t="shared" si="33"/>
        <v>-</v>
      </c>
      <c r="J200" s="3"/>
    </row>
    <row r="201" spans="1:10" s="13" customFormat="1">
      <c r="A201" s="86" t="s">
        <v>219</v>
      </c>
      <c r="B201" s="66" t="s">
        <v>175</v>
      </c>
      <c r="C201" s="407"/>
      <c r="D201" s="15"/>
      <c r="E201" s="502">
        <f>+'1.mell._Össz_Mérleg2018'!C201</f>
        <v>0</v>
      </c>
      <c r="F201" s="12">
        <f>+'1.mell._Össz_Mérleg2018'!D201</f>
        <v>0</v>
      </c>
      <c r="G201" s="12">
        <f>+'1.mell._Össz_Mérleg2018'!E201</f>
        <v>0</v>
      </c>
      <c r="H201" s="1412" t="str">
        <f t="shared" si="33"/>
        <v>-</v>
      </c>
      <c r="J201" s="3"/>
    </row>
    <row r="202" spans="1:10" s="13" customFormat="1">
      <c r="A202" s="86" t="s">
        <v>220</v>
      </c>
      <c r="B202" s="66" t="s">
        <v>176</v>
      </c>
      <c r="C202" s="407"/>
      <c r="D202" s="15"/>
      <c r="E202" s="502">
        <f>+'1.mell._Össz_Mérleg2018'!C202</f>
        <v>0</v>
      </c>
      <c r="F202" s="12">
        <f>+'1.mell._Össz_Mérleg2018'!D202</f>
        <v>0</v>
      </c>
      <c r="G202" s="12">
        <f>+'1.mell._Össz_Mérleg2018'!E202</f>
        <v>0</v>
      </c>
      <c r="H202" s="1412" t="str">
        <f t="shared" si="33"/>
        <v>-</v>
      </c>
      <c r="J202" s="3"/>
    </row>
    <row r="203" spans="1:10" s="13" customFormat="1">
      <c r="A203" s="86" t="s">
        <v>999</v>
      </c>
      <c r="B203" s="66" t="s">
        <v>1001</v>
      </c>
      <c r="C203" s="407"/>
      <c r="D203" s="15"/>
      <c r="E203" s="502">
        <f>+'1.mell._Össz_Mérleg2018'!C203</f>
        <v>0</v>
      </c>
      <c r="F203" s="12">
        <f>+'1.mell._Össz_Mérleg2018'!D203</f>
        <v>0</v>
      </c>
      <c r="G203" s="12">
        <f>+'1.mell._Össz_Mérleg2018'!E203</f>
        <v>0</v>
      </c>
      <c r="H203" s="1412" t="str">
        <f t="shared" si="33"/>
        <v>-</v>
      </c>
      <c r="J203" s="3"/>
    </row>
    <row r="204" spans="1:10">
      <c r="A204" s="85" t="s">
        <v>79</v>
      </c>
      <c r="B204" s="67" t="s">
        <v>177</v>
      </c>
      <c r="C204" s="409"/>
      <c r="D204" s="16"/>
      <c r="E204" s="501">
        <f>+'1.mell._Össz_Mérleg2018'!C204</f>
        <v>0</v>
      </c>
      <c r="F204" s="11">
        <f>+'1.mell._Össz_Mérleg2018'!D204</f>
        <v>0</v>
      </c>
      <c r="G204" s="11">
        <f>+'1.mell._Össz_Mérleg2018'!E204</f>
        <v>0</v>
      </c>
      <c r="H204" s="1412" t="str">
        <f t="shared" si="33"/>
        <v>-</v>
      </c>
      <c r="J204" s="3"/>
    </row>
    <row r="205" spans="1:10">
      <c r="A205" s="78" t="s">
        <v>221</v>
      </c>
      <c r="B205" s="68" t="s">
        <v>178</v>
      </c>
      <c r="C205" s="410"/>
      <c r="D205" s="23"/>
      <c r="E205" s="500">
        <f>+'1.mell._Össz_Mérleg2018'!C205</f>
        <v>0</v>
      </c>
      <c r="F205" s="22">
        <f>+'1.mell._Össz_Mérleg2018'!D205</f>
        <v>0</v>
      </c>
      <c r="G205" s="22">
        <f>+'1.mell._Össz_Mérleg2018'!E205</f>
        <v>0</v>
      </c>
      <c r="H205" s="1411" t="str">
        <f t="shared" si="33"/>
        <v>-</v>
      </c>
      <c r="J205" s="3"/>
    </row>
    <row r="206" spans="1:10" ht="12.75" thickBot="1">
      <c r="A206" s="78" t="s">
        <v>1003</v>
      </c>
      <c r="B206" s="68" t="s">
        <v>1002</v>
      </c>
      <c r="C206" s="410"/>
      <c r="D206" s="23"/>
      <c r="E206" s="500">
        <f>+'1.mell._Össz_Mérleg2018'!C206</f>
        <v>0</v>
      </c>
      <c r="F206" s="22">
        <f>+'1.mell._Össz_Mérleg2018'!D206</f>
        <v>0</v>
      </c>
      <c r="G206" s="22">
        <f>+'1.mell._Össz_Mérleg2018'!E206</f>
        <v>0</v>
      </c>
      <c r="H206" s="1411" t="str">
        <f t="shared" si="33"/>
        <v>-</v>
      </c>
      <c r="J206" s="3"/>
    </row>
    <row r="207" spans="1:10" s="3" customFormat="1" ht="12.75" thickBot="1">
      <c r="A207" s="83" t="s">
        <v>40</v>
      </c>
      <c r="B207" s="69" t="s">
        <v>317</v>
      </c>
      <c r="C207" s="132">
        <f t="shared" ref="C207:H207" si="41">+C177+C192</f>
        <v>430524</v>
      </c>
      <c r="D207" s="29">
        <f t="shared" si="41"/>
        <v>648476</v>
      </c>
      <c r="E207" s="1049">
        <f t="shared" si="41"/>
        <v>25346</v>
      </c>
      <c r="F207" s="28">
        <f t="shared" si="41"/>
        <v>151382</v>
      </c>
      <c r="G207" s="28">
        <f t="shared" si="41"/>
        <v>110911</v>
      </c>
      <c r="H207" s="1408">
        <f t="shared" si="33"/>
        <v>0.73265645849572603</v>
      </c>
    </row>
    <row r="208" spans="1:10" s="3" customFormat="1" ht="12.75" thickBot="1">
      <c r="A208" s="87" t="s">
        <v>39</v>
      </c>
      <c r="B208" s="71" t="s">
        <v>335</v>
      </c>
      <c r="C208" s="405">
        <f t="shared" ref="C208:H208" si="42">+C176+C207</f>
        <v>2386753</v>
      </c>
      <c r="D208" s="26">
        <f t="shared" si="42"/>
        <v>2427705</v>
      </c>
      <c r="E208" s="1056">
        <f t="shared" si="42"/>
        <v>3307354</v>
      </c>
      <c r="F208" s="25">
        <f t="shared" si="42"/>
        <v>5914946</v>
      </c>
      <c r="G208" s="25">
        <f t="shared" si="42"/>
        <v>2624447</v>
      </c>
      <c r="H208" s="1414">
        <f t="shared" si="33"/>
        <v>0.44369754178651843</v>
      </c>
    </row>
    <row r="209" spans="1:29" s="13" customFormat="1">
      <c r="H209" s="1415"/>
      <c r="J209" s="3"/>
    </row>
    <row r="210" spans="1:29" s="36" customFormat="1">
      <c r="H210" s="1397"/>
      <c r="J210" s="3"/>
    </row>
    <row r="211" spans="1:29" s="1" customFormat="1" ht="15.75">
      <c r="A211" s="1217" t="s">
        <v>89</v>
      </c>
      <c r="B211" s="1217"/>
      <c r="C211" s="1217"/>
      <c r="D211" s="1217"/>
      <c r="E211" s="1217"/>
      <c r="F211" s="1217"/>
      <c r="G211" s="1217"/>
      <c r="H211" s="1217"/>
      <c r="I211" s="2"/>
      <c r="J211" s="3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s="36" customFormat="1" ht="12.75" thickBot="1">
      <c r="A212" s="38" t="s">
        <v>282</v>
      </c>
      <c r="E212" s="37"/>
      <c r="F212" s="37"/>
      <c r="G212" s="37"/>
      <c r="H212" s="1477" t="s">
        <v>281</v>
      </c>
      <c r="J212" s="3"/>
    </row>
    <row r="213" spans="1:29" s="3" customFormat="1" ht="12.75" thickBot="1">
      <c r="A213" s="83" t="s">
        <v>4</v>
      </c>
      <c r="B213" s="69" t="s">
        <v>318</v>
      </c>
      <c r="C213" s="132">
        <f t="shared" ref="C213:H213" si="43">+C214+C215</f>
        <v>211013</v>
      </c>
      <c r="D213" s="29">
        <f t="shared" si="43"/>
        <v>1400122</v>
      </c>
      <c r="E213" s="1049">
        <f t="shared" si="43"/>
        <v>-1814688</v>
      </c>
      <c r="F213" s="28">
        <f t="shared" si="43"/>
        <v>-2155966</v>
      </c>
      <c r="G213" s="28">
        <f t="shared" si="43"/>
        <v>904444</v>
      </c>
      <c r="H213" s="1408">
        <f>IF(ISERROR(G213/F213),"-",G213/F213)</f>
        <v>-0.41950754325439271</v>
      </c>
    </row>
    <row r="214" spans="1:29">
      <c r="A214" s="84" t="s">
        <v>81</v>
      </c>
      <c r="B214" s="72" t="s">
        <v>319</v>
      </c>
      <c r="C214" s="411">
        <f t="shared" ref="C214:H214" si="44">+C10-C109</f>
        <v>-20367</v>
      </c>
      <c r="D214" s="35">
        <f t="shared" si="44"/>
        <v>214867</v>
      </c>
      <c r="E214" s="1051">
        <f t="shared" si="44"/>
        <v>-186492</v>
      </c>
      <c r="F214" s="10">
        <f t="shared" si="44"/>
        <v>-2745233</v>
      </c>
      <c r="G214" s="10">
        <f t="shared" si="44"/>
        <v>269938</v>
      </c>
      <c r="H214" s="1410">
        <f>IF(ISERROR(G214/F214),"-",G214/F214)</f>
        <v>-9.8329722832269609E-2</v>
      </c>
      <c r="J214" s="3"/>
    </row>
    <row r="215" spans="1:29" ht="12.75" thickBot="1">
      <c r="A215" s="88" t="s">
        <v>82</v>
      </c>
      <c r="B215" s="73" t="s">
        <v>320</v>
      </c>
      <c r="C215" s="404">
        <f t="shared" ref="C215:H215" si="45">+C50-C149</f>
        <v>231380</v>
      </c>
      <c r="D215" s="39">
        <f t="shared" si="45"/>
        <v>1185255</v>
      </c>
      <c r="E215" s="503">
        <f t="shared" si="45"/>
        <v>-1628196</v>
      </c>
      <c r="F215" s="17">
        <f t="shared" si="45"/>
        <v>589267</v>
      </c>
      <c r="G215" s="17">
        <f t="shared" si="45"/>
        <v>634506</v>
      </c>
      <c r="H215" s="1416">
        <f>IF(ISERROR(G215/F215),"-",G215/F215)</f>
        <v>1.0767716502027094</v>
      </c>
      <c r="J215" s="3"/>
    </row>
    <row r="216" spans="1:29">
      <c r="J216" s="3"/>
    </row>
    <row r="217" spans="1:29">
      <c r="J217" s="3"/>
    </row>
    <row r="218" spans="1:29" s="1" customFormat="1" ht="15.75">
      <c r="A218" s="1217" t="s">
        <v>90</v>
      </c>
      <c r="B218" s="1217"/>
      <c r="C218" s="1217"/>
      <c r="D218" s="1217"/>
      <c r="E218" s="1217"/>
      <c r="F218" s="1217"/>
      <c r="G218" s="1217"/>
      <c r="H218" s="1217"/>
      <c r="I218" s="2"/>
      <c r="J218" s="3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s="36" customFormat="1" ht="12.75" thickBot="1">
      <c r="A219" s="38" t="s">
        <v>283</v>
      </c>
      <c r="E219" s="37"/>
      <c r="F219" s="37"/>
      <c r="G219" s="37"/>
      <c r="H219" s="1477" t="s">
        <v>281</v>
      </c>
      <c r="J219" s="3"/>
    </row>
    <row r="220" spans="1:29" s="3" customFormat="1" ht="12.75" thickBot="1">
      <c r="A220" s="83" t="s">
        <v>4</v>
      </c>
      <c r="B220" s="69" t="s">
        <v>321</v>
      </c>
      <c r="C220" s="132">
        <f t="shared" ref="C220:H220" si="46">+C221+C228</f>
        <v>152560</v>
      </c>
      <c r="D220" s="29">
        <f t="shared" si="46"/>
        <v>353837</v>
      </c>
      <c r="E220" s="1049">
        <f t="shared" si="46"/>
        <v>1814688</v>
      </c>
      <c r="F220" s="28">
        <f t="shared" si="46"/>
        <v>2155966</v>
      </c>
      <c r="G220" s="28">
        <f t="shared" si="46"/>
        <v>2196437</v>
      </c>
      <c r="H220" s="1408">
        <f t="shared" ref="H220:H234" si="47">IF(ISERROR(G220/F220),"-",G220/F220)</f>
        <v>1.0187716318346394</v>
      </c>
    </row>
    <row r="221" spans="1:29" s="3" customFormat="1" ht="12.75" thickBot="1">
      <c r="A221" s="83" t="s">
        <v>5</v>
      </c>
      <c r="B221" s="64" t="s">
        <v>322</v>
      </c>
      <c r="C221" s="132">
        <f t="shared" ref="C221:H221" si="48">+C222-C225</f>
        <v>142590</v>
      </c>
      <c r="D221" s="29">
        <f t="shared" si="48"/>
        <v>363807</v>
      </c>
      <c r="E221" s="1049">
        <f t="shared" si="48"/>
        <v>1806688</v>
      </c>
      <c r="F221" s="28">
        <f t="shared" si="48"/>
        <v>298178</v>
      </c>
      <c r="G221" s="28">
        <f t="shared" si="48"/>
        <v>338649</v>
      </c>
      <c r="H221" s="1408">
        <f t="shared" si="47"/>
        <v>1.1357276526101858</v>
      </c>
    </row>
    <row r="222" spans="1:29">
      <c r="A222" s="84" t="s">
        <v>54</v>
      </c>
      <c r="B222" s="65" t="s">
        <v>323</v>
      </c>
      <c r="C222" s="411">
        <f t="shared" ref="C222:H222" si="49">+C223+C224</f>
        <v>573114</v>
      </c>
      <c r="D222" s="35">
        <f t="shared" si="49"/>
        <v>1002313</v>
      </c>
      <c r="E222" s="1051">
        <f t="shared" si="49"/>
        <v>1832034</v>
      </c>
      <c r="F222" s="10">
        <f t="shared" si="49"/>
        <v>449560</v>
      </c>
      <c r="G222" s="10">
        <f t="shared" si="49"/>
        <v>449560</v>
      </c>
      <c r="H222" s="1410">
        <f t="shared" si="47"/>
        <v>1</v>
      </c>
      <c r="J222" s="3"/>
    </row>
    <row r="223" spans="1:29" s="13" customFormat="1">
      <c r="A223" s="86" t="s">
        <v>190</v>
      </c>
      <c r="B223" s="66" t="s">
        <v>285</v>
      </c>
      <c r="C223" s="407">
        <f t="shared" ref="C223:H223" si="50">+C76+C80</f>
        <v>142982</v>
      </c>
      <c r="D223" s="15">
        <f t="shared" si="50"/>
        <v>363573</v>
      </c>
      <c r="E223" s="502">
        <f t="shared" si="50"/>
        <v>1832034</v>
      </c>
      <c r="F223" s="12">
        <f t="shared" si="50"/>
        <v>337324</v>
      </c>
      <c r="G223" s="12">
        <f t="shared" si="50"/>
        <v>337324</v>
      </c>
      <c r="H223" s="1412">
        <f t="shared" si="47"/>
        <v>1</v>
      </c>
      <c r="J223" s="3"/>
    </row>
    <row r="224" spans="1:29" s="13" customFormat="1">
      <c r="A224" s="86" t="s">
        <v>191</v>
      </c>
      <c r="B224" s="66" t="s">
        <v>286</v>
      </c>
      <c r="C224" s="407">
        <f t="shared" ref="C224:H224" si="51">+C74+C75+C77+C78+C79+C81</f>
        <v>430132</v>
      </c>
      <c r="D224" s="15">
        <f t="shared" si="51"/>
        <v>638740</v>
      </c>
      <c r="E224" s="502">
        <f t="shared" si="51"/>
        <v>0</v>
      </c>
      <c r="F224" s="12">
        <f t="shared" si="51"/>
        <v>112236</v>
      </c>
      <c r="G224" s="12">
        <f t="shared" si="51"/>
        <v>112236</v>
      </c>
      <c r="H224" s="1412">
        <f t="shared" si="47"/>
        <v>1</v>
      </c>
      <c r="J224" s="3"/>
    </row>
    <row r="225" spans="1:29">
      <c r="A225" s="85" t="s">
        <v>55</v>
      </c>
      <c r="B225" s="67" t="s">
        <v>324</v>
      </c>
      <c r="C225" s="409">
        <f t="shared" ref="C225:H225" si="52">+C227</f>
        <v>430524</v>
      </c>
      <c r="D225" s="16">
        <f t="shared" si="52"/>
        <v>638506</v>
      </c>
      <c r="E225" s="501">
        <f t="shared" si="52"/>
        <v>25346</v>
      </c>
      <c r="F225" s="11">
        <f t="shared" si="52"/>
        <v>151382</v>
      </c>
      <c r="G225" s="11">
        <f t="shared" si="52"/>
        <v>110911</v>
      </c>
      <c r="H225" s="1412">
        <f t="shared" si="47"/>
        <v>0.73265645849572603</v>
      </c>
      <c r="J225" s="3"/>
    </row>
    <row r="226" spans="1:29" s="13" customFormat="1">
      <c r="A226" s="86" t="s">
        <v>56</v>
      </c>
      <c r="B226" s="66" t="s">
        <v>287</v>
      </c>
      <c r="C226" s="407">
        <f t="shared" ref="C226:H226" si="53">+C185</f>
        <v>0</v>
      </c>
      <c r="D226" s="15">
        <f t="shared" si="53"/>
        <v>0</v>
      </c>
      <c r="E226" s="502">
        <f t="shared" si="53"/>
        <v>0</v>
      </c>
      <c r="F226" s="12">
        <f t="shared" si="53"/>
        <v>0</v>
      </c>
      <c r="G226" s="12">
        <f t="shared" si="53"/>
        <v>0</v>
      </c>
      <c r="H226" s="1412" t="str">
        <f t="shared" si="47"/>
        <v>-</v>
      </c>
      <c r="J226" s="3"/>
    </row>
    <row r="227" spans="1:29" s="13" customFormat="1" ht="12.75" thickBot="1">
      <c r="A227" s="89" t="s">
        <v>57</v>
      </c>
      <c r="B227" s="74" t="s">
        <v>288</v>
      </c>
      <c r="C227" s="408">
        <f t="shared" ref="C227:H227" si="54">+C180+C181+C182+C183+C184+C186+C187</f>
        <v>430524</v>
      </c>
      <c r="D227" s="44">
        <f t="shared" si="54"/>
        <v>638506</v>
      </c>
      <c r="E227" s="1050">
        <f t="shared" si="54"/>
        <v>25346</v>
      </c>
      <c r="F227" s="43">
        <f t="shared" si="54"/>
        <v>151382</v>
      </c>
      <c r="G227" s="43">
        <f t="shared" si="54"/>
        <v>110911</v>
      </c>
      <c r="H227" s="1411">
        <f t="shared" si="47"/>
        <v>0.73265645849572603</v>
      </c>
      <c r="J227" s="3"/>
    </row>
    <row r="228" spans="1:29" s="3" customFormat="1" ht="12.75" thickBot="1">
      <c r="A228" s="83" t="s">
        <v>6</v>
      </c>
      <c r="B228" s="64" t="s">
        <v>325</v>
      </c>
      <c r="C228" s="132">
        <f t="shared" ref="C228:H228" si="55">+C229-C232</f>
        <v>9970</v>
      </c>
      <c r="D228" s="29">
        <f t="shared" si="55"/>
        <v>-9970</v>
      </c>
      <c r="E228" s="1049">
        <f t="shared" si="55"/>
        <v>8000</v>
      </c>
      <c r="F228" s="28">
        <f t="shared" si="55"/>
        <v>1857788</v>
      </c>
      <c r="G228" s="28">
        <f t="shared" si="55"/>
        <v>1857788</v>
      </c>
      <c r="H228" s="1408">
        <f t="shared" si="47"/>
        <v>1</v>
      </c>
    </row>
    <row r="229" spans="1:29">
      <c r="A229" s="84" t="s">
        <v>58</v>
      </c>
      <c r="B229" s="65" t="s">
        <v>326</v>
      </c>
      <c r="C229" s="411">
        <f t="shared" ref="C229:H229" si="56">+C230+C231</f>
        <v>9970</v>
      </c>
      <c r="D229" s="35">
        <f t="shared" si="56"/>
        <v>0</v>
      </c>
      <c r="E229" s="1051">
        <f t="shared" si="56"/>
        <v>8000</v>
      </c>
      <c r="F229" s="10">
        <f t="shared" si="56"/>
        <v>1857788</v>
      </c>
      <c r="G229" s="10">
        <f t="shared" si="56"/>
        <v>1857788</v>
      </c>
      <c r="H229" s="1410">
        <f t="shared" si="47"/>
        <v>1</v>
      </c>
      <c r="J229" s="3"/>
    </row>
    <row r="230" spans="1:29" s="13" customFormat="1">
      <c r="A230" s="86" t="s">
        <v>293</v>
      </c>
      <c r="B230" s="66" t="s">
        <v>291</v>
      </c>
      <c r="C230" s="407">
        <f t="shared" ref="C230:H230" si="57">+C91+C95</f>
        <v>0</v>
      </c>
      <c r="D230" s="15">
        <f t="shared" si="57"/>
        <v>0</v>
      </c>
      <c r="E230" s="502">
        <f t="shared" si="57"/>
        <v>0</v>
      </c>
      <c r="F230" s="12">
        <f t="shared" si="57"/>
        <v>1857788</v>
      </c>
      <c r="G230" s="12">
        <f t="shared" si="57"/>
        <v>1857788</v>
      </c>
      <c r="H230" s="1412">
        <f t="shared" si="47"/>
        <v>1</v>
      </c>
      <c r="J230" s="3"/>
    </row>
    <row r="231" spans="1:29" s="13" customFormat="1">
      <c r="A231" s="86" t="s">
        <v>294</v>
      </c>
      <c r="B231" s="66" t="s">
        <v>292</v>
      </c>
      <c r="C231" s="407">
        <f t="shared" ref="C231:H231" si="58">+C89+C90+C92+C93+C94+C96</f>
        <v>9970</v>
      </c>
      <c r="D231" s="15">
        <f t="shared" si="58"/>
        <v>0</v>
      </c>
      <c r="E231" s="502">
        <f t="shared" si="58"/>
        <v>8000</v>
      </c>
      <c r="F231" s="12">
        <f t="shared" si="58"/>
        <v>0</v>
      </c>
      <c r="G231" s="12">
        <f t="shared" si="58"/>
        <v>0</v>
      </c>
      <c r="H231" s="1412" t="str">
        <f t="shared" si="47"/>
        <v>-</v>
      </c>
      <c r="J231" s="3"/>
    </row>
    <row r="232" spans="1:29">
      <c r="A232" s="85" t="s">
        <v>59</v>
      </c>
      <c r="B232" s="67" t="s">
        <v>327</v>
      </c>
      <c r="C232" s="409">
        <f t="shared" ref="C232:H232" si="59">+C233+C234</f>
        <v>0</v>
      </c>
      <c r="D232" s="16">
        <f t="shared" si="59"/>
        <v>9970</v>
      </c>
      <c r="E232" s="501">
        <f t="shared" si="59"/>
        <v>0</v>
      </c>
      <c r="F232" s="11">
        <f t="shared" si="59"/>
        <v>0</v>
      </c>
      <c r="G232" s="11">
        <f t="shared" si="59"/>
        <v>0</v>
      </c>
      <c r="H232" s="1412" t="str">
        <f t="shared" si="47"/>
        <v>-</v>
      </c>
      <c r="J232" s="3"/>
    </row>
    <row r="233" spans="1:29" s="13" customFormat="1">
      <c r="A233" s="86" t="s">
        <v>295</v>
      </c>
      <c r="B233" s="66" t="s">
        <v>289</v>
      </c>
      <c r="C233" s="407">
        <f t="shared" ref="C233:H233" si="60">+C200</f>
        <v>0</v>
      </c>
      <c r="D233" s="15">
        <f t="shared" si="60"/>
        <v>0</v>
      </c>
      <c r="E233" s="502">
        <f t="shared" si="60"/>
        <v>0</v>
      </c>
      <c r="F233" s="12">
        <f t="shared" si="60"/>
        <v>0</v>
      </c>
      <c r="G233" s="12">
        <f t="shared" si="60"/>
        <v>0</v>
      </c>
      <c r="H233" s="1412" t="str">
        <f t="shared" si="47"/>
        <v>-</v>
      </c>
      <c r="J233" s="3"/>
    </row>
    <row r="234" spans="1:29" s="13" customFormat="1" ht="12.75" thickBot="1">
      <c r="A234" s="90" t="s">
        <v>296</v>
      </c>
      <c r="B234" s="75" t="s">
        <v>290</v>
      </c>
      <c r="C234" s="403">
        <f t="shared" ref="C234:H234" si="61">+C195+C196+C197+C198+C199+C201+C202</f>
        <v>0</v>
      </c>
      <c r="D234" s="42">
        <f t="shared" si="61"/>
        <v>9970</v>
      </c>
      <c r="E234" s="1059">
        <f t="shared" si="61"/>
        <v>0</v>
      </c>
      <c r="F234" s="41">
        <f t="shared" si="61"/>
        <v>0</v>
      </c>
      <c r="G234" s="41">
        <f t="shared" si="61"/>
        <v>0</v>
      </c>
      <c r="H234" s="1416" t="str">
        <f t="shared" si="47"/>
        <v>-</v>
      </c>
      <c r="J234" s="3"/>
    </row>
    <row r="235" spans="1:29">
      <c r="J235" s="3"/>
    </row>
    <row r="236" spans="1:29">
      <c r="J236" s="3"/>
    </row>
    <row r="237" spans="1:29" s="1" customFormat="1" ht="15.75">
      <c r="A237" s="1217" t="s">
        <v>1323</v>
      </c>
      <c r="B237" s="1217"/>
      <c r="C237" s="1217"/>
      <c r="D237" s="1217"/>
      <c r="E237" s="1217"/>
      <c r="F237" s="1217"/>
      <c r="G237" s="1217"/>
      <c r="H237" s="1217"/>
      <c r="I237" s="2"/>
      <c r="J237" s="3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s="36" customFormat="1" ht="12.75" thickBot="1">
      <c r="A238" s="38" t="s">
        <v>284</v>
      </c>
      <c r="E238" s="37"/>
      <c r="F238" s="37"/>
      <c r="G238" s="37"/>
      <c r="H238" s="1397"/>
      <c r="J238" s="3"/>
    </row>
    <row r="239" spans="1:29" s="3" customFormat="1">
      <c r="A239" s="91" t="s">
        <v>4</v>
      </c>
      <c r="B239" s="76" t="s">
        <v>91</v>
      </c>
      <c r="C239" s="887">
        <v>190</v>
      </c>
      <c r="D239" s="996">
        <f>+(1+3+0)+(39+50)+65+7+3+14</f>
        <v>182</v>
      </c>
      <c r="E239" s="1060">
        <f>+'1.mell._Össz_Mérleg2018'!C239</f>
        <v>225</v>
      </c>
      <c r="F239" s="55">
        <f>+'1.mell._Össz_Mérleg2018'!D239</f>
        <v>241</v>
      </c>
      <c r="G239" s="55">
        <f>+'1.mell._Össz_Mérleg2018'!E239</f>
        <v>214</v>
      </c>
      <c r="H239" s="1409">
        <f>IF(ISERROR(G239/F239),"-",G239/F239)</f>
        <v>0.88796680497925307</v>
      </c>
    </row>
    <row r="240" spans="1:29" s="13" customFormat="1">
      <c r="A240" s="89" t="s">
        <v>351</v>
      </c>
      <c r="B240" s="99" t="s">
        <v>352</v>
      </c>
      <c r="C240" s="888"/>
      <c r="D240" s="997"/>
      <c r="E240" s="1061">
        <f>+'1.mell._Össz_Mérleg2018'!C240</f>
        <v>0</v>
      </c>
      <c r="F240" s="101">
        <f>+'1.mell._Össz_Mérleg2018'!D240</f>
        <v>19</v>
      </c>
      <c r="G240" s="101">
        <f>+'1.mell._Össz_Mérleg2018'!E240</f>
        <v>19</v>
      </c>
      <c r="H240" s="1411">
        <f>IF(ISERROR(G240/F240),"-",G240/F240)</f>
        <v>1</v>
      </c>
      <c r="J240" s="3"/>
    </row>
    <row r="241" spans="1:12" s="3" customFormat="1" ht="12.75" thickBot="1">
      <c r="A241" s="92" t="s">
        <v>5</v>
      </c>
      <c r="B241" s="77" t="s">
        <v>92</v>
      </c>
      <c r="C241" s="889">
        <v>391</v>
      </c>
      <c r="D241" s="998">
        <f>140+78</f>
        <v>218</v>
      </c>
      <c r="E241" s="1062">
        <f>+'1.mell._Össz_Mérleg2018'!C241</f>
        <v>164</v>
      </c>
      <c r="F241" s="58">
        <f>+'1.mell._Össz_Mérleg2018'!D241</f>
        <v>239</v>
      </c>
      <c r="G241" s="58">
        <f>+'1.mell._Össz_Mérleg2018'!E241</f>
        <v>164</v>
      </c>
      <c r="H241" s="1417">
        <f>IF(ISERROR(G241/F241),"-",G241/F241)</f>
        <v>0.68619246861924688</v>
      </c>
    </row>
    <row r="242" spans="1:12" s="3" customFormat="1" ht="12.75" thickBot="1">
      <c r="A242" s="83" t="s">
        <v>6</v>
      </c>
      <c r="B242" s="69" t="s">
        <v>330</v>
      </c>
      <c r="C242" s="890">
        <f t="shared" ref="C242:H242" si="62">+C239+C241</f>
        <v>581</v>
      </c>
      <c r="D242" s="999">
        <f t="shared" si="62"/>
        <v>400</v>
      </c>
      <c r="E242" s="1063">
        <f t="shared" si="62"/>
        <v>389</v>
      </c>
      <c r="F242" s="61">
        <f t="shared" si="62"/>
        <v>480</v>
      </c>
      <c r="G242" s="61">
        <f t="shared" si="62"/>
        <v>378</v>
      </c>
      <c r="H242" s="1408">
        <f>IF(ISERROR(G242/F242),"-",G242/F242)</f>
        <v>0.78749999999999998</v>
      </c>
    </row>
    <row r="243" spans="1:12">
      <c r="J243" s="3"/>
    </row>
    <row r="244" spans="1:12">
      <c r="J244" s="4">
        <f>+C214+C221</f>
        <v>122223</v>
      </c>
      <c r="K244" s="4">
        <f>+D214+D221</f>
        <v>578674</v>
      </c>
      <c r="L244" s="4">
        <f>+E214+E221</f>
        <v>1620196</v>
      </c>
    </row>
    <row r="245" spans="1:12">
      <c r="J245" s="4">
        <f>+C215+C228</f>
        <v>241350</v>
      </c>
      <c r="K245" s="4">
        <f>+D215+D228</f>
        <v>1175285</v>
      </c>
      <c r="L245" s="4">
        <f>+E215+E228</f>
        <v>-1620196</v>
      </c>
    </row>
    <row r="246" spans="1:12">
      <c r="J246" s="3"/>
    </row>
    <row r="247" spans="1:12">
      <c r="J247" s="3"/>
    </row>
    <row r="248" spans="1:12">
      <c r="J248" s="3"/>
    </row>
    <row r="249" spans="1:12">
      <c r="J249" s="3"/>
    </row>
    <row r="250" spans="1:12">
      <c r="J250" s="3"/>
    </row>
    <row r="251" spans="1:12">
      <c r="J251" s="3"/>
    </row>
    <row r="252" spans="1:12">
      <c r="J252" s="3"/>
    </row>
    <row r="253" spans="1:12">
      <c r="J253" s="3"/>
    </row>
    <row r="254" spans="1:12">
      <c r="J254" s="3"/>
    </row>
    <row r="255" spans="1:12">
      <c r="J255" s="3"/>
    </row>
    <row r="256" spans="1:12">
      <c r="J256" s="3"/>
    </row>
    <row r="257" spans="10:10">
      <c r="J257" s="3"/>
    </row>
    <row r="258" spans="10:10">
      <c r="J258" s="3"/>
    </row>
    <row r="259" spans="10:10">
      <c r="J259" s="3"/>
    </row>
    <row r="260" spans="10:10">
      <c r="J260" s="3"/>
    </row>
    <row r="261" spans="10:10">
      <c r="J261" s="3"/>
    </row>
    <row r="262" spans="10:10">
      <c r="J262" s="3"/>
    </row>
    <row r="263" spans="10:10">
      <c r="J263" s="3"/>
    </row>
    <row r="264" spans="10:10">
      <c r="J264" s="3"/>
    </row>
  </sheetData>
  <mergeCells count="10">
    <mergeCell ref="A211:H211"/>
    <mergeCell ref="A218:H218"/>
    <mergeCell ref="A237:H237"/>
    <mergeCell ref="E108:H108"/>
    <mergeCell ref="E9:H9"/>
    <mergeCell ref="A3:H3"/>
    <mergeCell ref="A4:H4"/>
    <mergeCell ref="A5:H5"/>
    <mergeCell ref="A6:H6"/>
    <mergeCell ref="A105:H105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6" orientation="portrait" r:id="rId1"/>
  <headerFooter>
    <oddHeader>&amp;C 9. melléklet - &amp;P. oldal</oddHeader>
  </headerFooter>
  <rowBreaks count="1" manualBreakCount="1">
    <brk id="104" max="7" man="1"/>
  </rowBreaks>
  <colBreaks count="1" manualBreakCount="1">
    <brk id="8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>
  <sheetPr codeName="Munka23">
    <tabColor rgb="FF00B0F0"/>
  </sheetPr>
  <dimension ref="A1:W123"/>
  <sheetViews>
    <sheetView zoomScaleNormal="100" workbookViewId="0"/>
  </sheetViews>
  <sheetFormatPr defaultColWidth="71.140625" defaultRowHeight="12"/>
  <cols>
    <col min="1" max="1" width="6.28515625" style="618" customWidth="1"/>
    <col min="2" max="2" width="3.85546875" style="867" hidden="1" customWidth="1"/>
    <col min="3" max="3" width="87.85546875" style="441" customWidth="1"/>
    <col min="4" max="7" width="13.28515625" style="441" customWidth="1"/>
    <col min="8" max="8" width="9" style="441" customWidth="1"/>
    <col min="9" max="10" width="9" style="441" hidden="1" customWidth="1"/>
    <col min="11" max="11" width="9" style="441" customWidth="1"/>
    <col min="12" max="23" width="9" style="441" hidden="1" customWidth="1"/>
    <col min="24" max="27" width="0" style="441" hidden="1" customWidth="1"/>
    <col min="28" max="16384" width="71.140625" style="441"/>
  </cols>
  <sheetData>
    <row r="1" spans="1:23" s="615" customFormat="1" ht="15.75">
      <c r="A1" s="613"/>
      <c r="B1" s="860"/>
      <c r="C1" s="614"/>
      <c r="D1" s="192"/>
      <c r="E1" s="192"/>
      <c r="F1" s="192"/>
      <c r="G1" s="192" t="s">
        <v>480</v>
      </c>
    </row>
    <row r="2" spans="1:23" s="615" customFormat="1" ht="15.75">
      <c r="A2" s="613"/>
      <c r="B2" s="860"/>
      <c r="C2" s="614"/>
      <c r="D2" s="427"/>
      <c r="E2" s="427"/>
      <c r="F2" s="427"/>
      <c r="G2" s="427"/>
    </row>
    <row r="3" spans="1:23" s="615" customFormat="1" ht="15.75">
      <c r="A3" s="1299" t="s">
        <v>1336</v>
      </c>
      <c r="B3" s="1299"/>
      <c r="C3" s="1299"/>
      <c r="D3" s="1299"/>
      <c r="E3" s="1299"/>
      <c r="F3" s="1299"/>
      <c r="G3" s="1299"/>
      <c r="L3" s="615" t="s">
        <v>4</v>
      </c>
      <c r="M3" s="615" t="s">
        <v>5</v>
      </c>
      <c r="N3" s="615" t="s">
        <v>6</v>
      </c>
      <c r="O3" s="615" t="s">
        <v>3</v>
      </c>
      <c r="P3" s="615" t="s">
        <v>16</v>
      </c>
      <c r="Q3" s="615" t="s">
        <v>15</v>
      </c>
      <c r="R3" s="615" t="s">
        <v>14</v>
      </c>
      <c r="S3" s="615" t="s">
        <v>13</v>
      </c>
      <c r="T3" s="615" t="s">
        <v>12</v>
      </c>
      <c r="U3" s="615" t="s">
        <v>11</v>
      </c>
      <c r="V3" s="615" t="s">
        <v>10</v>
      </c>
      <c r="W3" s="615" t="s">
        <v>9</v>
      </c>
    </row>
    <row r="4" spans="1:23">
      <c r="A4" s="616"/>
      <c r="B4" s="861"/>
      <c r="C4" s="422"/>
      <c r="D4" s="422"/>
      <c r="E4" s="422"/>
      <c r="F4" s="422"/>
      <c r="G4" s="422"/>
    </row>
    <row r="5" spans="1:23" ht="12.75" thickBot="1">
      <c r="A5" s="616"/>
      <c r="B5" s="861"/>
      <c r="C5" s="423"/>
      <c r="D5" s="363"/>
      <c r="E5" s="363"/>
      <c r="F5" s="363"/>
      <c r="G5" s="363" t="s">
        <v>561</v>
      </c>
    </row>
    <row r="6" spans="1:23" ht="36.75" thickBot="1">
      <c r="A6" s="1208" t="s">
        <v>17</v>
      </c>
      <c r="B6" s="859" t="s">
        <v>1131</v>
      </c>
      <c r="C6" s="420" t="s">
        <v>543</v>
      </c>
      <c r="D6" s="1057" t="s">
        <v>1474</v>
      </c>
      <c r="E6" s="6" t="s">
        <v>1475</v>
      </c>
      <c r="F6" s="6" t="s">
        <v>1529</v>
      </c>
      <c r="G6" s="1398" t="s">
        <v>1527</v>
      </c>
    </row>
    <row r="7" spans="1:23" ht="13.5" customHeight="1" thickBot="1">
      <c r="A7" s="1205" t="s">
        <v>544</v>
      </c>
      <c r="B7" s="856"/>
      <c r="C7" s="1206">
        <v>2</v>
      </c>
      <c r="D7" s="1303">
        <v>3</v>
      </c>
      <c r="E7" s="1304"/>
      <c r="F7" s="1304"/>
      <c r="G7" s="1305"/>
    </row>
    <row r="8" spans="1:23" ht="12.75" customHeight="1" thickBot="1">
      <c r="A8" s="1300" t="s">
        <v>594</v>
      </c>
      <c r="B8" s="1301"/>
      <c r="C8" s="1301"/>
      <c r="D8" s="1301"/>
      <c r="E8" s="1301"/>
      <c r="F8" s="1301"/>
      <c r="G8" s="1302"/>
    </row>
    <row r="9" spans="1:23">
      <c r="A9" s="439" t="s">
        <v>4</v>
      </c>
      <c r="B9" s="858"/>
      <c r="C9" s="440" t="s">
        <v>562</v>
      </c>
      <c r="D9" s="1134">
        <f>+D10+D11+D17+D18+D19</f>
        <v>229656630</v>
      </c>
      <c r="E9" s="1135">
        <f>+E10+E11+E17+E18+E19</f>
        <v>229656630</v>
      </c>
      <c r="F9" s="1135">
        <f>+F10+F11+F17+F18+F19</f>
        <v>229656630</v>
      </c>
      <c r="G9" s="1480">
        <f t="shared" ref="G9:G72" si="0">IF(ISERROR(F9/E9),"-",F9/E9)</f>
        <v>1</v>
      </c>
    </row>
    <row r="10" spans="1:23">
      <c r="A10" s="357" t="s">
        <v>563</v>
      </c>
      <c r="B10" s="855">
        <v>12</v>
      </c>
      <c r="C10" s="431" t="s">
        <v>1217</v>
      </c>
      <c r="D10" s="1017">
        <v>146651600</v>
      </c>
      <c r="E10" s="1015">
        <v>146651600</v>
      </c>
      <c r="F10" s="1015">
        <v>146651600</v>
      </c>
      <c r="G10" s="1480">
        <f t="shared" si="0"/>
        <v>1</v>
      </c>
    </row>
    <row r="11" spans="1:23">
      <c r="A11" s="357" t="s">
        <v>564</v>
      </c>
      <c r="B11" s="855"/>
      <c r="C11" s="431" t="s">
        <v>1218</v>
      </c>
      <c r="D11" s="1017">
        <f>+D12+D13+D14+D15</f>
        <v>58487570</v>
      </c>
      <c r="E11" s="1015">
        <f>+E12+E13+E14+E15</f>
        <v>58487570</v>
      </c>
      <c r="F11" s="1015">
        <f>+F12+F13+F14+F15</f>
        <v>58487570</v>
      </c>
      <c r="G11" s="1480">
        <f t="shared" si="0"/>
        <v>1</v>
      </c>
    </row>
    <row r="12" spans="1:23" s="617" customFormat="1">
      <c r="A12" s="424" t="s">
        <v>565</v>
      </c>
      <c r="B12" s="862">
        <v>4</v>
      </c>
      <c r="C12" s="430" t="s">
        <v>545</v>
      </c>
      <c r="D12" s="1136">
        <v>13509340</v>
      </c>
      <c r="E12" s="1137">
        <v>13509340</v>
      </c>
      <c r="F12" s="1137">
        <v>13509340</v>
      </c>
      <c r="G12" s="1480">
        <f t="shared" si="0"/>
        <v>1</v>
      </c>
    </row>
    <row r="13" spans="1:23" s="617" customFormat="1">
      <c r="A13" s="424" t="s">
        <v>566</v>
      </c>
      <c r="B13" s="862">
        <v>3</v>
      </c>
      <c r="C13" s="430" t="s">
        <v>546</v>
      </c>
      <c r="D13" s="1136">
        <v>26600000</v>
      </c>
      <c r="E13" s="1137">
        <v>26600000</v>
      </c>
      <c r="F13" s="1137">
        <v>26600000</v>
      </c>
      <c r="G13" s="1480">
        <f t="shared" si="0"/>
        <v>1</v>
      </c>
    </row>
    <row r="14" spans="1:23" s="617" customFormat="1">
      <c r="A14" s="424" t="s">
        <v>567</v>
      </c>
      <c r="B14" s="862">
        <v>2</v>
      </c>
      <c r="C14" s="430" t="s">
        <v>547</v>
      </c>
      <c r="D14" s="1136">
        <v>3460080</v>
      </c>
      <c r="E14" s="1137">
        <v>3460080</v>
      </c>
      <c r="F14" s="1137">
        <v>3460080</v>
      </c>
      <c r="G14" s="1480">
        <f t="shared" si="0"/>
        <v>1</v>
      </c>
    </row>
    <row r="15" spans="1:23" s="617" customFormat="1">
      <c r="A15" s="424" t="s">
        <v>568</v>
      </c>
      <c r="B15" s="862">
        <v>5</v>
      </c>
      <c r="C15" s="430" t="s">
        <v>548</v>
      </c>
      <c r="D15" s="1136">
        <v>14918150</v>
      </c>
      <c r="E15" s="1137">
        <v>14918150</v>
      </c>
      <c r="F15" s="1137">
        <v>14918150</v>
      </c>
      <c r="G15" s="1480">
        <f t="shared" si="0"/>
        <v>1</v>
      </c>
    </row>
    <row r="16" spans="1:23" s="617" customFormat="1">
      <c r="A16" s="424" t="s">
        <v>569</v>
      </c>
      <c r="B16" s="862"/>
      <c r="C16" s="1133" t="s">
        <v>570</v>
      </c>
      <c r="D16" s="1017">
        <v>29289600</v>
      </c>
      <c r="E16" s="1015">
        <v>29289600</v>
      </c>
      <c r="F16" s="1015">
        <v>29289600</v>
      </c>
      <c r="G16" s="1480">
        <f t="shared" si="0"/>
        <v>1</v>
      </c>
    </row>
    <row r="17" spans="1:12" s="617" customFormat="1">
      <c r="A17" s="424"/>
      <c r="B17" s="862">
        <v>8</v>
      </c>
      <c r="C17" s="891" t="s">
        <v>1064</v>
      </c>
      <c r="D17" s="1138">
        <f>+D16+D77</f>
        <v>23482510</v>
      </c>
      <c r="E17" s="1139">
        <f>+E16+E77</f>
        <v>23482510</v>
      </c>
      <c r="F17" s="1139">
        <f>+F16+F77</f>
        <v>23482510</v>
      </c>
      <c r="G17" s="1481">
        <f t="shared" si="0"/>
        <v>1</v>
      </c>
    </row>
    <row r="18" spans="1:12">
      <c r="A18" s="357" t="s">
        <v>571</v>
      </c>
      <c r="B18" s="855">
        <v>8</v>
      </c>
      <c r="C18" s="431" t="s">
        <v>26</v>
      </c>
      <c r="D18" s="1017">
        <v>951150</v>
      </c>
      <c r="E18" s="1015">
        <v>951150</v>
      </c>
      <c r="F18" s="1015">
        <v>951150</v>
      </c>
      <c r="G18" s="1480">
        <f t="shared" si="0"/>
        <v>1</v>
      </c>
    </row>
    <row r="19" spans="1:12">
      <c r="A19" s="357" t="s">
        <v>574</v>
      </c>
      <c r="B19" s="855">
        <v>8</v>
      </c>
      <c r="C19" s="431" t="s">
        <v>27</v>
      </c>
      <c r="D19" s="1017">
        <v>83800</v>
      </c>
      <c r="E19" s="1015">
        <v>83800</v>
      </c>
      <c r="F19" s="1015">
        <v>83800</v>
      </c>
      <c r="G19" s="1480">
        <f t="shared" si="0"/>
        <v>1</v>
      </c>
    </row>
    <row r="20" spans="1:12">
      <c r="A20" s="357" t="s">
        <v>5</v>
      </c>
      <c r="B20" s="855">
        <v>8</v>
      </c>
      <c r="C20" s="419" t="s">
        <v>572</v>
      </c>
      <c r="D20" s="1017"/>
      <c r="E20" s="1015"/>
      <c r="F20" s="1015"/>
      <c r="G20" s="1480" t="str">
        <f t="shared" si="0"/>
        <v>-</v>
      </c>
    </row>
    <row r="21" spans="1:12">
      <c r="A21" s="357" t="s">
        <v>6</v>
      </c>
      <c r="B21" s="855">
        <v>8</v>
      </c>
      <c r="C21" s="419" t="s">
        <v>1054</v>
      </c>
      <c r="D21" s="1017"/>
      <c r="E21" s="1015"/>
      <c r="F21" s="1015"/>
      <c r="G21" s="1480" t="str">
        <f t="shared" si="0"/>
        <v>-</v>
      </c>
    </row>
    <row r="22" spans="1:12">
      <c r="A22" s="357" t="s">
        <v>3</v>
      </c>
      <c r="B22" s="855">
        <v>8</v>
      </c>
      <c r="C22" s="419" t="s">
        <v>1053</v>
      </c>
      <c r="D22" s="1017"/>
      <c r="E22" s="1015"/>
      <c r="F22" s="1015"/>
      <c r="G22" s="1480" t="str">
        <f t="shared" si="0"/>
        <v>-</v>
      </c>
    </row>
    <row r="23" spans="1:12">
      <c r="A23" s="357" t="s">
        <v>16</v>
      </c>
      <c r="B23" s="868">
        <v>8</v>
      </c>
      <c r="C23" s="419" t="s">
        <v>1370</v>
      </c>
      <c r="D23" s="1017"/>
      <c r="E23" s="1015">
        <v>116754</v>
      </c>
      <c r="F23" s="1015">
        <v>116754</v>
      </c>
      <c r="G23" s="1480">
        <f t="shared" si="0"/>
        <v>1</v>
      </c>
      <c r="L23" s="630"/>
    </row>
    <row r="24" spans="1:12" ht="12.75" thickBot="1">
      <c r="A24" s="357" t="s">
        <v>15</v>
      </c>
      <c r="B24" s="855">
        <v>1</v>
      </c>
      <c r="C24" s="419" t="s">
        <v>1372</v>
      </c>
      <c r="D24" s="1017">
        <v>2048700</v>
      </c>
      <c r="E24" s="1015">
        <v>2048700</v>
      </c>
      <c r="F24" s="1015">
        <v>2048700</v>
      </c>
      <c r="G24" s="1480">
        <f t="shared" si="0"/>
        <v>1</v>
      </c>
      <c r="L24" s="630"/>
    </row>
    <row r="25" spans="1:12" ht="12.75" thickBot="1">
      <c r="A25" s="428" t="s">
        <v>23</v>
      </c>
      <c r="B25" s="863"/>
      <c r="C25" s="418" t="s">
        <v>1371</v>
      </c>
      <c r="D25" s="538">
        <f t="shared" ref="D25" si="1">+D9+D20+D21+D22+D23+D24</f>
        <v>231705330</v>
      </c>
      <c r="E25" s="539">
        <f>+E9+E20+E21+E22+E23+E24</f>
        <v>231822084</v>
      </c>
      <c r="F25" s="539">
        <f t="shared" ref="F25" si="2">+F9+F20+F21+F22+F23+F24</f>
        <v>231822084</v>
      </c>
      <c r="G25" s="1459">
        <f t="shared" si="0"/>
        <v>1</v>
      </c>
      <c r="I25" s="630">
        <f>+'1.mell._Össz_Mérleg2018'!E13</f>
        <v>231822</v>
      </c>
      <c r="J25" s="630">
        <f>+ROUND(F25/1000,0)-I25</f>
        <v>0</v>
      </c>
    </row>
    <row r="26" spans="1:12">
      <c r="A26" s="425" t="s">
        <v>4</v>
      </c>
      <c r="B26" s="853"/>
      <c r="C26" s="416" t="s">
        <v>1373</v>
      </c>
      <c r="D26" s="1140">
        <f>91031400+30870000+2946000+45957600+15435000+1473000</f>
        <v>187713000</v>
      </c>
      <c r="E26" s="1141">
        <f>92799000+30870000+2946000+45957600+15435000+1473000</f>
        <v>189480600</v>
      </c>
      <c r="F26" s="1141">
        <f>92799000+30870000+2946000+45957600+15435000+1473000</f>
        <v>189480600</v>
      </c>
      <c r="G26" s="1480">
        <f t="shared" si="0"/>
        <v>1</v>
      </c>
    </row>
    <row r="27" spans="1:12">
      <c r="A27" s="360" t="s">
        <v>5</v>
      </c>
      <c r="B27" s="853"/>
      <c r="C27" s="415" t="s">
        <v>549</v>
      </c>
      <c r="D27" s="1142">
        <f>19063333+9586133</f>
        <v>28649466</v>
      </c>
      <c r="E27" s="1143">
        <f>19444600+9586133</f>
        <v>29030733</v>
      </c>
      <c r="F27" s="1143">
        <f>19444600+9586133</f>
        <v>29030733</v>
      </c>
      <c r="G27" s="1480">
        <f t="shared" si="0"/>
        <v>1</v>
      </c>
    </row>
    <row r="28" spans="1:12">
      <c r="A28" s="360" t="s">
        <v>6</v>
      </c>
      <c r="B28" s="853"/>
      <c r="C28" s="415" t="s">
        <v>550</v>
      </c>
      <c r="D28" s="1142"/>
      <c r="E28" s="1143"/>
      <c r="F28" s="1143"/>
      <c r="G28" s="1480" t="str">
        <f t="shared" si="0"/>
        <v>-</v>
      </c>
    </row>
    <row r="29" spans="1:12" ht="24.75" thickBot="1">
      <c r="A29" s="360" t="s">
        <v>3</v>
      </c>
      <c r="B29" s="853"/>
      <c r="C29" s="415" t="s">
        <v>1374</v>
      </c>
      <c r="D29" s="1142">
        <f>2807000+1463000</f>
        <v>4270000</v>
      </c>
      <c r="E29" s="1143">
        <f>2807000+367584+1463000</f>
        <v>4637584</v>
      </c>
      <c r="F29" s="1143">
        <f>2807000+367584+1463000</f>
        <v>4637584</v>
      </c>
      <c r="G29" s="1480">
        <f t="shared" si="0"/>
        <v>1</v>
      </c>
    </row>
    <row r="30" spans="1:12" ht="12.75" thickBot="1">
      <c r="A30" s="428" t="s">
        <v>22</v>
      </c>
      <c r="B30" s="863">
        <v>19</v>
      </c>
      <c r="C30" s="418" t="s">
        <v>1237</v>
      </c>
      <c r="D30" s="538">
        <f>+D26+D27+D28+D29</f>
        <v>220632466</v>
      </c>
      <c r="E30" s="539">
        <f>+E26+E27+E28+E29</f>
        <v>223148917</v>
      </c>
      <c r="F30" s="539">
        <f>+F26+F27+F28+F29</f>
        <v>223148917</v>
      </c>
      <c r="G30" s="1459">
        <f t="shared" ref="G30" si="3">IF(ISERROR(F30/E30),"-",F30/E30)</f>
        <v>1</v>
      </c>
      <c r="I30" s="630">
        <f>+'1.mell._Össz_Mérleg2018'!E14</f>
        <v>223149</v>
      </c>
      <c r="J30" s="630">
        <f>+ROUND(F30/1000,0)-I30</f>
        <v>0</v>
      </c>
    </row>
    <row r="31" spans="1:12">
      <c r="A31" s="425" t="s">
        <v>4</v>
      </c>
      <c r="B31" s="853">
        <v>32</v>
      </c>
      <c r="C31" s="416" t="s">
        <v>1219</v>
      </c>
      <c r="D31" s="1144"/>
      <c r="E31" s="1141">
        <v>11795744</v>
      </c>
      <c r="F31" s="1141">
        <v>11795744</v>
      </c>
      <c r="G31" s="1480">
        <f t="shared" si="0"/>
        <v>1</v>
      </c>
    </row>
    <row r="32" spans="1:12">
      <c r="A32" s="360" t="s">
        <v>5</v>
      </c>
      <c r="B32" s="854">
        <v>6</v>
      </c>
      <c r="C32" s="415" t="s">
        <v>1055</v>
      </c>
      <c r="D32" s="1142">
        <v>91594000</v>
      </c>
      <c r="E32" s="1143">
        <v>91594000</v>
      </c>
      <c r="F32" s="1143">
        <v>91594000</v>
      </c>
      <c r="G32" s="1480">
        <f t="shared" si="0"/>
        <v>1</v>
      </c>
    </row>
    <row r="33" spans="1:7">
      <c r="A33" s="360" t="s">
        <v>6</v>
      </c>
      <c r="B33" s="854"/>
      <c r="C33" s="415" t="s">
        <v>551</v>
      </c>
      <c r="D33" s="1142">
        <f>+D34+D35+D36+D37+D40+D41+D42+D43+D44+D45+D46+D47+D48+D49</f>
        <v>51240000</v>
      </c>
      <c r="E33" s="1143">
        <f>+E34+E35+E36+E37+E40+E41+E42+E43+E44+E45+E46+E47+E48+E49</f>
        <v>56070058</v>
      </c>
      <c r="F33" s="1143">
        <f>+F34+F35+F36+F37+F40+F41+F42+F43+F44+F45+F46+F47+F48+F49</f>
        <v>56070058</v>
      </c>
      <c r="G33" s="1480">
        <f t="shared" si="0"/>
        <v>1</v>
      </c>
    </row>
    <row r="34" spans="1:7">
      <c r="A34" s="360" t="s">
        <v>573</v>
      </c>
      <c r="B34" s="854">
        <v>32</v>
      </c>
      <c r="C34" s="432" t="s">
        <v>1056</v>
      </c>
      <c r="D34" s="1142">
        <v>25500000</v>
      </c>
      <c r="E34" s="1143">
        <v>25500000</v>
      </c>
      <c r="F34" s="1143">
        <v>25500000</v>
      </c>
      <c r="G34" s="1480">
        <f t="shared" si="0"/>
        <v>1</v>
      </c>
    </row>
    <row r="35" spans="1:7">
      <c r="A35" s="360" t="s">
        <v>564</v>
      </c>
      <c r="B35" s="854">
        <v>32</v>
      </c>
      <c r="C35" s="432" t="s">
        <v>1057</v>
      </c>
      <c r="D35" s="1142">
        <v>25740000</v>
      </c>
      <c r="E35" s="1143">
        <v>25740000</v>
      </c>
      <c r="F35" s="1143">
        <v>25740000</v>
      </c>
      <c r="G35" s="1480">
        <f t="shared" si="0"/>
        <v>1</v>
      </c>
    </row>
    <row r="36" spans="1:7">
      <c r="A36" s="360" t="s">
        <v>569</v>
      </c>
      <c r="B36" s="854"/>
      <c r="C36" s="432" t="s">
        <v>552</v>
      </c>
      <c r="D36" s="1142"/>
      <c r="E36" s="1143"/>
      <c r="F36" s="1143"/>
      <c r="G36" s="1480" t="str">
        <f t="shared" si="0"/>
        <v>-</v>
      </c>
    </row>
    <row r="37" spans="1:7">
      <c r="A37" s="360" t="s">
        <v>571</v>
      </c>
      <c r="B37" s="854"/>
      <c r="C37" s="432" t="s">
        <v>553</v>
      </c>
      <c r="D37" s="1142">
        <f>+D38+D39</f>
        <v>0</v>
      </c>
      <c r="E37" s="1143">
        <f>+E38+E39</f>
        <v>0</v>
      </c>
      <c r="F37" s="1143">
        <f>+F38+F39</f>
        <v>0</v>
      </c>
      <c r="G37" s="1480" t="str">
        <f t="shared" si="0"/>
        <v>-</v>
      </c>
    </row>
    <row r="38" spans="1:7" s="617" customFormat="1">
      <c r="A38" s="426" t="s">
        <v>1220</v>
      </c>
      <c r="B38" s="864"/>
      <c r="C38" s="433" t="s">
        <v>1222</v>
      </c>
      <c r="D38" s="1145"/>
      <c r="E38" s="1146"/>
      <c r="F38" s="1146"/>
      <c r="G38" s="1480" t="str">
        <f t="shared" si="0"/>
        <v>-</v>
      </c>
    </row>
    <row r="39" spans="1:7" s="617" customFormat="1">
      <c r="A39" s="426" t="s">
        <v>1221</v>
      </c>
      <c r="B39" s="864"/>
      <c r="C39" s="433" t="s">
        <v>1223</v>
      </c>
      <c r="D39" s="1145"/>
      <c r="E39" s="1146"/>
      <c r="F39" s="1146"/>
      <c r="G39" s="1480" t="str">
        <f t="shared" si="0"/>
        <v>-</v>
      </c>
    </row>
    <row r="40" spans="1:7">
      <c r="A40" s="360" t="s">
        <v>574</v>
      </c>
      <c r="B40" s="854"/>
      <c r="C40" s="432" t="s">
        <v>554</v>
      </c>
      <c r="D40" s="1142"/>
      <c r="E40" s="1143"/>
      <c r="F40" s="1143"/>
      <c r="G40" s="1480" t="str">
        <f t="shared" si="0"/>
        <v>-</v>
      </c>
    </row>
    <row r="41" spans="1:7">
      <c r="A41" s="360" t="s">
        <v>575</v>
      </c>
      <c r="B41" s="854"/>
      <c r="C41" s="432" t="s">
        <v>555</v>
      </c>
      <c r="D41" s="1142"/>
      <c r="E41" s="1143"/>
      <c r="F41" s="1143"/>
      <c r="G41" s="1480" t="str">
        <f t="shared" si="0"/>
        <v>-</v>
      </c>
    </row>
    <row r="42" spans="1:7">
      <c r="A42" s="360" t="s">
        <v>576</v>
      </c>
      <c r="B42" s="854"/>
      <c r="C42" s="432" t="s">
        <v>556</v>
      </c>
      <c r="D42" s="1142"/>
      <c r="E42" s="1143"/>
      <c r="F42" s="1143"/>
      <c r="G42" s="1480" t="str">
        <f t="shared" si="0"/>
        <v>-</v>
      </c>
    </row>
    <row r="43" spans="1:7">
      <c r="A43" s="360" t="s">
        <v>577</v>
      </c>
      <c r="B43" s="854"/>
      <c r="C43" s="432" t="s">
        <v>578</v>
      </c>
      <c r="D43" s="1142"/>
      <c r="E43" s="1143"/>
      <c r="F43" s="1143"/>
      <c r="G43" s="1480" t="str">
        <f t="shared" si="0"/>
        <v>-</v>
      </c>
    </row>
    <row r="44" spans="1:7">
      <c r="A44" s="360" t="s">
        <v>579</v>
      </c>
      <c r="B44" s="854"/>
      <c r="C44" s="432" t="s">
        <v>557</v>
      </c>
      <c r="D44" s="1142"/>
      <c r="E44" s="1143"/>
      <c r="F44" s="1143"/>
      <c r="G44" s="1480" t="str">
        <f t="shared" si="0"/>
        <v>-</v>
      </c>
    </row>
    <row r="45" spans="1:7">
      <c r="A45" s="360" t="s">
        <v>580</v>
      </c>
      <c r="B45" s="854"/>
      <c r="C45" s="432" t="s">
        <v>1224</v>
      </c>
      <c r="D45" s="1142"/>
      <c r="E45" s="1143"/>
      <c r="F45" s="1143"/>
      <c r="G45" s="1480" t="str">
        <f t="shared" si="0"/>
        <v>-</v>
      </c>
    </row>
    <row r="46" spans="1:7">
      <c r="A46" s="360" t="s">
        <v>582</v>
      </c>
      <c r="B46" s="854"/>
      <c r="C46" s="432" t="s">
        <v>583</v>
      </c>
      <c r="D46" s="1142"/>
      <c r="E46" s="1143"/>
      <c r="F46" s="1143"/>
      <c r="G46" s="1480" t="str">
        <f t="shared" si="0"/>
        <v>-</v>
      </c>
    </row>
    <row r="47" spans="1:7">
      <c r="A47" s="360" t="s">
        <v>584</v>
      </c>
      <c r="B47" s="854"/>
      <c r="C47" s="432" t="s">
        <v>1225</v>
      </c>
      <c r="D47" s="1142"/>
      <c r="E47" s="1143"/>
      <c r="F47" s="1143"/>
      <c r="G47" s="1480" t="str">
        <f t="shared" si="0"/>
        <v>-</v>
      </c>
    </row>
    <row r="48" spans="1:7">
      <c r="A48" s="360" t="s">
        <v>1226</v>
      </c>
      <c r="B48" s="854"/>
      <c r="C48" s="432" t="s">
        <v>1227</v>
      </c>
      <c r="D48" s="1142"/>
      <c r="E48" s="1143"/>
      <c r="F48" s="1143"/>
      <c r="G48" s="1480" t="str">
        <f t="shared" si="0"/>
        <v>-</v>
      </c>
    </row>
    <row r="49" spans="1:10">
      <c r="A49" s="360" t="s">
        <v>1376</v>
      </c>
      <c r="B49" s="854">
        <v>32</v>
      </c>
      <c r="C49" s="432" t="s">
        <v>1375</v>
      </c>
      <c r="D49" s="1142"/>
      <c r="E49" s="1143">
        <v>4830058</v>
      </c>
      <c r="F49" s="1143">
        <v>4830058</v>
      </c>
      <c r="G49" s="1480">
        <f t="shared" si="0"/>
        <v>1</v>
      </c>
    </row>
    <row r="50" spans="1:10" ht="24">
      <c r="A50" s="360" t="s">
        <v>3</v>
      </c>
      <c r="B50" s="854"/>
      <c r="C50" s="415" t="s">
        <v>1058</v>
      </c>
      <c r="D50" s="1142">
        <f>+D51+D52</f>
        <v>0</v>
      </c>
      <c r="E50" s="1143">
        <f>+E51+E52</f>
        <v>0</v>
      </c>
      <c r="F50" s="1143">
        <f>+F51+F52</f>
        <v>0</v>
      </c>
      <c r="G50" s="1480" t="str">
        <f t="shared" si="0"/>
        <v>-</v>
      </c>
    </row>
    <row r="51" spans="1:10">
      <c r="A51" s="360" t="s">
        <v>573</v>
      </c>
      <c r="B51" s="854"/>
      <c r="C51" s="432" t="s">
        <v>585</v>
      </c>
      <c r="D51" s="1142"/>
      <c r="E51" s="1143"/>
      <c r="F51" s="1143"/>
      <c r="G51" s="1480" t="str">
        <f t="shared" si="0"/>
        <v>-</v>
      </c>
    </row>
    <row r="52" spans="1:10">
      <c r="A52" s="360" t="s">
        <v>564</v>
      </c>
      <c r="B52" s="854"/>
      <c r="C52" s="432" t="s">
        <v>586</v>
      </c>
      <c r="D52" s="1142"/>
      <c r="E52" s="1143"/>
      <c r="F52" s="1143"/>
      <c r="G52" s="1480" t="str">
        <f t="shared" si="0"/>
        <v>-</v>
      </c>
    </row>
    <row r="53" spans="1:10">
      <c r="A53" s="360" t="s">
        <v>16</v>
      </c>
      <c r="B53" s="854">
        <v>20</v>
      </c>
      <c r="C53" s="415" t="s">
        <v>1228</v>
      </c>
      <c r="D53" s="1142">
        <f>+D54+D55</f>
        <v>67137803</v>
      </c>
      <c r="E53" s="1143">
        <f>+E54+E55</f>
        <v>67462978</v>
      </c>
      <c r="F53" s="1143">
        <f>+F54+F55</f>
        <v>67462978</v>
      </c>
      <c r="G53" s="1480">
        <f t="shared" si="0"/>
        <v>1</v>
      </c>
    </row>
    <row r="54" spans="1:10">
      <c r="A54" s="360" t="s">
        <v>573</v>
      </c>
      <c r="B54" s="854"/>
      <c r="C54" s="432" t="s">
        <v>1059</v>
      </c>
      <c r="D54" s="1142">
        <v>36689000</v>
      </c>
      <c r="E54" s="1143">
        <v>36689000</v>
      </c>
      <c r="F54" s="1143">
        <v>36689000</v>
      </c>
      <c r="G54" s="1480">
        <f t="shared" si="0"/>
        <v>1</v>
      </c>
    </row>
    <row r="55" spans="1:10">
      <c r="A55" s="360" t="s">
        <v>564</v>
      </c>
      <c r="B55" s="854"/>
      <c r="C55" s="432" t="s">
        <v>1060</v>
      </c>
      <c r="D55" s="1142">
        <v>30448803</v>
      </c>
      <c r="E55" s="1143">
        <v>30773978</v>
      </c>
      <c r="F55" s="1143">
        <v>30773978</v>
      </c>
      <c r="G55" s="1480">
        <f t="shared" si="0"/>
        <v>1</v>
      </c>
    </row>
    <row r="56" spans="1:10">
      <c r="A56" s="360" t="s">
        <v>15</v>
      </c>
      <c r="B56" s="854">
        <v>6</v>
      </c>
      <c r="C56" s="415" t="s">
        <v>1229</v>
      </c>
      <c r="D56" s="1142">
        <v>3314550</v>
      </c>
      <c r="E56" s="1143">
        <v>3224490</v>
      </c>
      <c r="F56" s="1143">
        <v>3224490</v>
      </c>
      <c r="G56" s="1480">
        <f t="shared" si="0"/>
        <v>1</v>
      </c>
    </row>
    <row r="57" spans="1:10">
      <c r="A57" s="360" t="s">
        <v>14</v>
      </c>
      <c r="B57" s="854">
        <v>21</v>
      </c>
      <c r="C57" s="415" t="s">
        <v>1377</v>
      </c>
      <c r="D57" s="1142">
        <f>+D58+D59</f>
        <v>31633500</v>
      </c>
      <c r="E57" s="1143">
        <f>+E58+E59</f>
        <v>24385500</v>
      </c>
      <c r="F57" s="1143">
        <f>+F58+F59</f>
        <v>24385500</v>
      </c>
      <c r="G57" s="1480">
        <f t="shared" si="0"/>
        <v>1</v>
      </c>
    </row>
    <row r="58" spans="1:10">
      <c r="A58" s="360" t="s">
        <v>573</v>
      </c>
      <c r="B58" s="854"/>
      <c r="C58" s="432" t="s">
        <v>585</v>
      </c>
      <c r="D58" s="1142">
        <f>4419000+16461500</f>
        <v>20880500</v>
      </c>
      <c r="E58" s="1143">
        <f>4419000+16461500</f>
        <v>20880500</v>
      </c>
      <c r="F58" s="1143">
        <f>4419000+16461500</f>
        <v>20880500</v>
      </c>
      <c r="G58" s="1480">
        <f t="shared" si="0"/>
        <v>1</v>
      </c>
    </row>
    <row r="59" spans="1:10" ht="12.75" thickBot="1">
      <c r="A59" s="360" t="s">
        <v>564</v>
      </c>
      <c r="B59" s="854"/>
      <c r="C59" s="432" t="s">
        <v>1378</v>
      </c>
      <c r="D59" s="1142">
        <v>10753000</v>
      </c>
      <c r="E59" s="1143">
        <v>3505000</v>
      </c>
      <c r="F59" s="1143">
        <v>3505000</v>
      </c>
      <c r="G59" s="1480">
        <f t="shared" si="0"/>
        <v>1</v>
      </c>
    </row>
    <row r="60" spans="1:10" ht="24.75" thickBot="1">
      <c r="A60" s="428" t="s">
        <v>21</v>
      </c>
      <c r="B60" s="863"/>
      <c r="C60" s="418" t="s">
        <v>1061</v>
      </c>
      <c r="D60" s="538">
        <f>+D31+D32+D33+D50+D53+D56+D57</f>
        <v>244919853</v>
      </c>
      <c r="E60" s="539">
        <f>+E31+E32+E33+E50+E53+E56+E57</f>
        <v>254532770</v>
      </c>
      <c r="F60" s="539">
        <f>+F31+F32+F33+F50+F53+F56+F57</f>
        <v>254532770</v>
      </c>
      <c r="G60" s="1459">
        <f t="shared" ref="G60" si="4">IF(ISERROR(F60/E60),"-",F60/E60)</f>
        <v>1</v>
      </c>
      <c r="I60" s="630">
        <f>+'1.mell._Össz_Mérleg2018'!E15</f>
        <v>254533</v>
      </c>
      <c r="J60" s="630">
        <f>+ROUND(F60/1000,0)-I60</f>
        <v>0</v>
      </c>
    </row>
    <row r="61" spans="1:10">
      <c r="A61" s="425" t="s">
        <v>4</v>
      </c>
      <c r="B61" s="853"/>
      <c r="C61" s="416" t="s">
        <v>558</v>
      </c>
      <c r="D61" s="1140">
        <f>+D62+D63+D64+D65+D66+D67+D68+D69+D70</f>
        <v>19805080</v>
      </c>
      <c r="E61" s="1141">
        <f>+E62+E63+E64+E65+E66+E67+E68+E69+E70</f>
        <v>19882015</v>
      </c>
      <c r="F61" s="1141">
        <f>+F62+F63+F64+F65+F66+F67+F68+F69+F70</f>
        <v>19882015</v>
      </c>
      <c r="G61" s="1480">
        <f t="shared" si="0"/>
        <v>1</v>
      </c>
    </row>
    <row r="62" spans="1:10">
      <c r="A62" s="425" t="s">
        <v>573</v>
      </c>
      <c r="B62" s="853"/>
      <c r="C62" s="434" t="s">
        <v>1230</v>
      </c>
      <c r="D62" s="1140"/>
      <c r="E62" s="1141"/>
      <c r="F62" s="1141"/>
      <c r="G62" s="1480" t="str">
        <f t="shared" si="0"/>
        <v>-</v>
      </c>
    </row>
    <row r="63" spans="1:10">
      <c r="A63" s="425" t="s">
        <v>564</v>
      </c>
      <c r="B63" s="853"/>
      <c r="C63" s="434" t="s">
        <v>587</v>
      </c>
      <c r="D63" s="1140"/>
      <c r="E63" s="1141"/>
      <c r="F63" s="1141"/>
      <c r="G63" s="1480" t="str">
        <f t="shared" si="0"/>
        <v>-</v>
      </c>
    </row>
    <row r="64" spans="1:10">
      <c r="A64" s="425" t="s">
        <v>569</v>
      </c>
      <c r="B64" s="853"/>
      <c r="C64" s="434" t="s">
        <v>1231</v>
      </c>
      <c r="D64" s="1140"/>
      <c r="E64" s="1141"/>
      <c r="F64" s="1141"/>
      <c r="G64" s="1480" t="str">
        <f t="shared" si="0"/>
        <v>-</v>
      </c>
    </row>
    <row r="65" spans="1:12">
      <c r="A65" s="425" t="s">
        <v>571</v>
      </c>
      <c r="B65" s="892">
        <v>25</v>
      </c>
      <c r="C65" s="434" t="s">
        <v>1232</v>
      </c>
      <c r="D65" s="1140">
        <v>13126080</v>
      </c>
      <c r="E65" s="1141">
        <v>13126080</v>
      </c>
      <c r="F65" s="1141">
        <v>13126080</v>
      </c>
      <c r="G65" s="1480">
        <f t="shared" si="0"/>
        <v>1</v>
      </c>
    </row>
    <row r="66" spans="1:12">
      <c r="A66" s="425" t="s">
        <v>574</v>
      </c>
      <c r="B66" s="853">
        <v>26</v>
      </c>
      <c r="C66" s="434" t="s">
        <v>24</v>
      </c>
      <c r="D66" s="1140">
        <v>6679000</v>
      </c>
      <c r="E66" s="1141">
        <v>6679000</v>
      </c>
      <c r="F66" s="1141">
        <v>6679000</v>
      </c>
      <c r="G66" s="1480">
        <f t="shared" si="0"/>
        <v>1</v>
      </c>
      <c r="L66" s="630">
        <f>+G66</f>
        <v>1</v>
      </c>
    </row>
    <row r="67" spans="1:12">
      <c r="A67" s="425" t="s">
        <v>575</v>
      </c>
      <c r="B67" s="853"/>
      <c r="C67" s="434" t="s">
        <v>1233</v>
      </c>
      <c r="D67" s="1140"/>
      <c r="E67" s="1141"/>
      <c r="F67" s="1141"/>
      <c r="G67" s="1480" t="str">
        <f t="shared" si="0"/>
        <v>-</v>
      </c>
    </row>
    <row r="68" spans="1:12">
      <c r="A68" s="425" t="s">
        <v>576</v>
      </c>
      <c r="B68" s="853"/>
      <c r="C68" s="434" t="s">
        <v>1234</v>
      </c>
      <c r="D68" s="1140"/>
      <c r="E68" s="1141"/>
      <c r="F68" s="1141"/>
      <c r="G68" s="1480" t="str">
        <f t="shared" si="0"/>
        <v>-</v>
      </c>
    </row>
    <row r="69" spans="1:12">
      <c r="A69" s="425" t="s">
        <v>577</v>
      </c>
      <c r="B69" s="853"/>
      <c r="C69" s="434" t="s">
        <v>1379</v>
      </c>
      <c r="D69" s="1140"/>
      <c r="E69" s="1141"/>
      <c r="F69" s="1141"/>
      <c r="G69" s="1480" t="str">
        <f t="shared" si="0"/>
        <v>-</v>
      </c>
    </row>
    <row r="70" spans="1:12">
      <c r="A70" s="425" t="s">
        <v>579</v>
      </c>
      <c r="B70" s="853">
        <v>25</v>
      </c>
      <c r="C70" s="434" t="s">
        <v>1062</v>
      </c>
      <c r="D70" s="1140"/>
      <c r="E70" s="1141">
        <v>76935</v>
      </c>
      <c r="F70" s="1141">
        <v>76935</v>
      </c>
      <c r="G70" s="1480">
        <f t="shared" si="0"/>
        <v>1</v>
      </c>
    </row>
    <row r="71" spans="1:12">
      <c r="A71" s="425" t="s">
        <v>5</v>
      </c>
      <c r="B71" s="853"/>
      <c r="C71" s="416" t="s">
        <v>559</v>
      </c>
      <c r="D71" s="1140">
        <f>+D72+D73+D74</f>
        <v>0</v>
      </c>
      <c r="E71" s="1141">
        <f t="shared" ref="E71:G71" si="5">+E72+E73+E74</f>
        <v>0</v>
      </c>
      <c r="F71" s="1141">
        <f t="shared" si="5"/>
        <v>0</v>
      </c>
      <c r="G71" s="1480" t="str">
        <f t="shared" si="0"/>
        <v>-</v>
      </c>
    </row>
    <row r="72" spans="1:12">
      <c r="A72" s="425" t="s">
        <v>573</v>
      </c>
      <c r="B72" s="853"/>
      <c r="C72" s="434" t="s">
        <v>588</v>
      </c>
      <c r="D72" s="1140"/>
      <c r="E72" s="1141"/>
      <c r="F72" s="1141"/>
      <c r="G72" s="1480" t="str">
        <f t="shared" si="0"/>
        <v>-</v>
      </c>
    </row>
    <row r="73" spans="1:12">
      <c r="A73" s="425" t="s">
        <v>564</v>
      </c>
      <c r="B73" s="853"/>
      <c r="C73" s="434" t="s">
        <v>589</v>
      </c>
      <c r="D73" s="1140"/>
      <c r="E73" s="1141"/>
      <c r="F73" s="1141"/>
      <c r="G73" s="1480" t="str">
        <f t="shared" ref="G73:G75" si="6">IF(ISERROR(F73/E73),"-",F73/E73)</f>
        <v>-</v>
      </c>
    </row>
    <row r="74" spans="1:12">
      <c r="A74" s="425" t="s">
        <v>569</v>
      </c>
      <c r="B74" s="853"/>
      <c r="C74" s="434" t="s">
        <v>590</v>
      </c>
      <c r="D74" s="1140"/>
      <c r="E74" s="1141"/>
      <c r="F74" s="1141"/>
      <c r="G74" s="1480" t="str">
        <f t="shared" si="6"/>
        <v>-</v>
      </c>
    </row>
    <row r="75" spans="1:12" ht="12.75" thickBot="1">
      <c r="A75" s="425" t="s">
        <v>6</v>
      </c>
      <c r="B75" s="892">
        <v>25</v>
      </c>
      <c r="C75" s="416" t="s">
        <v>1380</v>
      </c>
      <c r="D75" s="1140"/>
      <c r="E75" s="1141">
        <v>1957455</v>
      </c>
      <c r="F75" s="1141">
        <v>1957455</v>
      </c>
      <c r="G75" s="1480">
        <f t="shared" si="6"/>
        <v>1</v>
      </c>
    </row>
    <row r="76" spans="1:12" ht="12.75" thickBot="1">
      <c r="A76" s="428" t="s">
        <v>20</v>
      </c>
      <c r="B76" s="863"/>
      <c r="C76" s="418" t="s">
        <v>1381</v>
      </c>
      <c r="D76" s="538">
        <f>+D61+D71+D75</f>
        <v>19805080</v>
      </c>
      <c r="E76" s="539">
        <f>+E61+E71+E75</f>
        <v>21839470</v>
      </c>
      <c r="F76" s="539">
        <f>+F61+F71+F75</f>
        <v>21839470</v>
      </c>
      <c r="G76" s="1459">
        <f t="shared" ref="G76:G78" si="7">IF(ISERROR(F76/E76),"-",F76/E76)</f>
        <v>1</v>
      </c>
      <c r="I76" s="630">
        <f>+'1.mell._Össz_Mérleg2018'!E16</f>
        <v>21839</v>
      </c>
      <c r="J76" s="630">
        <f>+ROUND(F76/1000,0)-I76</f>
        <v>0</v>
      </c>
    </row>
    <row r="77" spans="1:12" s="617" customFormat="1" ht="12.75" thickBot="1">
      <c r="A77" s="435" t="s">
        <v>560</v>
      </c>
      <c r="B77" s="865"/>
      <c r="C77" s="436" t="s">
        <v>1063</v>
      </c>
      <c r="D77" s="1147">
        <v>-5807090</v>
      </c>
      <c r="E77" s="1148">
        <v>-5807090</v>
      </c>
      <c r="F77" s="1148">
        <v>-5807090</v>
      </c>
      <c r="G77" s="1459">
        <f t="shared" si="7"/>
        <v>1</v>
      </c>
    </row>
    <row r="78" spans="1:12" ht="24.75" thickBot="1">
      <c r="A78" s="438" t="s">
        <v>596</v>
      </c>
      <c r="B78" s="857"/>
      <c r="C78" s="418" t="s">
        <v>946</v>
      </c>
      <c r="D78" s="538">
        <f>+D25+D30+D60+D76</f>
        <v>717062729</v>
      </c>
      <c r="E78" s="539">
        <f>+E25+E30+E60+E76</f>
        <v>731343241</v>
      </c>
      <c r="F78" s="539">
        <f>+F25+F30+F60+F76</f>
        <v>731343241</v>
      </c>
      <c r="G78" s="1459">
        <f t="shared" si="7"/>
        <v>1</v>
      </c>
      <c r="I78" s="630"/>
    </row>
    <row r="79" spans="1:12" ht="12.75" thickBot="1">
      <c r="A79" s="429"/>
      <c r="B79" s="866"/>
      <c r="C79" s="421"/>
      <c r="D79" s="1149"/>
      <c r="E79" s="1150"/>
      <c r="F79" s="1150"/>
      <c r="G79" s="1151"/>
    </row>
    <row r="80" spans="1:12" ht="12.75" thickBot="1">
      <c r="A80" s="1300" t="s">
        <v>595</v>
      </c>
      <c r="B80" s="1301"/>
      <c r="C80" s="1301"/>
      <c r="D80" s="1301"/>
      <c r="E80" s="1301"/>
      <c r="F80" s="1301"/>
      <c r="G80" s="1302"/>
    </row>
    <row r="81" spans="1:10" s="746" customFormat="1">
      <c r="A81" s="360" t="s">
        <v>4</v>
      </c>
      <c r="B81" s="854"/>
      <c r="C81" s="415" t="s">
        <v>31</v>
      </c>
      <c r="D81" s="1152"/>
      <c r="E81" s="1153"/>
      <c r="F81" s="1153"/>
      <c r="G81" s="1480" t="str">
        <f t="shared" ref="G81:G94" si="8">IF(ISERROR(F81/E81),"-",F81/E81)</f>
        <v>-</v>
      </c>
      <c r="I81" s="441"/>
      <c r="J81" s="441"/>
    </row>
    <row r="82" spans="1:10" s="746" customFormat="1">
      <c r="A82" s="360" t="s">
        <v>5</v>
      </c>
      <c r="B82" s="854"/>
      <c r="C82" s="415" t="s">
        <v>1235</v>
      </c>
      <c r="D82" s="1142"/>
      <c r="E82" s="1143"/>
      <c r="F82" s="1143"/>
      <c r="G82" s="1480" t="str">
        <f t="shared" si="8"/>
        <v>-</v>
      </c>
      <c r="I82" s="441"/>
      <c r="J82" s="441"/>
    </row>
    <row r="83" spans="1:10" s="746" customFormat="1">
      <c r="A83" s="360" t="s">
        <v>6</v>
      </c>
      <c r="B83" s="854"/>
      <c r="C83" s="415" t="s">
        <v>1236</v>
      </c>
      <c r="D83" s="1142"/>
      <c r="E83" s="1143"/>
      <c r="F83" s="1143"/>
      <c r="G83" s="1480" t="str">
        <f t="shared" si="8"/>
        <v>-</v>
      </c>
      <c r="I83" s="441"/>
      <c r="J83" s="441"/>
    </row>
    <row r="84" spans="1:10" s="746" customFormat="1">
      <c r="A84" s="360" t="s">
        <v>3</v>
      </c>
      <c r="B84" s="854"/>
      <c r="C84" s="415" t="s">
        <v>593</v>
      </c>
      <c r="D84" s="1142"/>
      <c r="E84" s="1143"/>
      <c r="F84" s="1143"/>
      <c r="G84" s="1480" t="str">
        <f t="shared" si="8"/>
        <v>-</v>
      </c>
      <c r="I84" s="441"/>
      <c r="J84" s="441"/>
    </row>
    <row r="85" spans="1:10" s="746" customFormat="1">
      <c r="A85" s="360" t="s">
        <v>16</v>
      </c>
      <c r="B85" s="854"/>
      <c r="C85" s="415" t="s">
        <v>25</v>
      </c>
      <c r="D85" s="1142"/>
      <c r="E85" s="1143"/>
      <c r="F85" s="1143"/>
      <c r="G85" s="1480" t="str">
        <f t="shared" si="8"/>
        <v>-</v>
      </c>
      <c r="I85" s="441"/>
      <c r="J85" s="441"/>
    </row>
    <row r="86" spans="1:10" s="746" customFormat="1">
      <c r="A86" s="360" t="s">
        <v>15</v>
      </c>
      <c r="B86" s="854"/>
      <c r="C86" s="1132" t="s">
        <v>1382</v>
      </c>
      <c r="D86" s="1142"/>
      <c r="E86" s="1143">
        <f>0+1500000</f>
        <v>1500000</v>
      </c>
      <c r="F86" s="1143">
        <v>1500000</v>
      </c>
      <c r="G86" s="1480">
        <f t="shared" si="8"/>
        <v>1</v>
      </c>
      <c r="I86" s="441"/>
      <c r="J86" s="441"/>
    </row>
    <row r="87" spans="1:10" s="746" customFormat="1">
      <c r="A87" s="357" t="s">
        <v>14</v>
      </c>
      <c r="B87" s="855"/>
      <c r="C87" s="829" t="s">
        <v>942</v>
      </c>
      <c r="D87" s="1154"/>
      <c r="E87" s="1155"/>
      <c r="F87" s="1155"/>
      <c r="G87" s="1480" t="str">
        <f t="shared" si="8"/>
        <v>-</v>
      </c>
      <c r="I87" s="441"/>
      <c r="J87" s="441"/>
    </row>
    <row r="88" spans="1:10" s="746" customFormat="1" ht="24">
      <c r="A88" s="357" t="s">
        <v>13</v>
      </c>
      <c r="B88" s="855"/>
      <c r="C88" s="893" t="s">
        <v>1238</v>
      </c>
      <c r="D88" s="1154"/>
      <c r="E88" s="1155"/>
      <c r="F88" s="1155"/>
      <c r="G88" s="1480" t="str">
        <f t="shared" si="8"/>
        <v>-</v>
      </c>
      <c r="I88" s="441"/>
      <c r="J88" s="441"/>
    </row>
    <row r="89" spans="1:10" s="746" customFormat="1">
      <c r="A89" s="357" t="s">
        <v>12</v>
      </c>
      <c r="B89" s="855"/>
      <c r="C89" s="829" t="s">
        <v>1239</v>
      </c>
      <c r="D89" s="1154"/>
      <c r="E89" s="1155"/>
      <c r="F89" s="1155"/>
      <c r="G89" s="1480" t="str">
        <f t="shared" si="8"/>
        <v>-</v>
      </c>
      <c r="I89" s="441"/>
      <c r="J89" s="441"/>
    </row>
    <row r="90" spans="1:10" s="746" customFormat="1">
      <c r="A90" s="360" t="s">
        <v>11</v>
      </c>
      <c r="B90" s="854"/>
      <c r="C90" s="415" t="s">
        <v>1068</v>
      </c>
      <c r="D90" s="1142">
        <f>228597000-108661000</f>
        <v>119936000</v>
      </c>
      <c r="E90" s="1143">
        <v>50000000</v>
      </c>
      <c r="F90" s="1143">
        <v>50000000</v>
      </c>
      <c r="G90" s="1480">
        <f t="shared" si="8"/>
        <v>1</v>
      </c>
      <c r="I90" s="441"/>
      <c r="J90" s="441"/>
    </row>
    <row r="91" spans="1:10" s="746" customFormat="1">
      <c r="A91" s="360" t="s">
        <v>10</v>
      </c>
      <c r="B91" s="854"/>
      <c r="C91" s="415" t="s">
        <v>1069</v>
      </c>
      <c r="D91" s="1142"/>
      <c r="E91" s="1143"/>
      <c r="F91" s="1143"/>
      <c r="G91" s="1480" t="str">
        <f t="shared" si="8"/>
        <v>-</v>
      </c>
      <c r="I91" s="441"/>
      <c r="J91" s="441"/>
    </row>
    <row r="92" spans="1:10" s="746" customFormat="1" ht="24">
      <c r="A92" s="360" t="s">
        <v>9</v>
      </c>
      <c r="B92" s="854"/>
      <c r="C92" s="415" t="s">
        <v>1485</v>
      </c>
      <c r="D92" s="1142"/>
      <c r="E92" s="1143">
        <v>1284800</v>
      </c>
      <c r="F92" s="1143">
        <v>1284800</v>
      </c>
      <c r="G92" s="1480">
        <f t="shared" si="8"/>
        <v>1</v>
      </c>
      <c r="I92" s="441"/>
      <c r="J92" s="441"/>
    </row>
    <row r="93" spans="1:10" s="746" customFormat="1">
      <c r="A93" s="360" t="s">
        <v>45</v>
      </c>
      <c r="B93" s="854"/>
      <c r="C93" s="419" t="s">
        <v>1491</v>
      </c>
      <c r="D93" s="1142"/>
      <c r="E93" s="1143">
        <f>0+659761+191678</f>
        <v>851439</v>
      </c>
      <c r="F93" s="1143">
        <v>851439</v>
      </c>
      <c r="G93" s="1480">
        <f t="shared" ref="G93" si="9">IF(ISERROR(F93/E93),"-",F93/E93)</f>
        <v>1</v>
      </c>
      <c r="I93" s="441"/>
      <c r="J93" s="441"/>
    </row>
    <row r="94" spans="1:10" s="746" customFormat="1" ht="24.75" thickBot="1">
      <c r="A94" s="360" t="s">
        <v>44</v>
      </c>
      <c r="B94" s="854"/>
      <c r="C94" s="419" t="s">
        <v>2680</v>
      </c>
      <c r="D94" s="1142"/>
      <c r="E94" s="1143">
        <v>4716000</v>
      </c>
      <c r="F94" s="1143">
        <v>4716000</v>
      </c>
      <c r="G94" s="1480">
        <f t="shared" si="8"/>
        <v>1</v>
      </c>
      <c r="I94" s="441"/>
      <c r="J94" s="441"/>
    </row>
    <row r="95" spans="1:10" s="747" customFormat="1" ht="12.75" thickBot="1">
      <c r="A95" s="356" t="s">
        <v>23</v>
      </c>
      <c r="B95" s="869">
        <v>8</v>
      </c>
      <c r="C95" s="418" t="s">
        <v>2681</v>
      </c>
      <c r="D95" s="538">
        <f>+D81+D82+D83+D84+D85+D86+D87+D88+D89+D90+D91+D92+D93+D94</f>
        <v>119936000</v>
      </c>
      <c r="E95" s="539">
        <f t="shared" ref="E95:F95" si="10">+E81+E82+E83+E84+E85+E86+E87+E88+E89+E90+E91+E92+E93+E94</f>
        <v>58352239</v>
      </c>
      <c r="F95" s="539">
        <f t="shared" si="10"/>
        <v>58352239</v>
      </c>
      <c r="G95" s="1459">
        <f t="shared" ref="G95:G117" si="11">IF(ISERROR(F95/E95),"-",F95/E95)</f>
        <v>1</v>
      </c>
      <c r="I95" s="630">
        <f>+'1.mell._Össz_Mérleg2018'!E17</f>
        <v>58352</v>
      </c>
      <c r="J95" s="630">
        <f>+ROUND(F95/1000,0)-I95</f>
        <v>0</v>
      </c>
    </row>
    <row r="96" spans="1:10" s="746" customFormat="1">
      <c r="A96" s="360" t="s">
        <v>4</v>
      </c>
      <c r="B96" s="854"/>
      <c r="C96" s="415" t="s">
        <v>30</v>
      </c>
      <c r="D96" s="1142"/>
      <c r="E96" s="1143"/>
      <c r="F96" s="1143"/>
      <c r="G96" s="1480" t="str">
        <f t="shared" si="11"/>
        <v>-</v>
      </c>
      <c r="I96" s="441"/>
      <c r="J96" s="441"/>
    </row>
    <row r="97" spans="1:10" s="746" customFormat="1">
      <c r="A97" s="360" t="s">
        <v>5</v>
      </c>
      <c r="B97" s="854"/>
      <c r="C97" s="415" t="s">
        <v>28</v>
      </c>
      <c r="D97" s="1142">
        <f>+D98+D99+D100</f>
        <v>0</v>
      </c>
      <c r="E97" s="1143">
        <f>+E98+E99+E100</f>
        <v>0</v>
      </c>
      <c r="F97" s="1143">
        <f>+F98+F99+F100</f>
        <v>0</v>
      </c>
      <c r="G97" s="1480" t="str">
        <f t="shared" si="11"/>
        <v>-</v>
      </c>
      <c r="I97" s="441"/>
      <c r="J97" s="441"/>
    </row>
    <row r="98" spans="1:10" s="746" customFormat="1">
      <c r="A98" s="360" t="s">
        <v>573</v>
      </c>
      <c r="B98" s="854"/>
      <c r="C98" s="432" t="s">
        <v>591</v>
      </c>
      <c r="D98" s="1142"/>
      <c r="E98" s="1143"/>
      <c r="F98" s="1143"/>
      <c r="G98" s="1480" t="str">
        <f t="shared" si="11"/>
        <v>-</v>
      </c>
      <c r="I98" s="441"/>
      <c r="J98" s="441"/>
    </row>
    <row r="99" spans="1:10" s="746" customFormat="1">
      <c r="A99" s="360" t="s">
        <v>564</v>
      </c>
      <c r="B99" s="854"/>
      <c r="C99" s="432" t="s">
        <v>592</v>
      </c>
      <c r="D99" s="1142"/>
      <c r="E99" s="1143"/>
      <c r="F99" s="1143"/>
      <c r="G99" s="1480" t="str">
        <f t="shared" si="11"/>
        <v>-</v>
      </c>
      <c r="I99" s="441"/>
      <c r="J99" s="441"/>
    </row>
    <row r="100" spans="1:10" s="746" customFormat="1">
      <c r="A100" s="360" t="s">
        <v>569</v>
      </c>
      <c r="B100" s="854"/>
      <c r="C100" s="432" t="s">
        <v>1065</v>
      </c>
      <c r="D100" s="1142"/>
      <c r="E100" s="1143"/>
      <c r="F100" s="1143"/>
      <c r="G100" s="1480" t="str">
        <f t="shared" si="11"/>
        <v>-</v>
      </c>
      <c r="I100" s="441"/>
      <c r="J100" s="441"/>
    </row>
    <row r="101" spans="1:10" s="746" customFormat="1">
      <c r="A101" s="360" t="s">
        <v>6</v>
      </c>
      <c r="B101" s="854"/>
      <c r="C101" s="415" t="s">
        <v>1067</v>
      </c>
      <c r="D101" s="1142"/>
      <c r="E101" s="1143"/>
      <c r="F101" s="1143"/>
      <c r="G101" s="1480" t="str">
        <f t="shared" si="11"/>
        <v>-</v>
      </c>
      <c r="I101" s="441"/>
      <c r="J101" s="441"/>
    </row>
    <row r="102" spans="1:10" s="746" customFormat="1">
      <c r="A102" s="360" t="s">
        <v>3</v>
      </c>
      <c r="B102" s="854"/>
      <c r="C102" s="415" t="s">
        <v>943</v>
      </c>
      <c r="D102" s="1142">
        <f>+D103+D104+D105</f>
        <v>0</v>
      </c>
      <c r="E102" s="1143">
        <f>+E103+E104+E105</f>
        <v>2708000</v>
      </c>
      <c r="F102" s="1143">
        <f>+F103+F104+F105</f>
        <v>2708000</v>
      </c>
      <c r="G102" s="1480">
        <f t="shared" si="11"/>
        <v>1</v>
      </c>
      <c r="I102" s="441"/>
      <c r="J102" s="441"/>
    </row>
    <row r="103" spans="1:10" s="746" customFormat="1">
      <c r="A103" s="360" t="s">
        <v>573</v>
      </c>
      <c r="B103" s="854"/>
      <c r="C103" s="432" t="s">
        <v>944</v>
      </c>
      <c r="D103" s="1142"/>
      <c r="E103" s="1143">
        <v>2708000</v>
      </c>
      <c r="F103" s="1143">
        <v>2708000</v>
      </c>
      <c r="G103" s="1480">
        <f t="shared" si="11"/>
        <v>1</v>
      </c>
      <c r="I103" s="441"/>
      <c r="J103" s="441"/>
    </row>
    <row r="104" spans="1:10" s="746" customFormat="1">
      <c r="A104" s="360" t="s">
        <v>564</v>
      </c>
      <c r="B104" s="854"/>
      <c r="C104" s="432" t="s">
        <v>1066</v>
      </c>
      <c r="D104" s="1142"/>
      <c r="E104" s="1143"/>
      <c r="F104" s="1143"/>
      <c r="G104" s="1480" t="str">
        <f t="shared" si="11"/>
        <v>-</v>
      </c>
      <c r="I104" s="441"/>
      <c r="J104" s="441"/>
    </row>
    <row r="105" spans="1:10" s="746" customFormat="1">
      <c r="A105" s="360" t="s">
        <v>569</v>
      </c>
      <c r="B105" s="854"/>
      <c r="C105" s="432" t="s">
        <v>945</v>
      </c>
      <c r="D105" s="1142"/>
      <c r="E105" s="1143"/>
      <c r="F105" s="1143"/>
      <c r="G105" s="1480" t="str">
        <f t="shared" si="11"/>
        <v>-</v>
      </c>
      <c r="I105" s="441"/>
      <c r="J105" s="441"/>
    </row>
    <row r="106" spans="1:10" s="746" customFormat="1">
      <c r="A106" s="360" t="s">
        <v>16</v>
      </c>
      <c r="B106" s="854"/>
      <c r="C106" s="415" t="s">
        <v>29</v>
      </c>
      <c r="D106" s="1142"/>
      <c r="E106" s="1143"/>
      <c r="F106" s="1143"/>
      <c r="G106" s="1480" t="str">
        <f t="shared" si="11"/>
        <v>-</v>
      </c>
      <c r="I106" s="441"/>
      <c r="J106" s="441"/>
    </row>
    <row r="107" spans="1:10" s="746" customFormat="1">
      <c r="A107" s="360" t="s">
        <v>15</v>
      </c>
      <c r="B107" s="854"/>
      <c r="C107" s="849" t="s">
        <v>1384</v>
      </c>
      <c r="D107" s="1142"/>
      <c r="E107" s="1143"/>
      <c r="F107" s="1143"/>
      <c r="G107" s="1480" t="str">
        <f t="shared" si="11"/>
        <v>-</v>
      </c>
      <c r="I107" s="441"/>
      <c r="J107" s="441"/>
    </row>
    <row r="108" spans="1:10" s="746" customFormat="1">
      <c r="A108" s="425" t="s">
        <v>14</v>
      </c>
      <c r="B108" s="853"/>
      <c r="C108" s="416" t="s">
        <v>1240</v>
      </c>
      <c r="D108" s="1140"/>
      <c r="E108" s="1141"/>
      <c r="F108" s="1141"/>
      <c r="G108" s="1480" t="str">
        <f t="shared" si="11"/>
        <v>-</v>
      </c>
      <c r="I108" s="441"/>
      <c r="J108" s="441"/>
    </row>
    <row r="109" spans="1:10" s="746" customFormat="1">
      <c r="A109" s="425" t="s">
        <v>13</v>
      </c>
      <c r="B109" s="853"/>
      <c r="C109" s="416" t="s">
        <v>1385</v>
      </c>
      <c r="D109" s="1140"/>
      <c r="E109" s="1141"/>
      <c r="F109" s="1141"/>
      <c r="G109" s="1480" t="str">
        <f t="shared" si="11"/>
        <v>-</v>
      </c>
      <c r="I109" s="441"/>
      <c r="J109" s="441"/>
    </row>
    <row r="110" spans="1:10" s="746" customFormat="1">
      <c r="A110" s="425" t="s">
        <v>12</v>
      </c>
      <c r="B110" s="853"/>
      <c r="C110" s="416" t="s">
        <v>1241</v>
      </c>
      <c r="D110" s="1140"/>
      <c r="E110" s="1141"/>
      <c r="F110" s="1141"/>
      <c r="G110" s="1480" t="str">
        <f t="shared" si="11"/>
        <v>-</v>
      </c>
      <c r="I110" s="441"/>
      <c r="J110" s="441"/>
    </row>
    <row r="111" spans="1:10" s="746" customFormat="1">
      <c r="A111" s="425" t="s">
        <v>11</v>
      </c>
      <c r="B111" s="853"/>
      <c r="C111" s="416" t="s">
        <v>1242</v>
      </c>
      <c r="D111" s="1140"/>
      <c r="E111" s="1141"/>
      <c r="F111" s="1141"/>
      <c r="G111" s="1480" t="str">
        <f t="shared" si="11"/>
        <v>-</v>
      </c>
      <c r="I111" s="441"/>
      <c r="J111" s="441"/>
    </row>
    <row r="112" spans="1:10" s="746" customFormat="1">
      <c r="A112" s="425" t="s">
        <v>10</v>
      </c>
      <c r="B112" s="853"/>
      <c r="C112" s="416" t="s">
        <v>1386</v>
      </c>
      <c r="D112" s="1140"/>
      <c r="E112" s="1141"/>
      <c r="F112" s="1141"/>
      <c r="G112" s="1480" t="str">
        <f t="shared" si="11"/>
        <v>-</v>
      </c>
      <c r="I112" s="441"/>
      <c r="J112" s="441"/>
    </row>
    <row r="113" spans="1:10" s="746" customFormat="1">
      <c r="A113" s="425" t="s">
        <v>9</v>
      </c>
      <c r="B113" s="853"/>
      <c r="C113" s="416" t="s">
        <v>1387</v>
      </c>
      <c r="D113" s="1140"/>
      <c r="E113" s="1141"/>
      <c r="F113" s="1141"/>
      <c r="G113" s="1480" t="str">
        <f t="shared" si="11"/>
        <v>-</v>
      </c>
      <c r="I113" s="441"/>
      <c r="J113" s="441"/>
    </row>
    <row r="114" spans="1:10" s="746" customFormat="1" ht="24">
      <c r="A114" s="425" t="s">
        <v>45</v>
      </c>
      <c r="B114" s="853"/>
      <c r="C114" s="416" t="s">
        <v>1388</v>
      </c>
      <c r="D114" s="1140"/>
      <c r="E114" s="1141"/>
      <c r="F114" s="1141"/>
      <c r="G114" s="1480" t="str">
        <f t="shared" si="11"/>
        <v>-</v>
      </c>
      <c r="I114" s="441"/>
      <c r="J114" s="441"/>
    </row>
    <row r="115" spans="1:10" s="746" customFormat="1">
      <c r="A115" s="425" t="s">
        <v>44</v>
      </c>
      <c r="B115" s="853"/>
      <c r="C115" s="416" t="s">
        <v>1389</v>
      </c>
      <c r="D115" s="1140"/>
      <c r="E115" s="1141"/>
      <c r="F115" s="1141"/>
      <c r="G115" s="1480" t="str">
        <f t="shared" si="11"/>
        <v>-</v>
      </c>
      <c r="I115" s="441"/>
      <c r="J115" s="441"/>
    </row>
    <row r="116" spans="1:10" s="746" customFormat="1">
      <c r="A116" s="425" t="s">
        <v>43</v>
      </c>
      <c r="B116" s="853"/>
      <c r="C116" s="416" t="s">
        <v>1390</v>
      </c>
      <c r="D116" s="1140"/>
      <c r="E116" s="1141"/>
      <c r="F116" s="1141"/>
      <c r="G116" s="1480" t="str">
        <f t="shared" si="11"/>
        <v>-</v>
      </c>
      <c r="I116" s="441"/>
      <c r="J116" s="441"/>
    </row>
    <row r="117" spans="1:10" s="746" customFormat="1" ht="12.75" thickBot="1">
      <c r="A117" s="425" t="s">
        <v>40</v>
      </c>
      <c r="B117" s="853"/>
      <c r="C117" s="416" t="s">
        <v>1484</v>
      </c>
      <c r="D117" s="1140"/>
      <c r="E117" s="1141">
        <v>20000000</v>
      </c>
      <c r="F117" s="1141">
        <v>20000000</v>
      </c>
      <c r="G117" s="1480">
        <f t="shared" si="11"/>
        <v>1</v>
      </c>
      <c r="I117" s="441"/>
      <c r="J117" s="441"/>
    </row>
    <row r="118" spans="1:10" s="747" customFormat="1" ht="12.75" thickBot="1">
      <c r="A118" s="356" t="s">
        <v>22</v>
      </c>
      <c r="B118" s="869">
        <v>8</v>
      </c>
      <c r="C118" s="418" t="s">
        <v>1483</v>
      </c>
      <c r="D118" s="538">
        <f>D96+D97+D101+D102+D106+D107+D108+D109+D110+D111+D112+D113+D114+D115+D116+D117</f>
        <v>0</v>
      </c>
      <c r="E118" s="539">
        <f t="shared" ref="E118:G118" si="12">E96+E97+E101+E102+E106+E107+E108+E109+E110+E111+E112+E113+E114+E115+E116+E117</f>
        <v>22708000</v>
      </c>
      <c r="F118" s="539">
        <f t="shared" si="12"/>
        <v>22708000</v>
      </c>
      <c r="G118" s="1459">
        <f t="shared" ref="G118:G119" si="13">IF(ISERROR(F118/E118),"-",F118/E118)</f>
        <v>1</v>
      </c>
      <c r="I118" s="630">
        <f>+'1.mell._Össz_Mérleg2018'!E52</f>
        <v>22708</v>
      </c>
      <c r="J118" s="630">
        <f>+ROUND(F118/1000,0)-I118</f>
        <v>0</v>
      </c>
    </row>
    <row r="119" spans="1:10" s="746" customFormat="1" ht="12.75" thickBot="1">
      <c r="A119" s="360" t="s">
        <v>4</v>
      </c>
      <c r="B119" s="854"/>
      <c r="C119" s="415" t="s">
        <v>947</v>
      </c>
      <c r="D119" s="1142"/>
      <c r="E119" s="1143"/>
      <c r="F119" s="1143"/>
      <c r="G119" s="1480" t="str">
        <f t="shared" si="13"/>
        <v>-</v>
      </c>
      <c r="I119" s="441"/>
      <c r="J119" s="441"/>
    </row>
    <row r="120" spans="1:10" s="746" customFormat="1" ht="12.75" thickBot="1">
      <c r="A120" s="438" t="s">
        <v>21</v>
      </c>
      <c r="B120" s="869">
        <v>8</v>
      </c>
      <c r="C120" s="418" t="s">
        <v>1044</v>
      </c>
      <c r="D120" s="538">
        <f>+D119</f>
        <v>0</v>
      </c>
      <c r="E120" s="539">
        <f>+E119</f>
        <v>0</v>
      </c>
      <c r="F120" s="539">
        <f>+F119</f>
        <v>0</v>
      </c>
      <c r="G120" s="1459" t="str">
        <f t="shared" ref="G120:G121" si="14">IF(ISERROR(F120/E120),"-",F120/E120)</f>
        <v>-</v>
      </c>
    </row>
    <row r="121" spans="1:10" s="746" customFormat="1" ht="15.75" customHeight="1" thickBot="1">
      <c r="A121" s="428" t="s">
        <v>597</v>
      </c>
      <c r="B121" s="863"/>
      <c r="C121" s="418" t="s">
        <v>1383</v>
      </c>
      <c r="D121" s="538">
        <f>+D95+D118+D120</f>
        <v>119936000</v>
      </c>
      <c r="E121" s="539">
        <f>+E95+E118+E120</f>
        <v>81060239</v>
      </c>
      <c r="F121" s="539">
        <f>+F95+F118+F120</f>
        <v>81060239</v>
      </c>
      <c r="G121" s="1459">
        <f t="shared" si="14"/>
        <v>1</v>
      </c>
      <c r="I121" s="630"/>
      <c r="J121" s="630"/>
    </row>
    <row r="122" spans="1:10" ht="12.75" thickBot="1">
      <c r="A122" s="428"/>
      <c r="B122" s="863"/>
      <c r="C122" s="418"/>
      <c r="D122" s="538"/>
      <c r="E122" s="539"/>
      <c r="F122" s="539"/>
      <c r="G122" s="417"/>
    </row>
    <row r="123" spans="1:10" ht="12.75" thickBot="1">
      <c r="A123" s="428" t="s">
        <v>598</v>
      </c>
      <c r="B123" s="863"/>
      <c r="C123" s="418" t="s">
        <v>1045</v>
      </c>
      <c r="D123" s="538">
        <f>+D78+D121</f>
        <v>836998729</v>
      </c>
      <c r="E123" s="539">
        <f>+E78+E121</f>
        <v>812403480</v>
      </c>
      <c r="F123" s="539">
        <f>+F78+F121</f>
        <v>812403480</v>
      </c>
      <c r="G123" s="1459">
        <f t="shared" ref="G123" si="15">IF(ISERROR(F123/E123),"-",F123/E123)</f>
        <v>1</v>
      </c>
      <c r="I123" s="630">
        <f>+'1.mell._Össz_Mérleg2018'!E12+'1.mell._Össz_Mérleg2018'!E52</f>
        <v>812403</v>
      </c>
      <c r="J123" s="630">
        <f>+ROUND(F123/1000,0)-I123</f>
        <v>0</v>
      </c>
    </row>
  </sheetData>
  <mergeCells count="4">
    <mergeCell ref="A3:G3"/>
    <mergeCell ref="A8:G8"/>
    <mergeCell ref="A80:G80"/>
    <mergeCell ref="D7:G7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66" fitToHeight="2" orientation="portrait" r:id="rId1"/>
  <headerFooter>
    <oddHeader>&amp;C 10. melléklet - &amp;P. oldal</oddHeader>
  </headerFooter>
  <rowBreaks count="1" manualBreakCount="1">
    <brk id="78" max="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sheetPr codeName="Munka24">
    <tabColor rgb="FF00B0F0"/>
    <pageSetUpPr fitToPage="1"/>
  </sheetPr>
  <dimension ref="A1:P123"/>
  <sheetViews>
    <sheetView zoomScaleNormal="100" workbookViewId="0"/>
  </sheetViews>
  <sheetFormatPr defaultColWidth="68.85546875" defaultRowHeight="12"/>
  <cols>
    <col min="1" max="1" width="98.7109375" style="183" bestFit="1" customWidth="1"/>
    <col min="2" max="3" width="10.28515625" style="183" customWidth="1"/>
    <col min="4" max="4" width="10.5703125" style="183" customWidth="1"/>
    <col min="5" max="7" width="10.28515625" style="183" customWidth="1"/>
    <col min="8" max="8" width="10.28515625" style="1494" customWidth="1"/>
    <col min="9" max="10" width="10.28515625" style="183" customWidth="1"/>
    <col min="11" max="11" width="9.28515625" style="183" customWidth="1"/>
    <col min="12" max="14" width="9.28515625" style="183" hidden="1" customWidth="1"/>
    <col min="15" max="15" width="9.28515625" style="441" hidden="1" customWidth="1"/>
    <col min="16" max="16" width="9.28515625" style="183" hidden="1" customWidth="1"/>
    <col min="17" max="48" width="9.28515625" style="183" customWidth="1"/>
    <col min="49" max="16384" width="68.85546875" style="183"/>
  </cols>
  <sheetData>
    <row r="1" spans="1:16" s="185" customFormat="1" ht="15.75">
      <c r="A1" s="1207"/>
      <c r="B1" s="455"/>
      <c r="C1" s="455"/>
      <c r="D1" s="455"/>
      <c r="E1" s="455"/>
      <c r="F1" s="455"/>
      <c r="G1" s="455"/>
      <c r="H1" s="1487"/>
      <c r="I1" s="455"/>
      <c r="J1" s="192" t="s">
        <v>512</v>
      </c>
      <c r="O1" s="918"/>
    </row>
    <row r="2" spans="1:16" s="185" customFormat="1" ht="15.75">
      <c r="A2" s="1207"/>
      <c r="B2" s="455"/>
      <c r="C2" s="455"/>
      <c r="D2" s="455"/>
      <c r="E2" s="455"/>
      <c r="F2" s="455"/>
      <c r="G2" s="455"/>
      <c r="H2" s="1487"/>
      <c r="I2" s="455"/>
      <c r="J2" s="192"/>
      <c r="O2" s="918"/>
    </row>
    <row r="3" spans="1:16" s="185" customFormat="1" ht="15.75">
      <c r="A3" s="1306" t="s">
        <v>331</v>
      </c>
      <c r="B3" s="1306"/>
      <c r="C3" s="1306"/>
      <c r="D3" s="1306"/>
      <c r="E3" s="1306"/>
      <c r="F3" s="1306"/>
      <c r="G3" s="1306"/>
      <c r="H3" s="1306"/>
      <c r="I3" s="1306"/>
      <c r="J3" s="1306"/>
      <c r="O3" s="918"/>
    </row>
    <row r="4" spans="1:16" s="185" customFormat="1" ht="15.75">
      <c r="A4" s="1306" t="s">
        <v>1338</v>
      </c>
      <c r="B4" s="1306"/>
      <c r="C4" s="1306"/>
      <c r="D4" s="1306"/>
      <c r="E4" s="1306"/>
      <c r="F4" s="1306"/>
      <c r="G4" s="1306"/>
      <c r="H4" s="1306"/>
      <c r="I4" s="1306"/>
      <c r="J4" s="1306"/>
      <c r="O4" s="918"/>
    </row>
    <row r="5" spans="1:16" ht="12.75" thickBot="1">
      <c r="A5" s="145"/>
      <c r="B5" s="145"/>
      <c r="C5" s="145"/>
      <c r="D5" s="145"/>
      <c r="E5" s="145"/>
      <c r="F5" s="145"/>
      <c r="G5" s="145"/>
      <c r="H5" s="1488"/>
      <c r="I5" s="1307" t="s">
        <v>49</v>
      </c>
      <c r="J5" s="1307"/>
    </row>
    <row r="6" spans="1:16" ht="48.75" thickBot="1">
      <c r="A6" s="759" t="s">
        <v>629</v>
      </c>
      <c r="B6" s="772" t="s">
        <v>615</v>
      </c>
      <c r="C6" s="456" t="s">
        <v>601</v>
      </c>
      <c r="D6" s="446" t="s">
        <v>1337</v>
      </c>
      <c r="E6" s="1057" t="s">
        <v>1474</v>
      </c>
      <c r="F6" s="6" t="s">
        <v>1475</v>
      </c>
      <c r="G6" s="1482" t="s">
        <v>1529</v>
      </c>
      <c r="H6" s="1483" t="s">
        <v>1527</v>
      </c>
      <c r="I6" s="456" t="s">
        <v>614</v>
      </c>
      <c r="J6" s="821" t="s">
        <v>1339</v>
      </c>
    </row>
    <row r="7" spans="1:16" ht="13.5" customHeight="1" thickBot="1">
      <c r="A7" s="760">
        <v>1</v>
      </c>
      <c r="B7" s="773">
        <v>2</v>
      </c>
      <c r="C7" s="457">
        <v>3</v>
      </c>
      <c r="D7" s="445">
        <v>4</v>
      </c>
      <c r="E7" s="1484">
        <v>5</v>
      </c>
      <c r="F7" s="1485"/>
      <c r="G7" s="1485"/>
      <c r="H7" s="1486"/>
      <c r="I7" s="457">
        <v>6</v>
      </c>
      <c r="J7" s="822" t="s">
        <v>602</v>
      </c>
    </row>
    <row r="8" spans="1:16">
      <c r="A8" s="761" t="s">
        <v>608</v>
      </c>
      <c r="B8" s="458"/>
      <c r="C8" s="767"/>
      <c r="D8" s="444"/>
      <c r="E8" s="1156"/>
      <c r="F8" s="1157"/>
      <c r="G8" s="1157"/>
      <c r="H8" s="1489"/>
      <c r="I8" s="443"/>
      <c r="J8" s="823"/>
    </row>
    <row r="9" spans="1:16">
      <c r="A9" s="762" t="s">
        <v>1279</v>
      </c>
      <c r="B9" s="286">
        <f>20900+73275+53820</f>
        <v>147995</v>
      </c>
      <c r="C9" s="768" t="s">
        <v>1255</v>
      </c>
      <c r="D9" s="313">
        <f>11000+6000+400+500+3000</f>
        <v>20900</v>
      </c>
      <c r="E9" s="314">
        <f>10000+4000+400+500+2000</f>
        <v>16900</v>
      </c>
      <c r="F9" s="315">
        <f>30750+42525</f>
        <v>73275</v>
      </c>
      <c r="G9" s="315">
        <f>2800+200+500+4000+2000+10000+300+300+1525+500+45+3880+4000+300+400</f>
        <v>30750</v>
      </c>
      <c r="H9" s="1466">
        <f t="shared" ref="H9:H30" si="0">IF(ISERROR(G9/F9),"-",G9/F9)</f>
        <v>0.41965199590583419</v>
      </c>
      <c r="I9" s="442"/>
      <c r="J9" s="824">
        <f t="shared" ref="J9:J17" si="1">+B9-D9-MIN(F9,G9)</f>
        <v>96345</v>
      </c>
      <c r="O9" s="630">
        <f>+ROUND(G9/1.27,0)</f>
        <v>24213</v>
      </c>
      <c r="P9" s="624">
        <f t="shared" ref="P9:P14" si="2">+H9-O9</f>
        <v>-24212.580348004096</v>
      </c>
    </row>
    <row r="10" spans="1:16">
      <c r="A10" s="762" t="s">
        <v>1486</v>
      </c>
      <c r="B10" s="286">
        <f>8000+20000</f>
        <v>28000</v>
      </c>
      <c r="C10" s="768" t="s">
        <v>1243</v>
      </c>
      <c r="D10" s="313"/>
      <c r="E10" s="314">
        <v>8000</v>
      </c>
      <c r="F10" s="315">
        <v>1397</v>
      </c>
      <c r="G10" s="315">
        <v>1397</v>
      </c>
      <c r="H10" s="1466">
        <f t="shared" si="0"/>
        <v>1</v>
      </c>
      <c r="I10" s="442">
        <v>20000</v>
      </c>
      <c r="J10" s="824">
        <f t="shared" si="1"/>
        <v>26603</v>
      </c>
      <c r="O10" s="630">
        <f>+ROUND(G10/1.27,0)</f>
        <v>1100</v>
      </c>
      <c r="P10" s="624">
        <f t="shared" si="2"/>
        <v>-1099</v>
      </c>
    </row>
    <row r="11" spans="1:16">
      <c r="A11" s="762" t="s">
        <v>1280</v>
      </c>
      <c r="B11" s="286">
        <v>127</v>
      </c>
      <c r="C11" s="768" t="s">
        <v>459</v>
      </c>
      <c r="D11" s="313"/>
      <c r="E11" s="314">
        <f>8000-4000-1000</f>
        <v>3000</v>
      </c>
      <c r="F11" s="315">
        <v>127</v>
      </c>
      <c r="G11" s="315">
        <v>127</v>
      </c>
      <c r="H11" s="1466">
        <f t="shared" si="0"/>
        <v>1</v>
      </c>
      <c r="I11" s="442"/>
      <c r="J11" s="824">
        <f t="shared" si="1"/>
        <v>0</v>
      </c>
      <c r="O11" s="630">
        <f>+ROUND(G11/1.27,0)</f>
        <v>100</v>
      </c>
      <c r="P11" s="624">
        <f t="shared" si="2"/>
        <v>-99</v>
      </c>
    </row>
    <row r="12" spans="1:16">
      <c r="A12" s="762" t="s">
        <v>1281</v>
      </c>
      <c r="B12" s="286">
        <v>0</v>
      </c>
      <c r="C12" s="768" t="s">
        <v>459</v>
      </c>
      <c r="D12" s="313"/>
      <c r="E12" s="314">
        <f>10000-5000-1000</f>
        <v>4000</v>
      </c>
      <c r="F12" s="315">
        <v>0</v>
      </c>
      <c r="G12" s="315"/>
      <c r="H12" s="1466" t="str">
        <f t="shared" si="0"/>
        <v>-</v>
      </c>
      <c r="I12" s="442"/>
      <c r="J12" s="824">
        <f t="shared" si="1"/>
        <v>0</v>
      </c>
      <c r="O12" s="630">
        <f>+ROUND(G12/1.27,0)</f>
        <v>0</v>
      </c>
      <c r="P12" s="624" t="e">
        <f t="shared" si="2"/>
        <v>#VALUE!</v>
      </c>
    </row>
    <row r="13" spans="1:16">
      <c r="A13" s="762" t="s">
        <v>1284</v>
      </c>
      <c r="B13" s="286">
        <v>24000</v>
      </c>
      <c r="C13" s="768" t="s">
        <v>1243</v>
      </c>
      <c r="D13" s="313">
        <v>15000</v>
      </c>
      <c r="E13" s="314">
        <f>9000-9000</f>
        <v>0</v>
      </c>
      <c r="F13" s="315">
        <f>9000-9000</f>
        <v>0</v>
      </c>
      <c r="G13" s="315"/>
      <c r="H13" s="1466" t="str">
        <f t="shared" si="0"/>
        <v>-</v>
      </c>
      <c r="I13" s="442"/>
      <c r="J13" s="824">
        <f t="shared" si="1"/>
        <v>9000</v>
      </c>
      <c r="L13" s="1877"/>
      <c r="O13" s="630">
        <f>+ROUND(G13/1.27,0)</f>
        <v>0</v>
      </c>
      <c r="P13" s="624" t="e">
        <f t="shared" si="2"/>
        <v>#VALUE!</v>
      </c>
    </row>
    <row r="14" spans="1:16">
      <c r="A14" s="762" t="s">
        <v>1446</v>
      </c>
      <c r="B14" s="286">
        <f>2000-2000</f>
        <v>0</v>
      </c>
      <c r="C14" s="768" t="s">
        <v>459</v>
      </c>
      <c r="D14" s="313"/>
      <c r="E14" s="314">
        <f>2000-2000</f>
        <v>0</v>
      </c>
      <c r="F14" s="315">
        <f>2000-2000</f>
        <v>0</v>
      </c>
      <c r="G14" s="315"/>
      <c r="H14" s="1466" t="str">
        <f t="shared" si="0"/>
        <v>-</v>
      </c>
      <c r="I14" s="442"/>
      <c r="J14" s="824">
        <f t="shared" si="1"/>
        <v>0</v>
      </c>
      <c r="L14" s="1877"/>
      <c r="O14" s="630">
        <f>+ROUND(G14/1.27,0)</f>
        <v>0</v>
      </c>
      <c r="P14" s="624" t="e">
        <f t="shared" si="2"/>
        <v>#VALUE!</v>
      </c>
    </row>
    <row r="15" spans="1:16">
      <c r="A15" s="762" t="s">
        <v>1447</v>
      </c>
      <c r="B15" s="286">
        <v>2200</v>
      </c>
      <c r="C15" s="768" t="s">
        <v>1243</v>
      </c>
      <c r="D15" s="313"/>
      <c r="E15" s="314">
        <v>2200</v>
      </c>
      <c r="F15" s="315">
        <v>2200</v>
      </c>
      <c r="G15" s="315">
        <v>2200</v>
      </c>
      <c r="H15" s="1466">
        <f t="shared" si="0"/>
        <v>1</v>
      </c>
      <c r="I15" s="442"/>
      <c r="J15" s="824">
        <f t="shared" si="1"/>
        <v>0</v>
      </c>
      <c r="O15" s="630">
        <f>+ROUND(G15/1,0)</f>
        <v>2200</v>
      </c>
      <c r="P15" s="624">
        <f t="shared" ref="P15:P21" si="3">+H15-O15</f>
        <v>-2199</v>
      </c>
    </row>
    <row r="16" spans="1:16">
      <c r="A16" s="762" t="s">
        <v>1492</v>
      </c>
      <c r="B16" s="286">
        <v>0</v>
      </c>
      <c r="C16" s="768" t="s">
        <v>459</v>
      </c>
      <c r="D16" s="313"/>
      <c r="E16" s="314"/>
      <c r="F16" s="315">
        <v>0</v>
      </c>
      <c r="G16" s="315"/>
      <c r="H16" s="1466" t="str">
        <f t="shared" si="0"/>
        <v>-</v>
      </c>
      <c r="I16" s="442"/>
      <c r="J16" s="824">
        <f t="shared" si="1"/>
        <v>0</v>
      </c>
      <c r="O16" s="630">
        <f>+ROUND(G16/1,0)</f>
        <v>0</v>
      </c>
      <c r="P16" s="624" t="e">
        <f t="shared" si="3"/>
        <v>#VALUE!</v>
      </c>
    </row>
    <row r="17" spans="1:16">
      <c r="A17" s="762" t="s">
        <v>1493</v>
      </c>
      <c r="B17" s="286">
        <v>1484</v>
      </c>
      <c r="C17" s="768" t="s">
        <v>459</v>
      </c>
      <c r="D17" s="313"/>
      <c r="E17" s="314"/>
      <c r="F17" s="315">
        <f>0+1484</f>
        <v>1484</v>
      </c>
      <c r="G17" s="315">
        <v>1484</v>
      </c>
      <c r="H17" s="1466">
        <f t="shared" si="0"/>
        <v>1</v>
      </c>
      <c r="I17" s="442"/>
      <c r="J17" s="824">
        <f t="shared" si="1"/>
        <v>0</v>
      </c>
      <c r="O17" s="630">
        <f>+ROUND(G17/1,0)</f>
        <v>1484</v>
      </c>
      <c r="P17" s="624">
        <f t="shared" si="3"/>
        <v>-1483</v>
      </c>
    </row>
    <row r="18" spans="1:16">
      <c r="A18" s="762" t="s">
        <v>1501</v>
      </c>
      <c r="B18" s="286">
        <v>0</v>
      </c>
      <c r="C18" s="768" t="s">
        <v>459</v>
      </c>
      <c r="D18" s="313"/>
      <c r="E18" s="314"/>
      <c r="F18" s="315">
        <v>0</v>
      </c>
      <c r="G18" s="315"/>
      <c r="H18" s="1466" t="str">
        <f t="shared" ref="H18:H29" si="4">IF(ISERROR(G18/F18),"-",G18/F18)</f>
        <v>-</v>
      </c>
      <c r="I18" s="442"/>
      <c r="J18" s="824">
        <f t="shared" ref="J18:J21" si="5">+B18-D18-MIN(F18,G18)</f>
        <v>0</v>
      </c>
      <c r="O18" s="630">
        <f>+ROUND(G18/1,0)</f>
        <v>0</v>
      </c>
      <c r="P18" s="624" t="e">
        <f t="shared" si="3"/>
        <v>#VALUE!</v>
      </c>
    </row>
    <row r="19" spans="1:16">
      <c r="A19" s="762" t="s">
        <v>2711</v>
      </c>
      <c r="B19" s="286">
        <v>5000</v>
      </c>
      <c r="C19" s="768" t="s">
        <v>459</v>
      </c>
      <c r="D19" s="313"/>
      <c r="E19" s="314"/>
      <c r="F19" s="315">
        <v>5000</v>
      </c>
      <c r="G19" s="315">
        <v>5000</v>
      </c>
      <c r="H19" s="1466">
        <f t="shared" si="4"/>
        <v>1</v>
      </c>
      <c r="I19" s="442"/>
      <c r="J19" s="824">
        <f t="shared" si="5"/>
        <v>0</v>
      </c>
      <c r="O19" s="630">
        <f>+ROUND(G19/1,0)</f>
        <v>5000</v>
      </c>
      <c r="P19" s="624">
        <f t="shared" si="3"/>
        <v>-4999</v>
      </c>
    </row>
    <row r="20" spans="1:16">
      <c r="A20" s="762" t="s">
        <v>2712</v>
      </c>
      <c r="B20" s="286">
        <v>330</v>
      </c>
      <c r="C20" s="768" t="s">
        <v>459</v>
      </c>
      <c r="D20" s="313"/>
      <c r="E20" s="314"/>
      <c r="F20" s="315">
        <v>330</v>
      </c>
      <c r="G20" s="315">
        <v>330</v>
      </c>
      <c r="H20" s="1466">
        <f t="shared" si="4"/>
        <v>1</v>
      </c>
      <c r="I20" s="442"/>
      <c r="J20" s="824">
        <f t="shared" si="5"/>
        <v>0</v>
      </c>
      <c r="O20" s="630">
        <f>+ROUND(G20/1,0)</f>
        <v>330</v>
      </c>
      <c r="P20" s="624">
        <f t="shared" si="3"/>
        <v>-329</v>
      </c>
    </row>
    <row r="21" spans="1:16">
      <c r="A21" s="762" t="s">
        <v>2713</v>
      </c>
      <c r="B21" s="286">
        <v>600</v>
      </c>
      <c r="C21" s="768" t="s">
        <v>459</v>
      </c>
      <c r="D21" s="313"/>
      <c r="E21" s="314"/>
      <c r="F21" s="315">
        <v>600</v>
      </c>
      <c r="G21" s="315">
        <v>600</v>
      </c>
      <c r="H21" s="1466">
        <f t="shared" si="4"/>
        <v>1</v>
      </c>
      <c r="I21" s="442"/>
      <c r="J21" s="824">
        <f t="shared" si="5"/>
        <v>0</v>
      </c>
      <c r="O21" s="630">
        <f>+ROUND(G21/1,0)</f>
        <v>600</v>
      </c>
      <c r="P21" s="624">
        <f t="shared" si="3"/>
        <v>-599</v>
      </c>
    </row>
    <row r="22" spans="1:16">
      <c r="A22" s="762" t="s">
        <v>1445</v>
      </c>
      <c r="B22" s="286">
        <v>6181</v>
      </c>
      <c r="C22" s="768" t="s">
        <v>1243</v>
      </c>
      <c r="D22" s="313"/>
      <c r="E22" s="314"/>
      <c r="F22" s="315">
        <v>6904</v>
      </c>
      <c r="G22" s="315">
        <v>6904</v>
      </c>
      <c r="H22" s="1466">
        <f t="shared" ref="H22:H28" si="6">IF(ISERROR(G22/F22),"-",G22/F22)</f>
        <v>1</v>
      </c>
      <c r="I22" s="442">
        <v>3322</v>
      </c>
      <c r="J22" s="824">
        <f t="shared" ref="J22:J28" si="7">+B22-D22-MIN(F22,G22)</f>
        <v>-723</v>
      </c>
      <c r="O22" s="630">
        <f>+ROUND(G22/1.27,0)</f>
        <v>5436</v>
      </c>
      <c r="P22" s="624">
        <f>+H22-O22</f>
        <v>-5435</v>
      </c>
    </row>
    <row r="23" spans="1:16">
      <c r="A23" s="762" t="s">
        <v>2714</v>
      </c>
      <c r="B23" s="286">
        <v>11309</v>
      </c>
      <c r="C23" s="768" t="s">
        <v>459</v>
      </c>
      <c r="D23" s="313"/>
      <c r="E23" s="314"/>
      <c r="F23" s="315">
        <v>11309</v>
      </c>
      <c r="G23" s="315">
        <v>11309</v>
      </c>
      <c r="H23" s="1466">
        <f t="shared" si="6"/>
        <v>1</v>
      </c>
      <c r="I23" s="442"/>
      <c r="J23" s="824">
        <f t="shared" si="7"/>
        <v>0</v>
      </c>
      <c r="O23" s="630">
        <f>+ROUND(G23/1.27,0)</f>
        <v>8905</v>
      </c>
      <c r="P23" s="624">
        <f>+H23-O23</f>
        <v>-8904</v>
      </c>
    </row>
    <row r="24" spans="1:16">
      <c r="A24" s="762" t="s">
        <v>2715</v>
      </c>
      <c r="B24" s="286">
        <v>1032</v>
      </c>
      <c r="C24" s="768" t="s">
        <v>459</v>
      </c>
      <c r="D24" s="313"/>
      <c r="E24" s="314"/>
      <c r="F24" s="315">
        <v>1032</v>
      </c>
      <c r="G24" s="315">
        <v>1032</v>
      </c>
      <c r="H24" s="1466">
        <f t="shared" si="6"/>
        <v>1</v>
      </c>
      <c r="I24" s="442"/>
      <c r="J24" s="824">
        <f t="shared" si="7"/>
        <v>0</v>
      </c>
      <c r="O24" s="630">
        <f>+ROUND(G24/1.27,0)</f>
        <v>813</v>
      </c>
      <c r="P24" s="624">
        <f>+H24-O24</f>
        <v>-812</v>
      </c>
    </row>
    <row r="25" spans="1:16">
      <c r="A25" s="762" t="s">
        <v>2716</v>
      </c>
      <c r="B25" s="286">
        <v>4613</v>
      </c>
      <c r="C25" s="768" t="s">
        <v>459</v>
      </c>
      <c r="D25" s="313"/>
      <c r="E25" s="314"/>
      <c r="F25" s="315">
        <v>4613</v>
      </c>
      <c r="G25" s="315">
        <v>4613</v>
      </c>
      <c r="H25" s="1466">
        <f t="shared" si="6"/>
        <v>1</v>
      </c>
      <c r="I25" s="442"/>
      <c r="J25" s="824">
        <f t="shared" si="7"/>
        <v>0</v>
      </c>
      <c r="O25" s="630">
        <f>+ROUND(G25/1.27,0)</f>
        <v>3632</v>
      </c>
      <c r="P25" s="624">
        <f>+H25-O25</f>
        <v>-3631</v>
      </c>
    </row>
    <row r="26" spans="1:16">
      <c r="A26" s="762" t="s">
        <v>1278</v>
      </c>
      <c r="B26" s="286">
        <v>8257</v>
      </c>
      <c r="C26" s="768" t="s">
        <v>1243</v>
      </c>
      <c r="D26" s="313"/>
      <c r="E26" s="314"/>
      <c r="F26" s="315">
        <v>8257</v>
      </c>
      <c r="G26" s="315">
        <v>8257</v>
      </c>
      <c r="H26" s="1466">
        <f t="shared" si="6"/>
        <v>1</v>
      </c>
      <c r="I26" s="442"/>
      <c r="J26" s="824">
        <f t="shared" si="7"/>
        <v>0</v>
      </c>
      <c r="O26" s="630">
        <f>+ROUND(G26/1.27,0)</f>
        <v>6502</v>
      </c>
      <c r="P26" s="624">
        <f>+H26-O26</f>
        <v>-6501</v>
      </c>
    </row>
    <row r="27" spans="1:16">
      <c r="A27" s="762" t="s">
        <v>2717</v>
      </c>
      <c r="B27" s="286">
        <v>5227</v>
      </c>
      <c r="C27" s="768" t="s">
        <v>459</v>
      </c>
      <c r="D27" s="313"/>
      <c r="E27" s="314"/>
      <c r="F27" s="315">
        <v>5227</v>
      </c>
      <c r="G27" s="315">
        <f>5226+1</f>
        <v>5227</v>
      </c>
      <c r="H27" s="1466">
        <f t="shared" si="6"/>
        <v>1</v>
      </c>
      <c r="I27" s="442"/>
      <c r="J27" s="824">
        <f t="shared" si="7"/>
        <v>0</v>
      </c>
      <c r="O27" s="630">
        <f>+ROUND(G27/1.27,0)</f>
        <v>4116</v>
      </c>
      <c r="P27" s="624">
        <f>+H27-O27</f>
        <v>-4115</v>
      </c>
    </row>
    <row r="28" spans="1:16">
      <c r="A28" s="762" t="s">
        <v>2718</v>
      </c>
      <c r="B28" s="286">
        <v>10344</v>
      </c>
      <c r="C28" s="768" t="s">
        <v>459</v>
      </c>
      <c r="D28" s="313"/>
      <c r="E28" s="314"/>
      <c r="F28" s="315">
        <f>10344-2160</f>
        <v>8184</v>
      </c>
      <c r="G28" s="315">
        <f>10343+1-2160</f>
        <v>8184</v>
      </c>
      <c r="H28" s="1466">
        <f t="shared" si="6"/>
        <v>1</v>
      </c>
      <c r="I28" s="442"/>
      <c r="J28" s="824">
        <f t="shared" si="7"/>
        <v>2160</v>
      </c>
      <c r="O28" s="630">
        <f>+ROUND(G28/1.27,0)</f>
        <v>6444</v>
      </c>
      <c r="P28" s="624">
        <f>+H28-O28</f>
        <v>-6443</v>
      </c>
    </row>
    <row r="29" spans="1:16" ht="12.75" thickBot="1">
      <c r="A29" s="762" t="s">
        <v>2773</v>
      </c>
      <c r="B29" s="286">
        <v>53639</v>
      </c>
      <c r="C29" s="768" t="s">
        <v>459</v>
      </c>
      <c r="D29" s="313"/>
      <c r="E29" s="314"/>
      <c r="F29" s="315">
        <v>4137</v>
      </c>
      <c r="G29" s="315"/>
      <c r="H29" s="1466">
        <f t="shared" si="4"/>
        <v>0</v>
      </c>
      <c r="I29" s="442"/>
      <c r="J29" s="824">
        <f>+F29-G29</f>
        <v>4137</v>
      </c>
      <c r="O29" s="630">
        <f>+ROUND(G29/1.27,0)</f>
        <v>0</v>
      </c>
      <c r="P29" s="624">
        <f>+H29-O29</f>
        <v>0</v>
      </c>
    </row>
    <row r="30" spans="1:16" ht="12.75" thickBot="1">
      <c r="A30" s="763" t="s">
        <v>609</v>
      </c>
      <c r="B30" s="323">
        <f>SUM(B8:B29)</f>
        <v>310338</v>
      </c>
      <c r="C30" s="769" t="s">
        <v>19</v>
      </c>
      <c r="D30" s="324">
        <f>SUM(D8:D29)</f>
        <v>35900</v>
      </c>
      <c r="E30" s="325">
        <f>SUM(E8:E29)</f>
        <v>34100</v>
      </c>
      <c r="F30" s="326">
        <f>SUM(F8:F29)</f>
        <v>134076</v>
      </c>
      <c r="G30" s="326">
        <f>SUM(G8:G29)</f>
        <v>87414</v>
      </c>
      <c r="H30" s="1459">
        <f t="shared" si="0"/>
        <v>0.65197350756287475</v>
      </c>
      <c r="I30" s="447">
        <f>SUM(I8:I29)</f>
        <v>23322</v>
      </c>
      <c r="J30" s="305">
        <f>SUM(J8:J29)</f>
        <v>137522</v>
      </c>
    </row>
    <row r="31" spans="1:16">
      <c r="A31" s="761" t="s">
        <v>936</v>
      </c>
      <c r="B31" s="458"/>
      <c r="C31" s="767"/>
      <c r="D31" s="444"/>
      <c r="E31" s="1156"/>
      <c r="F31" s="1157"/>
      <c r="G31" s="1157"/>
      <c r="H31" s="1489"/>
      <c r="I31" s="443"/>
      <c r="J31" s="823"/>
    </row>
    <row r="32" spans="1:16" ht="12.75" thickBot="1">
      <c r="A32" s="762" t="s">
        <v>2705</v>
      </c>
      <c r="B32" s="286">
        <v>1443</v>
      </c>
      <c r="C32" s="768" t="s">
        <v>459</v>
      </c>
      <c r="D32" s="313"/>
      <c r="E32" s="314"/>
      <c r="F32" s="315">
        <f>1443+43</f>
        <v>1486</v>
      </c>
      <c r="G32" s="315">
        <v>1443</v>
      </c>
      <c r="H32" s="1466">
        <f t="shared" ref="H32:H33" si="8">IF(ISERROR(G32/F32),"-",G32/F32)</f>
        <v>0.97106325706594887</v>
      </c>
      <c r="I32" s="442"/>
      <c r="J32" s="824">
        <f t="shared" ref="J32" si="9">+B32-D32-MIN(F32,G32)</f>
        <v>0</v>
      </c>
    </row>
    <row r="33" spans="1:16" ht="12.75" thickBot="1">
      <c r="A33" s="763" t="s">
        <v>937</v>
      </c>
      <c r="B33" s="323">
        <f>+B32</f>
        <v>1443</v>
      </c>
      <c r="C33" s="769" t="s">
        <v>19</v>
      </c>
      <c r="D33" s="324">
        <f t="shared" ref="D33:G33" si="10">+D32</f>
        <v>0</v>
      </c>
      <c r="E33" s="325">
        <f t="shared" si="10"/>
        <v>0</v>
      </c>
      <c r="F33" s="326">
        <f t="shared" si="10"/>
        <v>1486</v>
      </c>
      <c r="G33" s="326">
        <f t="shared" si="10"/>
        <v>1443</v>
      </c>
      <c r="H33" s="1459">
        <f t="shared" si="8"/>
        <v>0.97106325706594887</v>
      </c>
      <c r="I33" s="447">
        <f t="shared" ref="I33:J33" si="11">+I32</f>
        <v>0</v>
      </c>
      <c r="J33" s="305">
        <f t="shared" si="11"/>
        <v>0</v>
      </c>
    </row>
    <row r="34" spans="1:16">
      <c r="A34" s="761" t="s">
        <v>610</v>
      </c>
      <c r="B34" s="458"/>
      <c r="C34" s="767"/>
      <c r="D34" s="444"/>
      <c r="E34" s="1156"/>
      <c r="F34" s="1157"/>
      <c r="G34" s="1157"/>
      <c r="H34" s="1489"/>
      <c r="I34" s="443"/>
      <c r="J34" s="823"/>
      <c r="O34" s="630"/>
      <c r="P34" s="624"/>
    </row>
    <row r="35" spans="1:16" ht="12.75" thickBot="1">
      <c r="A35" s="762" t="s">
        <v>1283</v>
      </c>
      <c r="B35" s="286">
        <v>319</v>
      </c>
      <c r="C35" s="768" t="s">
        <v>459</v>
      </c>
      <c r="D35" s="313"/>
      <c r="E35" s="314">
        <f>2300-1300</f>
        <v>1000</v>
      </c>
      <c r="F35" s="315">
        <v>319</v>
      </c>
      <c r="G35" s="315">
        <v>319</v>
      </c>
      <c r="H35" s="1466">
        <f t="shared" ref="H35:H36" si="12">IF(ISERROR(G35/F35),"-",G35/F35)</f>
        <v>1</v>
      </c>
      <c r="I35" s="442"/>
      <c r="J35" s="824">
        <f t="shared" ref="J35" si="13">+B35-D35-MIN(F35,G35)</f>
        <v>0</v>
      </c>
      <c r="O35" s="630">
        <f>+ROUND(G35/1.27,0)</f>
        <v>251</v>
      </c>
      <c r="P35" s="624">
        <f>+H35-O35</f>
        <v>-250</v>
      </c>
    </row>
    <row r="36" spans="1:16" ht="12.75" thickBot="1">
      <c r="A36" s="763" t="s">
        <v>611</v>
      </c>
      <c r="B36" s="323">
        <f>+B35</f>
        <v>319</v>
      </c>
      <c r="C36" s="769" t="s">
        <v>19</v>
      </c>
      <c r="D36" s="324">
        <f t="shared" ref="D36:J36" si="14">+D35</f>
        <v>0</v>
      </c>
      <c r="E36" s="325">
        <f t="shared" si="14"/>
        <v>1000</v>
      </c>
      <c r="F36" s="326">
        <f t="shared" si="14"/>
        <v>319</v>
      </c>
      <c r="G36" s="326">
        <f t="shared" si="14"/>
        <v>319</v>
      </c>
      <c r="H36" s="1459">
        <f t="shared" si="12"/>
        <v>1</v>
      </c>
      <c r="I36" s="447">
        <f t="shared" si="14"/>
        <v>0</v>
      </c>
      <c r="J36" s="305">
        <f t="shared" si="14"/>
        <v>0</v>
      </c>
    </row>
    <row r="37" spans="1:16">
      <c r="A37" s="761" t="s">
        <v>612</v>
      </c>
      <c r="B37" s="458"/>
      <c r="C37" s="767"/>
      <c r="D37" s="444"/>
      <c r="E37" s="1156"/>
      <c r="F37" s="1157"/>
      <c r="G37" s="1157"/>
      <c r="H37" s="1489"/>
      <c r="I37" s="443"/>
      <c r="J37" s="823"/>
    </row>
    <row r="38" spans="1:16">
      <c r="A38" s="762" t="s">
        <v>1445</v>
      </c>
      <c r="B38" s="286">
        <v>0</v>
      </c>
      <c r="C38" s="768" t="s">
        <v>1243</v>
      </c>
      <c r="D38" s="313"/>
      <c r="E38" s="314">
        <v>6181</v>
      </c>
      <c r="F38" s="315">
        <v>0</v>
      </c>
      <c r="G38" s="315"/>
      <c r="H38" s="1466" t="str">
        <f t="shared" ref="H38:H40" si="15">IF(ISERROR(G38/F38),"-",G38/F38)</f>
        <v>-</v>
      </c>
      <c r="I38" s="442">
        <v>0</v>
      </c>
      <c r="J38" s="824">
        <f t="shared" ref="J38:J39" si="16">+B38-D38-MIN(F38,G38)</f>
        <v>0</v>
      </c>
      <c r="O38" s="630">
        <f>+ROUND(G38/1.27,0)</f>
        <v>0</v>
      </c>
      <c r="P38" s="624" t="e">
        <f>+H38-O38</f>
        <v>#VALUE!</v>
      </c>
    </row>
    <row r="39" spans="1:16" ht="12.75" thickBot="1">
      <c r="A39" s="762" t="s">
        <v>1283</v>
      </c>
      <c r="B39" s="286">
        <v>19</v>
      </c>
      <c r="C39" s="768" t="s">
        <v>459</v>
      </c>
      <c r="D39" s="313"/>
      <c r="E39" s="314">
        <f>635-635</f>
        <v>0</v>
      </c>
      <c r="F39" s="315">
        <v>19</v>
      </c>
      <c r="G39" s="315">
        <v>19</v>
      </c>
      <c r="H39" s="1466">
        <f t="shared" si="15"/>
        <v>1</v>
      </c>
      <c r="I39" s="442"/>
      <c r="J39" s="824">
        <f t="shared" si="16"/>
        <v>0</v>
      </c>
      <c r="O39" s="630">
        <f>+ROUND(G39/1.27,0)</f>
        <v>15</v>
      </c>
      <c r="P39" s="624">
        <f>+H39-O39</f>
        <v>-14</v>
      </c>
    </row>
    <row r="40" spans="1:16" ht="12.75" thickBot="1">
      <c r="A40" s="763" t="s">
        <v>613</v>
      </c>
      <c r="B40" s="323">
        <f>SUM(B38:B39)</f>
        <v>19</v>
      </c>
      <c r="C40" s="769" t="s">
        <v>19</v>
      </c>
      <c r="D40" s="324">
        <f t="shared" ref="D40:J40" si="17">SUM(D38:D39)</f>
        <v>0</v>
      </c>
      <c r="E40" s="325">
        <f t="shared" si="17"/>
        <v>6181</v>
      </c>
      <c r="F40" s="326">
        <f t="shared" si="17"/>
        <v>19</v>
      </c>
      <c r="G40" s="326">
        <f t="shared" si="17"/>
        <v>19</v>
      </c>
      <c r="H40" s="1459">
        <f t="shared" si="15"/>
        <v>1</v>
      </c>
      <c r="I40" s="447">
        <f t="shared" si="17"/>
        <v>0</v>
      </c>
      <c r="J40" s="305">
        <f t="shared" si="17"/>
        <v>0</v>
      </c>
    </row>
    <row r="41" spans="1:16">
      <c r="A41" s="761" t="s">
        <v>927</v>
      </c>
      <c r="B41" s="458"/>
      <c r="C41" s="767"/>
      <c r="D41" s="444"/>
      <c r="E41" s="1156"/>
      <c r="F41" s="1157"/>
      <c r="G41" s="1157"/>
      <c r="H41" s="1489"/>
      <c r="I41" s="443"/>
      <c r="J41" s="823"/>
    </row>
    <row r="42" spans="1:16" ht="12.75" thickBot="1">
      <c r="A42" s="762" t="s">
        <v>1282</v>
      </c>
      <c r="B42" s="286">
        <f>400+1000+1500-2900</f>
        <v>0</v>
      </c>
      <c r="C42" s="768" t="s">
        <v>459</v>
      </c>
      <c r="D42" s="313"/>
      <c r="E42" s="314">
        <f>2900-2900</f>
        <v>0</v>
      </c>
      <c r="F42" s="315">
        <f>2900-2900</f>
        <v>0</v>
      </c>
      <c r="G42" s="315"/>
      <c r="H42" s="1466" t="str">
        <f t="shared" ref="H42:H43" si="18">IF(ISERROR(G42/F42),"-",G42/F42)</f>
        <v>-</v>
      </c>
      <c r="I42" s="442"/>
      <c r="J42" s="824">
        <f t="shared" ref="J42" si="19">+B42-D42-MIN(F42,G42)</f>
        <v>0</v>
      </c>
      <c r="O42" s="630">
        <f>+ROUND(G42/1.27,0)</f>
        <v>0</v>
      </c>
      <c r="P42" s="624" t="e">
        <f>+H42-O42</f>
        <v>#VALUE!</v>
      </c>
    </row>
    <row r="43" spans="1:16" ht="12.75" thickBot="1">
      <c r="A43" s="763" t="s">
        <v>926</v>
      </c>
      <c r="B43" s="323">
        <f>+B42</f>
        <v>0</v>
      </c>
      <c r="C43" s="769" t="s">
        <v>19</v>
      </c>
      <c r="D43" s="324">
        <f t="shared" ref="D43:J43" si="20">+D42</f>
        <v>0</v>
      </c>
      <c r="E43" s="325">
        <f t="shared" si="20"/>
        <v>0</v>
      </c>
      <c r="F43" s="326">
        <f t="shared" si="20"/>
        <v>0</v>
      </c>
      <c r="G43" s="326">
        <f t="shared" si="20"/>
        <v>0</v>
      </c>
      <c r="H43" s="1459" t="str">
        <f t="shared" si="18"/>
        <v>-</v>
      </c>
      <c r="I43" s="447">
        <f t="shared" si="20"/>
        <v>0</v>
      </c>
      <c r="J43" s="305">
        <f t="shared" si="20"/>
        <v>0</v>
      </c>
    </row>
    <row r="44" spans="1:16">
      <c r="A44" s="761" t="s">
        <v>1498</v>
      </c>
      <c r="B44" s="458"/>
      <c r="C44" s="767"/>
      <c r="D44" s="444"/>
      <c r="E44" s="1156"/>
      <c r="F44" s="1157"/>
      <c r="G44" s="1157"/>
      <c r="H44" s="1489"/>
      <c r="I44" s="443"/>
      <c r="J44" s="823"/>
    </row>
    <row r="45" spans="1:16">
      <c r="A45" s="762" t="s">
        <v>1500</v>
      </c>
      <c r="B45" s="286">
        <v>5465</v>
      </c>
      <c r="C45" s="768" t="s">
        <v>459</v>
      </c>
      <c r="D45" s="313"/>
      <c r="E45" s="314"/>
      <c r="F45" s="315">
        <v>5465</v>
      </c>
      <c r="G45" s="315">
        <v>5465</v>
      </c>
      <c r="H45" s="1466">
        <f t="shared" ref="H45" si="21">IF(ISERROR(G45/F45),"-",G45/F45)</f>
        <v>1</v>
      </c>
      <c r="I45" s="442"/>
      <c r="J45" s="824">
        <f t="shared" ref="J45" si="22">+B45-D45-MIN(F45,G45)</f>
        <v>0</v>
      </c>
      <c r="O45" s="630">
        <f>+ROUND(G45/1.27,0)</f>
        <v>4303</v>
      </c>
      <c r="P45" s="624">
        <f>+H45-O45</f>
        <v>-4302</v>
      </c>
    </row>
    <row r="46" spans="1:16" ht="12.75" thickBot="1">
      <c r="A46" s="762" t="s">
        <v>2704</v>
      </c>
      <c r="B46" s="286">
        <v>4726</v>
      </c>
      <c r="C46" s="768" t="s">
        <v>459</v>
      </c>
      <c r="D46" s="313"/>
      <c r="E46" s="314"/>
      <c r="F46" s="315">
        <v>4726</v>
      </c>
      <c r="G46" s="315">
        <v>4726</v>
      </c>
      <c r="H46" s="1466">
        <f t="shared" ref="H46:H47" si="23">IF(ISERROR(G46/F46),"-",G46/F46)</f>
        <v>1</v>
      </c>
      <c r="I46" s="442"/>
      <c r="J46" s="824">
        <f t="shared" ref="J46" si="24">+B46-D46-MIN(F46,G46)</f>
        <v>0</v>
      </c>
      <c r="O46" s="630">
        <f>+ROUND(G46/1.27,0)</f>
        <v>3721</v>
      </c>
      <c r="P46" s="624">
        <f>+H46-O46</f>
        <v>-3720</v>
      </c>
    </row>
    <row r="47" spans="1:16" ht="12.75" thickBot="1">
      <c r="A47" s="763" t="s">
        <v>1499</v>
      </c>
      <c r="B47" s="323">
        <f>+B45+B46</f>
        <v>10191</v>
      </c>
      <c r="C47" s="769" t="s">
        <v>19</v>
      </c>
      <c r="D47" s="324">
        <f t="shared" ref="D47:G47" si="25">+D45+D46</f>
        <v>0</v>
      </c>
      <c r="E47" s="325">
        <f t="shared" si="25"/>
        <v>0</v>
      </c>
      <c r="F47" s="326">
        <f t="shared" si="25"/>
        <v>10191</v>
      </c>
      <c r="G47" s="326">
        <f t="shared" si="25"/>
        <v>10191</v>
      </c>
      <c r="H47" s="1459">
        <f t="shared" si="23"/>
        <v>1</v>
      </c>
      <c r="I47" s="447">
        <f>+I45+I46</f>
        <v>0</v>
      </c>
      <c r="J47" s="305">
        <f>+J45+J46</f>
        <v>0</v>
      </c>
    </row>
    <row r="48" spans="1:16">
      <c r="A48" s="764" t="s">
        <v>624</v>
      </c>
      <c r="B48" s="459"/>
      <c r="C48" s="770"/>
      <c r="D48" s="448"/>
      <c r="E48" s="285"/>
      <c r="F48" s="284"/>
      <c r="G48" s="284"/>
      <c r="H48" s="1490"/>
      <c r="I48" s="449"/>
      <c r="J48" s="825"/>
    </row>
    <row r="49" spans="1:16">
      <c r="A49" s="762" t="s">
        <v>1215</v>
      </c>
      <c r="B49" s="286">
        <f>205000-9030</f>
        <v>195970</v>
      </c>
      <c r="C49" s="768" t="s">
        <v>1276</v>
      </c>
      <c r="D49" s="313">
        <v>4099</v>
      </c>
      <c r="E49" s="314">
        <v>191871</v>
      </c>
      <c r="F49" s="315">
        <v>1025</v>
      </c>
      <c r="G49" s="315">
        <v>1025</v>
      </c>
      <c r="H49" s="1466">
        <f t="shared" ref="H49:H68" si="26">IF(ISERROR(G49/F49),"-",G49/F49)</f>
        <v>1</v>
      </c>
      <c r="I49" s="442">
        <v>195970</v>
      </c>
      <c r="J49" s="824">
        <f t="shared" ref="J49:J67" si="27">+B49-D49-MIN(F49,G49)</f>
        <v>190846</v>
      </c>
      <c r="O49" s="630">
        <f>+ROUND(G49/1.27,0)</f>
        <v>807</v>
      </c>
      <c r="P49" s="624">
        <f t="shared" ref="P49:P67" si="28">+H49-O49</f>
        <v>-806</v>
      </c>
    </row>
    <row r="50" spans="1:16">
      <c r="A50" s="762" t="s">
        <v>1216</v>
      </c>
      <c r="B50" s="286">
        <v>177292</v>
      </c>
      <c r="C50" s="768" t="s">
        <v>1243</v>
      </c>
      <c r="D50" s="313"/>
      <c r="E50" s="314">
        <v>177292</v>
      </c>
      <c r="F50" s="315">
        <v>0</v>
      </c>
      <c r="G50" s="315"/>
      <c r="H50" s="1466" t="str">
        <f t="shared" si="26"/>
        <v>-</v>
      </c>
      <c r="I50" s="442">
        <v>177292</v>
      </c>
      <c r="J50" s="824">
        <f t="shared" si="27"/>
        <v>177292</v>
      </c>
      <c r="O50" s="630">
        <f>+ROUND(G50/1.27,0)</f>
        <v>0</v>
      </c>
      <c r="P50" s="624" t="e">
        <f t="shared" si="28"/>
        <v>#VALUE!</v>
      </c>
    </row>
    <row r="51" spans="1:16">
      <c r="A51" s="762" t="s">
        <v>1449</v>
      </c>
      <c r="B51" s="286">
        <v>2160</v>
      </c>
      <c r="C51" s="768" t="s">
        <v>1243</v>
      </c>
      <c r="D51" s="313"/>
      <c r="E51" s="314">
        <v>2160</v>
      </c>
      <c r="F51" s="315">
        <v>2160</v>
      </c>
      <c r="G51" s="315">
        <v>2160</v>
      </c>
      <c r="H51" s="1466">
        <f t="shared" si="26"/>
        <v>1</v>
      </c>
      <c r="I51" s="442">
        <v>2160</v>
      </c>
      <c r="J51" s="824">
        <f t="shared" si="27"/>
        <v>0</v>
      </c>
      <c r="O51" s="630">
        <f>+ROUND(G51/1.27,0)</f>
        <v>1701</v>
      </c>
      <c r="P51" s="624">
        <f t="shared" si="28"/>
        <v>-1700</v>
      </c>
    </row>
    <row r="52" spans="1:16">
      <c r="A52" s="762" t="s">
        <v>1450</v>
      </c>
      <c r="B52" s="286">
        <v>15980</v>
      </c>
      <c r="C52" s="768" t="s">
        <v>1243</v>
      </c>
      <c r="D52" s="313"/>
      <c r="E52" s="314">
        <v>16418</v>
      </c>
      <c r="F52" s="315">
        <f>15980+6695</f>
        <v>22675</v>
      </c>
      <c r="G52" s="315">
        <v>15980</v>
      </c>
      <c r="H52" s="1466">
        <f t="shared" si="26"/>
        <v>0.70474090407938261</v>
      </c>
      <c r="I52" s="442">
        <v>15980</v>
      </c>
      <c r="J52" s="824">
        <f t="shared" si="27"/>
        <v>0</v>
      </c>
      <c r="O52" s="630">
        <f>+ROUND(G52/1.27,0)</f>
        <v>12583</v>
      </c>
      <c r="P52" s="624">
        <f t="shared" si="28"/>
        <v>-12582.295259095921</v>
      </c>
    </row>
    <row r="53" spans="1:16">
      <c r="A53" s="762" t="s">
        <v>1451</v>
      </c>
      <c r="B53" s="286">
        <v>51816</v>
      </c>
      <c r="C53" s="768" t="s">
        <v>1243</v>
      </c>
      <c r="D53" s="313"/>
      <c r="E53" s="314">
        <v>51816</v>
      </c>
      <c r="F53" s="315">
        <v>0</v>
      </c>
      <c r="G53" s="315"/>
      <c r="H53" s="1466" t="str">
        <f t="shared" si="26"/>
        <v>-</v>
      </c>
      <c r="I53" s="442">
        <v>51816</v>
      </c>
      <c r="J53" s="824">
        <f t="shared" si="27"/>
        <v>51816</v>
      </c>
      <c r="O53" s="630">
        <f>+ROUND(G53/1.27,0)</f>
        <v>0</v>
      </c>
      <c r="P53" s="624" t="e">
        <f t="shared" si="28"/>
        <v>#VALUE!</v>
      </c>
    </row>
    <row r="54" spans="1:16" ht="24">
      <c r="A54" s="762" t="s">
        <v>1452</v>
      </c>
      <c r="B54" s="286">
        <v>6695</v>
      </c>
      <c r="C54" s="768" t="s">
        <v>1243</v>
      </c>
      <c r="D54" s="313"/>
      <c r="E54" s="314">
        <v>6667</v>
      </c>
      <c r="F54" s="315">
        <v>6695</v>
      </c>
      <c r="G54" s="315"/>
      <c r="H54" s="1466">
        <f t="shared" si="26"/>
        <v>0</v>
      </c>
      <c r="I54" s="442">
        <v>6695</v>
      </c>
      <c r="J54" s="824">
        <f t="shared" si="27"/>
        <v>0</v>
      </c>
      <c r="O54" s="630">
        <f>+ROUND(G54/1.27,0)</f>
        <v>0</v>
      </c>
      <c r="P54" s="624">
        <f t="shared" si="28"/>
        <v>0</v>
      </c>
    </row>
    <row r="55" spans="1:16">
      <c r="A55" s="762" t="s">
        <v>1453</v>
      </c>
      <c r="B55" s="286">
        <v>309323</v>
      </c>
      <c r="C55" s="768" t="s">
        <v>1243</v>
      </c>
      <c r="D55" s="313">
        <v>4229</v>
      </c>
      <c r="E55" s="314">
        <v>23583</v>
      </c>
      <c r="F55" s="315">
        <v>305094</v>
      </c>
      <c r="G55" s="315">
        <v>305094</v>
      </c>
      <c r="H55" s="1466">
        <f t="shared" si="26"/>
        <v>1</v>
      </c>
      <c r="I55" s="442">
        <v>309323</v>
      </c>
      <c r="J55" s="824">
        <f t="shared" si="27"/>
        <v>0</v>
      </c>
      <c r="O55" s="630">
        <f>+ROUND(G55/1.27,0)</f>
        <v>240231</v>
      </c>
      <c r="P55" s="624">
        <f t="shared" si="28"/>
        <v>-240230</v>
      </c>
    </row>
    <row r="56" spans="1:16">
      <c r="A56" s="762" t="s">
        <v>1454</v>
      </c>
      <c r="B56" s="286">
        <v>395770</v>
      </c>
      <c r="C56" s="768" t="s">
        <v>1243</v>
      </c>
      <c r="D56" s="313"/>
      <c r="E56" s="314">
        <v>395770</v>
      </c>
      <c r="F56" s="315">
        <v>7620</v>
      </c>
      <c r="G56" s="315">
        <v>7620</v>
      </c>
      <c r="H56" s="1466">
        <f t="shared" si="26"/>
        <v>1</v>
      </c>
      <c r="I56" s="442">
        <v>395770</v>
      </c>
      <c r="J56" s="824">
        <f t="shared" si="27"/>
        <v>388150</v>
      </c>
      <c r="O56" s="630">
        <f>+ROUND(G56/1.27,0)</f>
        <v>6000</v>
      </c>
      <c r="P56" s="624">
        <f t="shared" si="28"/>
        <v>-5999</v>
      </c>
    </row>
    <row r="57" spans="1:16">
      <c r="A57" s="949" t="s">
        <v>1455</v>
      </c>
      <c r="B57" s="286">
        <v>1796</v>
      </c>
      <c r="C57" s="768" t="s">
        <v>1243</v>
      </c>
      <c r="D57" s="313"/>
      <c r="E57" s="314">
        <v>1796</v>
      </c>
      <c r="F57" s="315">
        <v>0</v>
      </c>
      <c r="G57" s="315"/>
      <c r="H57" s="1466" t="str">
        <f t="shared" si="26"/>
        <v>-</v>
      </c>
      <c r="I57" s="442">
        <v>1796</v>
      </c>
      <c r="J57" s="824">
        <f t="shared" si="27"/>
        <v>1796</v>
      </c>
      <c r="O57" s="630">
        <f>+ROUND(G57/1.27,0)</f>
        <v>0</v>
      </c>
      <c r="P57" s="624" t="e">
        <f t="shared" si="28"/>
        <v>#VALUE!</v>
      </c>
    </row>
    <row r="58" spans="1:16">
      <c r="A58" s="949" t="s">
        <v>1456</v>
      </c>
      <c r="B58" s="286">
        <v>1221298</v>
      </c>
      <c r="C58" s="768" t="s">
        <v>1243</v>
      </c>
      <c r="D58" s="313"/>
      <c r="E58" s="314">
        <v>0</v>
      </c>
      <c r="F58" s="315">
        <v>0</v>
      </c>
      <c r="G58" s="315"/>
      <c r="H58" s="1466" t="str">
        <f t="shared" ref="H58:H59" si="29">IF(ISERROR(G58/F58),"-",G58/F58)</f>
        <v>-</v>
      </c>
      <c r="I58" s="442">
        <v>1221298</v>
      </c>
      <c r="J58" s="824">
        <f t="shared" ref="J58:J59" si="30">+B58-D58-MIN(F58,G58)</f>
        <v>1221298</v>
      </c>
      <c r="O58" s="630">
        <f>+ROUND(G58/1.27,0)</f>
        <v>0</v>
      </c>
      <c r="P58" s="624" t="e">
        <f t="shared" ref="P58:P59" si="31">+H58-O58</f>
        <v>#VALUE!</v>
      </c>
    </row>
    <row r="59" spans="1:16">
      <c r="A59" s="949" t="s">
        <v>2706</v>
      </c>
      <c r="B59" s="286">
        <v>2566</v>
      </c>
      <c r="C59" s="768" t="s">
        <v>1243</v>
      </c>
      <c r="D59" s="313"/>
      <c r="E59" s="314"/>
      <c r="F59" s="315">
        <f>2284+282</f>
        <v>2566</v>
      </c>
      <c r="G59" s="315">
        <v>2284</v>
      </c>
      <c r="H59" s="1466">
        <f t="shared" si="29"/>
        <v>0.89010132501948558</v>
      </c>
      <c r="I59" s="442">
        <v>2566</v>
      </c>
      <c r="J59" s="824">
        <f t="shared" si="30"/>
        <v>282</v>
      </c>
      <c r="O59" s="630">
        <f>+ROUND(G59/1.27,0)</f>
        <v>1798</v>
      </c>
      <c r="P59" s="624">
        <f t="shared" si="31"/>
        <v>-1797.1098986749805</v>
      </c>
    </row>
    <row r="60" spans="1:16">
      <c r="A60" s="949" t="s">
        <v>2707</v>
      </c>
      <c r="B60" s="286">
        <v>4205</v>
      </c>
      <c r="C60" s="768" t="s">
        <v>1243</v>
      </c>
      <c r="D60" s="313"/>
      <c r="E60" s="314"/>
      <c r="F60" s="315">
        <v>4205</v>
      </c>
      <c r="G60" s="315">
        <v>4205</v>
      </c>
      <c r="H60" s="1466">
        <f t="shared" ref="H60:H66" si="32">IF(ISERROR(G60/F60),"-",G60/F60)</f>
        <v>1</v>
      </c>
      <c r="I60" s="442">
        <v>4205</v>
      </c>
      <c r="J60" s="824">
        <f t="shared" ref="J60:J66" si="33">+B60-D60-MIN(F60,G60)</f>
        <v>0</v>
      </c>
      <c r="O60" s="630">
        <f>+ROUND(G60/1.27,0)</f>
        <v>3311</v>
      </c>
      <c r="P60" s="624">
        <f t="shared" ref="P60:P66" si="34">+H60-O60</f>
        <v>-3310</v>
      </c>
    </row>
    <row r="61" spans="1:16">
      <c r="A61" s="949" t="s">
        <v>2708</v>
      </c>
      <c r="B61" s="286">
        <v>4186</v>
      </c>
      <c r="C61" s="768" t="s">
        <v>1243</v>
      </c>
      <c r="D61" s="313"/>
      <c r="E61" s="314"/>
      <c r="F61" s="315">
        <v>4186</v>
      </c>
      <c r="G61" s="315">
        <f>4185+1</f>
        <v>4186</v>
      </c>
      <c r="H61" s="1466">
        <f t="shared" si="32"/>
        <v>1</v>
      </c>
      <c r="I61" s="442">
        <v>4186</v>
      </c>
      <c r="J61" s="824">
        <f t="shared" si="33"/>
        <v>0</v>
      </c>
      <c r="O61" s="630">
        <f>+ROUND(G61/1.27,0)</f>
        <v>3296</v>
      </c>
      <c r="P61" s="624">
        <f t="shared" si="34"/>
        <v>-3295</v>
      </c>
    </row>
    <row r="62" spans="1:16">
      <c r="A62" s="949" t="s">
        <v>2709</v>
      </c>
      <c r="B62" s="286">
        <v>5589</v>
      </c>
      <c r="C62" s="768" t="s">
        <v>1243</v>
      </c>
      <c r="D62" s="313"/>
      <c r="E62" s="314"/>
      <c r="F62" s="315">
        <v>5589</v>
      </c>
      <c r="G62" s="315">
        <v>5589</v>
      </c>
      <c r="H62" s="1466">
        <f t="shared" si="32"/>
        <v>1</v>
      </c>
      <c r="I62" s="442">
        <v>5589</v>
      </c>
      <c r="J62" s="824">
        <f t="shared" si="33"/>
        <v>0</v>
      </c>
      <c r="O62" s="630">
        <f>+ROUND(G62/1.27,0)</f>
        <v>4401</v>
      </c>
      <c r="P62" s="624">
        <f t="shared" si="34"/>
        <v>-4400</v>
      </c>
    </row>
    <row r="63" spans="1:16">
      <c r="A63" s="949" t="s">
        <v>2710</v>
      </c>
      <c r="B63" s="286">
        <v>65225</v>
      </c>
      <c r="C63" s="768" t="s">
        <v>1243</v>
      </c>
      <c r="D63" s="313"/>
      <c r="E63" s="314"/>
      <c r="F63" s="315">
        <v>16000</v>
      </c>
      <c r="G63" s="315">
        <v>16000</v>
      </c>
      <c r="H63" s="1466">
        <f t="shared" si="32"/>
        <v>1</v>
      </c>
      <c r="I63" s="442">
        <v>65225</v>
      </c>
      <c r="J63" s="824">
        <f t="shared" si="33"/>
        <v>49225</v>
      </c>
      <c r="O63" s="630">
        <f>+ROUND(G63/1.27,0)</f>
        <v>12598</v>
      </c>
      <c r="P63" s="624">
        <f t="shared" si="34"/>
        <v>-12597</v>
      </c>
    </row>
    <row r="64" spans="1:16">
      <c r="A64" s="949" t="s">
        <v>2754</v>
      </c>
      <c r="B64" s="286">
        <v>13002</v>
      </c>
      <c r="C64" s="768" t="s">
        <v>1243</v>
      </c>
      <c r="D64" s="313"/>
      <c r="E64" s="314"/>
      <c r="F64" s="315">
        <v>13002</v>
      </c>
      <c r="G64" s="315">
        <v>13002</v>
      </c>
      <c r="H64" s="1466">
        <f t="shared" ref="H64" si="35">IF(ISERROR(G64/F64),"-",G64/F64)</f>
        <v>1</v>
      </c>
      <c r="I64" s="442">
        <v>13002</v>
      </c>
      <c r="J64" s="824">
        <f t="shared" ref="J64" si="36">+B64-D64-MIN(F64,G64)</f>
        <v>0</v>
      </c>
      <c r="O64" s="630">
        <f>+ROUND(G64/1.27,0)</f>
        <v>10238</v>
      </c>
      <c r="P64" s="624">
        <f t="shared" ref="P64" si="37">+H64-O64</f>
        <v>-10237</v>
      </c>
    </row>
    <row r="65" spans="1:16">
      <c r="A65" s="949" t="s">
        <v>2755</v>
      </c>
      <c r="B65" s="286">
        <v>68272</v>
      </c>
      <c r="C65" s="768" t="s">
        <v>1243</v>
      </c>
      <c r="D65" s="313"/>
      <c r="E65" s="314"/>
      <c r="F65" s="315">
        <v>0</v>
      </c>
      <c r="G65" s="315"/>
      <c r="H65" s="1466" t="str">
        <f t="shared" si="32"/>
        <v>-</v>
      </c>
      <c r="I65" s="442">
        <v>68272</v>
      </c>
      <c r="J65" s="824">
        <f t="shared" si="33"/>
        <v>68272</v>
      </c>
      <c r="O65" s="630">
        <f>+ROUND(G65/1.27,0)</f>
        <v>0</v>
      </c>
      <c r="P65" s="624" t="e">
        <f t="shared" si="34"/>
        <v>#VALUE!</v>
      </c>
    </row>
    <row r="66" spans="1:16">
      <c r="A66" s="949" t="s">
        <v>2756</v>
      </c>
      <c r="B66" s="286">
        <v>84547</v>
      </c>
      <c r="C66" s="768" t="s">
        <v>1243</v>
      </c>
      <c r="D66" s="313"/>
      <c r="E66" s="314"/>
      <c r="F66" s="315">
        <v>0</v>
      </c>
      <c r="G66" s="315"/>
      <c r="H66" s="1466" t="str">
        <f t="shared" si="32"/>
        <v>-</v>
      </c>
      <c r="I66" s="442">
        <v>84548</v>
      </c>
      <c r="J66" s="824">
        <f t="shared" si="33"/>
        <v>84547</v>
      </c>
      <c r="O66" s="630">
        <f>+ROUND(G66/1.27,0)</f>
        <v>0</v>
      </c>
      <c r="P66" s="624" t="e">
        <f t="shared" si="34"/>
        <v>#VALUE!</v>
      </c>
    </row>
    <row r="67" spans="1:16" ht="12.75" thickBot="1">
      <c r="A67" s="949" t="s">
        <v>2757</v>
      </c>
      <c r="B67" s="286">
        <v>438917</v>
      </c>
      <c r="C67" s="768" t="s">
        <v>1243</v>
      </c>
      <c r="D67" s="313"/>
      <c r="E67" s="314"/>
      <c r="F67" s="315">
        <v>0</v>
      </c>
      <c r="G67" s="315"/>
      <c r="H67" s="1466" t="str">
        <f t="shared" si="26"/>
        <v>-</v>
      </c>
      <c r="I67" s="442">
        <v>438917</v>
      </c>
      <c r="J67" s="824">
        <f t="shared" si="27"/>
        <v>438917</v>
      </c>
      <c r="O67" s="630">
        <f>+ROUND(G67/1.27,0)</f>
        <v>0</v>
      </c>
      <c r="P67" s="624" t="e">
        <f t="shared" si="28"/>
        <v>#VALUE!</v>
      </c>
    </row>
    <row r="68" spans="1:16" ht="12.75" thickBot="1">
      <c r="A68" s="763" t="s">
        <v>625</v>
      </c>
      <c r="B68" s="323">
        <f>SUM(B49:B67)</f>
        <v>3064609</v>
      </c>
      <c r="C68" s="769" t="s">
        <v>19</v>
      </c>
      <c r="D68" s="324">
        <f t="shared" ref="D68:J68" si="38">SUM(D49:D67)</f>
        <v>8328</v>
      </c>
      <c r="E68" s="325">
        <f t="shared" si="38"/>
        <v>867373</v>
      </c>
      <c r="F68" s="326">
        <f t="shared" si="38"/>
        <v>390817</v>
      </c>
      <c r="G68" s="326">
        <f t="shared" si="38"/>
        <v>377145</v>
      </c>
      <c r="H68" s="1459">
        <f t="shared" si="26"/>
        <v>0.96501687490564636</v>
      </c>
      <c r="I68" s="447">
        <f t="shared" si="38"/>
        <v>3064610</v>
      </c>
      <c r="J68" s="305">
        <f t="shared" si="38"/>
        <v>2672441</v>
      </c>
      <c r="L68" s="624">
        <f>+'1.mell._Össz_Mérleg2018'!E151</f>
        <v>377145</v>
      </c>
      <c r="M68" s="624">
        <f>+G68-L68</f>
        <v>0</v>
      </c>
    </row>
    <row r="69" spans="1:16" ht="12.75" thickBot="1">
      <c r="A69" s="765"/>
      <c r="B69" s="460"/>
      <c r="C69" s="771"/>
      <c r="D69" s="450"/>
      <c r="E69" s="1158"/>
      <c r="F69" s="1159"/>
      <c r="G69" s="1159"/>
      <c r="H69" s="1160"/>
      <c r="I69" s="451"/>
      <c r="J69" s="826"/>
    </row>
    <row r="70" spans="1:16" ht="12.75" thickBot="1">
      <c r="A70" s="766" t="s">
        <v>616</v>
      </c>
      <c r="B70" s="461">
        <f>+B30+B33+B36+B40+B43+B47+B68</f>
        <v>3386919</v>
      </c>
      <c r="C70" s="769" t="s">
        <v>19</v>
      </c>
      <c r="D70" s="452">
        <f>+D30+D33+D36+D40+D43+D47+D68</f>
        <v>44228</v>
      </c>
      <c r="E70" s="1161">
        <f>+E30+E33+E36+E40+E43+E47+E68</f>
        <v>908654</v>
      </c>
      <c r="F70" s="1162">
        <f>+F30+F33+F36+F40+F43+F47+F68</f>
        <v>536908</v>
      </c>
      <c r="G70" s="1162">
        <f>+G30+G33+G36+G40+G43+G47+G68</f>
        <v>476531</v>
      </c>
      <c r="H70" s="1459">
        <f t="shared" ref="H70" si="39">IF(ISERROR(G70/F70),"-",G70/F70)</f>
        <v>0.88754684228955427</v>
      </c>
      <c r="I70" s="453">
        <f>+I30+I33+I36+I40+I43+I47+I68</f>
        <v>3087932</v>
      </c>
      <c r="J70" s="827">
        <f>+J30+J33+J36+J40+J43+J47+J68</f>
        <v>2809963</v>
      </c>
      <c r="L70" s="624">
        <f>+'1.mell._Össz_Mérleg2018'!E150</f>
        <v>476531</v>
      </c>
      <c r="M70" s="624">
        <f>+G70-L70</f>
        <v>0</v>
      </c>
    </row>
    <row r="71" spans="1:16" ht="12.75" thickBot="1">
      <c r="A71" s="467"/>
      <c r="B71" s="462"/>
      <c r="C71" s="463"/>
      <c r="D71" s="462"/>
      <c r="E71" s="1163"/>
      <c r="F71" s="1164"/>
      <c r="G71" s="1164"/>
      <c r="H71" s="1491"/>
      <c r="I71" s="462"/>
      <c r="J71" s="462"/>
    </row>
    <row r="72" spans="1:16">
      <c r="A72" s="774" t="s">
        <v>603</v>
      </c>
      <c r="B72" s="465"/>
      <c r="C72" s="775"/>
      <c r="D72" s="464"/>
      <c r="E72" s="1165"/>
      <c r="F72" s="1166"/>
      <c r="G72" s="1166"/>
      <c r="H72" s="1492"/>
      <c r="I72" s="466"/>
      <c r="J72" s="828"/>
    </row>
    <row r="73" spans="1:16">
      <c r="A73" s="762" t="s">
        <v>1278</v>
      </c>
      <c r="B73" s="286">
        <f>27293+9638</f>
        <v>36931</v>
      </c>
      <c r="C73" s="768" t="s">
        <v>1276</v>
      </c>
      <c r="D73" s="313">
        <v>27293</v>
      </c>
      <c r="E73" s="314">
        <v>12000</v>
      </c>
      <c r="F73" s="315">
        <v>9638</v>
      </c>
      <c r="G73" s="315">
        <v>9638</v>
      </c>
      <c r="H73" s="1466">
        <f t="shared" ref="H73:H78" si="40">IF(ISERROR(G73/F73),"-",G73/F73)</f>
        <v>1</v>
      </c>
      <c r="I73" s="442">
        <v>27293</v>
      </c>
      <c r="J73" s="824">
        <f t="shared" ref="J73:J75" si="41">+B73-D73-MIN(F73,G73)</f>
        <v>0</v>
      </c>
      <c r="O73" s="630">
        <f>+ROUND(G73/1.27,0)</f>
        <v>7589</v>
      </c>
      <c r="P73" s="624">
        <f>+H73-O73</f>
        <v>-7588</v>
      </c>
    </row>
    <row r="74" spans="1:16">
      <c r="A74" s="762" t="s">
        <v>1444</v>
      </c>
      <c r="B74" s="286">
        <v>2679</v>
      </c>
      <c r="C74" s="768" t="s">
        <v>1243</v>
      </c>
      <c r="D74" s="313"/>
      <c r="E74" s="314">
        <v>1085</v>
      </c>
      <c r="F74" s="315">
        <v>2679</v>
      </c>
      <c r="G74" s="315">
        <v>2679</v>
      </c>
      <c r="H74" s="1466">
        <f t="shared" si="40"/>
        <v>1</v>
      </c>
      <c r="I74" s="442"/>
      <c r="J74" s="824">
        <f t="shared" si="41"/>
        <v>0</v>
      </c>
      <c r="O74" s="630">
        <f>+ROUND(G74/1.27,0)</f>
        <v>2109</v>
      </c>
      <c r="P74" s="624">
        <f>+H74-O74</f>
        <v>-2108</v>
      </c>
    </row>
    <row r="75" spans="1:16">
      <c r="A75" s="762" t="s">
        <v>1448</v>
      </c>
      <c r="B75" s="286">
        <f>16500-16500</f>
        <v>0</v>
      </c>
      <c r="C75" s="768" t="s">
        <v>459</v>
      </c>
      <c r="D75" s="313"/>
      <c r="E75" s="314">
        <f>16500-16500</f>
        <v>0</v>
      </c>
      <c r="F75" s="315">
        <f>16500-16500</f>
        <v>0</v>
      </c>
      <c r="G75" s="315"/>
      <c r="H75" s="1466" t="str">
        <f t="shared" si="40"/>
        <v>-</v>
      </c>
      <c r="I75" s="442"/>
      <c r="J75" s="824">
        <f t="shared" si="41"/>
        <v>0</v>
      </c>
      <c r="O75" s="630">
        <f>+ROUND(G75/1.27,0)</f>
        <v>0</v>
      </c>
      <c r="P75" s="624" t="e">
        <f>+H75-O75</f>
        <v>#VALUE!</v>
      </c>
    </row>
    <row r="76" spans="1:16">
      <c r="A76" s="762" t="s">
        <v>1489</v>
      </c>
      <c r="B76" s="286">
        <v>35426</v>
      </c>
      <c r="C76" s="768" t="s">
        <v>459</v>
      </c>
      <c r="D76" s="313"/>
      <c r="E76" s="314"/>
      <c r="F76" s="315"/>
      <c r="G76" s="315"/>
      <c r="H76" s="1466" t="str">
        <f t="shared" ref="H76:H77" si="42">IF(ISERROR(G76/F76),"-",G76/F76)</f>
        <v>-</v>
      </c>
      <c r="I76" s="442">
        <v>30000</v>
      </c>
      <c r="J76" s="824">
        <f t="shared" ref="J76:J77" si="43">+B76-D76-MIN(F76,G76)</f>
        <v>35426</v>
      </c>
      <c r="O76" s="630">
        <f>+ROUND(G76/1.27,0)</f>
        <v>0</v>
      </c>
      <c r="P76" s="624" t="e">
        <f>+H76-O76</f>
        <v>#VALUE!</v>
      </c>
    </row>
    <row r="77" spans="1:16" ht="12.75" thickBot="1">
      <c r="A77" s="762" t="s">
        <v>2721</v>
      </c>
      <c r="B77" s="286">
        <v>3810</v>
      </c>
      <c r="C77" s="768" t="s">
        <v>459</v>
      </c>
      <c r="D77" s="313"/>
      <c r="E77" s="314"/>
      <c r="F77" s="315">
        <v>3810</v>
      </c>
      <c r="G77" s="315">
        <v>3810</v>
      </c>
      <c r="H77" s="1466">
        <f t="shared" si="42"/>
        <v>1</v>
      </c>
      <c r="I77" s="442"/>
      <c r="J77" s="824">
        <f t="shared" si="43"/>
        <v>0</v>
      </c>
      <c r="O77" s="630">
        <f>+ROUND(G77/1.27,0)</f>
        <v>3000</v>
      </c>
      <c r="P77" s="624">
        <f>+H77-O77</f>
        <v>-2999</v>
      </c>
    </row>
    <row r="78" spans="1:16" ht="12.75" thickBot="1">
      <c r="A78" s="763" t="s">
        <v>604</v>
      </c>
      <c r="B78" s="323">
        <f>SUM(B73:B77)</f>
        <v>78846</v>
      </c>
      <c r="C78" s="769" t="s">
        <v>19</v>
      </c>
      <c r="D78" s="324">
        <f>SUM(D73:D77)</f>
        <v>27293</v>
      </c>
      <c r="E78" s="325">
        <f>SUM(E73:E77)</f>
        <v>13085</v>
      </c>
      <c r="F78" s="326">
        <f>SUM(F73:F77)</f>
        <v>16127</v>
      </c>
      <c r="G78" s="326">
        <f>SUM(G73:G77)</f>
        <v>16127</v>
      </c>
      <c r="H78" s="1459">
        <f t="shared" si="40"/>
        <v>1</v>
      </c>
      <c r="I78" s="447">
        <f>SUM(I73:I77)</f>
        <v>57293</v>
      </c>
      <c r="J78" s="305">
        <f>SUM(J73:J77)</f>
        <v>35426</v>
      </c>
    </row>
    <row r="79" spans="1:16">
      <c r="A79" s="761" t="s">
        <v>938</v>
      </c>
      <c r="B79" s="458"/>
      <c r="C79" s="767"/>
      <c r="D79" s="444"/>
      <c r="E79" s="1156"/>
      <c r="F79" s="1157"/>
      <c r="G79" s="1157"/>
      <c r="H79" s="1489"/>
      <c r="I79" s="443"/>
      <c r="J79" s="823"/>
    </row>
    <row r="80" spans="1:16" ht="12.75" thickBot="1">
      <c r="A80" s="762" t="s">
        <v>19</v>
      </c>
      <c r="B80" s="286"/>
      <c r="C80" s="768"/>
      <c r="D80" s="313"/>
      <c r="E80" s="314"/>
      <c r="F80" s="315"/>
      <c r="G80" s="315"/>
      <c r="H80" s="1466" t="str">
        <f t="shared" ref="H80:H81" si="44">IF(ISERROR(G80/F80),"-",G80/F80)</f>
        <v>-</v>
      </c>
      <c r="I80" s="442"/>
      <c r="J80" s="824">
        <f t="shared" ref="J80" si="45">+B80-D80-MIN(F80,G80)</f>
        <v>0</v>
      </c>
    </row>
    <row r="81" spans="1:16" ht="12.75" thickBot="1">
      <c r="A81" s="763" t="s">
        <v>939</v>
      </c>
      <c r="B81" s="323">
        <f>+B80</f>
        <v>0</v>
      </c>
      <c r="C81" s="769" t="s">
        <v>19</v>
      </c>
      <c r="D81" s="324">
        <f t="shared" ref="D81:J81" si="46">+D80</f>
        <v>0</v>
      </c>
      <c r="E81" s="325">
        <f t="shared" si="46"/>
        <v>0</v>
      </c>
      <c r="F81" s="326">
        <f t="shared" si="46"/>
        <v>0</v>
      </c>
      <c r="G81" s="326">
        <f t="shared" si="46"/>
        <v>0</v>
      </c>
      <c r="H81" s="1459" t="str">
        <f t="shared" si="44"/>
        <v>-</v>
      </c>
      <c r="I81" s="447">
        <f t="shared" si="46"/>
        <v>0</v>
      </c>
      <c r="J81" s="305">
        <f t="shared" si="46"/>
        <v>0</v>
      </c>
    </row>
    <row r="82" spans="1:16">
      <c r="A82" s="761" t="s">
        <v>605</v>
      </c>
      <c r="B82" s="458"/>
      <c r="C82" s="767"/>
      <c r="D82" s="444"/>
      <c r="E82" s="1156"/>
      <c r="F82" s="1157"/>
      <c r="G82" s="1157"/>
      <c r="H82" s="1489"/>
      <c r="I82" s="443"/>
      <c r="J82" s="823"/>
    </row>
    <row r="83" spans="1:16" ht="12.75" thickBot="1">
      <c r="A83" s="762" t="s">
        <v>19</v>
      </c>
      <c r="B83" s="286"/>
      <c r="C83" s="768"/>
      <c r="D83" s="313"/>
      <c r="E83" s="314"/>
      <c r="F83" s="315"/>
      <c r="G83" s="315"/>
      <c r="H83" s="1466" t="str">
        <f t="shared" ref="H83:H84" si="47">IF(ISERROR(G83/F83),"-",G83/F83)</f>
        <v>-</v>
      </c>
      <c r="I83" s="442"/>
      <c r="J83" s="824">
        <f t="shared" ref="J83" si="48">+B83-D83-MIN(F83,G83)</f>
        <v>0</v>
      </c>
    </row>
    <row r="84" spans="1:16" ht="12.75" thickBot="1">
      <c r="A84" s="763" t="s">
        <v>606</v>
      </c>
      <c r="B84" s="323">
        <f>+B83</f>
        <v>0</v>
      </c>
      <c r="C84" s="769" t="s">
        <v>19</v>
      </c>
      <c r="D84" s="324">
        <f t="shared" ref="D84:J84" si="49">+D83</f>
        <v>0</v>
      </c>
      <c r="E84" s="325">
        <f t="shared" si="49"/>
        <v>0</v>
      </c>
      <c r="F84" s="326">
        <f t="shared" si="49"/>
        <v>0</v>
      </c>
      <c r="G84" s="326">
        <f t="shared" si="49"/>
        <v>0</v>
      </c>
      <c r="H84" s="1459" t="str">
        <f t="shared" si="47"/>
        <v>-</v>
      </c>
      <c r="I84" s="447">
        <f t="shared" si="49"/>
        <v>0</v>
      </c>
      <c r="J84" s="305">
        <f t="shared" si="49"/>
        <v>0</v>
      </c>
    </row>
    <row r="85" spans="1:16">
      <c r="A85" s="761" t="s">
        <v>953</v>
      </c>
      <c r="B85" s="458"/>
      <c r="C85" s="767"/>
      <c r="D85" s="444"/>
      <c r="E85" s="1156"/>
      <c r="F85" s="1157"/>
      <c r="G85" s="1157"/>
      <c r="H85" s="1489"/>
      <c r="I85" s="443"/>
      <c r="J85" s="823"/>
    </row>
    <row r="86" spans="1:16" ht="12.75" thickBot="1">
      <c r="A86" s="762" t="s">
        <v>1159</v>
      </c>
      <c r="B86" s="286">
        <v>0</v>
      </c>
      <c r="C86" s="768" t="s">
        <v>459</v>
      </c>
      <c r="D86" s="313"/>
      <c r="E86" s="314">
        <v>2351</v>
      </c>
      <c r="F86" s="315">
        <v>0</v>
      </c>
      <c r="G86" s="315"/>
      <c r="H86" s="1466" t="str">
        <f t="shared" ref="H86:H87" si="50">IF(ISERROR(G86/F86),"-",G86/F86)</f>
        <v>-</v>
      </c>
      <c r="I86" s="442"/>
      <c r="J86" s="824">
        <f t="shared" ref="J86" si="51">+B86-D86-MIN(F86,G86)</f>
        <v>0</v>
      </c>
      <c r="O86" s="630">
        <f>+ROUND(G86/1.27,0)</f>
        <v>0</v>
      </c>
      <c r="P86" s="624" t="e">
        <f>+H86-O86</f>
        <v>#VALUE!</v>
      </c>
    </row>
    <row r="87" spans="1:16" ht="12.75" thickBot="1">
      <c r="A87" s="763" t="s">
        <v>607</v>
      </c>
      <c r="B87" s="323">
        <f>SUM(B86:B86)</f>
        <v>0</v>
      </c>
      <c r="C87" s="769" t="s">
        <v>19</v>
      </c>
      <c r="D87" s="324">
        <f t="shared" ref="D87:J87" si="52">SUM(D86:D86)</f>
        <v>0</v>
      </c>
      <c r="E87" s="325">
        <f t="shared" si="52"/>
        <v>2351</v>
      </c>
      <c r="F87" s="326">
        <f t="shared" si="52"/>
        <v>0</v>
      </c>
      <c r="G87" s="326">
        <f t="shared" si="52"/>
        <v>0</v>
      </c>
      <c r="H87" s="1459" t="str">
        <f t="shared" si="50"/>
        <v>-</v>
      </c>
      <c r="I87" s="447">
        <f t="shared" si="52"/>
        <v>0</v>
      </c>
      <c r="J87" s="305">
        <f t="shared" si="52"/>
        <v>0</v>
      </c>
    </row>
    <row r="88" spans="1:16">
      <c r="A88" s="761" t="s">
        <v>954</v>
      </c>
      <c r="B88" s="458"/>
      <c r="C88" s="767"/>
      <c r="D88" s="444"/>
      <c r="E88" s="1156"/>
      <c r="F88" s="1157"/>
      <c r="G88" s="1157"/>
      <c r="H88" s="1489"/>
      <c r="I88" s="443"/>
      <c r="J88" s="823"/>
    </row>
    <row r="89" spans="1:16" ht="12.75" thickBot="1">
      <c r="A89" s="762" t="s">
        <v>19</v>
      </c>
      <c r="B89" s="286"/>
      <c r="C89" s="768"/>
      <c r="D89" s="313"/>
      <c r="E89" s="314"/>
      <c r="F89" s="315"/>
      <c r="G89" s="315"/>
      <c r="H89" s="1466" t="str">
        <f t="shared" ref="H89:H90" si="53">IF(ISERROR(G89/F89),"-",G89/F89)</f>
        <v>-</v>
      </c>
      <c r="I89" s="442"/>
      <c r="J89" s="824">
        <f t="shared" ref="J89" si="54">+B89-D89-MIN(F89,G89)</f>
        <v>0</v>
      </c>
    </row>
    <row r="90" spans="1:16" ht="12.75" thickBot="1">
      <c r="A90" s="763" t="s">
        <v>952</v>
      </c>
      <c r="B90" s="323">
        <f>+B89</f>
        <v>0</v>
      </c>
      <c r="C90" s="769" t="s">
        <v>19</v>
      </c>
      <c r="D90" s="324">
        <f t="shared" ref="D90:J90" si="55">+D89</f>
        <v>0</v>
      </c>
      <c r="E90" s="325">
        <f t="shared" si="55"/>
        <v>0</v>
      </c>
      <c r="F90" s="326">
        <f t="shared" si="55"/>
        <v>0</v>
      </c>
      <c r="G90" s="326">
        <f t="shared" si="55"/>
        <v>0</v>
      </c>
      <c r="H90" s="1459" t="str">
        <f t="shared" si="53"/>
        <v>-</v>
      </c>
      <c r="I90" s="447">
        <f t="shared" si="55"/>
        <v>0</v>
      </c>
      <c r="J90" s="305">
        <f t="shared" si="55"/>
        <v>0</v>
      </c>
    </row>
    <row r="91" spans="1:16">
      <c r="A91" s="764" t="s">
        <v>626</v>
      </c>
      <c r="B91" s="459"/>
      <c r="C91" s="770"/>
      <c r="D91" s="448"/>
      <c r="E91" s="285"/>
      <c r="F91" s="284"/>
      <c r="G91" s="284"/>
      <c r="H91" s="1490"/>
      <c r="I91" s="449"/>
      <c r="J91" s="825"/>
    </row>
    <row r="92" spans="1:16">
      <c r="A92" s="762" t="s">
        <v>1450</v>
      </c>
      <c r="B92" s="286">
        <v>36219</v>
      </c>
      <c r="C92" s="768" t="s">
        <v>1243</v>
      </c>
      <c r="D92" s="313">
        <v>1650</v>
      </c>
      <c r="E92" s="314">
        <v>33788</v>
      </c>
      <c r="F92" s="315">
        <v>34569</v>
      </c>
      <c r="G92" s="315">
        <f>34568+1</f>
        <v>34569</v>
      </c>
      <c r="H92" s="1466">
        <f t="shared" ref="H92:H99" si="56">IF(ISERROR(G92/F92),"-",G92/F92)</f>
        <v>1</v>
      </c>
      <c r="I92" s="442">
        <v>36219</v>
      </c>
      <c r="J92" s="824">
        <f t="shared" ref="J92:J98" si="57">+B92-D92-MIN(F92,G92)</f>
        <v>0</v>
      </c>
      <c r="O92" s="630">
        <f>+ROUND(G92/1.27,0)</f>
        <v>27220</v>
      </c>
      <c r="P92" s="624">
        <f t="shared" ref="P92:P98" si="58">+H92-O92</f>
        <v>-27219</v>
      </c>
    </row>
    <row r="93" spans="1:16">
      <c r="A93" s="762" t="s">
        <v>1451</v>
      </c>
      <c r="B93" s="286">
        <v>197803</v>
      </c>
      <c r="C93" s="768" t="s">
        <v>1457</v>
      </c>
      <c r="D93" s="313">
        <v>2600</v>
      </c>
      <c r="E93" s="314">
        <v>124662</v>
      </c>
      <c r="F93" s="315">
        <v>6068</v>
      </c>
      <c r="G93" s="315">
        <v>6068</v>
      </c>
      <c r="H93" s="1466">
        <f t="shared" si="56"/>
        <v>1</v>
      </c>
      <c r="I93" s="442">
        <v>197803</v>
      </c>
      <c r="J93" s="824">
        <f t="shared" si="57"/>
        <v>189135</v>
      </c>
      <c r="O93" s="630">
        <f>+ROUND(G93/1.27,0)</f>
        <v>4778</v>
      </c>
      <c r="P93" s="624">
        <f t="shared" si="58"/>
        <v>-4777</v>
      </c>
    </row>
    <row r="94" spans="1:16" ht="24">
      <c r="A94" s="762" t="s">
        <v>1452</v>
      </c>
      <c r="B94" s="286">
        <v>132884</v>
      </c>
      <c r="C94" s="768" t="s">
        <v>1243</v>
      </c>
      <c r="D94" s="313">
        <v>2438</v>
      </c>
      <c r="E94" s="314">
        <v>130474</v>
      </c>
      <c r="F94" s="315">
        <v>130426</v>
      </c>
      <c r="G94" s="315">
        <v>130426</v>
      </c>
      <c r="H94" s="1466">
        <f t="shared" si="56"/>
        <v>1</v>
      </c>
      <c r="I94" s="442">
        <v>132884</v>
      </c>
      <c r="J94" s="824">
        <f t="shared" si="57"/>
        <v>20</v>
      </c>
      <c r="O94" s="630">
        <f>+ROUND(G94/1.27,0)</f>
        <v>102698</v>
      </c>
      <c r="P94" s="624">
        <f t="shared" si="58"/>
        <v>-102697</v>
      </c>
    </row>
    <row r="95" spans="1:16">
      <c r="A95" s="762" t="s">
        <v>1453</v>
      </c>
      <c r="B95" s="286">
        <v>138592</v>
      </c>
      <c r="C95" s="768" t="s">
        <v>1457</v>
      </c>
      <c r="D95" s="313"/>
      <c r="E95" s="314">
        <v>413431</v>
      </c>
      <c r="F95" s="315">
        <v>0</v>
      </c>
      <c r="G95" s="315"/>
      <c r="H95" s="1466" t="str">
        <f t="shared" si="56"/>
        <v>-</v>
      </c>
      <c r="I95" s="442">
        <v>138592</v>
      </c>
      <c r="J95" s="824">
        <f t="shared" si="57"/>
        <v>138592</v>
      </c>
      <c r="O95" s="630">
        <f>+ROUND(G95/1.27,0)</f>
        <v>0</v>
      </c>
      <c r="P95" s="624" t="e">
        <f t="shared" si="58"/>
        <v>#VALUE!</v>
      </c>
    </row>
    <row r="96" spans="1:16">
      <c r="A96" s="762" t="s">
        <v>1458</v>
      </c>
      <c r="B96" s="286">
        <v>35164</v>
      </c>
      <c r="C96" s="768" t="s">
        <v>1243</v>
      </c>
      <c r="D96" s="313">
        <v>711</v>
      </c>
      <c r="E96" s="314">
        <v>34453</v>
      </c>
      <c r="F96" s="315">
        <v>34453</v>
      </c>
      <c r="G96" s="315">
        <f>28555+5898</f>
        <v>34453</v>
      </c>
      <c r="H96" s="1466">
        <f t="shared" si="56"/>
        <v>1</v>
      </c>
      <c r="I96" s="442">
        <v>35164</v>
      </c>
      <c r="J96" s="824">
        <f t="shared" si="57"/>
        <v>0</v>
      </c>
      <c r="O96" s="630">
        <f>+ROUND(G96/1.27,0)</f>
        <v>27128</v>
      </c>
      <c r="P96" s="624">
        <f t="shared" si="58"/>
        <v>-27127</v>
      </c>
    </row>
    <row r="97" spans="1:16">
      <c r="A97" s="949" t="s">
        <v>1455</v>
      </c>
      <c r="B97" s="286">
        <f>1252+55980</f>
        <v>57232</v>
      </c>
      <c r="C97" s="768" t="s">
        <v>1243</v>
      </c>
      <c r="D97" s="313">
        <v>1252</v>
      </c>
      <c r="E97" s="314">
        <v>55980</v>
      </c>
      <c r="F97" s="315">
        <v>1315</v>
      </c>
      <c r="G97" s="315">
        <v>1315</v>
      </c>
      <c r="H97" s="1466">
        <f t="shared" ref="H97" si="59">IF(ISERROR(G97/F97),"-",G97/F97)</f>
        <v>1</v>
      </c>
      <c r="I97" s="442">
        <v>57232</v>
      </c>
      <c r="J97" s="824">
        <f t="shared" ref="J97" si="60">+B97-D97-MIN(F97,G97)</f>
        <v>54665</v>
      </c>
      <c r="O97" s="630">
        <f>+ROUND(G97/1.27,0)</f>
        <v>1035</v>
      </c>
      <c r="P97" s="624">
        <f t="shared" ref="P97" si="61">+H97-O97</f>
        <v>-1034</v>
      </c>
    </row>
    <row r="98" spans="1:16" ht="12.75" thickBot="1">
      <c r="A98" s="949" t="s">
        <v>2720</v>
      </c>
      <c r="B98" s="286">
        <v>192568</v>
      </c>
      <c r="C98" s="768" t="s">
        <v>1243</v>
      </c>
      <c r="D98" s="313"/>
      <c r="E98" s="314"/>
      <c r="F98" s="315">
        <v>5842</v>
      </c>
      <c r="G98" s="315">
        <v>5842</v>
      </c>
      <c r="H98" s="1466">
        <f t="shared" si="56"/>
        <v>1</v>
      </c>
      <c r="I98" s="442">
        <v>192568</v>
      </c>
      <c r="J98" s="824">
        <f t="shared" si="57"/>
        <v>186726</v>
      </c>
      <c r="O98" s="630">
        <f>+ROUND(G98/1.27,0)</f>
        <v>4600</v>
      </c>
      <c r="P98" s="624">
        <f t="shared" si="58"/>
        <v>-4599</v>
      </c>
    </row>
    <row r="99" spans="1:16" ht="12.75" thickBot="1">
      <c r="A99" s="763" t="s">
        <v>627</v>
      </c>
      <c r="B99" s="323">
        <f>SUM(B92:B98)</f>
        <v>790462</v>
      </c>
      <c r="C99" s="769" t="s">
        <v>19</v>
      </c>
      <c r="D99" s="324">
        <f t="shared" ref="D99:J99" si="62">SUM(D92:D98)</f>
        <v>8651</v>
      </c>
      <c r="E99" s="325">
        <f t="shared" si="62"/>
        <v>792788</v>
      </c>
      <c r="F99" s="326">
        <f t="shared" si="62"/>
        <v>212673</v>
      </c>
      <c r="G99" s="326">
        <f t="shared" si="62"/>
        <v>212673</v>
      </c>
      <c r="H99" s="1459">
        <f t="shared" si="56"/>
        <v>1</v>
      </c>
      <c r="I99" s="447">
        <f t="shared" si="62"/>
        <v>790462</v>
      </c>
      <c r="J99" s="305">
        <f t="shared" si="62"/>
        <v>569138</v>
      </c>
      <c r="L99" s="624">
        <f>+'1.mell._Össz_Mérleg2018'!E160</f>
        <v>212673</v>
      </c>
      <c r="M99" s="624">
        <f>+G99-L99</f>
        <v>0</v>
      </c>
    </row>
    <row r="100" spans="1:16" ht="12.75" thickBot="1">
      <c r="A100" s="765"/>
      <c r="B100" s="460"/>
      <c r="C100" s="771"/>
      <c r="D100" s="450"/>
      <c r="E100" s="1158"/>
      <c r="F100" s="1159"/>
      <c r="G100" s="1159"/>
      <c r="H100" s="1160"/>
      <c r="I100" s="451"/>
      <c r="J100" s="826"/>
    </row>
    <row r="101" spans="1:16" ht="12.75" thickBot="1">
      <c r="A101" s="766" t="s">
        <v>617</v>
      </c>
      <c r="B101" s="461">
        <f>+B78+B81+B84+B87+B90+B99</f>
        <v>869308</v>
      </c>
      <c r="C101" s="769" t="s">
        <v>19</v>
      </c>
      <c r="D101" s="452">
        <f t="shared" ref="D101:J101" si="63">+D78+D81+D84+D87+D90+D99</f>
        <v>35944</v>
      </c>
      <c r="E101" s="1161">
        <f t="shared" si="63"/>
        <v>808224</v>
      </c>
      <c r="F101" s="1162">
        <f t="shared" si="63"/>
        <v>228800</v>
      </c>
      <c r="G101" s="1162">
        <f t="shared" si="63"/>
        <v>228800</v>
      </c>
      <c r="H101" s="1459">
        <f t="shared" ref="H101" si="64">IF(ISERROR(G101/F101),"-",G101/F101)</f>
        <v>1</v>
      </c>
      <c r="I101" s="453">
        <f t="shared" si="63"/>
        <v>847755</v>
      </c>
      <c r="J101" s="827">
        <f t="shared" si="63"/>
        <v>604564</v>
      </c>
      <c r="L101" s="624">
        <f>+'1.mell._Össz_Mérleg2018'!E159</f>
        <v>228800</v>
      </c>
      <c r="M101" s="624">
        <f>+G101-L101</f>
        <v>0</v>
      </c>
    </row>
    <row r="102" spans="1:16" ht="12.75" thickBot="1">
      <c r="A102" s="454"/>
      <c r="B102" s="776"/>
      <c r="C102" s="771"/>
      <c r="D102" s="450"/>
      <c r="E102" s="1158"/>
      <c r="F102" s="1159"/>
      <c r="G102" s="1159"/>
      <c r="H102" s="1160"/>
      <c r="I102" s="451"/>
      <c r="J102" s="826"/>
    </row>
    <row r="103" spans="1:16">
      <c r="A103" s="761" t="s">
        <v>618</v>
      </c>
      <c r="B103" s="458"/>
      <c r="C103" s="767"/>
      <c r="D103" s="444"/>
      <c r="E103" s="1167"/>
      <c r="F103" s="1168"/>
      <c r="G103" s="1168"/>
      <c r="H103" s="1493"/>
      <c r="I103" s="443"/>
      <c r="J103" s="823"/>
    </row>
    <row r="104" spans="1:16">
      <c r="A104" s="762" t="s">
        <v>1502</v>
      </c>
      <c r="B104" s="286">
        <v>0</v>
      </c>
      <c r="C104" s="768" t="s">
        <v>459</v>
      </c>
      <c r="D104" s="313"/>
      <c r="E104" s="314"/>
      <c r="F104" s="315">
        <v>0</v>
      </c>
      <c r="G104" s="315"/>
      <c r="H104" s="1466" t="str">
        <f t="shared" ref="H104:H106" si="65">IF(ISERROR(G104/F104),"-",G104/F104)</f>
        <v>-</v>
      </c>
      <c r="I104" s="442"/>
      <c r="J104" s="824">
        <f t="shared" ref="J104" si="66">+B104-D104-MIN(F104,G104)</f>
        <v>0</v>
      </c>
    </row>
    <row r="105" spans="1:16" ht="12.75" thickBot="1">
      <c r="A105" s="762" t="s">
        <v>2719</v>
      </c>
      <c r="B105" s="286">
        <v>1200</v>
      </c>
      <c r="C105" s="768" t="s">
        <v>459</v>
      </c>
      <c r="D105" s="313"/>
      <c r="E105" s="314"/>
      <c r="F105" s="315">
        <v>1200</v>
      </c>
      <c r="G105" s="315">
        <v>1200</v>
      </c>
      <c r="H105" s="1466">
        <f t="shared" ref="H105" si="67">IF(ISERROR(G105/F105),"-",G105/F105)</f>
        <v>1</v>
      </c>
      <c r="I105" s="442"/>
      <c r="J105" s="824">
        <f t="shared" ref="J105" si="68">+B105-D105-MIN(F105,G105)</f>
        <v>0</v>
      </c>
    </row>
    <row r="106" spans="1:16" ht="12.75" thickBot="1">
      <c r="A106" s="763" t="s">
        <v>619</v>
      </c>
      <c r="B106" s="323">
        <f>+B104+B105</f>
        <v>1200</v>
      </c>
      <c r="C106" s="769" t="s">
        <v>19</v>
      </c>
      <c r="D106" s="324">
        <f t="shared" ref="D106:G106" si="69">+D104+D105</f>
        <v>0</v>
      </c>
      <c r="E106" s="325">
        <f t="shared" si="69"/>
        <v>0</v>
      </c>
      <c r="F106" s="326">
        <f t="shared" si="69"/>
        <v>1200</v>
      </c>
      <c r="G106" s="326">
        <f t="shared" si="69"/>
        <v>1200</v>
      </c>
      <c r="H106" s="1459">
        <f t="shared" si="65"/>
        <v>1</v>
      </c>
      <c r="I106" s="447">
        <f t="shared" ref="I106:J106" si="70">+I104+I105</f>
        <v>0</v>
      </c>
      <c r="J106" s="305">
        <f t="shared" si="70"/>
        <v>0</v>
      </c>
    </row>
    <row r="107" spans="1:16">
      <c r="A107" s="761" t="s">
        <v>940</v>
      </c>
      <c r="B107" s="458"/>
      <c r="C107" s="767"/>
      <c r="D107" s="444"/>
      <c r="E107" s="1156"/>
      <c r="F107" s="1157"/>
      <c r="G107" s="1157"/>
      <c r="H107" s="1489"/>
      <c r="I107" s="443"/>
      <c r="J107" s="823"/>
    </row>
    <row r="108" spans="1:16" ht="12.75" thickBot="1">
      <c r="A108" s="762" t="s">
        <v>19</v>
      </c>
      <c r="B108" s="286"/>
      <c r="C108" s="768"/>
      <c r="D108" s="313"/>
      <c r="E108" s="314"/>
      <c r="F108" s="315"/>
      <c r="G108" s="315"/>
      <c r="H108" s="1466" t="str">
        <f t="shared" ref="H108:H109" si="71">IF(ISERROR(G108/F108),"-",G108/F108)</f>
        <v>-</v>
      </c>
      <c r="I108" s="442"/>
      <c r="J108" s="824">
        <f t="shared" ref="J108" si="72">+B108-D108-MIN(F108,G108)</f>
        <v>0</v>
      </c>
    </row>
    <row r="109" spans="1:16" ht="12.75" thickBot="1">
      <c r="A109" s="763" t="s">
        <v>941</v>
      </c>
      <c r="B109" s="323">
        <f>+B108</f>
        <v>0</v>
      </c>
      <c r="C109" s="769" t="s">
        <v>19</v>
      </c>
      <c r="D109" s="324">
        <f t="shared" ref="D109:J109" si="73">+D108</f>
        <v>0</v>
      </c>
      <c r="E109" s="325">
        <f t="shared" si="73"/>
        <v>0</v>
      </c>
      <c r="F109" s="326">
        <f t="shared" si="73"/>
        <v>0</v>
      </c>
      <c r="G109" s="326">
        <f t="shared" si="73"/>
        <v>0</v>
      </c>
      <c r="H109" s="1459" t="str">
        <f t="shared" si="71"/>
        <v>-</v>
      </c>
      <c r="I109" s="447">
        <f t="shared" si="73"/>
        <v>0</v>
      </c>
      <c r="J109" s="305">
        <f t="shared" si="73"/>
        <v>0</v>
      </c>
    </row>
    <row r="110" spans="1:16">
      <c r="A110" s="761" t="s">
        <v>620</v>
      </c>
      <c r="B110" s="458"/>
      <c r="C110" s="767"/>
      <c r="D110" s="444"/>
      <c r="E110" s="1156"/>
      <c r="F110" s="1157"/>
      <c r="G110" s="1157"/>
      <c r="H110" s="1489"/>
      <c r="I110" s="443"/>
      <c r="J110" s="823"/>
    </row>
    <row r="111" spans="1:16" ht="12.75" thickBot="1">
      <c r="A111" s="762" t="s">
        <v>19</v>
      </c>
      <c r="B111" s="286"/>
      <c r="C111" s="768"/>
      <c r="D111" s="313"/>
      <c r="E111" s="314"/>
      <c r="F111" s="315"/>
      <c r="G111" s="315"/>
      <c r="H111" s="1466" t="str">
        <f t="shared" ref="H111:H112" si="74">IF(ISERROR(G111/F111),"-",G111/F111)</f>
        <v>-</v>
      </c>
      <c r="I111" s="442"/>
      <c r="J111" s="824">
        <f t="shared" ref="J111" si="75">+B111-D111-MIN(F111,G111)</f>
        <v>0</v>
      </c>
    </row>
    <row r="112" spans="1:16" ht="12.75" thickBot="1">
      <c r="A112" s="763" t="s">
        <v>621</v>
      </c>
      <c r="B112" s="323">
        <f>+B111</f>
        <v>0</v>
      </c>
      <c r="C112" s="769" t="s">
        <v>19</v>
      </c>
      <c r="D112" s="324">
        <f t="shared" ref="D112:J112" si="76">+D111</f>
        <v>0</v>
      </c>
      <c r="E112" s="325">
        <f t="shared" si="76"/>
        <v>0</v>
      </c>
      <c r="F112" s="326">
        <f t="shared" si="76"/>
        <v>0</v>
      </c>
      <c r="G112" s="326">
        <f t="shared" si="76"/>
        <v>0</v>
      </c>
      <c r="H112" s="1459" t="str">
        <f t="shared" si="74"/>
        <v>-</v>
      </c>
      <c r="I112" s="447">
        <f t="shared" si="76"/>
        <v>0</v>
      </c>
      <c r="J112" s="305">
        <f t="shared" si="76"/>
        <v>0</v>
      </c>
    </row>
    <row r="113" spans="1:13">
      <c r="A113" s="761" t="s">
        <v>622</v>
      </c>
      <c r="B113" s="458"/>
      <c r="C113" s="767"/>
      <c r="D113" s="444"/>
      <c r="E113" s="1156"/>
      <c r="F113" s="1157"/>
      <c r="G113" s="1157"/>
      <c r="H113" s="1489"/>
      <c r="I113" s="443"/>
      <c r="J113" s="823"/>
    </row>
    <row r="114" spans="1:13" ht="12.75" thickBot="1">
      <c r="A114" s="762" t="s">
        <v>19</v>
      </c>
      <c r="B114" s="286"/>
      <c r="C114" s="768"/>
      <c r="D114" s="313"/>
      <c r="E114" s="314"/>
      <c r="F114" s="315"/>
      <c r="G114" s="315"/>
      <c r="H114" s="1466" t="str">
        <f t="shared" ref="H114:H115" si="77">IF(ISERROR(G114/F114),"-",G114/F114)</f>
        <v>-</v>
      </c>
      <c r="I114" s="442"/>
      <c r="J114" s="824">
        <f t="shared" ref="J114" si="78">+B114-D114-MIN(F114,G114)</f>
        <v>0</v>
      </c>
    </row>
    <row r="115" spans="1:13" ht="12.75" thickBot="1">
      <c r="A115" s="763" t="s">
        <v>623</v>
      </c>
      <c r="B115" s="323">
        <f>+B114</f>
        <v>0</v>
      </c>
      <c r="C115" s="769" t="s">
        <v>19</v>
      </c>
      <c r="D115" s="324">
        <f t="shared" ref="D115:J115" si="79">+D114</f>
        <v>0</v>
      </c>
      <c r="E115" s="325">
        <f t="shared" si="79"/>
        <v>0</v>
      </c>
      <c r="F115" s="326">
        <f t="shared" si="79"/>
        <v>0</v>
      </c>
      <c r="G115" s="326">
        <f t="shared" si="79"/>
        <v>0</v>
      </c>
      <c r="H115" s="1459" t="str">
        <f t="shared" si="77"/>
        <v>-</v>
      </c>
      <c r="I115" s="447">
        <f t="shared" si="79"/>
        <v>0</v>
      </c>
      <c r="J115" s="305">
        <f t="shared" si="79"/>
        <v>0</v>
      </c>
    </row>
    <row r="116" spans="1:13">
      <c r="A116" s="761" t="s">
        <v>928</v>
      </c>
      <c r="B116" s="458"/>
      <c r="C116" s="767"/>
      <c r="D116" s="444"/>
      <c r="E116" s="1156"/>
      <c r="F116" s="1157"/>
      <c r="G116" s="1157"/>
      <c r="H116" s="1489"/>
      <c r="I116" s="443"/>
      <c r="J116" s="823"/>
    </row>
    <row r="117" spans="1:13" ht="12.75" thickBot="1">
      <c r="A117" s="762" t="s">
        <v>19</v>
      </c>
      <c r="B117" s="286"/>
      <c r="C117" s="768"/>
      <c r="D117" s="313"/>
      <c r="E117" s="314"/>
      <c r="F117" s="315"/>
      <c r="G117" s="315"/>
      <c r="H117" s="1466" t="str">
        <f t="shared" ref="H117:H118" si="80">IF(ISERROR(G117/F117),"-",G117/F117)</f>
        <v>-</v>
      </c>
      <c r="I117" s="442"/>
      <c r="J117" s="824">
        <f t="shared" ref="J117" si="81">+B117-D117-MIN(F117,G117)</f>
        <v>0</v>
      </c>
    </row>
    <row r="118" spans="1:13" ht="12.75" thickBot="1">
      <c r="A118" s="763" t="s">
        <v>929</v>
      </c>
      <c r="B118" s="323">
        <f>+B117</f>
        <v>0</v>
      </c>
      <c r="C118" s="769" t="s">
        <v>19</v>
      </c>
      <c r="D118" s="324">
        <f t="shared" ref="D118:J118" si="82">+D117</f>
        <v>0</v>
      </c>
      <c r="E118" s="325">
        <f t="shared" si="82"/>
        <v>0</v>
      </c>
      <c r="F118" s="326">
        <f t="shared" si="82"/>
        <v>0</v>
      </c>
      <c r="G118" s="326">
        <f t="shared" si="82"/>
        <v>0</v>
      </c>
      <c r="H118" s="1459" t="str">
        <f t="shared" si="80"/>
        <v>-</v>
      </c>
      <c r="I118" s="447">
        <f t="shared" si="82"/>
        <v>0</v>
      </c>
      <c r="J118" s="305">
        <f t="shared" si="82"/>
        <v>0</v>
      </c>
    </row>
    <row r="119" spans="1:13">
      <c r="A119" s="764" t="s">
        <v>1025</v>
      </c>
      <c r="B119" s="459"/>
      <c r="C119" s="770"/>
      <c r="D119" s="448"/>
      <c r="E119" s="285"/>
      <c r="F119" s="284"/>
      <c r="G119" s="284"/>
      <c r="H119" s="1490"/>
      <c r="I119" s="449"/>
      <c r="J119" s="825"/>
    </row>
    <row r="120" spans="1:13" ht="12.75" thickBot="1">
      <c r="A120" s="762" t="s">
        <v>19</v>
      </c>
      <c r="B120" s="286"/>
      <c r="C120" s="768"/>
      <c r="D120" s="313"/>
      <c r="E120" s="314"/>
      <c r="F120" s="315"/>
      <c r="G120" s="315"/>
      <c r="H120" s="1466" t="str">
        <f t="shared" ref="H120:H121" si="83">IF(ISERROR(G120/F120),"-",G120/F120)</f>
        <v>-</v>
      </c>
      <c r="I120" s="442"/>
      <c r="J120" s="824">
        <f t="shared" ref="J120" si="84">+B120-D120-MIN(F120,G120)</f>
        <v>0</v>
      </c>
    </row>
    <row r="121" spans="1:13" ht="12.75" thickBot="1">
      <c r="A121" s="763" t="s">
        <v>1026</v>
      </c>
      <c r="B121" s="323">
        <f>+B120</f>
        <v>0</v>
      </c>
      <c r="C121" s="769" t="s">
        <v>19</v>
      </c>
      <c r="D121" s="324">
        <f t="shared" ref="D121:J121" si="85">+D120</f>
        <v>0</v>
      </c>
      <c r="E121" s="325">
        <f t="shared" si="85"/>
        <v>0</v>
      </c>
      <c r="F121" s="326">
        <f t="shared" si="85"/>
        <v>0</v>
      </c>
      <c r="G121" s="326">
        <f t="shared" si="85"/>
        <v>0</v>
      </c>
      <c r="H121" s="1459" t="str">
        <f t="shared" si="83"/>
        <v>-</v>
      </c>
      <c r="I121" s="447">
        <f t="shared" si="85"/>
        <v>0</v>
      </c>
      <c r="J121" s="305">
        <f t="shared" si="85"/>
        <v>0</v>
      </c>
      <c r="L121" s="624">
        <f>+'1.mell._Össz_Mérleg2018'!E170</f>
        <v>0</v>
      </c>
      <c r="M121" s="624">
        <f>+G121-L121</f>
        <v>0</v>
      </c>
    </row>
    <row r="122" spans="1:13" ht="12.75" thickBot="1">
      <c r="A122" s="765"/>
      <c r="B122" s="460"/>
      <c r="C122" s="771"/>
      <c r="D122" s="450"/>
      <c r="E122" s="1158"/>
      <c r="F122" s="1159"/>
      <c r="G122" s="1159"/>
      <c r="H122" s="1160"/>
      <c r="I122" s="451"/>
      <c r="J122" s="826"/>
    </row>
    <row r="123" spans="1:13" ht="12.75" thickBot="1">
      <c r="A123" s="766" t="s">
        <v>628</v>
      </c>
      <c r="B123" s="461">
        <f>+B106+B109+B112+B115+B118+B121</f>
        <v>1200</v>
      </c>
      <c r="C123" s="769" t="s">
        <v>19</v>
      </c>
      <c r="D123" s="452">
        <f t="shared" ref="D123:J123" si="86">+D106+D109+D112+D115+D118+D121</f>
        <v>0</v>
      </c>
      <c r="E123" s="1161">
        <f t="shared" si="86"/>
        <v>0</v>
      </c>
      <c r="F123" s="1162">
        <f t="shared" si="86"/>
        <v>1200</v>
      </c>
      <c r="G123" s="1162">
        <f t="shared" si="86"/>
        <v>1200</v>
      </c>
      <c r="H123" s="1459">
        <f t="shared" ref="H123" si="87">IF(ISERROR(G123/F123),"-",G123/F123)</f>
        <v>1</v>
      </c>
      <c r="I123" s="453">
        <f t="shared" si="86"/>
        <v>0</v>
      </c>
      <c r="J123" s="827">
        <f t="shared" si="86"/>
        <v>0</v>
      </c>
      <c r="L123" s="624">
        <f>+'1.mell._Össz_Mérleg2018'!E165</f>
        <v>1200</v>
      </c>
      <c r="M123" s="624">
        <f>+G123-L123</f>
        <v>0</v>
      </c>
    </row>
  </sheetData>
  <mergeCells count="4">
    <mergeCell ref="A4:J4"/>
    <mergeCell ref="I5:J5"/>
    <mergeCell ref="A3:J3"/>
    <mergeCell ref="E7:H7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7">
    <tabColor rgb="FF00B0F0"/>
  </sheetPr>
  <dimension ref="A1:AD242"/>
  <sheetViews>
    <sheetView tabSelected="1" zoomScaleNormal="100" workbookViewId="0"/>
  </sheetViews>
  <sheetFormatPr defaultRowHeight="12"/>
  <cols>
    <col min="1" max="1" width="6.5703125" style="4" customWidth="1"/>
    <col min="2" max="2" width="109.5703125" style="4" bestFit="1" customWidth="1"/>
    <col min="3" max="5" width="9.28515625" style="4" customWidth="1"/>
    <col min="6" max="6" width="9.28515625" style="1415" customWidth="1"/>
    <col min="7" max="9" width="9.28515625" style="4" customWidth="1"/>
    <col min="10" max="10" width="10.5703125" style="4" hidden="1" customWidth="1"/>
    <col min="11" max="11" width="9.140625" style="4" hidden="1" customWidth="1"/>
    <col min="12" max="14" width="0" style="4" hidden="1" customWidth="1"/>
    <col min="15" max="16384" width="9.140625" style="4"/>
  </cols>
  <sheetData>
    <row r="1" spans="1:11" s="50" customFormat="1" ht="15.75">
      <c r="F1" s="1396"/>
      <c r="I1" s="51" t="s">
        <v>47</v>
      </c>
    </row>
    <row r="2" spans="1:11" s="50" customFormat="1" ht="15.75">
      <c r="F2" s="1396"/>
    </row>
    <row r="3" spans="1:11" s="52" customFormat="1" ht="15.75">
      <c r="A3" s="1216" t="s">
        <v>331</v>
      </c>
      <c r="B3" s="1216"/>
      <c r="C3" s="1216"/>
      <c r="D3" s="1216"/>
      <c r="E3" s="1216"/>
      <c r="F3" s="1216"/>
      <c r="G3" s="1216"/>
      <c r="H3" s="1216"/>
      <c r="I3" s="1216"/>
    </row>
    <row r="4" spans="1:11" s="52" customFormat="1" ht="15.75">
      <c r="A4" s="1216" t="s">
        <v>1321</v>
      </c>
      <c r="B4" s="1216"/>
      <c r="C4" s="1216"/>
      <c r="D4" s="1216"/>
      <c r="E4" s="1216"/>
      <c r="F4" s="1216"/>
      <c r="G4" s="1216"/>
      <c r="H4" s="1216"/>
      <c r="I4" s="1216"/>
    </row>
    <row r="5" spans="1:11" s="50" customFormat="1" ht="15.75">
      <c r="F5" s="1396"/>
    </row>
    <row r="6" spans="1:11" s="52" customFormat="1" ht="15.75">
      <c r="A6" s="1216" t="s">
        <v>48</v>
      </c>
      <c r="B6" s="1216"/>
      <c r="C6" s="1216"/>
      <c r="D6" s="1216"/>
      <c r="E6" s="1216"/>
      <c r="F6" s="1216"/>
      <c r="G6" s="1216"/>
      <c r="H6" s="1216"/>
      <c r="I6" s="1216"/>
    </row>
    <row r="7" spans="1:11" s="36" customFormat="1" ht="12.75" thickBot="1">
      <c r="A7" s="38" t="s">
        <v>280</v>
      </c>
      <c r="F7" s="1397"/>
      <c r="I7" s="37" t="s">
        <v>281</v>
      </c>
    </row>
    <row r="8" spans="1:11" s="8" customFormat="1" ht="54" customHeight="1" thickBot="1">
      <c r="A8" s="79" t="s">
        <v>17</v>
      </c>
      <c r="B8" s="93" t="s">
        <v>328</v>
      </c>
      <c r="C8" s="1046" t="s">
        <v>1474</v>
      </c>
      <c r="D8" s="1047" t="s">
        <v>1475</v>
      </c>
      <c r="E8" s="6" t="s">
        <v>1529</v>
      </c>
      <c r="F8" s="1398" t="s">
        <v>1527</v>
      </c>
      <c r="G8" s="5" t="s">
        <v>51</v>
      </c>
      <c r="H8" s="6" t="s">
        <v>52</v>
      </c>
      <c r="I8" s="7" t="s">
        <v>53</v>
      </c>
    </row>
    <row r="9" spans="1:11" s="3" customFormat="1" ht="12.75" thickBot="1">
      <c r="A9" s="83" t="s">
        <v>253</v>
      </c>
      <c r="B9" s="94" t="s">
        <v>254</v>
      </c>
      <c r="C9" s="1218" t="s">
        <v>255</v>
      </c>
      <c r="D9" s="1218"/>
      <c r="E9" s="1218"/>
      <c r="F9" s="1218"/>
      <c r="G9" s="1219"/>
      <c r="H9" s="1219"/>
      <c r="I9" s="1220"/>
    </row>
    <row r="10" spans="1:11" s="3" customFormat="1" ht="12.75" thickBot="1">
      <c r="A10" s="95" t="s">
        <v>4</v>
      </c>
      <c r="B10" s="63" t="s">
        <v>297</v>
      </c>
      <c r="C10" s="1048">
        <f t="shared" ref="C10:F10" si="0">+C11+C25+C32+C44</f>
        <v>1378638</v>
      </c>
      <c r="D10" s="134">
        <f t="shared" si="0"/>
        <v>2258118</v>
      </c>
      <c r="E10" s="134">
        <f t="shared" si="0"/>
        <v>2076943</v>
      </c>
      <c r="F10" s="1399">
        <f t="shared" ref="F10:F73" si="1">IF(ISERROR(E10/D10),"-",E10/D10)</f>
        <v>0.91976725751267208</v>
      </c>
      <c r="G10" s="31">
        <f>+G11+G25+G32+G44</f>
        <v>2047336</v>
      </c>
      <c r="H10" s="32">
        <f>+H11+H25+H32+H44</f>
        <v>26780</v>
      </c>
      <c r="I10" s="33">
        <f>+I11+I25+I32+I44</f>
        <v>2827</v>
      </c>
      <c r="J10" s="712">
        <f>+E10/$E$102</f>
        <v>0.36276401980812278</v>
      </c>
      <c r="K10" s="3">
        <f>+E10-G10-H10-I10</f>
        <v>0</v>
      </c>
    </row>
    <row r="11" spans="1:11" s="3" customFormat="1" ht="12.75" customHeight="1" thickBot="1">
      <c r="A11" s="83" t="s">
        <v>5</v>
      </c>
      <c r="B11" s="64" t="s">
        <v>298</v>
      </c>
      <c r="C11" s="1049">
        <f t="shared" ref="C11:F11" si="2">+C12+C19+C20+C21+C22+C23</f>
        <v>907219</v>
      </c>
      <c r="D11" s="28">
        <f t="shared" si="2"/>
        <v>1592229</v>
      </c>
      <c r="E11" s="28">
        <f t="shared" si="2"/>
        <v>1592229</v>
      </c>
      <c r="F11" s="1400">
        <f t="shared" si="1"/>
        <v>1</v>
      </c>
      <c r="G11" s="27">
        <f>+G12+G19+G20+G21+G22+G23</f>
        <v>1589402</v>
      </c>
      <c r="H11" s="28">
        <f>+H12+H19+H20+H21+H22+H23</f>
        <v>0</v>
      </c>
      <c r="I11" s="29">
        <f>+I12+I19+I20+I21+I22+I23</f>
        <v>2827</v>
      </c>
      <c r="J11" s="712">
        <f>+E11/$E$102</f>
        <v>0.27810266940164824</v>
      </c>
      <c r="K11" s="3">
        <f>+E11-G11-H11-I11</f>
        <v>0</v>
      </c>
    </row>
    <row r="12" spans="1:11" s="3" customFormat="1">
      <c r="A12" s="84" t="s">
        <v>54</v>
      </c>
      <c r="B12" s="65" t="s">
        <v>299</v>
      </c>
      <c r="C12" s="1051">
        <f t="shared" ref="C12:F12" si="3">+C13+C14+C15+C16+C17+C18</f>
        <v>836999</v>
      </c>
      <c r="D12" s="10">
        <f t="shared" si="3"/>
        <v>789695</v>
      </c>
      <c r="E12" s="10">
        <f t="shared" si="3"/>
        <v>789695</v>
      </c>
      <c r="F12" s="1401">
        <f t="shared" si="1"/>
        <v>1</v>
      </c>
      <c r="G12" s="18">
        <f>+G13+G14+G15+G16+G17+G18</f>
        <v>789695</v>
      </c>
      <c r="H12" s="9">
        <f>+H13+H14+H15+H16+H17+H18</f>
        <v>0</v>
      </c>
      <c r="I12" s="14">
        <f>+I13+I14+I15+I16+I17+I18</f>
        <v>0</v>
      </c>
      <c r="K12" s="4">
        <f>+E12-G12-H12-I12</f>
        <v>0</v>
      </c>
    </row>
    <row r="13" spans="1:11" s="13" customFormat="1">
      <c r="A13" s="86" t="s">
        <v>190</v>
      </c>
      <c r="B13" s="66" t="s">
        <v>93</v>
      </c>
      <c r="C13" s="502">
        <f>+'1.1.mell._ÖNK_Mérleg2018'!C13+'1.2.mell._HKÖH_Mérleg2018'!C13+'1.3.mell._HVÓBKI_Mérleg2018'!C13+'1.4.mell._HKK_Mérleg2018'!C13+'1.5._mell._MŐSZ_Mérleg2018'!C13+'1.6._mell._HVGYKCSSZ_Mérleg2018'!C13</f>
        <v>231705</v>
      </c>
      <c r="D13" s="12">
        <f>+'1.1.mell._ÖNK_Mérleg2018'!D13+'1.2.mell._HKÖH_Mérleg2018'!D13+'1.3.mell._HVÓBKI_Mérleg2018'!D13+'1.4.mell._HKK_Mérleg2018'!D13+'1.5._mell._MŐSZ_Mérleg2018'!D13+'1.6._mell._HVGYKCSSZ_Mérleg2018'!D13</f>
        <v>231822</v>
      </c>
      <c r="E13" s="12">
        <f>+'1.1.mell._ÖNK_Mérleg2018'!E13+'1.2.mell._HKÖH_Mérleg2018'!E13+'1.3.mell._HVÓBKI_Mérleg2018'!E13+'1.4.mell._HKK_Mérleg2018'!E13+'1.5._mell._MŐSZ_Mérleg2018'!E13+'1.6._mell._HVGYKCSSZ_Mérleg2018'!E13</f>
        <v>231822</v>
      </c>
      <c r="F13" s="1402">
        <f t="shared" si="1"/>
        <v>1</v>
      </c>
      <c r="G13" s="19">
        <f>+'1.1.mell._ÖNK_Mérleg2018'!G13+'1.2.mell._HKÖH_Mérleg2018'!G13+'1.3.mell._HVÓBKI_Mérleg2018'!G13+'1.4.mell._HKK_Mérleg2018'!G13+'1.5._mell._MŐSZ_Mérleg2018'!G13+'1.6._mell._HVGYKCSSZ_Mérleg2018'!G13</f>
        <v>231822</v>
      </c>
      <c r="H13" s="12">
        <f>+'1.1.mell._ÖNK_Mérleg2018'!H13+'1.2.mell._HKÖH_Mérleg2018'!H13+'1.3.mell._HVÓBKI_Mérleg2018'!H13+'1.4.mell._HKK_Mérleg2018'!H13+'1.5._mell._MŐSZ_Mérleg2018'!H13+'1.6._mell._HVGYKCSSZ_Mérleg2018'!H13</f>
        <v>0</v>
      </c>
      <c r="I13" s="15">
        <f>+'1.1.mell._ÖNK_Mérleg2018'!I13+'1.2.mell._HKÖH_Mérleg2018'!I13+'1.3.mell._HVÓBKI_Mérleg2018'!I13+'1.4.mell._HKK_Mérleg2018'!I13+'1.5._mell._MŐSZ_Mérleg2018'!I13+'1.6._mell._HVGYKCSSZ_Mérleg2018'!I13</f>
        <v>0</v>
      </c>
      <c r="K13" s="13">
        <f>+E13-G13-H13-I13</f>
        <v>0</v>
      </c>
    </row>
    <row r="14" spans="1:11" s="13" customFormat="1">
      <c r="A14" s="86" t="s">
        <v>191</v>
      </c>
      <c r="B14" s="66" t="s">
        <v>94</v>
      </c>
      <c r="C14" s="502">
        <f>+'1.1.mell._ÖNK_Mérleg2018'!C14+'1.2.mell._HKÖH_Mérleg2018'!C14+'1.3.mell._HVÓBKI_Mérleg2018'!C14+'1.4.mell._HKK_Mérleg2018'!C14+'1.5._mell._MŐSZ_Mérleg2018'!C14+'1.6._mell._HVGYKCSSZ_Mérleg2018'!C14</f>
        <v>220632</v>
      </c>
      <c r="D14" s="12">
        <f>+'1.1.mell._ÖNK_Mérleg2018'!D14+'1.2.mell._HKÖH_Mérleg2018'!D14+'1.3.mell._HVÓBKI_Mérleg2018'!D14+'1.4.mell._HKK_Mérleg2018'!D14+'1.5._mell._MŐSZ_Mérleg2018'!D14+'1.6._mell._HVGYKCSSZ_Mérleg2018'!D14</f>
        <v>223149</v>
      </c>
      <c r="E14" s="12">
        <f>+'1.1.mell._ÖNK_Mérleg2018'!E14+'1.2.mell._HKÖH_Mérleg2018'!E14+'1.3.mell._HVÓBKI_Mérleg2018'!E14+'1.4.mell._HKK_Mérleg2018'!E14+'1.5._mell._MŐSZ_Mérleg2018'!E14+'1.6._mell._HVGYKCSSZ_Mérleg2018'!E14</f>
        <v>223149</v>
      </c>
      <c r="F14" s="1402">
        <f t="shared" si="1"/>
        <v>1</v>
      </c>
      <c r="G14" s="19">
        <f>+'1.1.mell._ÖNK_Mérleg2018'!G14+'1.2.mell._HKÖH_Mérleg2018'!G14+'1.3.mell._HVÓBKI_Mérleg2018'!G14+'1.4.mell._HKK_Mérleg2018'!G14+'1.5._mell._MŐSZ_Mérleg2018'!G14+'1.6._mell._HVGYKCSSZ_Mérleg2018'!G14</f>
        <v>223149</v>
      </c>
      <c r="H14" s="12">
        <f>+'1.1.mell._ÖNK_Mérleg2018'!H14+'1.2.mell._HKÖH_Mérleg2018'!H14+'1.3.mell._HVÓBKI_Mérleg2018'!H14+'1.4.mell._HKK_Mérleg2018'!H14+'1.5._mell._MŐSZ_Mérleg2018'!H14+'1.6._mell._HVGYKCSSZ_Mérleg2018'!H14</f>
        <v>0</v>
      </c>
      <c r="I14" s="15">
        <f>+'1.1.mell._ÖNK_Mérleg2018'!I14+'1.2.mell._HKÖH_Mérleg2018'!I14+'1.3.mell._HVÓBKI_Mérleg2018'!I14+'1.4.mell._HKK_Mérleg2018'!I14+'1.5._mell._MŐSZ_Mérleg2018'!I14+'1.6._mell._HVGYKCSSZ_Mérleg2018'!I14</f>
        <v>0</v>
      </c>
      <c r="K14" s="13">
        <f>+E14-G14-H14-I14</f>
        <v>0</v>
      </c>
    </row>
    <row r="15" spans="1:11" s="13" customFormat="1">
      <c r="A15" s="86" t="s">
        <v>192</v>
      </c>
      <c r="B15" s="66" t="s">
        <v>95</v>
      </c>
      <c r="C15" s="502">
        <f>+'1.1.mell._ÖNK_Mérleg2018'!C15+'1.2.mell._HKÖH_Mérleg2018'!C15+'1.3.mell._HVÓBKI_Mérleg2018'!C15+'1.4.mell._HKK_Mérleg2018'!C15+'1.5._mell._MŐSZ_Mérleg2018'!C15+'1.6._mell._HVGYKCSSZ_Mérleg2018'!C15</f>
        <v>244921</v>
      </c>
      <c r="D15" s="12">
        <f>+'1.1.mell._ÖNK_Mérleg2018'!D15+'1.2.mell._HKÖH_Mérleg2018'!D15+'1.3.mell._HVÓBKI_Mérleg2018'!D15+'1.4.mell._HKK_Mérleg2018'!D15+'1.5._mell._MŐSZ_Mérleg2018'!D15+'1.6._mell._HVGYKCSSZ_Mérleg2018'!D15</f>
        <v>254533</v>
      </c>
      <c r="E15" s="12">
        <f>+'1.1.mell._ÖNK_Mérleg2018'!E15+'1.2.mell._HKÖH_Mérleg2018'!E15+'1.3.mell._HVÓBKI_Mérleg2018'!E15+'1.4.mell._HKK_Mérleg2018'!E15+'1.5._mell._MŐSZ_Mérleg2018'!E15+'1.6._mell._HVGYKCSSZ_Mérleg2018'!E15</f>
        <v>254533</v>
      </c>
      <c r="F15" s="1402">
        <f t="shared" si="1"/>
        <v>1</v>
      </c>
      <c r="G15" s="19">
        <f>+'1.1.mell._ÖNK_Mérleg2018'!G15+'1.2.mell._HKÖH_Mérleg2018'!G15+'1.3.mell._HVÓBKI_Mérleg2018'!G15+'1.4.mell._HKK_Mérleg2018'!G15+'1.5._mell._MŐSZ_Mérleg2018'!G15+'1.6._mell._HVGYKCSSZ_Mérleg2018'!G15</f>
        <v>254533</v>
      </c>
      <c r="H15" s="12">
        <f>+'1.1.mell._ÖNK_Mérleg2018'!H15+'1.2.mell._HKÖH_Mérleg2018'!H15+'1.3.mell._HVÓBKI_Mérleg2018'!H15+'1.4.mell._HKK_Mérleg2018'!H15+'1.5._mell._MŐSZ_Mérleg2018'!H15+'1.6._mell._HVGYKCSSZ_Mérleg2018'!H15</f>
        <v>0</v>
      </c>
      <c r="I15" s="15">
        <f>+'1.1.mell._ÖNK_Mérleg2018'!I15+'1.2.mell._HKÖH_Mérleg2018'!I15+'1.3.mell._HVÓBKI_Mérleg2018'!I15+'1.4.mell._HKK_Mérleg2018'!I15+'1.5._mell._MŐSZ_Mérleg2018'!I15+'1.6._mell._HVGYKCSSZ_Mérleg2018'!I15</f>
        <v>0</v>
      </c>
      <c r="K15" s="13">
        <f>+E15-G15-H15-I15</f>
        <v>0</v>
      </c>
    </row>
    <row r="16" spans="1:11" s="13" customFormat="1">
      <c r="A16" s="86" t="s">
        <v>193</v>
      </c>
      <c r="B16" s="66" t="s">
        <v>96</v>
      </c>
      <c r="C16" s="502">
        <f>+'1.1.mell._ÖNK_Mérleg2018'!C16+'1.2.mell._HKÖH_Mérleg2018'!C16+'1.3.mell._HVÓBKI_Mérleg2018'!C16+'1.4.mell._HKK_Mérleg2018'!C16+'1.5._mell._MŐSZ_Mérleg2018'!C16+'1.6._mell._HVGYKCSSZ_Mérleg2018'!C16</f>
        <v>19805</v>
      </c>
      <c r="D16" s="12">
        <f>+'1.1.mell._ÖNK_Mérleg2018'!D16+'1.2.mell._HKÖH_Mérleg2018'!D16+'1.3.mell._HVÓBKI_Mérleg2018'!D16+'1.4.mell._HKK_Mérleg2018'!D16+'1.5._mell._MŐSZ_Mérleg2018'!D16+'1.6._mell._HVGYKCSSZ_Mérleg2018'!D16</f>
        <v>21839</v>
      </c>
      <c r="E16" s="12">
        <f>+'1.1.mell._ÖNK_Mérleg2018'!E16+'1.2.mell._HKÖH_Mérleg2018'!E16+'1.3.mell._HVÓBKI_Mérleg2018'!E16+'1.4.mell._HKK_Mérleg2018'!E16+'1.5._mell._MŐSZ_Mérleg2018'!E16+'1.6._mell._HVGYKCSSZ_Mérleg2018'!E16</f>
        <v>21839</v>
      </c>
      <c r="F16" s="1402">
        <f t="shared" si="1"/>
        <v>1</v>
      </c>
      <c r="G16" s="19">
        <f>+'1.1.mell._ÖNK_Mérleg2018'!G16+'1.2.mell._HKÖH_Mérleg2018'!G16+'1.3.mell._HVÓBKI_Mérleg2018'!G16+'1.4.mell._HKK_Mérleg2018'!G16+'1.5._mell._MŐSZ_Mérleg2018'!G16+'1.6._mell._HVGYKCSSZ_Mérleg2018'!G16</f>
        <v>21839</v>
      </c>
      <c r="H16" s="12">
        <f>+'1.1.mell._ÖNK_Mérleg2018'!H16+'1.2.mell._HKÖH_Mérleg2018'!H16+'1.3.mell._HVÓBKI_Mérleg2018'!H16+'1.4.mell._HKK_Mérleg2018'!H16+'1.5._mell._MŐSZ_Mérleg2018'!H16+'1.6._mell._HVGYKCSSZ_Mérleg2018'!H16</f>
        <v>0</v>
      </c>
      <c r="I16" s="15">
        <f>+'1.1.mell._ÖNK_Mérleg2018'!I16+'1.2.mell._HKÖH_Mérleg2018'!I16+'1.3.mell._HVÓBKI_Mérleg2018'!I16+'1.4.mell._HKK_Mérleg2018'!I16+'1.5._mell._MŐSZ_Mérleg2018'!I16+'1.6._mell._HVGYKCSSZ_Mérleg2018'!I16</f>
        <v>0</v>
      </c>
      <c r="K16" s="13">
        <f>+E16-G16-H16-I16</f>
        <v>0</v>
      </c>
    </row>
    <row r="17" spans="1:11" s="117" customFormat="1">
      <c r="A17" s="86" t="s">
        <v>194</v>
      </c>
      <c r="B17" s="66" t="s">
        <v>959</v>
      </c>
      <c r="C17" s="876">
        <f>+'1.1.mell._ÖNK_Mérleg2018'!C17+'1.2.mell._HKÖH_Mérleg2018'!C17+'1.3.mell._HVÓBKI_Mérleg2018'!C17+'1.4.mell._HKK_Mérleg2018'!C17+'1.5._mell._MŐSZ_Mérleg2018'!C17+'1.6._mell._HVGYKCSSZ_Mérleg2018'!C17</f>
        <v>119936</v>
      </c>
      <c r="D17" s="744">
        <f>+'1.1.mell._ÖNK_Mérleg2018'!D17+'1.2.mell._HKÖH_Mérleg2018'!D17+'1.3.mell._HVÓBKI_Mérleg2018'!D17+'1.4.mell._HKK_Mérleg2018'!D17+'1.5._mell._MŐSZ_Mérleg2018'!D17+'1.6._mell._HVGYKCSSZ_Mérleg2018'!D17</f>
        <v>58352</v>
      </c>
      <c r="E17" s="744">
        <f>+'1.1.mell._ÖNK_Mérleg2018'!E17+'1.2.mell._HKÖH_Mérleg2018'!E17+'1.3.mell._HVÓBKI_Mérleg2018'!E17+'1.4.mell._HKK_Mérleg2018'!E17+'1.5._mell._MŐSZ_Mérleg2018'!E17+'1.6._mell._HVGYKCSSZ_Mérleg2018'!E17</f>
        <v>58352</v>
      </c>
      <c r="F17" s="1403">
        <f t="shared" si="1"/>
        <v>1</v>
      </c>
      <c r="G17" s="743">
        <f>+'1.1.mell._ÖNK_Mérleg2018'!G17+'1.2.mell._HKÖH_Mérleg2018'!G17+'1.3.mell._HVÓBKI_Mérleg2018'!G17+'1.4.mell._HKK_Mérleg2018'!G17+'1.5._mell._MŐSZ_Mérleg2018'!G17+'1.6._mell._HVGYKCSSZ_Mérleg2018'!G17</f>
        <v>58352</v>
      </c>
      <c r="H17" s="744">
        <f>+'1.1.mell._ÖNK_Mérleg2018'!H17+'1.2.mell._HKÖH_Mérleg2018'!H17+'1.3.mell._HVÓBKI_Mérleg2018'!H17+'1.4.mell._HKK_Mérleg2018'!H17+'1.5._mell._MŐSZ_Mérleg2018'!H17+'1.6._mell._HVGYKCSSZ_Mérleg2018'!H17</f>
        <v>0</v>
      </c>
      <c r="I17" s="745">
        <f>+'1.1.mell._ÖNK_Mérleg2018'!I17+'1.2.mell._HKÖH_Mérleg2018'!I17+'1.3.mell._HVÓBKI_Mérleg2018'!I17+'1.4.mell._HKK_Mérleg2018'!I17+'1.5._mell._MŐSZ_Mérleg2018'!I17+'1.6._mell._HVGYKCSSZ_Mérleg2018'!I17</f>
        <v>0</v>
      </c>
      <c r="J17" s="712">
        <f>+E17/$E$102</f>
        <v>1.0191905162464054E-2</v>
      </c>
      <c r="K17" s="13">
        <f>+E17-G17-H17-I17</f>
        <v>0</v>
      </c>
    </row>
    <row r="18" spans="1:11" s="117" customFormat="1">
      <c r="A18" s="86" t="s">
        <v>195</v>
      </c>
      <c r="B18" s="66" t="s">
        <v>960</v>
      </c>
      <c r="C18" s="876">
        <f>+'1.1.mell._ÖNK_Mérleg2018'!C18+'1.2.mell._HKÖH_Mérleg2018'!C18+'1.3.mell._HVÓBKI_Mérleg2018'!C18+'1.4.mell._HKK_Mérleg2018'!C18+'1.5._mell._MŐSZ_Mérleg2018'!C18+'1.6._mell._HVGYKCSSZ_Mérleg2018'!C18</f>
        <v>0</v>
      </c>
      <c r="D18" s="744">
        <f>+'1.1.mell._ÖNK_Mérleg2018'!D18+'1.2.mell._HKÖH_Mérleg2018'!D18+'1.3.mell._HVÓBKI_Mérleg2018'!D18+'1.4.mell._HKK_Mérleg2018'!D18+'1.5._mell._MŐSZ_Mérleg2018'!D18+'1.6._mell._HVGYKCSSZ_Mérleg2018'!D18</f>
        <v>0</v>
      </c>
      <c r="E18" s="744">
        <f>+'1.1.mell._ÖNK_Mérleg2018'!E18+'1.2.mell._HKÖH_Mérleg2018'!E18+'1.3.mell._HVÓBKI_Mérleg2018'!E18+'1.4.mell._HKK_Mérleg2018'!E18+'1.5._mell._MŐSZ_Mérleg2018'!E18+'1.6._mell._HVGYKCSSZ_Mérleg2018'!E18</f>
        <v>0</v>
      </c>
      <c r="F18" s="1403" t="str">
        <f t="shared" si="1"/>
        <v>-</v>
      </c>
      <c r="G18" s="743">
        <f>+'1.1.mell._ÖNK_Mérleg2018'!G18+'1.2.mell._HKÖH_Mérleg2018'!G18+'1.3.mell._HVÓBKI_Mérleg2018'!G18+'1.4.mell._HKK_Mérleg2018'!G18+'1.5._mell._MŐSZ_Mérleg2018'!G18+'1.6._mell._HVGYKCSSZ_Mérleg2018'!G18</f>
        <v>0</v>
      </c>
      <c r="H18" s="744">
        <f>+'1.1.mell._ÖNK_Mérleg2018'!H18+'1.2.mell._HKÖH_Mérleg2018'!H18+'1.3.mell._HVÓBKI_Mérleg2018'!H18+'1.4.mell._HKK_Mérleg2018'!H18+'1.5._mell._MŐSZ_Mérleg2018'!H18+'1.6._mell._HVGYKCSSZ_Mérleg2018'!H18</f>
        <v>0</v>
      </c>
      <c r="I18" s="745">
        <f>+'1.1.mell._ÖNK_Mérleg2018'!I18+'1.2.mell._HKÖH_Mérleg2018'!I18+'1.3.mell._HVÓBKI_Mérleg2018'!I18+'1.4.mell._HKK_Mérleg2018'!I18+'1.5._mell._MŐSZ_Mérleg2018'!I18+'1.6._mell._HVGYKCSSZ_Mérleg2018'!I18</f>
        <v>0</v>
      </c>
      <c r="K18" s="13">
        <f>+E18-G18-H18-I18</f>
        <v>0</v>
      </c>
    </row>
    <row r="19" spans="1:11">
      <c r="A19" s="85" t="s">
        <v>55</v>
      </c>
      <c r="B19" s="67" t="s">
        <v>97</v>
      </c>
      <c r="C19" s="501">
        <f>+'1.1.mell._ÖNK_Mérleg2018'!C19+'1.2.mell._HKÖH_Mérleg2018'!C19+'1.3.mell._HVÓBKI_Mérleg2018'!C19+'1.4.mell._HKK_Mérleg2018'!C19+'1.5._mell._MŐSZ_Mérleg2018'!C19+'1.6._mell._HVGYKCSSZ_Mérleg2018'!C19</f>
        <v>3488</v>
      </c>
      <c r="D19" s="11">
        <f>+'1.1.mell._ÖNK_Mérleg2018'!D19+'1.2.mell._HKÖH_Mérleg2018'!D19+'1.3.mell._HVÓBKI_Mérleg2018'!D19+'1.4.mell._HKK_Mérleg2018'!D19+'1.5._mell._MŐSZ_Mérleg2018'!D19+'1.6._mell._HVGYKCSSZ_Mérleg2018'!D19</f>
        <v>1543</v>
      </c>
      <c r="E19" s="11">
        <f>+'1.1.mell._ÖNK_Mérleg2018'!E19+'1.2.mell._HKÖH_Mérleg2018'!E19+'1.3.mell._HVÓBKI_Mérleg2018'!E19+'1.4.mell._HKK_Mérleg2018'!E19+'1.5._mell._MŐSZ_Mérleg2018'!E19+'1.6._mell._HVGYKCSSZ_Mérleg2018'!E19</f>
        <v>1543</v>
      </c>
      <c r="F19" s="1402">
        <f t="shared" si="1"/>
        <v>1</v>
      </c>
      <c r="G19" s="20">
        <f>+'1.1.mell._ÖNK_Mérleg2018'!G19+'1.2.mell._HKÖH_Mérleg2018'!G19+'1.3.mell._HVÓBKI_Mérleg2018'!G19+'1.4.mell._HKK_Mérleg2018'!G19+'1.5._mell._MŐSZ_Mérleg2018'!G19+'1.6._mell._HVGYKCSSZ_Mérleg2018'!G19</f>
        <v>1543</v>
      </c>
      <c r="H19" s="11">
        <f>+'1.1.mell._ÖNK_Mérleg2018'!H19+'1.2.mell._HKÖH_Mérleg2018'!H19+'1.3.mell._HVÓBKI_Mérleg2018'!H19+'1.4.mell._HKK_Mérleg2018'!H19+'1.5._mell._MŐSZ_Mérleg2018'!H19+'1.6._mell._HVGYKCSSZ_Mérleg2018'!H19</f>
        <v>0</v>
      </c>
      <c r="I19" s="16">
        <f>+'1.1.mell._ÖNK_Mérleg2018'!I19+'1.2.mell._HKÖH_Mérleg2018'!I19+'1.3.mell._HVÓBKI_Mérleg2018'!I19+'1.4.mell._HKK_Mérleg2018'!I19+'1.5._mell._MŐSZ_Mérleg2018'!I19+'1.6._mell._HVGYKCSSZ_Mérleg2018'!I19</f>
        <v>0</v>
      </c>
      <c r="K19" s="4">
        <f>+E19-G19-H19-I19</f>
        <v>0</v>
      </c>
    </row>
    <row r="20" spans="1:11">
      <c r="A20" s="85" t="s">
        <v>83</v>
      </c>
      <c r="B20" s="67" t="s">
        <v>98</v>
      </c>
      <c r="C20" s="501">
        <f>+'1.1.mell._ÖNK_Mérleg2018'!C20+'1.2.mell._HKÖH_Mérleg2018'!C20+'1.3.mell._HVÓBKI_Mérleg2018'!C20+'1.4.mell._HKK_Mérleg2018'!C20+'1.5._mell._MŐSZ_Mérleg2018'!C20+'1.6._mell._HVGYKCSSZ_Mérleg2018'!C20</f>
        <v>0</v>
      </c>
      <c r="D20" s="11">
        <f>+'1.1.mell._ÖNK_Mérleg2018'!D20+'1.2.mell._HKÖH_Mérleg2018'!D20+'1.3.mell._HVÓBKI_Mérleg2018'!D20+'1.4.mell._HKK_Mérleg2018'!D20+'1.5._mell._MŐSZ_Mérleg2018'!D20+'1.6._mell._HVGYKCSSZ_Mérleg2018'!D20</f>
        <v>0</v>
      </c>
      <c r="E20" s="11">
        <f>+'1.1.mell._ÖNK_Mérleg2018'!E20+'1.2.mell._HKÖH_Mérleg2018'!E20+'1.3.mell._HVÓBKI_Mérleg2018'!E20+'1.4.mell._HKK_Mérleg2018'!E20+'1.5._mell._MŐSZ_Mérleg2018'!E20+'1.6._mell._HVGYKCSSZ_Mérleg2018'!E20</f>
        <v>0</v>
      </c>
      <c r="F20" s="1402" t="str">
        <f t="shared" si="1"/>
        <v>-</v>
      </c>
      <c r="G20" s="20">
        <f>+'1.1.mell._ÖNK_Mérleg2018'!G20+'1.2.mell._HKÖH_Mérleg2018'!G20+'1.3.mell._HVÓBKI_Mérleg2018'!G20+'1.4.mell._HKK_Mérleg2018'!G20+'1.5._mell._MŐSZ_Mérleg2018'!G20+'1.6._mell._HVGYKCSSZ_Mérleg2018'!G20</f>
        <v>0</v>
      </c>
      <c r="H20" s="11">
        <f>+'1.1.mell._ÖNK_Mérleg2018'!H20+'1.2.mell._HKÖH_Mérleg2018'!H20+'1.3.mell._HVÓBKI_Mérleg2018'!H20+'1.4.mell._HKK_Mérleg2018'!H20+'1.5._mell._MŐSZ_Mérleg2018'!H20+'1.6._mell._HVGYKCSSZ_Mérleg2018'!H20</f>
        <v>0</v>
      </c>
      <c r="I20" s="16">
        <f>+'1.1.mell._ÖNK_Mérleg2018'!I20+'1.2.mell._HKÖH_Mérleg2018'!I20+'1.3.mell._HVÓBKI_Mérleg2018'!I20+'1.4.mell._HKK_Mérleg2018'!I20+'1.5._mell._MŐSZ_Mérleg2018'!I20+'1.6._mell._HVGYKCSSZ_Mérleg2018'!I20</f>
        <v>0</v>
      </c>
      <c r="K20" s="4">
        <f>+E20-G20-H20-I20</f>
        <v>0</v>
      </c>
    </row>
    <row r="21" spans="1:11">
      <c r="A21" s="85" t="s">
        <v>84</v>
      </c>
      <c r="B21" s="67" t="s">
        <v>99</v>
      </c>
      <c r="C21" s="501">
        <f>+'1.1.mell._ÖNK_Mérleg2018'!C21+'1.2.mell._HKÖH_Mérleg2018'!C21+'1.3.mell._HVÓBKI_Mérleg2018'!C21+'1.4.mell._HKK_Mérleg2018'!C21+'1.5._mell._MŐSZ_Mérleg2018'!C21+'1.6._mell._HVGYKCSSZ_Mérleg2018'!C21</f>
        <v>0</v>
      </c>
      <c r="D21" s="11">
        <f>+'1.1.mell._ÖNK_Mérleg2018'!D21+'1.2.mell._HKÖH_Mérleg2018'!D21+'1.3.mell._HVÓBKI_Mérleg2018'!D21+'1.4.mell._HKK_Mérleg2018'!D21+'1.5._mell._MŐSZ_Mérleg2018'!D21+'1.6._mell._HVGYKCSSZ_Mérleg2018'!D21</f>
        <v>0</v>
      </c>
      <c r="E21" s="11">
        <f>+'1.1.mell._ÖNK_Mérleg2018'!E21+'1.2.mell._HKÖH_Mérleg2018'!E21+'1.3.mell._HVÓBKI_Mérleg2018'!E21+'1.4.mell._HKK_Mérleg2018'!E21+'1.5._mell._MŐSZ_Mérleg2018'!E21+'1.6._mell._HVGYKCSSZ_Mérleg2018'!E21</f>
        <v>0</v>
      </c>
      <c r="F21" s="1402" t="str">
        <f t="shared" si="1"/>
        <v>-</v>
      </c>
      <c r="G21" s="20">
        <f>+'1.1.mell._ÖNK_Mérleg2018'!G21+'1.2.mell._HKÖH_Mérleg2018'!G21+'1.3.mell._HVÓBKI_Mérleg2018'!G21+'1.4.mell._HKK_Mérleg2018'!G21+'1.5._mell._MŐSZ_Mérleg2018'!G21+'1.6._mell._HVGYKCSSZ_Mérleg2018'!G21</f>
        <v>0</v>
      </c>
      <c r="H21" s="11">
        <f>+'1.1.mell._ÖNK_Mérleg2018'!H21+'1.2.mell._HKÖH_Mérleg2018'!H21+'1.3.mell._HVÓBKI_Mérleg2018'!H21+'1.4.mell._HKK_Mérleg2018'!H21+'1.5._mell._MŐSZ_Mérleg2018'!H21+'1.6._mell._HVGYKCSSZ_Mérleg2018'!H21</f>
        <v>0</v>
      </c>
      <c r="I21" s="16">
        <f>+'1.1.mell._ÖNK_Mérleg2018'!I21+'1.2.mell._HKÖH_Mérleg2018'!I21+'1.3.mell._HVÓBKI_Mérleg2018'!I21+'1.4.mell._HKK_Mérleg2018'!I21+'1.5._mell._MŐSZ_Mérleg2018'!I21+'1.6._mell._HVGYKCSSZ_Mérleg2018'!I21</f>
        <v>0</v>
      </c>
      <c r="K21" s="4">
        <f>+E21-G21-H21-I21</f>
        <v>0</v>
      </c>
    </row>
    <row r="22" spans="1:11">
      <c r="A22" s="85" t="s">
        <v>85</v>
      </c>
      <c r="B22" s="67" t="s">
        <v>100</v>
      </c>
      <c r="C22" s="501">
        <f>+'1.1.mell._ÖNK_Mérleg2018'!C22+'1.2.mell._HKÖH_Mérleg2018'!C22+'1.3.mell._HVÓBKI_Mérleg2018'!C22+'1.4.mell._HKK_Mérleg2018'!C22+'1.5._mell._MŐSZ_Mérleg2018'!C22+'1.6._mell._HVGYKCSSZ_Mérleg2018'!C22</f>
        <v>0</v>
      </c>
      <c r="D22" s="11">
        <f>+'1.1.mell._ÖNK_Mérleg2018'!D22+'1.2.mell._HKÖH_Mérleg2018'!D22+'1.3.mell._HVÓBKI_Mérleg2018'!D22+'1.4.mell._HKK_Mérleg2018'!D22+'1.5._mell._MŐSZ_Mérleg2018'!D22+'1.6._mell._HVGYKCSSZ_Mérleg2018'!D22</f>
        <v>0</v>
      </c>
      <c r="E22" s="11">
        <f>+'1.1.mell._ÖNK_Mérleg2018'!E22+'1.2.mell._HKÖH_Mérleg2018'!E22+'1.3.mell._HVÓBKI_Mérleg2018'!E22+'1.4.mell._HKK_Mérleg2018'!E22+'1.5._mell._MŐSZ_Mérleg2018'!E22+'1.6._mell._HVGYKCSSZ_Mérleg2018'!E22</f>
        <v>0</v>
      </c>
      <c r="F22" s="1402" t="str">
        <f t="shared" si="1"/>
        <v>-</v>
      </c>
      <c r="G22" s="20">
        <f>+'1.1.mell._ÖNK_Mérleg2018'!G22+'1.2.mell._HKÖH_Mérleg2018'!G22+'1.3.mell._HVÓBKI_Mérleg2018'!G22+'1.4.mell._HKK_Mérleg2018'!G22+'1.5._mell._MŐSZ_Mérleg2018'!G22+'1.6._mell._HVGYKCSSZ_Mérleg2018'!G22</f>
        <v>0</v>
      </c>
      <c r="H22" s="11">
        <f>+'1.1.mell._ÖNK_Mérleg2018'!H22+'1.2.mell._HKÖH_Mérleg2018'!H22+'1.3.mell._HVÓBKI_Mérleg2018'!H22+'1.4.mell._HKK_Mérleg2018'!H22+'1.5._mell._MŐSZ_Mérleg2018'!H22+'1.6._mell._HVGYKCSSZ_Mérleg2018'!H22</f>
        <v>0</v>
      </c>
      <c r="I22" s="16">
        <f>+'1.1.mell._ÖNK_Mérleg2018'!I22+'1.2.mell._HKÖH_Mérleg2018'!I22+'1.3.mell._HVÓBKI_Mérleg2018'!I22+'1.4.mell._HKK_Mérleg2018'!I22+'1.5._mell._MŐSZ_Mérleg2018'!I22+'1.6._mell._HVGYKCSSZ_Mérleg2018'!I22</f>
        <v>0</v>
      </c>
      <c r="K22" s="4">
        <f>+E22-G22-H22-I22</f>
        <v>0</v>
      </c>
    </row>
    <row r="23" spans="1:11">
      <c r="A23" s="78" t="s">
        <v>86</v>
      </c>
      <c r="B23" s="68" t="s">
        <v>101</v>
      </c>
      <c r="C23" s="500">
        <f>+'1.1.mell._ÖNK_Mérleg2018'!C23+'1.2.mell._HKÖH_Mérleg2018'!C23+'1.3.mell._HVÓBKI_Mérleg2018'!C23+'1.4.mell._HKK_Mérleg2018'!C23+'1.5._mell._MŐSZ_Mérleg2018'!C23+'1.6._mell._HVGYKCSSZ_Mérleg2018'!C23</f>
        <v>66732</v>
      </c>
      <c r="D23" s="22">
        <f>+'1.1.mell._ÖNK_Mérleg2018'!D23+'1.2.mell._HKÖH_Mérleg2018'!D23+'1.3.mell._HVÓBKI_Mérleg2018'!D23+'1.4.mell._HKK_Mérleg2018'!D23+'1.5._mell._MŐSZ_Mérleg2018'!D23+'1.6._mell._HVGYKCSSZ_Mérleg2018'!D23</f>
        <v>800991</v>
      </c>
      <c r="E23" s="22">
        <f>+'1.1.mell._ÖNK_Mérleg2018'!E23+'1.2.mell._HKÖH_Mérleg2018'!E23+'1.3.mell._HVÓBKI_Mérleg2018'!E23+'1.4.mell._HKK_Mérleg2018'!E23+'1.5._mell._MŐSZ_Mérleg2018'!E23+'1.6._mell._HVGYKCSSZ_Mérleg2018'!E23</f>
        <v>800991</v>
      </c>
      <c r="F23" s="1404">
        <f t="shared" si="1"/>
        <v>1</v>
      </c>
      <c r="G23" s="21">
        <f>+'1.1.mell._ÖNK_Mérleg2018'!G23+'1.2.mell._HKÖH_Mérleg2018'!G23+'1.3.mell._HVÓBKI_Mérleg2018'!G23+'1.4.mell._HKK_Mérleg2018'!G23+'1.5._mell._MŐSZ_Mérleg2018'!G23+'1.6._mell._HVGYKCSSZ_Mérleg2018'!G23</f>
        <v>798164</v>
      </c>
      <c r="H23" s="22">
        <f>+'1.1.mell._ÖNK_Mérleg2018'!H23+'1.2.mell._HKÖH_Mérleg2018'!H23+'1.3.mell._HVÓBKI_Mérleg2018'!H23+'1.4.mell._HKK_Mérleg2018'!H23+'1.5._mell._MŐSZ_Mérleg2018'!H23+'1.6._mell._HVGYKCSSZ_Mérleg2018'!H23</f>
        <v>0</v>
      </c>
      <c r="I23" s="23">
        <f>+'1.1.mell._ÖNK_Mérleg2018'!I23+'1.2.mell._HKÖH_Mérleg2018'!I23+'1.3.mell._HVÓBKI_Mérleg2018'!I23+'1.4.mell._HKK_Mérleg2018'!I23+'1.5._mell._MŐSZ_Mérleg2018'!I23+'1.6._mell._HVGYKCSSZ_Mérleg2018'!I23</f>
        <v>2827</v>
      </c>
      <c r="K23" s="4">
        <f>+E23-G23-H23-I23</f>
        <v>0</v>
      </c>
    </row>
    <row r="24" spans="1:11" s="13" customFormat="1" ht="12.75" thickBot="1">
      <c r="A24" s="89" t="s">
        <v>332</v>
      </c>
      <c r="B24" s="818" t="s">
        <v>333</v>
      </c>
      <c r="C24" s="1050">
        <f>+'1.1.mell._ÖNK_Mérleg2018'!C24+'1.2.mell._HKÖH_Mérleg2018'!C24+'1.3.mell._HVÓBKI_Mérleg2018'!C24+'1.4.mell._HKK_Mérleg2018'!C24+'1.5._mell._MŐSZ_Mérleg2018'!C24+'1.6._mell._HVGYKCSSZ_Mérleg2018'!C24</f>
        <v>0</v>
      </c>
      <c r="D24" s="43">
        <f>+'1.1.mell._ÖNK_Mérleg2018'!D24+'1.2.mell._HKÖH_Mérleg2018'!D24+'1.3.mell._HVÓBKI_Mérleg2018'!D24+'1.4.mell._HKK_Mérleg2018'!D24+'1.5._mell._MŐSZ_Mérleg2018'!D24+'1.6._mell._HVGYKCSSZ_Mérleg2018'!D24</f>
        <v>564550</v>
      </c>
      <c r="E24" s="43">
        <f>+'1.1.mell._ÖNK_Mérleg2018'!E24+'1.2.mell._HKÖH_Mérleg2018'!E24+'1.3.mell._HVÓBKI_Mérleg2018'!E24+'1.4.mell._HKK_Mérleg2018'!E24+'1.5._mell._MŐSZ_Mérleg2018'!E24+'1.6._mell._HVGYKCSSZ_Mérleg2018'!E24</f>
        <v>564550</v>
      </c>
      <c r="F24" s="1404">
        <f t="shared" si="1"/>
        <v>1</v>
      </c>
      <c r="G24" s="45">
        <f>+'1.1.mell._ÖNK_Mérleg2018'!G24+'1.2.mell._HKÖH_Mérleg2018'!G24+'1.3.mell._HVÓBKI_Mérleg2018'!G24+'1.4.mell._HKK_Mérleg2018'!G24+'1.5._mell._MŐSZ_Mérleg2018'!G24+'1.6._mell._HVGYKCSSZ_Mérleg2018'!G24</f>
        <v>564550</v>
      </c>
      <c r="H24" s="43">
        <f>+'1.1.mell._ÖNK_Mérleg2018'!H24+'1.2.mell._HKÖH_Mérleg2018'!H24+'1.3.mell._HVÓBKI_Mérleg2018'!H24+'1.4.mell._HKK_Mérleg2018'!H24+'1.5._mell._MŐSZ_Mérleg2018'!H24+'1.6._mell._HVGYKCSSZ_Mérleg2018'!H24</f>
        <v>0</v>
      </c>
      <c r="I24" s="44">
        <f>+'1.1.mell._ÖNK_Mérleg2018'!I24+'1.2.mell._HKÖH_Mérleg2018'!I24+'1.3.mell._HVÓBKI_Mérleg2018'!I24+'1.4.mell._HKK_Mérleg2018'!I24+'1.5._mell._MŐSZ_Mérleg2018'!I24+'1.6._mell._HVGYKCSSZ_Mérleg2018'!I24</f>
        <v>0</v>
      </c>
      <c r="K24" s="13">
        <f>+E24-G24-H24-I24</f>
        <v>0</v>
      </c>
    </row>
    <row r="25" spans="1:11" s="3" customFormat="1" ht="12.75" customHeight="1" thickBot="1">
      <c r="A25" s="83" t="s">
        <v>6</v>
      </c>
      <c r="B25" s="64" t="s">
        <v>835</v>
      </c>
      <c r="C25" s="1049">
        <f t="shared" ref="C25:F25" si="4">+C26+C27+C28+C29+C30+C31</f>
        <v>328710</v>
      </c>
      <c r="D25" s="28">
        <f t="shared" si="4"/>
        <v>488335</v>
      </c>
      <c r="E25" s="28">
        <f t="shared" si="4"/>
        <v>356668</v>
      </c>
      <c r="F25" s="1400">
        <f t="shared" si="1"/>
        <v>0.73037566424687972</v>
      </c>
      <c r="G25" s="27">
        <f>+G26+G27+G28+G29+G30+G31</f>
        <v>353603</v>
      </c>
      <c r="H25" s="28">
        <f>+H26+H27+H28+H29+H30+H31</f>
        <v>3065</v>
      </c>
      <c r="I25" s="29">
        <f>+I26+I27+I28+I29+I30+I31</f>
        <v>0</v>
      </c>
      <c r="J25" s="712">
        <f>+E25/$E$102</f>
        <v>6.2296518208214448E-2</v>
      </c>
      <c r="K25" s="3">
        <f>+E25-G25-H25-I25</f>
        <v>0</v>
      </c>
    </row>
    <row r="26" spans="1:11" ht="12.75" customHeight="1">
      <c r="A26" s="84" t="s">
        <v>58</v>
      </c>
      <c r="B26" s="65" t="s">
        <v>102</v>
      </c>
      <c r="C26" s="1051">
        <f>+'1.1.mell._ÖNK_Mérleg2018'!C26+'1.2.mell._HKÖH_Mérleg2018'!C26+'1.3.mell._HVÓBKI_Mérleg2018'!C26+'1.4.mell._HKK_Mérleg2018'!C26+'1.5._mell._MŐSZ_Mérleg2018'!C26+'1.6._mell._HVGYKCSSZ_Mérleg2018'!C26</f>
        <v>60</v>
      </c>
      <c r="D26" s="10">
        <f>+'1.1.mell._ÖNK_Mérleg2018'!D26+'1.2.mell._HKÖH_Mérleg2018'!D26+'1.3.mell._HVÓBKI_Mérleg2018'!D26+'1.4.mell._HKK_Mérleg2018'!D26+'1.5._mell._MŐSZ_Mérleg2018'!D26+'1.6._mell._HVGYKCSSZ_Mérleg2018'!D26</f>
        <v>62</v>
      </c>
      <c r="E26" s="10">
        <f>+'1.1.mell._ÖNK_Mérleg2018'!E26+'1.2.mell._HKÖH_Mérleg2018'!E26+'1.3.mell._HVÓBKI_Mérleg2018'!E26+'1.4.mell._HKK_Mérleg2018'!E26+'1.5._mell._MŐSZ_Mérleg2018'!E26+'1.6._mell._HVGYKCSSZ_Mérleg2018'!E26</f>
        <v>62</v>
      </c>
      <c r="F26" s="1401">
        <f t="shared" si="1"/>
        <v>1</v>
      </c>
      <c r="G26" s="34">
        <f>+'1.1.mell._ÖNK_Mérleg2018'!G26+'1.2.mell._HKÖH_Mérleg2018'!G26+'1.3.mell._HVÓBKI_Mérleg2018'!G26+'1.4.mell._HKK_Mérleg2018'!G26+'1.5._mell._MŐSZ_Mérleg2018'!G26+'1.6._mell._HVGYKCSSZ_Mérleg2018'!G26</f>
        <v>62</v>
      </c>
      <c r="H26" s="10">
        <f>+'1.1.mell._ÖNK_Mérleg2018'!H26+'1.2.mell._HKÖH_Mérleg2018'!H26+'1.3.mell._HVÓBKI_Mérleg2018'!H26+'1.4.mell._HKK_Mérleg2018'!H26+'1.5._mell._MŐSZ_Mérleg2018'!H26+'1.6._mell._HVGYKCSSZ_Mérleg2018'!H26</f>
        <v>0</v>
      </c>
      <c r="I26" s="35">
        <f>+'1.1.mell._ÖNK_Mérleg2018'!I26+'1.2.mell._HKÖH_Mérleg2018'!I26+'1.3.mell._HVÓBKI_Mérleg2018'!I26+'1.4.mell._HKK_Mérleg2018'!I26+'1.5._mell._MŐSZ_Mérleg2018'!I26+'1.6._mell._HVGYKCSSZ_Mérleg2018'!I26</f>
        <v>0</v>
      </c>
      <c r="K26" s="4">
        <f>+E26-G26-H26-I26</f>
        <v>0</v>
      </c>
    </row>
    <row r="27" spans="1:11" ht="12.75" customHeight="1">
      <c r="A27" s="85" t="s">
        <v>59</v>
      </c>
      <c r="B27" s="67" t="s">
        <v>103</v>
      </c>
      <c r="C27" s="501">
        <f>+'1.1.mell._ÖNK_Mérleg2018'!C27+'1.2.mell._HKÖH_Mérleg2018'!C27+'1.3.mell._HVÓBKI_Mérleg2018'!C27+'1.4.mell._HKK_Mérleg2018'!C27+'1.5._mell._MŐSZ_Mérleg2018'!C27+'1.6._mell._HVGYKCSSZ_Mérleg2018'!C27</f>
        <v>0</v>
      </c>
      <c r="D27" s="11">
        <f>+'1.1.mell._ÖNK_Mérleg2018'!D27+'1.2.mell._HKÖH_Mérleg2018'!D27+'1.3.mell._HVÓBKI_Mérleg2018'!D27+'1.4.mell._HKK_Mérleg2018'!D27+'1.5._mell._MŐSZ_Mérleg2018'!D27+'1.6._mell._HVGYKCSSZ_Mérleg2018'!D27</f>
        <v>0</v>
      </c>
      <c r="E27" s="11">
        <f>+'1.1.mell._ÖNK_Mérleg2018'!E27+'1.2.mell._HKÖH_Mérleg2018'!E27+'1.3.mell._HVÓBKI_Mérleg2018'!E27+'1.4.mell._HKK_Mérleg2018'!E27+'1.5._mell._MŐSZ_Mérleg2018'!E27+'1.6._mell._HVGYKCSSZ_Mérleg2018'!E27</f>
        <v>0</v>
      </c>
      <c r="F27" s="1402" t="str">
        <f t="shared" si="1"/>
        <v>-</v>
      </c>
      <c r="G27" s="20">
        <f>+'1.1.mell._ÖNK_Mérleg2018'!G27+'1.2.mell._HKÖH_Mérleg2018'!G27+'1.3.mell._HVÓBKI_Mérleg2018'!G27+'1.4.mell._HKK_Mérleg2018'!G27+'1.5._mell._MŐSZ_Mérleg2018'!G27+'1.6._mell._HVGYKCSSZ_Mérleg2018'!G27</f>
        <v>0</v>
      </c>
      <c r="H27" s="11">
        <f>+'1.1.mell._ÖNK_Mérleg2018'!H27+'1.2.mell._HKÖH_Mérleg2018'!H27+'1.3.mell._HVÓBKI_Mérleg2018'!H27+'1.4.mell._HKK_Mérleg2018'!H27+'1.5._mell._MŐSZ_Mérleg2018'!H27+'1.6._mell._HVGYKCSSZ_Mérleg2018'!H27</f>
        <v>0</v>
      </c>
      <c r="I27" s="16">
        <f>+'1.1.mell._ÖNK_Mérleg2018'!I27+'1.2.mell._HKÖH_Mérleg2018'!I27+'1.3.mell._HVÓBKI_Mérleg2018'!I27+'1.4.mell._HKK_Mérleg2018'!I27+'1.5._mell._MŐSZ_Mérleg2018'!I27+'1.6._mell._HVGYKCSSZ_Mérleg2018'!I27</f>
        <v>0</v>
      </c>
      <c r="K27" s="4">
        <f>+E27-G27-H27-I27</f>
        <v>0</v>
      </c>
    </row>
    <row r="28" spans="1:11" ht="12.75" customHeight="1">
      <c r="A28" s="85" t="s">
        <v>60</v>
      </c>
      <c r="B28" s="67" t="s">
        <v>104</v>
      </c>
      <c r="C28" s="501">
        <f>+'1.1.mell._ÖNK_Mérleg2018'!C28+'1.2.mell._HKÖH_Mérleg2018'!C28+'1.3.mell._HVÓBKI_Mérleg2018'!C28+'1.4.mell._HKK_Mérleg2018'!C28+'1.5._mell._MŐSZ_Mérleg2018'!C28+'1.6._mell._HVGYKCSSZ_Mérleg2018'!C28</f>
        <v>0</v>
      </c>
      <c r="D28" s="11">
        <f>+'1.1.mell._ÖNK_Mérleg2018'!D28+'1.2.mell._HKÖH_Mérleg2018'!D28+'1.3.mell._HVÓBKI_Mérleg2018'!D28+'1.4.mell._HKK_Mérleg2018'!D28+'1.5._mell._MŐSZ_Mérleg2018'!D28+'1.6._mell._HVGYKCSSZ_Mérleg2018'!D28</f>
        <v>0</v>
      </c>
      <c r="E28" s="11">
        <f>+'1.1.mell._ÖNK_Mérleg2018'!E28+'1.2.mell._HKÖH_Mérleg2018'!E28+'1.3.mell._HVÓBKI_Mérleg2018'!E28+'1.4.mell._HKK_Mérleg2018'!E28+'1.5._mell._MŐSZ_Mérleg2018'!E28+'1.6._mell._HVGYKCSSZ_Mérleg2018'!E28</f>
        <v>0</v>
      </c>
      <c r="F28" s="1402" t="str">
        <f t="shared" si="1"/>
        <v>-</v>
      </c>
      <c r="G28" s="20">
        <f>+'1.1.mell._ÖNK_Mérleg2018'!G28+'1.2.mell._HKÖH_Mérleg2018'!G28+'1.3.mell._HVÓBKI_Mérleg2018'!G28+'1.4.mell._HKK_Mérleg2018'!G28+'1.5._mell._MŐSZ_Mérleg2018'!G28+'1.6._mell._HVGYKCSSZ_Mérleg2018'!G28</f>
        <v>0</v>
      </c>
      <c r="H28" s="11">
        <f>+'1.1.mell._ÖNK_Mérleg2018'!H28+'1.2.mell._HKÖH_Mérleg2018'!H28+'1.3.mell._HVÓBKI_Mérleg2018'!H28+'1.4.mell._HKK_Mérleg2018'!H28+'1.5._mell._MŐSZ_Mérleg2018'!H28+'1.6._mell._HVGYKCSSZ_Mérleg2018'!H28</f>
        <v>0</v>
      </c>
      <c r="I28" s="16">
        <f>+'1.1.mell._ÖNK_Mérleg2018'!I28+'1.2.mell._HKÖH_Mérleg2018'!I28+'1.3.mell._HVÓBKI_Mérleg2018'!I28+'1.4.mell._HKK_Mérleg2018'!I28+'1.5._mell._MŐSZ_Mérleg2018'!I28+'1.6._mell._HVGYKCSSZ_Mérleg2018'!I28</f>
        <v>0</v>
      </c>
      <c r="K28" s="4">
        <f>+E28-G28-H28-I28</f>
        <v>0</v>
      </c>
    </row>
    <row r="29" spans="1:11" ht="12.75" customHeight="1">
      <c r="A29" s="85" t="s">
        <v>180</v>
      </c>
      <c r="B29" s="67" t="s">
        <v>105</v>
      </c>
      <c r="C29" s="501">
        <f>+'1.1.mell._ÖNK_Mérleg2018'!C29+'1.2.mell._HKÖH_Mérleg2018'!C29+'1.3.mell._HVÓBKI_Mérleg2018'!C29+'1.4.mell._HKK_Mérleg2018'!C29+'1.5._mell._MŐSZ_Mérleg2018'!C29+'1.6._mell._HVGYKCSSZ_Mérleg2018'!C29</f>
        <v>58500</v>
      </c>
      <c r="D29" s="11">
        <f>+'1.1.mell._ÖNK_Mérleg2018'!D29+'1.2.mell._HKÖH_Mérleg2018'!D29+'1.3.mell._HVÓBKI_Mérleg2018'!D29+'1.4.mell._HKK_Mérleg2018'!D29+'1.5._mell._MŐSZ_Mérleg2018'!D29+'1.6._mell._HVGYKCSSZ_Mérleg2018'!D29</f>
        <v>63309</v>
      </c>
      <c r="E29" s="11">
        <f>+'1.1.mell._ÖNK_Mérleg2018'!E29+'1.2.mell._HKÖH_Mérleg2018'!E29+'1.3.mell._HVÓBKI_Mérleg2018'!E29+'1.4.mell._HKK_Mérleg2018'!E29+'1.5._mell._MŐSZ_Mérleg2018'!E29+'1.6._mell._HVGYKCSSZ_Mérleg2018'!E29</f>
        <v>60575</v>
      </c>
      <c r="F29" s="1402">
        <f t="shared" si="1"/>
        <v>0.95681498681072197</v>
      </c>
      <c r="G29" s="20">
        <f>+'1.1.mell._ÖNK_Mérleg2018'!G29+'1.2.mell._HKÖH_Mérleg2018'!G29+'1.3.mell._HVÓBKI_Mérleg2018'!G29+'1.4.mell._HKK_Mérleg2018'!G29+'1.5._mell._MŐSZ_Mérleg2018'!G29+'1.6._mell._HVGYKCSSZ_Mérleg2018'!G29</f>
        <v>60575</v>
      </c>
      <c r="H29" s="11">
        <f>+'1.1.mell._ÖNK_Mérleg2018'!H29+'1.2.mell._HKÖH_Mérleg2018'!H29+'1.3.mell._HVÓBKI_Mérleg2018'!H29+'1.4.mell._HKK_Mérleg2018'!H29+'1.5._mell._MŐSZ_Mérleg2018'!H29+'1.6._mell._HVGYKCSSZ_Mérleg2018'!H29</f>
        <v>0</v>
      </c>
      <c r="I29" s="16">
        <f>+'1.1.mell._ÖNK_Mérleg2018'!I29+'1.2.mell._HKÖH_Mérleg2018'!I29+'1.3.mell._HVÓBKI_Mérleg2018'!I29+'1.4.mell._HKK_Mérleg2018'!I29+'1.5._mell._MŐSZ_Mérleg2018'!I29+'1.6._mell._HVGYKCSSZ_Mérleg2018'!I29</f>
        <v>0</v>
      </c>
      <c r="K29" s="4">
        <f>+E29-G29-H29-I29</f>
        <v>0</v>
      </c>
    </row>
    <row r="30" spans="1:11" ht="12.75" customHeight="1">
      <c r="A30" s="78" t="s">
        <v>181</v>
      </c>
      <c r="B30" s="68" t="s">
        <v>106</v>
      </c>
      <c r="C30" s="500">
        <f>+'1.1.mell._ÖNK_Mérleg2018'!C30+'1.2.mell._HKÖH_Mérleg2018'!C30+'1.3.mell._HVÓBKI_Mérleg2018'!C30+'1.4.mell._HKK_Mérleg2018'!C30+'1.5._mell._MŐSZ_Mérleg2018'!C30+'1.6._mell._HVGYKCSSZ_Mérleg2018'!C30</f>
        <v>256650</v>
      </c>
      <c r="D30" s="22">
        <f>+'1.1.mell._ÖNK_Mérleg2018'!D30+'1.2.mell._HKÖH_Mérleg2018'!D30+'1.3.mell._HVÓBKI_Mérleg2018'!D30+'1.4.mell._HKK_Mérleg2018'!D30+'1.5._mell._MŐSZ_Mérleg2018'!D30+'1.6._mell._HVGYKCSSZ_Mérleg2018'!D30</f>
        <v>412278</v>
      </c>
      <c r="E30" s="22">
        <f>+'1.1.mell._ÖNK_Mérleg2018'!E30+'1.2.mell._HKÖH_Mérleg2018'!E30+'1.3.mell._HVÓBKI_Mérleg2018'!E30+'1.4.mell._HKK_Mérleg2018'!E30+'1.5._mell._MŐSZ_Mérleg2018'!E30+'1.6._mell._HVGYKCSSZ_Mérleg2018'!E30</f>
        <v>290084</v>
      </c>
      <c r="F30" s="1404">
        <f t="shared" si="1"/>
        <v>0.70361261090817362</v>
      </c>
      <c r="G30" s="20">
        <f>+'1.1.mell._ÖNK_Mérleg2018'!G30+'1.2.mell._HKÖH_Mérleg2018'!G30+'1.3.mell._HVÓBKI_Mérleg2018'!G30+'1.4.mell._HKK_Mérleg2018'!G30+'1.5._mell._MŐSZ_Mérleg2018'!G30+'1.6._mell._HVGYKCSSZ_Mérleg2018'!G30</f>
        <v>290084</v>
      </c>
      <c r="H30" s="11">
        <f>+'1.1.mell._ÖNK_Mérleg2018'!H30+'1.2.mell._HKÖH_Mérleg2018'!H30+'1.3.mell._HVÓBKI_Mérleg2018'!H30+'1.4.mell._HKK_Mérleg2018'!H30+'1.5._mell._MŐSZ_Mérleg2018'!H30+'1.6._mell._HVGYKCSSZ_Mérleg2018'!H30</f>
        <v>0</v>
      </c>
      <c r="I30" s="16">
        <f>+'1.1.mell._ÖNK_Mérleg2018'!I30+'1.2.mell._HKÖH_Mérleg2018'!I30+'1.3.mell._HVÓBKI_Mérleg2018'!I30+'1.4.mell._HKK_Mérleg2018'!I30+'1.5._mell._MŐSZ_Mérleg2018'!I30+'1.6._mell._HVGYKCSSZ_Mérleg2018'!I30</f>
        <v>0</v>
      </c>
      <c r="K30" s="4">
        <f>+E30-G30-H30-I30</f>
        <v>0</v>
      </c>
    </row>
    <row r="31" spans="1:11" ht="12.75" customHeight="1" thickBot="1">
      <c r="A31" s="78" t="s">
        <v>834</v>
      </c>
      <c r="B31" s="68" t="s">
        <v>836</v>
      </c>
      <c r="C31" s="500">
        <f>+'1.1.mell._ÖNK_Mérleg2018'!C31+'1.2.mell._HKÖH_Mérleg2018'!C31+'1.3.mell._HVÓBKI_Mérleg2018'!C31+'1.4.mell._HKK_Mérleg2018'!C31+'1.5._mell._MŐSZ_Mérleg2018'!C31+'1.6._mell._HVGYKCSSZ_Mérleg2018'!C31</f>
        <v>13500</v>
      </c>
      <c r="D31" s="22">
        <f>+'1.1.mell._ÖNK_Mérleg2018'!D31+'1.2.mell._HKÖH_Mérleg2018'!D31+'1.3.mell._HVÓBKI_Mérleg2018'!D31+'1.4.mell._HKK_Mérleg2018'!D31+'1.5._mell._MŐSZ_Mérleg2018'!D31+'1.6._mell._HVGYKCSSZ_Mérleg2018'!D31</f>
        <v>12686</v>
      </c>
      <c r="E31" s="22">
        <f>+'1.1.mell._ÖNK_Mérleg2018'!E31+'1.2.mell._HKÖH_Mérleg2018'!E31+'1.3.mell._HVÓBKI_Mérleg2018'!E31+'1.4.mell._HKK_Mérleg2018'!E31+'1.5._mell._MŐSZ_Mérleg2018'!E31+'1.6._mell._HVGYKCSSZ_Mérleg2018'!E31</f>
        <v>5947</v>
      </c>
      <c r="F31" s="1404">
        <f t="shared" si="1"/>
        <v>0.46878448683588209</v>
      </c>
      <c r="G31" s="20">
        <f>+'1.1.mell._ÖNK_Mérleg2018'!G31+'1.2.mell._HKÖH_Mérleg2018'!G31+'1.3.mell._HVÓBKI_Mérleg2018'!G31+'1.4.mell._HKK_Mérleg2018'!G31+'1.5._mell._MŐSZ_Mérleg2018'!G31+'1.6._mell._HVGYKCSSZ_Mérleg2018'!G31</f>
        <v>2882</v>
      </c>
      <c r="H31" s="11">
        <f>+'1.1.mell._ÖNK_Mérleg2018'!H31+'1.2.mell._HKÖH_Mérleg2018'!H31+'1.3.mell._HVÓBKI_Mérleg2018'!H31+'1.4.mell._HKK_Mérleg2018'!H31+'1.5._mell._MŐSZ_Mérleg2018'!H31+'1.6._mell._HVGYKCSSZ_Mérleg2018'!H31</f>
        <v>3065</v>
      </c>
      <c r="I31" s="16">
        <f>+'1.1.mell._ÖNK_Mérleg2018'!I31+'1.2.mell._HKÖH_Mérleg2018'!I31+'1.3.mell._HVÓBKI_Mérleg2018'!I31+'1.4.mell._HKK_Mérleg2018'!I31+'1.5._mell._MŐSZ_Mérleg2018'!I31+'1.6._mell._HVGYKCSSZ_Mérleg2018'!I31</f>
        <v>0</v>
      </c>
      <c r="K31" s="4">
        <f>+E31-G31-H31-I31</f>
        <v>0</v>
      </c>
    </row>
    <row r="32" spans="1:11" s="3" customFormat="1" ht="12.75" customHeight="1" thickBot="1">
      <c r="A32" s="83" t="s">
        <v>3</v>
      </c>
      <c r="B32" s="64" t="s">
        <v>1040</v>
      </c>
      <c r="C32" s="1049">
        <f t="shared" ref="C32:F32" si="5">+C33+C34+C35+C36+C37+C38+C39+C40+C41+C42+C43</f>
        <v>140709</v>
      </c>
      <c r="D32" s="28">
        <f t="shared" si="5"/>
        <v>137160</v>
      </c>
      <c r="E32" s="28">
        <f t="shared" si="5"/>
        <v>124554</v>
      </c>
      <c r="F32" s="1400">
        <f t="shared" si="1"/>
        <v>0.908092738407699</v>
      </c>
      <c r="G32" s="27">
        <f>+G33+G34+G35+G36+G37+G38+G39+G40+G41+G42+G43</f>
        <v>100839</v>
      </c>
      <c r="H32" s="28">
        <f>+H33+H34+H35+H36+H37+H38+H39+H40+H41+H42+H43</f>
        <v>23715</v>
      </c>
      <c r="I32" s="29">
        <f>+I33+I34+I35+I36+I37+I38+I39+I40+I41+I42+I43</f>
        <v>0</v>
      </c>
      <c r="J32" s="712">
        <f>+E32/$E$102</f>
        <v>2.1754910810350081E-2</v>
      </c>
      <c r="K32" s="3">
        <f>+E32-G32-H32-I32</f>
        <v>0</v>
      </c>
    </row>
    <row r="33" spans="1:11" ht="12.75" customHeight="1">
      <c r="A33" s="84" t="s">
        <v>61</v>
      </c>
      <c r="B33" s="65" t="s">
        <v>107</v>
      </c>
      <c r="C33" s="1051">
        <f>+'1.1.mell._ÖNK_Mérleg2018'!C33+'1.2.mell._HKÖH_Mérleg2018'!C33+'1.3.mell._HVÓBKI_Mérleg2018'!C33+'1.4.mell._HKK_Mérleg2018'!C33+'1.5._mell._MŐSZ_Mérleg2018'!C33+'1.6._mell._HVGYKCSSZ_Mérleg2018'!C33</f>
        <v>1181</v>
      </c>
      <c r="D33" s="10">
        <f>+'1.1.mell._ÖNK_Mérleg2018'!D33+'1.2.mell._HKÖH_Mérleg2018'!D33+'1.3.mell._HVÓBKI_Mérleg2018'!D33+'1.4.mell._HKK_Mérleg2018'!D33+'1.5._mell._MŐSZ_Mérleg2018'!D33+'1.6._mell._HVGYKCSSZ_Mérleg2018'!D33</f>
        <v>8969</v>
      </c>
      <c r="E33" s="10">
        <f>+'1.1.mell._ÖNK_Mérleg2018'!E33+'1.2.mell._HKÖH_Mérleg2018'!E33+'1.3.mell._HVÓBKI_Mérleg2018'!E33+'1.4.mell._HKK_Mérleg2018'!E33+'1.5._mell._MŐSZ_Mérleg2018'!E33+'1.6._mell._HVGYKCSSZ_Mérleg2018'!E33</f>
        <v>8714</v>
      </c>
      <c r="F33" s="1401">
        <f t="shared" si="1"/>
        <v>0.97156873675995092</v>
      </c>
      <c r="G33" s="34">
        <f>+'1.1.mell._ÖNK_Mérleg2018'!G33+'1.2.mell._HKÖH_Mérleg2018'!G33+'1.3.mell._HVÓBKI_Mérleg2018'!G33+'1.4.mell._HKK_Mérleg2018'!G33+'1.5._mell._MŐSZ_Mérleg2018'!G33+'1.6._mell._HVGYKCSSZ_Mérleg2018'!G33</f>
        <v>8714</v>
      </c>
      <c r="H33" s="10">
        <f>+'1.1.mell._ÖNK_Mérleg2018'!H33+'1.2.mell._HKÖH_Mérleg2018'!H33+'1.3.mell._HVÓBKI_Mérleg2018'!H33+'1.4.mell._HKK_Mérleg2018'!H33+'1.5._mell._MŐSZ_Mérleg2018'!H33+'1.6._mell._HVGYKCSSZ_Mérleg2018'!H33</f>
        <v>0</v>
      </c>
      <c r="I33" s="35">
        <f>+'1.1.mell._ÖNK_Mérleg2018'!I33+'1.2.mell._HKÖH_Mérleg2018'!I33+'1.3.mell._HVÓBKI_Mérleg2018'!I33+'1.4.mell._HKK_Mérleg2018'!I33+'1.5._mell._MŐSZ_Mérleg2018'!I33+'1.6._mell._HVGYKCSSZ_Mérleg2018'!I33</f>
        <v>0</v>
      </c>
      <c r="K33" s="4">
        <f>+E33-G33-H33-I33</f>
        <v>0</v>
      </c>
    </row>
    <row r="34" spans="1:11" ht="12.75" customHeight="1">
      <c r="A34" s="85" t="s">
        <v>62</v>
      </c>
      <c r="B34" s="67" t="s">
        <v>108</v>
      </c>
      <c r="C34" s="501">
        <f>+'1.1.mell._ÖNK_Mérleg2018'!C34+'1.2.mell._HKÖH_Mérleg2018'!C34+'1.3.mell._HVÓBKI_Mérleg2018'!C34+'1.4.mell._HKK_Mérleg2018'!C34+'1.5._mell._MŐSZ_Mérleg2018'!C34+'1.6._mell._HVGYKCSSZ_Mérleg2018'!C34</f>
        <v>55552</v>
      </c>
      <c r="D34" s="11">
        <f>+'1.1.mell._ÖNK_Mérleg2018'!D34+'1.2.mell._HKÖH_Mérleg2018'!D34+'1.3.mell._HVÓBKI_Mérleg2018'!D34+'1.4.mell._HKK_Mérleg2018'!D34+'1.5._mell._MŐSZ_Mérleg2018'!D34+'1.6._mell._HVGYKCSSZ_Mérleg2018'!D34</f>
        <v>55397</v>
      </c>
      <c r="E34" s="11">
        <f>+'1.1.mell._ÖNK_Mérleg2018'!E34+'1.2.mell._HKÖH_Mérleg2018'!E34+'1.3.mell._HVÓBKI_Mérleg2018'!E34+'1.4.mell._HKK_Mérleg2018'!E34+'1.5._mell._MŐSZ_Mérleg2018'!E34+'1.6._mell._HVGYKCSSZ_Mérleg2018'!E34</f>
        <v>54287</v>
      </c>
      <c r="F34" s="1402">
        <f t="shared" si="1"/>
        <v>0.97996281387078721</v>
      </c>
      <c r="G34" s="20">
        <f>+'1.1.mell._ÖNK_Mérleg2018'!G34+'1.2.mell._HKÖH_Mérleg2018'!G34+'1.3.mell._HVÓBKI_Mérleg2018'!G34+'1.4.mell._HKK_Mérleg2018'!G34+'1.5._mell._MŐSZ_Mérleg2018'!G34+'1.6._mell._HVGYKCSSZ_Mérleg2018'!G34</f>
        <v>35604</v>
      </c>
      <c r="H34" s="11">
        <f>+'1.1.mell._ÖNK_Mérleg2018'!H34+'1.2.mell._HKÖH_Mérleg2018'!H34+'1.3.mell._HVÓBKI_Mérleg2018'!H34+'1.4.mell._HKK_Mérleg2018'!H34+'1.5._mell._MŐSZ_Mérleg2018'!H34+'1.6._mell._HVGYKCSSZ_Mérleg2018'!H34</f>
        <v>18683</v>
      </c>
      <c r="I34" s="16">
        <f>+'1.1.mell._ÖNK_Mérleg2018'!I34+'1.2.mell._HKÖH_Mérleg2018'!I34+'1.3.mell._HVÓBKI_Mérleg2018'!I34+'1.4.mell._HKK_Mérleg2018'!I34+'1.5._mell._MŐSZ_Mérleg2018'!I34+'1.6._mell._HVGYKCSSZ_Mérleg2018'!I34</f>
        <v>0</v>
      </c>
      <c r="K34" s="4">
        <f>+E34-G34-H34-I34</f>
        <v>0</v>
      </c>
    </row>
    <row r="35" spans="1:11" ht="12.75" customHeight="1">
      <c r="A35" s="85" t="s">
        <v>63</v>
      </c>
      <c r="B35" s="67" t="s">
        <v>109</v>
      </c>
      <c r="C35" s="501">
        <f>+'1.1.mell._ÖNK_Mérleg2018'!C35+'1.2.mell._HKÖH_Mérleg2018'!C35+'1.3.mell._HVÓBKI_Mérleg2018'!C35+'1.4.mell._HKK_Mérleg2018'!C35+'1.5._mell._MŐSZ_Mérleg2018'!C35+'1.6._mell._HVGYKCSSZ_Mérleg2018'!C35</f>
        <v>20182</v>
      </c>
      <c r="D35" s="11">
        <f>+'1.1.mell._ÖNK_Mérleg2018'!D35+'1.2.mell._HKÖH_Mérleg2018'!D35+'1.3.mell._HVÓBKI_Mérleg2018'!D35+'1.4.mell._HKK_Mérleg2018'!D35+'1.5._mell._MŐSZ_Mérleg2018'!D35+'1.6._mell._HVGYKCSSZ_Mérleg2018'!D35</f>
        <v>25810</v>
      </c>
      <c r="E35" s="11">
        <f>+'1.1.mell._ÖNK_Mérleg2018'!E35+'1.2.mell._HKÖH_Mérleg2018'!E35+'1.3.mell._HVÓBKI_Mérleg2018'!E35+'1.4.mell._HKK_Mérleg2018'!E35+'1.5._mell._MŐSZ_Mérleg2018'!E35+'1.6._mell._HVGYKCSSZ_Mérleg2018'!E35</f>
        <v>16417</v>
      </c>
      <c r="F35" s="1402">
        <f t="shared" si="1"/>
        <v>0.63607129019759778</v>
      </c>
      <c r="G35" s="20">
        <f>+'1.1.mell._ÖNK_Mérleg2018'!G35+'1.2.mell._HKÖH_Mérleg2018'!G35+'1.3.mell._HVÓBKI_Mérleg2018'!G35+'1.4.mell._HKK_Mérleg2018'!G35+'1.5._mell._MŐSZ_Mérleg2018'!G35+'1.6._mell._HVGYKCSSZ_Mérleg2018'!G35</f>
        <v>16417</v>
      </c>
      <c r="H35" s="11">
        <f>+'1.1.mell._ÖNK_Mérleg2018'!H35+'1.2.mell._HKÖH_Mérleg2018'!H35+'1.3.mell._HVÓBKI_Mérleg2018'!H35+'1.4.mell._HKK_Mérleg2018'!H35+'1.5._mell._MŐSZ_Mérleg2018'!H35+'1.6._mell._HVGYKCSSZ_Mérleg2018'!H35</f>
        <v>0</v>
      </c>
      <c r="I35" s="16">
        <f>+'1.1.mell._ÖNK_Mérleg2018'!I35+'1.2.mell._HKÖH_Mérleg2018'!I35+'1.3.mell._HVÓBKI_Mérleg2018'!I35+'1.4.mell._HKK_Mérleg2018'!I35+'1.5._mell._MŐSZ_Mérleg2018'!I35+'1.6._mell._HVGYKCSSZ_Mérleg2018'!I35</f>
        <v>0</v>
      </c>
      <c r="K35" s="4">
        <f>+E35-G35-H35-I35</f>
        <v>0</v>
      </c>
    </row>
    <row r="36" spans="1:11" ht="12.75" customHeight="1">
      <c r="A36" s="85" t="s">
        <v>64</v>
      </c>
      <c r="B36" s="67" t="s">
        <v>110</v>
      </c>
      <c r="C36" s="501">
        <f>+'1.1.mell._ÖNK_Mérleg2018'!C36+'1.2.mell._HKÖH_Mérleg2018'!C36+'1.3.mell._HVÓBKI_Mérleg2018'!C36+'1.4.mell._HKK_Mérleg2018'!C36+'1.5._mell._MŐSZ_Mérleg2018'!C36+'1.6._mell._HVGYKCSSZ_Mérleg2018'!C36</f>
        <v>236</v>
      </c>
      <c r="D36" s="11">
        <f>+'1.1.mell._ÖNK_Mérleg2018'!D36+'1.2.mell._HKÖH_Mérleg2018'!D36+'1.3.mell._HVÓBKI_Mérleg2018'!D36+'1.4.mell._HKK_Mérleg2018'!D36+'1.5._mell._MŐSZ_Mérleg2018'!D36+'1.6._mell._HVGYKCSSZ_Mérleg2018'!D36</f>
        <v>472</v>
      </c>
      <c r="E36" s="11">
        <f>+'1.1.mell._ÖNK_Mérleg2018'!E36+'1.2.mell._HKÖH_Mérleg2018'!E36+'1.3.mell._HVÓBKI_Mérleg2018'!E36+'1.4.mell._HKK_Mérleg2018'!E36+'1.5._mell._MŐSZ_Mérleg2018'!E36+'1.6._mell._HVGYKCSSZ_Mérleg2018'!E36</f>
        <v>236</v>
      </c>
      <c r="F36" s="1402">
        <f t="shared" si="1"/>
        <v>0.5</v>
      </c>
      <c r="G36" s="20">
        <f>+'1.1.mell._ÖNK_Mérleg2018'!G36+'1.2.mell._HKÖH_Mérleg2018'!G36+'1.3.mell._HVÓBKI_Mérleg2018'!G36+'1.4.mell._HKK_Mérleg2018'!G36+'1.5._mell._MŐSZ_Mérleg2018'!G36+'1.6._mell._HVGYKCSSZ_Mérleg2018'!G36</f>
        <v>236</v>
      </c>
      <c r="H36" s="11">
        <f>+'1.1.mell._ÖNK_Mérleg2018'!H36+'1.2.mell._HKÖH_Mérleg2018'!H36+'1.3.mell._HVÓBKI_Mérleg2018'!H36+'1.4.mell._HKK_Mérleg2018'!H36+'1.5._mell._MŐSZ_Mérleg2018'!H36+'1.6._mell._HVGYKCSSZ_Mérleg2018'!H36</f>
        <v>0</v>
      </c>
      <c r="I36" s="16">
        <f>+'1.1.mell._ÖNK_Mérleg2018'!I36+'1.2.mell._HKÖH_Mérleg2018'!I36+'1.3.mell._HVÓBKI_Mérleg2018'!I36+'1.4.mell._HKK_Mérleg2018'!I36+'1.5._mell._MŐSZ_Mérleg2018'!I36+'1.6._mell._HVGYKCSSZ_Mérleg2018'!I36</f>
        <v>0</v>
      </c>
      <c r="K36" s="4">
        <f>+E36-G36-H36-I36</f>
        <v>0</v>
      </c>
    </row>
    <row r="37" spans="1:11" ht="12.75" customHeight="1">
      <c r="A37" s="85" t="s">
        <v>65</v>
      </c>
      <c r="B37" s="67" t="s">
        <v>111</v>
      </c>
      <c r="C37" s="501">
        <f>+'1.1.mell._ÖNK_Mérleg2018'!C37+'1.2.mell._HKÖH_Mérleg2018'!C37+'1.3.mell._HVÓBKI_Mérleg2018'!C37+'1.4.mell._HKK_Mérleg2018'!C37+'1.5._mell._MŐSZ_Mérleg2018'!C37+'1.6._mell._HVGYKCSSZ_Mérleg2018'!C37</f>
        <v>9347</v>
      </c>
      <c r="D37" s="11">
        <f>+'1.1.mell._ÖNK_Mérleg2018'!D37+'1.2.mell._HKÖH_Mérleg2018'!D37+'1.3.mell._HVÓBKI_Mérleg2018'!D37+'1.4.mell._HKK_Mérleg2018'!D37+'1.5._mell._MŐSZ_Mérleg2018'!D37+'1.6._mell._HVGYKCSSZ_Mérleg2018'!D37</f>
        <v>8465</v>
      </c>
      <c r="E37" s="11">
        <f>+'1.1.mell._ÖNK_Mérleg2018'!E37+'1.2.mell._HKÖH_Mérleg2018'!E37+'1.3.mell._HVÓBKI_Mérleg2018'!E37+'1.4.mell._HKK_Mérleg2018'!E37+'1.5._mell._MŐSZ_Mérleg2018'!E37+'1.6._mell._HVGYKCSSZ_Mérleg2018'!E37</f>
        <v>8465</v>
      </c>
      <c r="F37" s="1402">
        <f t="shared" si="1"/>
        <v>1</v>
      </c>
      <c r="G37" s="20">
        <f>+'1.1.mell._ÖNK_Mérleg2018'!G37+'1.2.mell._HKÖH_Mérleg2018'!G37+'1.3.mell._HVÓBKI_Mérleg2018'!G37+'1.4.mell._HKK_Mérleg2018'!G37+'1.5._mell._MŐSZ_Mérleg2018'!G37+'1.6._mell._HVGYKCSSZ_Mérleg2018'!G37</f>
        <v>8465</v>
      </c>
      <c r="H37" s="11">
        <f>+'1.1.mell._ÖNK_Mérleg2018'!H37+'1.2.mell._HKÖH_Mérleg2018'!H37+'1.3.mell._HVÓBKI_Mérleg2018'!H37+'1.4.mell._HKK_Mérleg2018'!H37+'1.5._mell._MŐSZ_Mérleg2018'!H37+'1.6._mell._HVGYKCSSZ_Mérleg2018'!H37</f>
        <v>0</v>
      </c>
      <c r="I37" s="16">
        <f>+'1.1.mell._ÖNK_Mérleg2018'!I37+'1.2.mell._HKÖH_Mérleg2018'!I37+'1.3.mell._HVÓBKI_Mérleg2018'!I37+'1.4.mell._HKK_Mérleg2018'!I37+'1.5._mell._MŐSZ_Mérleg2018'!I37+'1.6._mell._HVGYKCSSZ_Mérleg2018'!I37</f>
        <v>0</v>
      </c>
      <c r="K37" s="4">
        <f>+E37-G37-H37-I37</f>
        <v>0</v>
      </c>
    </row>
    <row r="38" spans="1:11" ht="12.75" customHeight="1">
      <c r="A38" s="85" t="s">
        <v>222</v>
      </c>
      <c r="B38" s="67" t="s">
        <v>112</v>
      </c>
      <c r="C38" s="501">
        <f>+'1.1.mell._ÖNK_Mérleg2018'!C38+'1.2.mell._HKÖH_Mérleg2018'!C38+'1.3.mell._HVÓBKI_Mérleg2018'!C38+'1.4.mell._HKK_Mérleg2018'!C38+'1.5._mell._MŐSZ_Mérleg2018'!C38+'1.6._mell._HVGYKCSSZ_Mérleg2018'!C38</f>
        <v>22680</v>
      </c>
      <c r="D38" s="11">
        <f>+'1.1.mell._ÖNK_Mérleg2018'!D38+'1.2.mell._HKÖH_Mérleg2018'!D38+'1.3.mell._HVÓBKI_Mérleg2018'!D38+'1.4.mell._HKK_Mérleg2018'!D38+'1.5._mell._MŐSZ_Mérleg2018'!D38+'1.6._mell._HVGYKCSSZ_Mérleg2018'!D38</f>
        <v>23066</v>
      </c>
      <c r="E38" s="11">
        <f>+'1.1.mell._ÖNK_Mérleg2018'!E38+'1.2.mell._HKÖH_Mérleg2018'!E38+'1.3.mell._HVÓBKI_Mérleg2018'!E38+'1.4.mell._HKK_Mérleg2018'!E38+'1.5._mell._MŐSZ_Mérleg2018'!E38+'1.6._mell._HVGYKCSSZ_Mérleg2018'!E38</f>
        <v>21996</v>
      </c>
      <c r="F38" s="1402">
        <f t="shared" si="1"/>
        <v>0.95361137605133095</v>
      </c>
      <c r="G38" s="20">
        <f>+'1.1.mell._ÖNK_Mérleg2018'!G38+'1.2.mell._HKÖH_Mérleg2018'!G38+'1.3.mell._HVÓBKI_Mérleg2018'!G38+'1.4.mell._HKK_Mérleg2018'!G38+'1.5._mell._MŐSZ_Mérleg2018'!G38+'1.6._mell._HVGYKCSSZ_Mérleg2018'!G38</f>
        <v>16964</v>
      </c>
      <c r="H38" s="11">
        <f>+'1.1.mell._ÖNK_Mérleg2018'!H38+'1.2.mell._HKÖH_Mérleg2018'!H38+'1.3.mell._HVÓBKI_Mérleg2018'!H38+'1.4.mell._HKK_Mérleg2018'!H38+'1.5._mell._MŐSZ_Mérleg2018'!H38+'1.6._mell._HVGYKCSSZ_Mérleg2018'!H38</f>
        <v>5032</v>
      </c>
      <c r="I38" s="16">
        <f>+'1.1.mell._ÖNK_Mérleg2018'!I38+'1.2.mell._HKÖH_Mérleg2018'!I38+'1.3.mell._HVÓBKI_Mérleg2018'!I38+'1.4.mell._HKK_Mérleg2018'!I38+'1.5._mell._MŐSZ_Mérleg2018'!I38+'1.6._mell._HVGYKCSSZ_Mérleg2018'!I38</f>
        <v>0</v>
      </c>
      <c r="K38" s="4">
        <f>+E38-G38-H38-I38</f>
        <v>0</v>
      </c>
    </row>
    <row r="39" spans="1:11" ht="12.75" customHeight="1">
      <c r="A39" s="85" t="s">
        <v>223</v>
      </c>
      <c r="B39" s="67" t="s">
        <v>113</v>
      </c>
      <c r="C39" s="501">
        <f>+'1.1.mell._ÖNK_Mérleg2018'!C39+'1.2.mell._HKÖH_Mérleg2018'!C39+'1.3.mell._HVÓBKI_Mérleg2018'!C39+'1.4.mell._HKK_Mérleg2018'!C39+'1.5._mell._MŐSZ_Mérleg2018'!C39+'1.6._mell._HVGYKCSSZ_Mérleg2018'!C39</f>
        <v>10233</v>
      </c>
      <c r="D39" s="11">
        <f>+'1.1.mell._ÖNK_Mérleg2018'!D39+'1.2.mell._HKÖH_Mérleg2018'!D39+'1.3.mell._HVÓBKI_Mérleg2018'!D39+'1.4.mell._HKK_Mérleg2018'!D39+'1.5._mell._MŐSZ_Mérleg2018'!D39+'1.6._mell._HVGYKCSSZ_Mérleg2018'!D39</f>
        <v>6293</v>
      </c>
      <c r="E39" s="11">
        <f>+'1.1.mell._ÖNK_Mérleg2018'!E39+'1.2.mell._HKÖH_Mérleg2018'!E39+'1.3.mell._HVÓBKI_Mérleg2018'!E39+'1.4.mell._HKK_Mérleg2018'!E39+'1.5._mell._MŐSZ_Mérleg2018'!E39+'1.6._mell._HVGYKCSSZ_Mérleg2018'!E39</f>
        <v>6293</v>
      </c>
      <c r="F39" s="1402">
        <f t="shared" si="1"/>
        <v>1</v>
      </c>
      <c r="G39" s="20">
        <f>+'1.1.mell._ÖNK_Mérleg2018'!G39+'1.2.mell._HKÖH_Mérleg2018'!G39+'1.3.mell._HVÓBKI_Mérleg2018'!G39+'1.4.mell._HKK_Mérleg2018'!G39+'1.5._mell._MŐSZ_Mérleg2018'!G39+'1.6._mell._HVGYKCSSZ_Mérleg2018'!G39</f>
        <v>6293</v>
      </c>
      <c r="H39" s="11">
        <f>+'1.1.mell._ÖNK_Mérleg2018'!H39+'1.2.mell._HKÖH_Mérleg2018'!H39+'1.3.mell._HVÓBKI_Mérleg2018'!H39+'1.4.mell._HKK_Mérleg2018'!H39+'1.5._mell._MŐSZ_Mérleg2018'!H39+'1.6._mell._HVGYKCSSZ_Mérleg2018'!H39</f>
        <v>0</v>
      </c>
      <c r="I39" s="16">
        <f>+'1.1.mell._ÖNK_Mérleg2018'!I39+'1.2.mell._HKÖH_Mérleg2018'!I39+'1.3.mell._HVÓBKI_Mérleg2018'!I39+'1.4.mell._HKK_Mérleg2018'!I39+'1.5._mell._MŐSZ_Mérleg2018'!I39+'1.6._mell._HVGYKCSSZ_Mérleg2018'!I39</f>
        <v>0</v>
      </c>
      <c r="K39" s="4">
        <f>+E39-G39-H39-I39</f>
        <v>0</v>
      </c>
    </row>
    <row r="40" spans="1:11" ht="12.75" customHeight="1">
      <c r="A40" s="85" t="s">
        <v>224</v>
      </c>
      <c r="B40" s="67" t="s">
        <v>1050</v>
      </c>
      <c r="C40" s="501">
        <f>+'1.1.mell._ÖNK_Mérleg2018'!C40+'1.2.mell._HKÖH_Mérleg2018'!C40+'1.3.mell._HVÓBKI_Mérleg2018'!C40+'1.4.mell._HKK_Mérleg2018'!C40+'1.5._mell._MŐSZ_Mérleg2018'!C40+'1.6._mell._HVGYKCSSZ_Mérleg2018'!C40</f>
        <v>0</v>
      </c>
      <c r="D40" s="11">
        <f>+'1.1.mell._ÖNK_Mérleg2018'!D40+'1.2.mell._HKÖH_Mérleg2018'!D40+'1.3.mell._HVÓBKI_Mérleg2018'!D40+'1.4.mell._HKK_Mérleg2018'!D40+'1.5._mell._MŐSZ_Mérleg2018'!D40+'1.6._mell._HVGYKCSSZ_Mérleg2018'!D40</f>
        <v>1</v>
      </c>
      <c r="E40" s="11">
        <f>+'1.1.mell._ÖNK_Mérleg2018'!E40+'1.2.mell._HKÖH_Mérleg2018'!E40+'1.3.mell._HVÓBKI_Mérleg2018'!E40+'1.4.mell._HKK_Mérleg2018'!E40+'1.5._mell._MŐSZ_Mérleg2018'!E40+'1.6._mell._HVGYKCSSZ_Mérleg2018'!E40</f>
        <v>1</v>
      </c>
      <c r="F40" s="1402">
        <f t="shared" si="1"/>
        <v>1</v>
      </c>
      <c r="G40" s="20">
        <f>+'1.1.mell._ÖNK_Mérleg2018'!G40+'1.2.mell._HKÖH_Mérleg2018'!G40+'1.3.mell._HVÓBKI_Mérleg2018'!G40+'1.4.mell._HKK_Mérleg2018'!G40+'1.5._mell._MŐSZ_Mérleg2018'!G40+'1.6._mell._HVGYKCSSZ_Mérleg2018'!G40</f>
        <v>1</v>
      </c>
      <c r="H40" s="11">
        <f>+'1.1.mell._ÖNK_Mérleg2018'!H40+'1.2.mell._HKÖH_Mérleg2018'!H40+'1.3.mell._HVÓBKI_Mérleg2018'!H40+'1.4.mell._HKK_Mérleg2018'!H40+'1.5._mell._MŐSZ_Mérleg2018'!H40+'1.6._mell._HVGYKCSSZ_Mérleg2018'!H40</f>
        <v>0</v>
      </c>
      <c r="I40" s="16">
        <f>+'1.1.mell._ÖNK_Mérleg2018'!I40+'1.2.mell._HKÖH_Mérleg2018'!I40+'1.3.mell._HVÓBKI_Mérleg2018'!I40+'1.4.mell._HKK_Mérleg2018'!I40+'1.5._mell._MŐSZ_Mérleg2018'!I40+'1.6._mell._HVGYKCSSZ_Mérleg2018'!I40</f>
        <v>0</v>
      </c>
      <c r="K40" s="4">
        <f>+E40-G40-H40-I40</f>
        <v>0</v>
      </c>
    </row>
    <row r="41" spans="1:11" ht="12.75" customHeight="1">
      <c r="A41" s="85" t="s">
        <v>225</v>
      </c>
      <c r="B41" s="67" t="s">
        <v>114</v>
      </c>
      <c r="C41" s="501">
        <f>+'1.1.mell._ÖNK_Mérleg2018'!C41+'1.2.mell._HKÖH_Mérleg2018'!C41+'1.3.mell._HVÓBKI_Mérleg2018'!C41+'1.4.mell._HKK_Mérleg2018'!C41+'1.5._mell._MŐSZ_Mérleg2018'!C41+'1.6._mell._HVGYKCSSZ_Mérleg2018'!C41</f>
        <v>0</v>
      </c>
      <c r="D41" s="11">
        <f>+'1.1.mell._ÖNK_Mérleg2018'!D41+'1.2.mell._HKÖH_Mérleg2018'!D41+'1.3.mell._HVÓBKI_Mérleg2018'!D41+'1.4.mell._HKK_Mérleg2018'!D41+'1.5._mell._MŐSZ_Mérleg2018'!D41+'1.6._mell._HVGYKCSSZ_Mérleg2018'!D41</f>
        <v>3880</v>
      </c>
      <c r="E41" s="11">
        <f>+'1.1.mell._ÖNK_Mérleg2018'!E41+'1.2.mell._HKÖH_Mérleg2018'!E41+'1.3.mell._HVÓBKI_Mérleg2018'!E41+'1.4.mell._HKK_Mérleg2018'!E41+'1.5._mell._MŐSZ_Mérleg2018'!E41+'1.6._mell._HVGYKCSSZ_Mérleg2018'!E41</f>
        <v>3880</v>
      </c>
      <c r="F41" s="1402">
        <f t="shared" si="1"/>
        <v>1</v>
      </c>
      <c r="G41" s="20">
        <f>+'1.1.mell._ÖNK_Mérleg2018'!G41+'1.2.mell._HKÖH_Mérleg2018'!G41+'1.3.mell._HVÓBKI_Mérleg2018'!G41+'1.4.mell._HKK_Mérleg2018'!G41+'1.5._mell._MŐSZ_Mérleg2018'!G41+'1.6._mell._HVGYKCSSZ_Mérleg2018'!G41</f>
        <v>3880</v>
      </c>
      <c r="H41" s="11">
        <f>+'1.1.mell._ÖNK_Mérleg2018'!H41+'1.2.mell._HKÖH_Mérleg2018'!H41+'1.3.mell._HVÓBKI_Mérleg2018'!H41+'1.4.mell._HKK_Mérleg2018'!H41+'1.5._mell._MŐSZ_Mérleg2018'!H41+'1.6._mell._HVGYKCSSZ_Mérleg2018'!H41</f>
        <v>0</v>
      </c>
      <c r="I41" s="16">
        <f>+'1.1.mell._ÖNK_Mérleg2018'!I41+'1.2.mell._HKÖH_Mérleg2018'!I41+'1.3.mell._HVÓBKI_Mérleg2018'!I41+'1.4.mell._HKK_Mérleg2018'!I41+'1.5._mell._MŐSZ_Mérleg2018'!I41+'1.6._mell._HVGYKCSSZ_Mérleg2018'!I41</f>
        <v>0</v>
      </c>
      <c r="K41" s="4">
        <f>+E41-G41-H41-I41</f>
        <v>0</v>
      </c>
    </row>
    <row r="42" spans="1:11" ht="12.75" customHeight="1">
      <c r="A42" s="78" t="s">
        <v>226</v>
      </c>
      <c r="B42" s="68" t="s">
        <v>962</v>
      </c>
      <c r="C42" s="501">
        <f>+'1.1.mell._ÖNK_Mérleg2018'!C42+'1.2.mell._HKÖH_Mérleg2018'!C42+'1.3.mell._HVÓBKI_Mérleg2018'!C42+'1.4.mell._HKK_Mérleg2018'!C42+'1.5._mell._MŐSZ_Mérleg2018'!C42+'1.6._mell._HVGYKCSSZ_Mérleg2018'!C42</f>
        <v>0</v>
      </c>
      <c r="D42" s="11">
        <f>+'1.1.mell._ÖNK_Mérleg2018'!D42+'1.2.mell._HKÖH_Mérleg2018'!D42+'1.3.mell._HVÓBKI_Mérleg2018'!D42+'1.4.mell._HKK_Mérleg2018'!D42+'1.5._mell._MŐSZ_Mérleg2018'!D42+'1.6._mell._HVGYKCSSZ_Mérleg2018'!D42</f>
        <v>786</v>
      </c>
      <c r="E42" s="11">
        <f>+'1.1.mell._ÖNK_Mérleg2018'!E42+'1.2.mell._HKÖH_Mérleg2018'!E42+'1.3.mell._HVÓBKI_Mérleg2018'!E42+'1.4.mell._HKK_Mérleg2018'!E42+'1.5._mell._MŐSZ_Mérleg2018'!E42+'1.6._mell._HVGYKCSSZ_Mérleg2018'!E42</f>
        <v>786</v>
      </c>
      <c r="F42" s="1402">
        <f t="shared" si="1"/>
        <v>1</v>
      </c>
      <c r="G42" s="20">
        <f>+'1.1.mell._ÖNK_Mérleg2018'!G42+'1.2.mell._HKÖH_Mérleg2018'!G42+'1.3.mell._HVÓBKI_Mérleg2018'!G42+'1.4.mell._HKK_Mérleg2018'!G42+'1.5._mell._MŐSZ_Mérleg2018'!G42+'1.6._mell._HVGYKCSSZ_Mérleg2018'!G42</f>
        <v>786</v>
      </c>
      <c r="H42" s="11">
        <f>+'1.1.mell._ÖNK_Mérleg2018'!H42+'1.2.mell._HKÖH_Mérleg2018'!H42+'1.3.mell._HVÓBKI_Mérleg2018'!H42+'1.4.mell._HKK_Mérleg2018'!H42+'1.5._mell._MŐSZ_Mérleg2018'!H42+'1.6._mell._HVGYKCSSZ_Mérleg2018'!H42</f>
        <v>0</v>
      </c>
      <c r="I42" s="16">
        <f>+'1.1.mell._ÖNK_Mérleg2018'!I42+'1.2.mell._HKÖH_Mérleg2018'!I42+'1.3.mell._HVÓBKI_Mérleg2018'!I42+'1.4.mell._HKK_Mérleg2018'!I42+'1.5._mell._MŐSZ_Mérleg2018'!I42+'1.6._mell._HVGYKCSSZ_Mérleg2018'!I42</f>
        <v>0</v>
      </c>
      <c r="K42" s="4">
        <f>+E42-G42-H42-I42</f>
        <v>0</v>
      </c>
    </row>
    <row r="43" spans="1:11" ht="12.75" customHeight="1" thickBot="1">
      <c r="A43" s="78" t="s">
        <v>961</v>
      </c>
      <c r="B43" s="68" t="s">
        <v>963</v>
      </c>
      <c r="C43" s="500">
        <f>+'1.1.mell._ÖNK_Mérleg2018'!C43+'1.2.mell._HKÖH_Mérleg2018'!C43+'1.3.mell._HVÓBKI_Mérleg2018'!C43+'1.4.mell._HKK_Mérleg2018'!C43+'1.5._mell._MŐSZ_Mérleg2018'!C43+'1.6._mell._HVGYKCSSZ_Mérleg2018'!C43</f>
        <v>21298</v>
      </c>
      <c r="D43" s="22">
        <f>+'1.1.mell._ÖNK_Mérleg2018'!D43+'1.2.mell._HKÖH_Mérleg2018'!D43+'1.3.mell._HVÓBKI_Mérleg2018'!D43+'1.4.mell._HKK_Mérleg2018'!D43+'1.5._mell._MŐSZ_Mérleg2018'!D43+'1.6._mell._HVGYKCSSZ_Mérleg2018'!D43</f>
        <v>4021</v>
      </c>
      <c r="E43" s="22">
        <f>+'1.1.mell._ÖNK_Mérleg2018'!E43+'1.2.mell._HKÖH_Mérleg2018'!E43+'1.3.mell._HVÓBKI_Mérleg2018'!E43+'1.4.mell._HKK_Mérleg2018'!E43+'1.5._mell._MŐSZ_Mérleg2018'!E43+'1.6._mell._HVGYKCSSZ_Mérleg2018'!E43</f>
        <v>3479</v>
      </c>
      <c r="F43" s="1404">
        <f t="shared" si="1"/>
        <v>0.86520765978612291</v>
      </c>
      <c r="G43" s="21">
        <f>+'1.1.mell._ÖNK_Mérleg2018'!G43+'1.2.mell._HKÖH_Mérleg2018'!G43+'1.3.mell._HVÓBKI_Mérleg2018'!G43+'1.4.mell._HKK_Mérleg2018'!G43+'1.5._mell._MŐSZ_Mérleg2018'!G43+'1.6._mell._HVGYKCSSZ_Mérleg2018'!G43</f>
        <v>3479</v>
      </c>
      <c r="H43" s="22">
        <f>+'1.1.mell._ÖNK_Mérleg2018'!H43+'1.2.mell._HKÖH_Mérleg2018'!H43+'1.3.mell._HVÓBKI_Mérleg2018'!H43+'1.4.mell._HKK_Mérleg2018'!H43+'1.5._mell._MŐSZ_Mérleg2018'!H43+'1.6._mell._HVGYKCSSZ_Mérleg2018'!H43</f>
        <v>0</v>
      </c>
      <c r="I43" s="23">
        <f>+'1.1.mell._ÖNK_Mérleg2018'!I43+'1.2.mell._HKÖH_Mérleg2018'!I43+'1.3.mell._HVÓBKI_Mérleg2018'!I43+'1.4.mell._HKK_Mérleg2018'!I43+'1.5._mell._MŐSZ_Mérleg2018'!I43+'1.6._mell._HVGYKCSSZ_Mérleg2018'!I43</f>
        <v>0</v>
      </c>
      <c r="K43" s="4">
        <f>+E43-G43-H43-I43</f>
        <v>0</v>
      </c>
    </row>
    <row r="44" spans="1:11" s="3" customFormat="1" ht="12.75" thickBot="1">
      <c r="A44" s="83" t="s">
        <v>16</v>
      </c>
      <c r="B44" s="64" t="s">
        <v>1041</v>
      </c>
      <c r="C44" s="1049">
        <f t="shared" ref="C44:F44" si="6">+C45+C46+C47+C48+C49</f>
        <v>2000</v>
      </c>
      <c r="D44" s="28">
        <f t="shared" si="6"/>
        <v>40394</v>
      </c>
      <c r="E44" s="28">
        <f t="shared" si="6"/>
        <v>3492</v>
      </c>
      <c r="F44" s="1400">
        <f t="shared" si="1"/>
        <v>8.6448482447888303E-2</v>
      </c>
      <c r="G44" s="27">
        <f>+G45+G46+G47+G48+G49</f>
        <v>3492</v>
      </c>
      <c r="H44" s="28">
        <f>+H45+H46+H47+H48+H49</f>
        <v>0</v>
      </c>
      <c r="I44" s="29">
        <f>+I45+I46+I47+I48+I49</f>
        <v>0</v>
      </c>
      <c r="J44" s="712">
        <f>+E44/$E$102</f>
        <v>6.0992138791000276E-4</v>
      </c>
      <c r="K44" s="3">
        <f>+E44-G44-H44-I44</f>
        <v>0</v>
      </c>
    </row>
    <row r="45" spans="1:11" ht="12.75" customHeight="1">
      <c r="A45" s="84" t="s">
        <v>227</v>
      </c>
      <c r="B45" s="65" t="s">
        <v>115</v>
      </c>
      <c r="C45" s="1051">
        <f>+'1.1.mell._ÖNK_Mérleg2018'!C45+'1.2.mell._HKÖH_Mérleg2018'!C45+'1.3.mell._HVÓBKI_Mérleg2018'!C45+'1.4.mell._HKK_Mérleg2018'!C45+'1.5._mell._MŐSZ_Mérleg2018'!C45+'1.6._mell._HVGYKCSSZ_Mérleg2018'!C45</f>
        <v>0</v>
      </c>
      <c r="D45" s="10">
        <f>+'1.1.mell._ÖNK_Mérleg2018'!D45+'1.2.mell._HKÖH_Mérleg2018'!D45+'1.3.mell._HVÓBKI_Mérleg2018'!D45+'1.4.mell._HKK_Mérleg2018'!D45+'1.5._mell._MŐSZ_Mérleg2018'!D45+'1.6._mell._HVGYKCSSZ_Mérleg2018'!D45</f>
        <v>0</v>
      </c>
      <c r="E45" s="10">
        <f>+'1.1.mell._ÖNK_Mérleg2018'!E45+'1.2.mell._HKÖH_Mérleg2018'!E45+'1.3.mell._HVÓBKI_Mérleg2018'!E45+'1.4.mell._HKK_Mérleg2018'!E45+'1.5._mell._MŐSZ_Mérleg2018'!E45+'1.6._mell._HVGYKCSSZ_Mérleg2018'!E45</f>
        <v>0</v>
      </c>
      <c r="F45" s="1401" t="str">
        <f t="shared" si="1"/>
        <v>-</v>
      </c>
      <c r="G45" s="34">
        <f>+'1.1.mell._ÖNK_Mérleg2018'!G45+'1.2.mell._HKÖH_Mérleg2018'!G45+'1.3.mell._HVÓBKI_Mérleg2018'!G45+'1.4.mell._HKK_Mérleg2018'!G45+'1.5._mell._MŐSZ_Mérleg2018'!G45+'1.6._mell._HVGYKCSSZ_Mérleg2018'!G45</f>
        <v>0</v>
      </c>
      <c r="H45" s="10">
        <f>+'1.1.mell._ÖNK_Mérleg2018'!H45+'1.2.mell._HKÖH_Mérleg2018'!H45+'1.3.mell._HVÓBKI_Mérleg2018'!H45+'1.4.mell._HKK_Mérleg2018'!H45+'1.5._mell._MŐSZ_Mérleg2018'!H45+'1.6._mell._HVGYKCSSZ_Mérleg2018'!H45</f>
        <v>0</v>
      </c>
      <c r="I45" s="35">
        <f>+'1.1.mell._ÖNK_Mérleg2018'!I45+'1.2.mell._HKÖH_Mérleg2018'!I45+'1.3.mell._HVÓBKI_Mérleg2018'!I45+'1.4.mell._HKK_Mérleg2018'!I45+'1.5._mell._MŐSZ_Mérleg2018'!I45+'1.6._mell._HVGYKCSSZ_Mérleg2018'!I45</f>
        <v>0</v>
      </c>
      <c r="K45" s="4">
        <f>+E45-G45-H45-I45</f>
        <v>0</v>
      </c>
    </row>
    <row r="46" spans="1:11" ht="12.75" customHeight="1">
      <c r="A46" s="84" t="s">
        <v>228</v>
      </c>
      <c r="B46" s="65" t="s">
        <v>964</v>
      </c>
      <c r="C46" s="1051">
        <f>+'1.1.mell._ÖNK_Mérleg2018'!C46+'1.2.mell._HKÖH_Mérleg2018'!C46+'1.3.mell._HVÓBKI_Mérleg2018'!C46+'1.4.mell._HKK_Mérleg2018'!C46+'1.5._mell._MŐSZ_Mérleg2018'!C46+'1.6._mell._HVGYKCSSZ_Mérleg2018'!C46</f>
        <v>0</v>
      </c>
      <c r="D46" s="10">
        <f>+'1.1.mell._ÖNK_Mérleg2018'!D46+'1.2.mell._HKÖH_Mérleg2018'!D46+'1.3.mell._HVÓBKI_Mérleg2018'!D46+'1.4.mell._HKK_Mérleg2018'!D46+'1.5._mell._MŐSZ_Mérleg2018'!D46+'1.6._mell._HVGYKCSSZ_Mérleg2018'!D46</f>
        <v>0</v>
      </c>
      <c r="E46" s="10">
        <f>+'1.1.mell._ÖNK_Mérleg2018'!E46+'1.2.mell._HKÖH_Mérleg2018'!E46+'1.3.mell._HVÓBKI_Mérleg2018'!E46+'1.4.mell._HKK_Mérleg2018'!E46+'1.5._mell._MŐSZ_Mérleg2018'!E46+'1.6._mell._HVGYKCSSZ_Mérleg2018'!E46</f>
        <v>0</v>
      </c>
      <c r="F46" s="1401" t="str">
        <f t="shared" si="1"/>
        <v>-</v>
      </c>
      <c r="G46" s="34">
        <f>+'1.1.mell._ÖNK_Mérleg2018'!G46+'1.2.mell._HKÖH_Mérleg2018'!G46+'1.3.mell._HVÓBKI_Mérleg2018'!G46+'1.4.mell._HKK_Mérleg2018'!G46+'1.5._mell._MŐSZ_Mérleg2018'!G46+'1.6._mell._HVGYKCSSZ_Mérleg2018'!G46</f>
        <v>0</v>
      </c>
      <c r="H46" s="10">
        <f>+'1.1.mell._ÖNK_Mérleg2018'!H46+'1.2.mell._HKÖH_Mérleg2018'!H46+'1.3.mell._HVÓBKI_Mérleg2018'!H46+'1.4.mell._HKK_Mérleg2018'!H46+'1.5._mell._MŐSZ_Mérleg2018'!H46+'1.6._mell._HVGYKCSSZ_Mérleg2018'!H46</f>
        <v>0</v>
      </c>
      <c r="I46" s="35">
        <f>+'1.1.mell._ÖNK_Mérleg2018'!I46+'1.2.mell._HKÖH_Mérleg2018'!I46+'1.3.mell._HVÓBKI_Mérleg2018'!I46+'1.4.mell._HKK_Mérleg2018'!I46+'1.5._mell._MŐSZ_Mérleg2018'!I46+'1.6._mell._HVGYKCSSZ_Mérleg2018'!I46</f>
        <v>0</v>
      </c>
      <c r="K46" s="4">
        <f>+E46-G46-H46-I46</f>
        <v>0</v>
      </c>
    </row>
    <row r="47" spans="1:11" ht="12.75" customHeight="1">
      <c r="A47" s="84" t="s">
        <v>229</v>
      </c>
      <c r="B47" s="65" t="s">
        <v>965</v>
      </c>
      <c r="C47" s="1051">
        <f>+'1.1.mell._ÖNK_Mérleg2018'!C47+'1.2.mell._HKÖH_Mérleg2018'!C47+'1.3.mell._HVÓBKI_Mérleg2018'!C47+'1.4.mell._HKK_Mérleg2018'!C47+'1.5._mell._MŐSZ_Mérleg2018'!C47+'1.6._mell._HVGYKCSSZ_Mérleg2018'!C47</f>
        <v>0</v>
      </c>
      <c r="D47" s="10">
        <f>+'1.1.mell._ÖNK_Mérleg2018'!D47+'1.2.mell._HKÖH_Mérleg2018'!D47+'1.3.mell._HVÓBKI_Mérleg2018'!D47+'1.4.mell._HKK_Mérleg2018'!D47+'1.5._mell._MŐSZ_Mérleg2018'!D47+'1.6._mell._HVGYKCSSZ_Mérleg2018'!D47</f>
        <v>0</v>
      </c>
      <c r="E47" s="10">
        <f>+'1.1.mell._ÖNK_Mérleg2018'!E47+'1.2.mell._HKÖH_Mérleg2018'!E47+'1.3.mell._HVÓBKI_Mérleg2018'!E47+'1.4.mell._HKK_Mérleg2018'!E47+'1.5._mell._MŐSZ_Mérleg2018'!E47+'1.6._mell._HVGYKCSSZ_Mérleg2018'!E47</f>
        <v>0</v>
      </c>
      <c r="F47" s="1401" t="str">
        <f t="shared" si="1"/>
        <v>-</v>
      </c>
      <c r="G47" s="34">
        <f>+'1.1.mell._ÖNK_Mérleg2018'!G47+'1.2.mell._HKÖH_Mérleg2018'!G47+'1.3.mell._HVÓBKI_Mérleg2018'!G47+'1.4.mell._HKK_Mérleg2018'!G47+'1.5._mell._MŐSZ_Mérleg2018'!G47+'1.6._mell._HVGYKCSSZ_Mérleg2018'!G47</f>
        <v>0</v>
      </c>
      <c r="H47" s="10">
        <f>+'1.1.mell._ÖNK_Mérleg2018'!H47+'1.2.mell._HKÖH_Mérleg2018'!H47+'1.3.mell._HVÓBKI_Mérleg2018'!H47+'1.4.mell._HKK_Mérleg2018'!H47+'1.5._mell._MŐSZ_Mérleg2018'!H47+'1.6._mell._HVGYKCSSZ_Mérleg2018'!H47</f>
        <v>0</v>
      </c>
      <c r="I47" s="35">
        <f>+'1.1.mell._ÖNK_Mérleg2018'!I47+'1.2.mell._HKÖH_Mérleg2018'!I47+'1.3.mell._HVÓBKI_Mérleg2018'!I47+'1.4.mell._HKK_Mérleg2018'!I47+'1.5._mell._MŐSZ_Mérleg2018'!I47+'1.6._mell._HVGYKCSSZ_Mérleg2018'!I47</f>
        <v>0</v>
      </c>
      <c r="K47" s="4">
        <f>+E47-G47-H47-I47</f>
        <v>0</v>
      </c>
    </row>
    <row r="48" spans="1:11" ht="12.75" customHeight="1">
      <c r="A48" s="85" t="s">
        <v>257</v>
      </c>
      <c r="B48" s="67" t="s">
        <v>966</v>
      </c>
      <c r="C48" s="501">
        <f>+'1.1.mell._ÖNK_Mérleg2018'!C48+'1.2.mell._HKÖH_Mérleg2018'!C48+'1.3.mell._HVÓBKI_Mérleg2018'!C48+'1.4.mell._HKK_Mérleg2018'!C48+'1.5._mell._MŐSZ_Mérleg2018'!C48+'1.6._mell._HVGYKCSSZ_Mérleg2018'!C48</f>
        <v>0</v>
      </c>
      <c r="D48" s="11">
        <f>+'1.1.mell._ÖNK_Mérleg2018'!D48+'1.2.mell._HKÖH_Mérleg2018'!D48+'1.3.mell._HVÓBKI_Mérleg2018'!D48+'1.4.mell._HKK_Mérleg2018'!D48+'1.5._mell._MŐSZ_Mérleg2018'!D48+'1.6._mell._HVGYKCSSZ_Mérleg2018'!D48</f>
        <v>39280</v>
      </c>
      <c r="E48" s="11">
        <f>+'1.1.mell._ÖNK_Mérleg2018'!E48+'1.2.mell._HKÖH_Mérleg2018'!E48+'1.3.mell._HVÓBKI_Mérleg2018'!E48+'1.4.mell._HKK_Mérleg2018'!E48+'1.5._mell._MŐSZ_Mérleg2018'!E48+'1.6._mell._HVGYKCSSZ_Mérleg2018'!E48</f>
        <v>3280</v>
      </c>
      <c r="F48" s="1402">
        <f t="shared" si="1"/>
        <v>8.3503054989816694E-2</v>
      </c>
      <c r="G48" s="20">
        <f>+'1.1.mell._ÖNK_Mérleg2018'!G48+'1.2.mell._HKÖH_Mérleg2018'!G48+'1.3.mell._HVÓBKI_Mérleg2018'!G48+'1.4.mell._HKK_Mérleg2018'!G48+'1.5._mell._MŐSZ_Mérleg2018'!G48+'1.6._mell._HVGYKCSSZ_Mérleg2018'!G48</f>
        <v>3280</v>
      </c>
      <c r="H48" s="11">
        <f>+'1.1.mell._ÖNK_Mérleg2018'!H48+'1.2.mell._HKÖH_Mérleg2018'!H48+'1.3.mell._HVÓBKI_Mérleg2018'!H48+'1.4.mell._HKK_Mérleg2018'!H48+'1.5._mell._MŐSZ_Mérleg2018'!H48+'1.6._mell._HVGYKCSSZ_Mérleg2018'!H48</f>
        <v>0</v>
      </c>
      <c r="I48" s="16">
        <f>+'1.1.mell._ÖNK_Mérleg2018'!I48+'1.2.mell._HKÖH_Mérleg2018'!I48+'1.3.mell._HVÓBKI_Mérleg2018'!I48+'1.4.mell._HKK_Mérleg2018'!I48+'1.5._mell._MŐSZ_Mérleg2018'!I48+'1.6._mell._HVGYKCSSZ_Mérleg2018'!I48</f>
        <v>0</v>
      </c>
      <c r="K48" s="4">
        <f>+E48-G48-H48-I48</f>
        <v>0</v>
      </c>
    </row>
    <row r="49" spans="1:11" ht="12.75" customHeight="1" thickBot="1">
      <c r="A49" s="78" t="s">
        <v>258</v>
      </c>
      <c r="B49" s="68" t="s">
        <v>967</v>
      </c>
      <c r="C49" s="500">
        <f>+'1.1.mell._ÖNK_Mérleg2018'!C49+'1.2.mell._HKÖH_Mérleg2018'!C49+'1.3.mell._HVÓBKI_Mérleg2018'!C49+'1.4.mell._HKK_Mérleg2018'!C49+'1.5._mell._MŐSZ_Mérleg2018'!C49+'1.6._mell._HVGYKCSSZ_Mérleg2018'!C49</f>
        <v>2000</v>
      </c>
      <c r="D49" s="22">
        <f>+'1.1.mell._ÖNK_Mérleg2018'!D49+'1.2.mell._HKÖH_Mérleg2018'!D49+'1.3.mell._HVÓBKI_Mérleg2018'!D49+'1.4.mell._HKK_Mérleg2018'!D49+'1.5._mell._MŐSZ_Mérleg2018'!D49+'1.6._mell._HVGYKCSSZ_Mérleg2018'!D49</f>
        <v>1114</v>
      </c>
      <c r="E49" s="22">
        <f>+'1.1.mell._ÖNK_Mérleg2018'!E49+'1.2.mell._HKÖH_Mérleg2018'!E49+'1.3.mell._HVÓBKI_Mérleg2018'!E49+'1.4.mell._HKK_Mérleg2018'!E49+'1.5._mell._MŐSZ_Mérleg2018'!E49+'1.6._mell._HVGYKCSSZ_Mérleg2018'!E49</f>
        <v>212</v>
      </c>
      <c r="F49" s="1404">
        <f t="shared" si="1"/>
        <v>0.19030520646319568</v>
      </c>
      <c r="G49" s="21">
        <f>+'1.1.mell._ÖNK_Mérleg2018'!G49+'1.2.mell._HKÖH_Mérleg2018'!G49+'1.3.mell._HVÓBKI_Mérleg2018'!G49+'1.4.mell._HKK_Mérleg2018'!G49+'1.5._mell._MŐSZ_Mérleg2018'!G49+'1.6._mell._HVGYKCSSZ_Mérleg2018'!G49</f>
        <v>212</v>
      </c>
      <c r="H49" s="22">
        <f>+'1.1.mell._ÖNK_Mérleg2018'!H49+'1.2.mell._HKÖH_Mérleg2018'!H49+'1.3.mell._HVÓBKI_Mérleg2018'!H49+'1.4.mell._HKK_Mérleg2018'!H49+'1.5._mell._MŐSZ_Mérleg2018'!H49+'1.6._mell._HVGYKCSSZ_Mérleg2018'!H49</f>
        <v>0</v>
      </c>
      <c r="I49" s="23">
        <f>+'1.1.mell._ÖNK_Mérleg2018'!I49+'1.2.mell._HKÖH_Mérleg2018'!I49+'1.3.mell._HVÓBKI_Mérleg2018'!I49+'1.4.mell._HKK_Mérleg2018'!I49+'1.5._mell._MŐSZ_Mérleg2018'!I49+'1.6._mell._HVGYKCSSZ_Mérleg2018'!I49</f>
        <v>0</v>
      </c>
      <c r="K49" s="4">
        <f>+E49-G49-H49-I49</f>
        <v>0</v>
      </c>
    </row>
    <row r="50" spans="1:11" s="3" customFormat="1" ht="12.75" thickBot="1">
      <c r="A50" s="83" t="s">
        <v>15</v>
      </c>
      <c r="B50" s="69" t="s">
        <v>300</v>
      </c>
      <c r="C50" s="1049">
        <f t="shared" ref="C50:F50" si="7">+C51+C58+C64</f>
        <v>88682</v>
      </c>
      <c r="D50" s="28">
        <f t="shared" si="7"/>
        <v>1349480</v>
      </c>
      <c r="E50" s="28">
        <f t="shared" si="7"/>
        <v>1341037</v>
      </c>
      <c r="F50" s="1400">
        <f t="shared" si="1"/>
        <v>0.99374351602098587</v>
      </c>
      <c r="G50" s="27">
        <f>+G51+G58+G64</f>
        <v>1340148</v>
      </c>
      <c r="H50" s="28">
        <f>+H51+H58+H64</f>
        <v>889</v>
      </c>
      <c r="I50" s="29">
        <f>+I51+I58+I64</f>
        <v>0</v>
      </c>
      <c r="J50" s="712">
        <f>+E50/$E$102</f>
        <v>0.23422885116800296</v>
      </c>
      <c r="K50" s="3">
        <f>+E50-G50-H50-I50</f>
        <v>0</v>
      </c>
    </row>
    <row r="51" spans="1:11" s="3" customFormat="1" ht="12.75" customHeight="1" thickBot="1">
      <c r="A51" s="83" t="s">
        <v>14</v>
      </c>
      <c r="B51" s="64" t="s">
        <v>301</v>
      </c>
      <c r="C51" s="1049">
        <f t="shared" ref="C51:F51" si="8">+C52+C53+C54+C55+C56</f>
        <v>71832</v>
      </c>
      <c r="D51" s="28">
        <f t="shared" si="8"/>
        <v>1331164</v>
      </c>
      <c r="E51" s="28">
        <f t="shared" si="8"/>
        <v>1331164</v>
      </c>
      <c r="F51" s="1400">
        <f t="shared" si="1"/>
        <v>1</v>
      </c>
      <c r="G51" s="27">
        <f>+G52+G53+G54+G55+G56</f>
        <v>1331164</v>
      </c>
      <c r="H51" s="28">
        <f>+H52+H53+H54+H55+H56</f>
        <v>0</v>
      </c>
      <c r="I51" s="29">
        <f>+I52+I53+I54+I55+I56</f>
        <v>0</v>
      </c>
      <c r="J51" s="712">
        <f>+E51/$E$102</f>
        <v>0.23250440848105122</v>
      </c>
      <c r="K51" s="3">
        <f>+E51-G51-H51-I51</f>
        <v>0</v>
      </c>
    </row>
    <row r="52" spans="1:11">
      <c r="A52" s="84" t="s">
        <v>185</v>
      </c>
      <c r="B52" s="113" t="s">
        <v>116</v>
      </c>
      <c r="C52" s="1051">
        <f>+'1.1.mell._ÖNK_Mérleg2018'!C52+'1.2.mell._HKÖH_Mérleg2018'!C52+'1.3.mell._HVÓBKI_Mérleg2018'!C52+'1.4.mell._HKK_Mérleg2018'!C52+'1.5._mell._MŐSZ_Mérleg2018'!C52+'1.6._mell._HVGYKCSSZ_Mérleg2018'!C52</f>
        <v>0</v>
      </c>
      <c r="D52" s="10">
        <f>+'1.1.mell._ÖNK_Mérleg2018'!D52+'1.2.mell._HKÖH_Mérleg2018'!D52+'1.3.mell._HVÓBKI_Mérleg2018'!D52+'1.4.mell._HKK_Mérleg2018'!D52+'1.5._mell._MŐSZ_Mérleg2018'!D52+'1.6._mell._HVGYKCSSZ_Mérleg2018'!D52</f>
        <v>22708</v>
      </c>
      <c r="E52" s="10">
        <f>+'1.1.mell._ÖNK_Mérleg2018'!E52+'1.2.mell._HKÖH_Mérleg2018'!E52+'1.3.mell._HVÓBKI_Mérleg2018'!E52+'1.4.mell._HKK_Mérleg2018'!E52+'1.5._mell._MŐSZ_Mérleg2018'!E52+'1.6._mell._HVGYKCSSZ_Mérleg2018'!E52</f>
        <v>22708</v>
      </c>
      <c r="F52" s="1401">
        <f t="shared" si="1"/>
        <v>1</v>
      </c>
      <c r="G52" s="34">
        <f>+'1.1.mell._ÖNK_Mérleg2018'!G52+'1.2.mell._HKÖH_Mérleg2018'!G52+'1.3.mell._HVÓBKI_Mérleg2018'!G52+'1.4.mell._HKK_Mérleg2018'!G52+'1.5._mell._MŐSZ_Mérleg2018'!G52+'1.6._mell._HVGYKCSSZ_Mérleg2018'!G52</f>
        <v>22708</v>
      </c>
      <c r="H52" s="10">
        <f>+'1.1.mell._ÖNK_Mérleg2018'!H52+'1.2.mell._HKÖH_Mérleg2018'!H52+'1.3.mell._HVÓBKI_Mérleg2018'!H52+'1.4.mell._HKK_Mérleg2018'!H52+'1.5._mell._MŐSZ_Mérleg2018'!H52+'1.6._mell._HVGYKCSSZ_Mérleg2018'!H52</f>
        <v>0</v>
      </c>
      <c r="I52" s="35">
        <f>+'1.1.mell._ÖNK_Mérleg2018'!I52+'1.2.mell._HKÖH_Mérleg2018'!I52+'1.3.mell._HVÓBKI_Mérleg2018'!I52+'1.4.mell._HKK_Mérleg2018'!I52+'1.5._mell._MŐSZ_Mérleg2018'!I52+'1.6._mell._HVGYKCSSZ_Mérleg2018'!I52</f>
        <v>0</v>
      </c>
      <c r="K52" s="4">
        <f>+E52-G52-H52-I52</f>
        <v>0</v>
      </c>
    </row>
    <row r="53" spans="1:11">
      <c r="A53" s="85" t="s">
        <v>186</v>
      </c>
      <c r="B53" s="67" t="s">
        <v>117</v>
      </c>
      <c r="C53" s="501">
        <f>+'1.1.mell._ÖNK_Mérleg2018'!C53+'1.2.mell._HKÖH_Mérleg2018'!C53+'1.3.mell._HVÓBKI_Mérleg2018'!C53+'1.4.mell._HKK_Mérleg2018'!C53+'1.5._mell._MŐSZ_Mérleg2018'!C53+'1.6._mell._HVGYKCSSZ_Mérleg2018'!C53</f>
        <v>0</v>
      </c>
      <c r="D53" s="11">
        <f>+'1.1.mell._ÖNK_Mérleg2018'!D53+'1.2.mell._HKÖH_Mérleg2018'!D53+'1.3.mell._HVÓBKI_Mérleg2018'!D53+'1.4.mell._HKK_Mérleg2018'!D53+'1.5._mell._MŐSZ_Mérleg2018'!D53+'1.6._mell._HVGYKCSSZ_Mérleg2018'!D53</f>
        <v>0</v>
      </c>
      <c r="E53" s="11">
        <f>+'1.1.mell._ÖNK_Mérleg2018'!E53+'1.2.mell._HKÖH_Mérleg2018'!E53+'1.3.mell._HVÓBKI_Mérleg2018'!E53+'1.4.mell._HKK_Mérleg2018'!E53+'1.5._mell._MŐSZ_Mérleg2018'!E53+'1.6._mell._HVGYKCSSZ_Mérleg2018'!E53</f>
        <v>0</v>
      </c>
      <c r="F53" s="1402" t="str">
        <f t="shared" si="1"/>
        <v>-</v>
      </c>
      <c r="G53" s="20">
        <f>+'1.1.mell._ÖNK_Mérleg2018'!G53+'1.2.mell._HKÖH_Mérleg2018'!G53+'1.3.mell._HVÓBKI_Mérleg2018'!G53+'1.4.mell._HKK_Mérleg2018'!G53+'1.5._mell._MŐSZ_Mérleg2018'!G53+'1.6._mell._HVGYKCSSZ_Mérleg2018'!G53</f>
        <v>0</v>
      </c>
      <c r="H53" s="11">
        <f>+'1.1.mell._ÖNK_Mérleg2018'!H53+'1.2.mell._HKÖH_Mérleg2018'!H53+'1.3.mell._HVÓBKI_Mérleg2018'!H53+'1.4.mell._HKK_Mérleg2018'!H53+'1.5._mell._MŐSZ_Mérleg2018'!H53+'1.6._mell._HVGYKCSSZ_Mérleg2018'!H53</f>
        <v>0</v>
      </c>
      <c r="I53" s="16">
        <f>+'1.1.mell._ÖNK_Mérleg2018'!I53+'1.2.mell._HKÖH_Mérleg2018'!I53+'1.3.mell._HVÓBKI_Mérleg2018'!I53+'1.4.mell._HKK_Mérleg2018'!I53+'1.5._mell._MŐSZ_Mérleg2018'!I53+'1.6._mell._HVGYKCSSZ_Mérleg2018'!I53</f>
        <v>0</v>
      </c>
      <c r="K53" s="4">
        <f>+E53-G53-H53-I53</f>
        <v>0</v>
      </c>
    </row>
    <row r="54" spans="1:11">
      <c r="A54" s="85" t="s">
        <v>187</v>
      </c>
      <c r="B54" s="67" t="s">
        <v>118</v>
      </c>
      <c r="C54" s="501">
        <f>+'1.1.mell._ÖNK_Mérleg2018'!C54+'1.2.mell._HKÖH_Mérleg2018'!C54+'1.3.mell._HVÓBKI_Mérleg2018'!C54+'1.4.mell._HKK_Mérleg2018'!C54+'1.5._mell._MŐSZ_Mérleg2018'!C54+'1.6._mell._HVGYKCSSZ_Mérleg2018'!C54</f>
        <v>0</v>
      </c>
      <c r="D54" s="11">
        <f>+'1.1.mell._ÖNK_Mérleg2018'!D54+'1.2.mell._HKÖH_Mérleg2018'!D54+'1.3.mell._HVÓBKI_Mérleg2018'!D54+'1.4.mell._HKK_Mérleg2018'!D54+'1.5._mell._MŐSZ_Mérleg2018'!D54+'1.6._mell._HVGYKCSSZ_Mérleg2018'!D54</f>
        <v>0</v>
      </c>
      <c r="E54" s="11">
        <f>+'1.1.mell._ÖNK_Mérleg2018'!E54+'1.2.mell._HKÖH_Mérleg2018'!E54+'1.3.mell._HVÓBKI_Mérleg2018'!E54+'1.4.mell._HKK_Mérleg2018'!E54+'1.5._mell._MŐSZ_Mérleg2018'!E54+'1.6._mell._HVGYKCSSZ_Mérleg2018'!E54</f>
        <v>0</v>
      </c>
      <c r="F54" s="1402" t="str">
        <f t="shared" si="1"/>
        <v>-</v>
      </c>
      <c r="G54" s="20">
        <f>+'1.1.mell._ÖNK_Mérleg2018'!G54+'1.2.mell._HKÖH_Mérleg2018'!G54+'1.3.mell._HVÓBKI_Mérleg2018'!G54+'1.4.mell._HKK_Mérleg2018'!G54+'1.5._mell._MŐSZ_Mérleg2018'!G54+'1.6._mell._HVGYKCSSZ_Mérleg2018'!G54</f>
        <v>0</v>
      </c>
      <c r="H54" s="11">
        <f>+'1.1.mell._ÖNK_Mérleg2018'!H54+'1.2.mell._HKÖH_Mérleg2018'!H54+'1.3.mell._HVÓBKI_Mérleg2018'!H54+'1.4.mell._HKK_Mérleg2018'!H54+'1.5._mell._MŐSZ_Mérleg2018'!H54+'1.6._mell._HVGYKCSSZ_Mérleg2018'!H54</f>
        <v>0</v>
      </c>
      <c r="I54" s="16">
        <f>+'1.1.mell._ÖNK_Mérleg2018'!I54+'1.2.mell._HKÖH_Mérleg2018'!I54+'1.3.mell._HVÓBKI_Mérleg2018'!I54+'1.4.mell._HKK_Mérleg2018'!I54+'1.5._mell._MŐSZ_Mérleg2018'!I54+'1.6._mell._HVGYKCSSZ_Mérleg2018'!I54</f>
        <v>0</v>
      </c>
      <c r="K54" s="4">
        <f>+E54-G54-H54-I54</f>
        <v>0</v>
      </c>
    </row>
    <row r="55" spans="1:11">
      <c r="A55" s="85" t="s">
        <v>188</v>
      </c>
      <c r="B55" s="67" t="s">
        <v>119</v>
      </c>
      <c r="C55" s="501">
        <f>+'1.1.mell._ÖNK_Mérleg2018'!C55+'1.2.mell._HKÖH_Mérleg2018'!C55+'1.3.mell._HVÓBKI_Mérleg2018'!C55+'1.4.mell._HKK_Mérleg2018'!C55+'1.5._mell._MŐSZ_Mérleg2018'!C55+'1.6._mell._HVGYKCSSZ_Mérleg2018'!C55</f>
        <v>0</v>
      </c>
      <c r="D55" s="11">
        <f>+'1.1.mell._ÖNK_Mérleg2018'!D55+'1.2.mell._HKÖH_Mérleg2018'!D55+'1.3.mell._HVÓBKI_Mérleg2018'!D55+'1.4.mell._HKK_Mérleg2018'!D55+'1.5._mell._MŐSZ_Mérleg2018'!D55+'1.6._mell._HVGYKCSSZ_Mérleg2018'!D55</f>
        <v>0</v>
      </c>
      <c r="E55" s="11">
        <f>+'1.1.mell._ÖNK_Mérleg2018'!E55+'1.2.mell._HKÖH_Mérleg2018'!E55+'1.3.mell._HVÓBKI_Mérleg2018'!E55+'1.4.mell._HKK_Mérleg2018'!E55+'1.5._mell._MŐSZ_Mérleg2018'!E55+'1.6._mell._HVGYKCSSZ_Mérleg2018'!E55</f>
        <v>0</v>
      </c>
      <c r="F55" s="1402" t="str">
        <f t="shared" si="1"/>
        <v>-</v>
      </c>
      <c r="G55" s="20">
        <f>+'1.1.mell._ÖNK_Mérleg2018'!G55+'1.2.mell._HKÖH_Mérleg2018'!G55+'1.3.mell._HVÓBKI_Mérleg2018'!G55+'1.4.mell._HKK_Mérleg2018'!G55+'1.5._mell._MŐSZ_Mérleg2018'!G55+'1.6._mell._HVGYKCSSZ_Mérleg2018'!G55</f>
        <v>0</v>
      </c>
      <c r="H55" s="11">
        <f>+'1.1.mell._ÖNK_Mérleg2018'!H55+'1.2.mell._HKÖH_Mérleg2018'!H55+'1.3.mell._HVÓBKI_Mérleg2018'!H55+'1.4.mell._HKK_Mérleg2018'!H55+'1.5._mell._MŐSZ_Mérleg2018'!H55+'1.6._mell._HVGYKCSSZ_Mérleg2018'!H55</f>
        <v>0</v>
      </c>
      <c r="I55" s="16">
        <f>+'1.1.mell._ÖNK_Mérleg2018'!I55+'1.2.mell._HKÖH_Mérleg2018'!I55+'1.3.mell._HVÓBKI_Mérleg2018'!I55+'1.4.mell._HKK_Mérleg2018'!I55+'1.5._mell._MŐSZ_Mérleg2018'!I55+'1.6._mell._HVGYKCSSZ_Mérleg2018'!I55</f>
        <v>0</v>
      </c>
      <c r="K55" s="4">
        <f>+E55-G55-H55-I55</f>
        <v>0</v>
      </c>
    </row>
    <row r="56" spans="1:11">
      <c r="A56" s="78" t="s">
        <v>189</v>
      </c>
      <c r="B56" s="68" t="s">
        <v>120</v>
      </c>
      <c r="C56" s="500">
        <f>+'1.1.mell._ÖNK_Mérleg2018'!C56+'1.2.mell._HKÖH_Mérleg2018'!C56+'1.3.mell._HVÓBKI_Mérleg2018'!C56+'1.4.mell._HKK_Mérleg2018'!C56+'1.5._mell._MŐSZ_Mérleg2018'!C56+'1.6._mell._HVGYKCSSZ_Mérleg2018'!C56</f>
        <v>71832</v>
      </c>
      <c r="D56" s="22">
        <f>+'1.1.mell._ÖNK_Mérleg2018'!D56+'1.2.mell._HKÖH_Mérleg2018'!D56+'1.3.mell._HVÓBKI_Mérleg2018'!D56+'1.4.mell._HKK_Mérleg2018'!D56+'1.5._mell._MŐSZ_Mérleg2018'!D56+'1.6._mell._HVGYKCSSZ_Mérleg2018'!D56</f>
        <v>1308456</v>
      </c>
      <c r="E56" s="22">
        <f>+'1.1.mell._ÖNK_Mérleg2018'!E56+'1.2.mell._HKÖH_Mérleg2018'!E56+'1.3.mell._HVÓBKI_Mérleg2018'!E56+'1.4.mell._HKK_Mérleg2018'!E56+'1.5._mell._MŐSZ_Mérleg2018'!E56+'1.6._mell._HVGYKCSSZ_Mérleg2018'!E56</f>
        <v>1308456</v>
      </c>
      <c r="F56" s="1404">
        <f t="shared" si="1"/>
        <v>1</v>
      </c>
      <c r="G56" s="21">
        <f>+'1.1.mell._ÖNK_Mérleg2018'!G56+'1.2.mell._HKÖH_Mérleg2018'!G56+'1.3.mell._HVÓBKI_Mérleg2018'!G56+'1.4.mell._HKK_Mérleg2018'!G56+'1.5._mell._MŐSZ_Mérleg2018'!G56+'1.6._mell._HVGYKCSSZ_Mérleg2018'!G56</f>
        <v>1308456</v>
      </c>
      <c r="H56" s="22">
        <f>+'1.1.mell._ÖNK_Mérleg2018'!H56+'1.2.mell._HKÖH_Mérleg2018'!H56+'1.3.mell._HVÓBKI_Mérleg2018'!H56+'1.4.mell._HKK_Mérleg2018'!H56+'1.5._mell._MŐSZ_Mérleg2018'!H56+'1.6._mell._HVGYKCSSZ_Mérleg2018'!H56</f>
        <v>0</v>
      </c>
      <c r="I56" s="23">
        <f>+'1.1.mell._ÖNK_Mérleg2018'!I56+'1.2.mell._HKÖH_Mérleg2018'!I56+'1.3.mell._HVÓBKI_Mérleg2018'!I56+'1.4.mell._HKK_Mérleg2018'!I56+'1.5._mell._MŐSZ_Mérleg2018'!I56+'1.6._mell._HVGYKCSSZ_Mérleg2018'!I56</f>
        <v>0</v>
      </c>
      <c r="K56" s="4">
        <f>+E56-G56-H56-I56</f>
        <v>0</v>
      </c>
    </row>
    <row r="57" spans="1:11" s="13" customFormat="1" ht="12.75" thickBot="1">
      <c r="A57" s="89" t="s">
        <v>334</v>
      </c>
      <c r="B57" s="818" t="s">
        <v>338</v>
      </c>
      <c r="C57" s="1050">
        <f>+'1.1.mell._ÖNK_Mérleg2018'!C57+'1.2.mell._HKÖH_Mérleg2018'!C57+'1.3.mell._HVÓBKI_Mérleg2018'!C57+'1.4.mell._HKK_Mérleg2018'!C57+'1.5._mell._MŐSZ_Mérleg2018'!C57+'1.6._mell._HVGYKCSSZ_Mérleg2018'!C57</f>
        <v>55832</v>
      </c>
      <c r="D57" s="43">
        <f>+'1.1.mell._ÖNK_Mérleg2018'!D57+'1.2.mell._HKÖH_Mérleg2018'!D57+'1.3.mell._HVÓBKI_Mérleg2018'!D57+'1.4.mell._HKK_Mérleg2018'!D57+'1.5._mell._MŐSZ_Mérleg2018'!D57+'1.6._mell._HVGYKCSSZ_Mérleg2018'!D57</f>
        <v>1289663</v>
      </c>
      <c r="E57" s="43">
        <f>+'1.1.mell._ÖNK_Mérleg2018'!E57+'1.2.mell._HKÖH_Mérleg2018'!E57+'1.3.mell._HVÓBKI_Mérleg2018'!E57+'1.4.mell._HKK_Mérleg2018'!E57+'1.5._mell._MŐSZ_Mérleg2018'!E57+'1.6._mell._HVGYKCSSZ_Mérleg2018'!E57</f>
        <v>1289663</v>
      </c>
      <c r="F57" s="1404">
        <f t="shared" si="1"/>
        <v>1</v>
      </c>
      <c r="G57" s="45">
        <f>+'1.1.mell._ÖNK_Mérleg2018'!G57+'1.2.mell._HKÖH_Mérleg2018'!G57+'1.3.mell._HVÓBKI_Mérleg2018'!G57+'1.4.mell._HKK_Mérleg2018'!G57+'1.5._mell._MŐSZ_Mérleg2018'!G57+'1.6._mell._HVGYKCSSZ_Mérleg2018'!G57</f>
        <v>1289663</v>
      </c>
      <c r="H57" s="43">
        <f>+'1.1.mell._ÖNK_Mérleg2018'!H57+'1.2.mell._HKÖH_Mérleg2018'!H57+'1.3.mell._HVÓBKI_Mérleg2018'!H57+'1.4.mell._HKK_Mérleg2018'!H57+'1.5._mell._MŐSZ_Mérleg2018'!H57+'1.6._mell._HVGYKCSSZ_Mérleg2018'!H57</f>
        <v>0</v>
      </c>
      <c r="I57" s="44">
        <f>+'1.1.mell._ÖNK_Mérleg2018'!I57+'1.2.mell._HKÖH_Mérleg2018'!I57+'1.3.mell._HVÓBKI_Mérleg2018'!I57+'1.4.mell._HKK_Mérleg2018'!I57+'1.5._mell._MŐSZ_Mérleg2018'!I57+'1.6._mell._HVGYKCSSZ_Mérleg2018'!I57</f>
        <v>0</v>
      </c>
      <c r="K57" s="13">
        <f>+E57-G57-H57-I57</f>
        <v>0</v>
      </c>
    </row>
    <row r="58" spans="1:11" s="3" customFormat="1" ht="12.75" customHeight="1" thickBot="1">
      <c r="A58" s="83" t="s">
        <v>13</v>
      </c>
      <c r="B58" s="64" t="s">
        <v>302</v>
      </c>
      <c r="C58" s="1049">
        <f t="shared" ref="C58:F58" si="9">+C59+C60+C61+C62+C63</f>
        <v>15350</v>
      </c>
      <c r="D58" s="28">
        <f t="shared" si="9"/>
        <v>8386</v>
      </c>
      <c r="E58" s="28">
        <f t="shared" si="9"/>
        <v>6864</v>
      </c>
      <c r="F58" s="1400">
        <f t="shared" si="1"/>
        <v>0.81850703553541615</v>
      </c>
      <c r="G58" s="27">
        <f>+G59+G60+G61+G62+G63</f>
        <v>6864</v>
      </c>
      <c r="H58" s="28">
        <f>+H59+H60+H61+H62+H63</f>
        <v>0</v>
      </c>
      <c r="I58" s="29">
        <f>+I59+I60+I61+I62+I63</f>
        <v>0</v>
      </c>
      <c r="J58" s="712">
        <f>+E58/$E$102</f>
        <v>1.1988832779536824E-3</v>
      </c>
      <c r="K58" s="3">
        <f>+E58-G58-H58-I58</f>
        <v>0</v>
      </c>
    </row>
    <row r="59" spans="1:11" ht="12.75" customHeight="1">
      <c r="A59" s="84" t="s">
        <v>66</v>
      </c>
      <c r="B59" s="65" t="s">
        <v>121</v>
      </c>
      <c r="C59" s="1051">
        <f>+'1.1.mell._ÖNK_Mérleg2018'!C59+'1.2.mell._HKÖH_Mérleg2018'!C59+'1.3.mell._HVÓBKI_Mérleg2018'!C59+'1.4.mell._HKK_Mérleg2018'!C59+'1.5._mell._MŐSZ_Mérleg2018'!C59+'1.6._mell._HVGYKCSSZ_Mérleg2018'!C59</f>
        <v>0</v>
      </c>
      <c r="D59" s="10">
        <f>+'1.1.mell._ÖNK_Mérleg2018'!D59+'1.2.mell._HKÖH_Mérleg2018'!D59+'1.3.mell._HVÓBKI_Mérleg2018'!D59+'1.4.mell._HKK_Mérleg2018'!D59+'1.5._mell._MŐSZ_Mérleg2018'!D59+'1.6._mell._HVGYKCSSZ_Mérleg2018'!D59</f>
        <v>0</v>
      </c>
      <c r="E59" s="10">
        <f>+'1.1.mell._ÖNK_Mérleg2018'!E59+'1.2.mell._HKÖH_Mérleg2018'!E59+'1.3.mell._HVÓBKI_Mérleg2018'!E59+'1.4.mell._HKK_Mérleg2018'!E59+'1.5._mell._MŐSZ_Mérleg2018'!E59+'1.6._mell._HVGYKCSSZ_Mérleg2018'!E59</f>
        <v>0</v>
      </c>
      <c r="F59" s="1401" t="str">
        <f t="shared" si="1"/>
        <v>-</v>
      </c>
      <c r="G59" s="34">
        <f>+'1.1.mell._ÖNK_Mérleg2018'!G59+'1.2.mell._HKÖH_Mérleg2018'!G59+'1.3.mell._HVÓBKI_Mérleg2018'!G59+'1.4.mell._HKK_Mérleg2018'!G59+'1.5._mell._MŐSZ_Mérleg2018'!G59+'1.6._mell._HVGYKCSSZ_Mérleg2018'!G59</f>
        <v>0</v>
      </c>
      <c r="H59" s="10">
        <f>+'1.1.mell._ÖNK_Mérleg2018'!H59+'1.2.mell._HKÖH_Mérleg2018'!H59+'1.3.mell._HVÓBKI_Mérleg2018'!H59+'1.4.mell._HKK_Mérleg2018'!H59+'1.5._mell._MŐSZ_Mérleg2018'!H59+'1.6._mell._HVGYKCSSZ_Mérleg2018'!H59</f>
        <v>0</v>
      </c>
      <c r="I59" s="35">
        <f>+'1.1.mell._ÖNK_Mérleg2018'!I59+'1.2.mell._HKÖH_Mérleg2018'!I59+'1.3.mell._HVÓBKI_Mérleg2018'!I59+'1.4.mell._HKK_Mérleg2018'!I59+'1.5._mell._MŐSZ_Mérleg2018'!I59+'1.6._mell._HVGYKCSSZ_Mérleg2018'!I59</f>
        <v>0</v>
      </c>
      <c r="K59" s="4">
        <f>+E59-G59-H59-I59</f>
        <v>0</v>
      </c>
    </row>
    <row r="60" spans="1:11" ht="12.75" customHeight="1">
      <c r="A60" s="85" t="s">
        <v>67</v>
      </c>
      <c r="B60" s="67" t="s">
        <v>122</v>
      </c>
      <c r="C60" s="501">
        <f>+'1.1.mell._ÖNK_Mérleg2018'!C60+'1.2.mell._HKÖH_Mérleg2018'!C60+'1.3.mell._HVÓBKI_Mérleg2018'!C60+'1.4.mell._HKK_Mérleg2018'!C60+'1.5._mell._MŐSZ_Mérleg2018'!C60+'1.6._mell._HVGYKCSSZ_Mérleg2018'!C60</f>
        <v>15350</v>
      </c>
      <c r="D60" s="11">
        <f>+'1.1.mell._ÖNK_Mérleg2018'!D60+'1.2.mell._HKÖH_Mérleg2018'!D60+'1.3.mell._HVÓBKI_Mérleg2018'!D60+'1.4.mell._HKK_Mérleg2018'!D60+'1.5._mell._MŐSZ_Mérleg2018'!D60+'1.6._mell._HVGYKCSSZ_Mérleg2018'!D60</f>
        <v>6786</v>
      </c>
      <c r="E60" s="11">
        <f>+'1.1.mell._ÖNK_Mérleg2018'!E60+'1.2.mell._HKÖH_Mérleg2018'!E60+'1.3.mell._HVÓBKI_Mérleg2018'!E60+'1.4.mell._HKK_Mérleg2018'!E60+'1.5._mell._MŐSZ_Mérleg2018'!E60+'1.6._mell._HVGYKCSSZ_Mérleg2018'!E60</f>
        <v>5264</v>
      </c>
      <c r="F60" s="1402">
        <f t="shared" si="1"/>
        <v>0.77571470674918952</v>
      </c>
      <c r="G60" s="20">
        <f>+'1.1.mell._ÖNK_Mérleg2018'!G60+'1.2.mell._HKÖH_Mérleg2018'!G60+'1.3.mell._HVÓBKI_Mérleg2018'!G60+'1.4.mell._HKK_Mérleg2018'!G60+'1.5._mell._MŐSZ_Mérleg2018'!G60+'1.6._mell._HVGYKCSSZ_Mérleg2018'!G60</f>
        <v>5264</v>
      </c>
      <c r="H60" s="11">
        <f>+'1.1.mell._ÖNK_Mérleg2018'!H60+'1.2.mell._HKÖH_Mérleg2018'!H60+'1.3.mell._HVÓBKI_Mérleg2018'!H60+'1.4.mell._HKK_Mérleg2018'!H60+'1.5._mell._MŐSZ_Mérleg2018'!H60+'1.6._mell._HVGYKCSSZ_Mérleg2018'!H60</f>
        <v>0</v>
      </c>
      <c r="I60" s="16">
        <f>+'1.1.mell._ÖNK_Mérleg2018'!I60+'1.2.mell._HKÖH_Mérleg2018'!I60+'1.3.mell._HVÓBKI_Mérleg2018'!I60+'1.4.mell._HKK_Mérleg2018'!I60+'1.5._mell._MŐSZ_Mérleg2018'!I60+'1.6._mell._HVGYKCSSZ_Mérleg2018'!I60</f>
        <v>0</v>
      </c>
      <c r="K60" s="4">
        <f>+E60-G60-H60-I60</f>
        <v>0</v>
      </c>
    </row>
    <row r="61" spans="1:11" ht="12.75" customHeight="1">
      <c r="A61" s="85" t="s">
        <v>68</v>
      </c>
      <c r="B61" s="67" t="s">
        <v>123</v>
      </c>
      <c r="C61" s="501">
        <f>+'1.1.mell._ÖNK_Mérleg2018'!C61+'1.2.mell._HKÖH_Mérleg2018'!C61+'1.3.mell._HVÓBKI_Mérleg2018'!C61+'1.4.mell._HKK_Mérleg2018'!C61+'1.5._mell._MŐSZ_Mérleg2018'!C61+'1.6._mell._HVGYKCSSZ_Mérleg2018'!C61</f>
        <v>0</v>
      </c>
      <c r="D61" s="11">
        <f>+'1.1.mell._ÖNK_Mérleg2018'!D61+'1.2.mell._HKÖH_Mérleg2018'!D61+'1.3.mell._HVÓBKI_Mérleg2018'!D61+'1.4.mell._HKK_Mérleg2018'!D61+'1.5._mell._MŐSZ_Mérleg2018'!D61+'1.6._mell._HVGYKCSSZ_Mérleg2018'!D61</f>
        <v>1600</v>
      </c>
      <c r="E61" s="11">
        <f>+'1.1.mell._ÖNK_Mérleg2018'!E61+'1.2.mell._HKÖH_Mérleg2018'!E61+'1.3.mell._HVÓBKI_Mérleg2018'!E61+'1.4.mell._HKK_Mérleg2018'!E61+'1.5._mell._MŐSZ_Mérleg2018'!E61+'1.6._mell._HVGYKCSSZ_Mérleg2018'!E61</f>
        <v>1600</v>
      </c>
      <c r="F61" s="1402">
        <f t="shared" si="1"/>
        <v>1</v>
      </c>
      <c r="G61" s="20">
        <f>+'1.1.mell._ÖNK_Mérleg2018'!G61+'1.2.mell._HKÖH_Mérleg2018'!G61+'1.3.mell._HVÓBKI_Mérleg2018'!G61+'1.4.mell._HKK_Mérleg2018'!G61+'1.5._mell._MŐSZ_Mérleg2018'!G61+'1.6._mell._HVGYKCSSZ_Mérleg2018'!G61</f>
        <v>1600</v>
      </c>
      <c r="H61" s="11">
        <f>+'1.1.mell._ÖNK_Mérleg2018'!H61+'1.2.mell._HKÖH_Mérleg2018'!H61+'1.3.mell._HVÓBKI_Mérleg2018'!H61+'1.4.mell._HKK_Mérleg2018'!H61+'1.5._mell._MŐSZ_Mérleg2018'!H61+'1.6._mell._HVGYKCSSZ_Mérleg2018'!H61</f>
        <v>0</v>
      </c>
      <c r="I61" s="16">
        <f>+'1.1.mell._ÖNK_Mérleg2018'!I61+'1.2.mell._HKÖH_Mérleg2018'!I61+'1.3.mell._HVÓBKI_Mérleg2018'!I61+'1.4.mell._HKK_Mérleg2018'!I61+'1.5._mell._MŐSZ_Mérleg2018'!I61+'1.6._mell._HVGYKCSSZ_Mérleg2018'!I61</f>
        <v>0</v>
      </c>
      <c r="K61" s="4">
        <f>+E61-G61-H61-I61</f>
        <v>0</v>
      </c>
    </row>
    <row r="62" spans="1:11" ht="12.75" customHeight="1">
      <c r="A62" s="85" t="s">
        <v>230</v>
      </c>
      <c r="B62" s="67" t="s">
        <v>124</v>
      </c>
      <c r="C62" s="501">
        <f>+'1.1.mell._ÖNK_Mérleg2018'!C62+'1.2.mell._HKÖH_Mérleg2018'!C62+'1.3.mell._HVÓBKI_Mérleg2018'!C62+'1.4.mell._HKK_Mérleg2018'!C62+'1.5._mell._MŐSZ_Mérleg2018'!C62+'1.6._mell._HVGYKCSSZ_Mérleg2018'!C62</f>
        <v>0</v>
      </c>
      <c r="D62" s="11">
        <f>+'1.1.mell._ÖNK_Mérleg2018'!D62+'1.2.mell._HKÖH_Mérleg2018'!D62+'1.3.mell._HVÓBKI_Mérleg2018'!D62+'1.4.mell._HKK_Mérleg2018'!D62+'1.5._mell._MŐSZ_Mérleg2018'!D62+'1.6._mell._HVGYKCSSZ_Mérleg2018'!D62</f>
        <v>0</v>
      </c>
      <c r="E62" s="11">
        <f>+'1.1.mell._ÖNK_Mérleg2018'!E62+'1.2.mell._HKÖH_Mérleg2018'!E62+'1.3.mell._HVÓBKI_Mérleg2018'!E62+'1.4.mell._HKK_Mérleg2018'!E62+'1.5._mell._MŐSZ_Mérleg2018'!E62+'1.6._mell._HVGYKCSSZ_Mérleg2018'!E62</f>
        <v>0</v>
      </c>
      <c r="F62" s="1402" t="str">
        <f t="shared" si="1"/>
        <v>-</v>
      </c>
      <c r="G62" s="20">
        <f>+'1.1.mell._ÖNK_Mérleg2018'!G62+'1.2.mell._HKÖH_Mérleg2018'!G62+'1.3.mell._HVÓBKI_Mérleg2018'!G62+'1.4.mell._HKK_Mérleg2018'!G62+'1.5._mell._MŐSZ_Mérleg2018'!G62+'1.6._mell._HVGYKCSSZ_Mérleg2018'!G62</f>
        <v>0</v>
      </c>
      <c r="H62" s="11">
        <f>+'1.1.mell._ÖNK_Mérleg2018'!H62+'1.2.mell._HKÖH_Mérleg2018'!H62+'1.3.mell._HVÓBKI_Mérleg2018'!H62+'1.4.mell._HKK_Mérleg2018'!H62+'1.5._mell._MŐSZ_Mérleg2018'!H62+'1.6._mell._HVGYKCSSZ_Mérleg2018'!H62</f>
        <v>0</v>
      </c>
      <c r="I62" s="16">
        <f>+'1.1.mell._ÖNK_Mérleg2018'!I62+'1.2.mell._HKÖH_Mérleg2018'!I62+'1.3.mell._HVÓBKI_Mérleg2018'!I62+'1.4.mell._HKK_Mérleg2018'!I62+'1.5._mell._MŐSZ_Mérleg2018'!I62+'1.6._mell._HVGYKCSSZ_Mérleg2018'!I62</f>
        <v>0</v>
      </c>
      <c r="K62" s="4">
        <f>+E62-G62-H62-I62</f>
        <v>0</v>
      </c>
    </row>
    <row r="63" spans="1:11" ht="12.75" customHeight="1" thickBot="1">
      <c r="A63" s="78" t="s">
        <v>231</v>
      </c>
      <c r="B63" s="68" t="s">
        <v>125</v>
      </c>
      <c r="C63" s="500">
        <f>+'1.1.mell._ÖNK_Mérleg2018'!C63+'1.2.mell._HKÖH_Mérleg2018'!C63+'1.3.mell._HVÓBKI_Mérleg2018'!C63+'1.4.mell._HKK_Mérleg2018'!C63+'1.5._mell._MŐSZ_Mérleg2018'!C63+'1.6._mell._HVGYKCSSZ_Mérleg2018'!C63</f>
        <v>0</v>
      </c>
      <c r="D63" s="22">
        <f>+'1.1.mell._ÖNK_Mérleg2018'!D63+'1.2.mell._HKÖH_Mérleg2018'!D63+'1.3.mell._HVÓBKI_Mérleg2018'!D63+'1.4.mell._HKK_Mérleg2018'!D63+'1.5._mell._MŐSZ_Mérleg2018'!D63+'1.6._mell._HVGYKCSSZ_Mérleg2018'!D63</f>
        <v>0</v>
      </c>
      <c r="E63" s="22">
        <f>+'1.1.mell._ÖNK_Mérleg2018'!E63+'1.2.mell._HKÖH_Mérleg2018'!E63+'1.3.mell._HVÓBKI_Mérleg2018'!E63+'1.4.mell._HKK_Mérleg2018'!E63+'1.5._mell._MŐSZ_Mérleg2018'!E63+'1.6._mell._HVGYKCSSZ_Mérleg2018'!E63</f>
        <v>0</v>
      </c>
      <c r="F63" s="1404" t="str">
        <f t="shared" si="1"/>
        <v>-</v>
      </c>
      <c r="G63" s="21">
        <f>+'1.1.mell._ÖNK_Mérleg2018'!G63+'1.2.mell._HKÖH_Mérleg2018'!G63+'1.3.mell._HVÓBKI_Mérleg2018'!G63+'1.4.mell._HKK_Mérleg2018'!G63+'1.5._mell._MŐSZ_Mérleg2018'!G63+'1.6._mell._HVGYKCSSZ_Mérleg2018'!G63</f>
        <v>0</v>
      </c>
      <c r="H63" s="22">
        <f>+'1.1.mell._ÖNK_Mérleg2018'!H63+'1.2.mell._HKÖH_Mérleg2018'!H63+'1.3.mell._HVÓBKI_Mérleg2018'!H63+'1.4.mell._HKK_Mérleg2018'!H63+'1.5._mell._MŐSZ_Mérleg2018'!H63+'1.6._mell._HVGYKCSSZ_Mérleg2018'!H63</f>
        <v>0</v>
      </c>
      <c r="I63" s="23">
        <f>+'1.1.mell._ÖNK_Mérleg2018'!I63+'1.2.mell._HKÖH_Mérleg2018'!I63+'1.3.mell._HVÓBKI_Mérleg2018'!I63+'1.4.mell._HKK_Mérleg2018'!I63+'1.5._mell._MŐSZ_Mérleg2018'!I63+'1.6._mell._HVGYKCSSZ_Mérleg2018'!I63</f>
        <v>0</v>
      </c>
      <c r="K63" s="4">
        <f>+E63-G63-H63-I63</f>
        <v>0</v>
      </c>
    </row>
    <row r="64" spans="1:11" s="3" customFormat="1" ht="12.75" thickBot="1">
      <c r="A64" s="83" t="s">
        <v>12</v>
      </c>
      <c r="B64" s="64" t="s">
        <v>971</v>
      </c>
      <c r="C64" s="1049">
        <f t="shared" ref="C64:F64" si="10">+C65+C66+C67+C68+C69</f>
        <v>1500</v>
      </c>
      <c r="D64" s="28">
        <f t="shared" si="10"/>
        <v>9930</v>
      </c>
      <c r="E64" s="28">
        <f t="shared" si="10"/>
        <v>3009</v>
      </c>
      <c r="F64" s="1400">
        <f t="shared" si="1"/>
        <v>0.3030211480362538</v>
      </c>
      <c r="G64" s="27">
        <f>+G65+G66+G67+G68+G69</f>
        <v>2120</v>
      </c>
      <c r="H64" s="28">
        <f>+H65+H66+H67+H68+H69</f>
        <v>889</v>
      </c>
      <c r="I64" s="29">
        <f>+I65+I66+I67+I68+I69</f>
        <v>0</v>
      </c>
      <c r="J64" s="712">
        <f>+E64/$E$102</f>
        <v>5.2555940899805221E-4</v>
      </c>
      <c r="K64" s="3">
        <f>+E64-G64-H64-I64</f>
        <v>0</v>
      </c>
    </row>
    <row r="65" spans="1:11">
      <c r="A65" s="84" t="s">
        <v>69</v>
      </c>
      <c r="B65" s="65" t="s">
        <v>126</v>
      </c>
      <c r="C65" s="1051">
        <f>+'1.1.mell._ÖNK_Mérleg2018'!C65+'1.2.mell._HKÖH_Mérleg2018'!C65+'1.3.mell._HVÓBKI_Mérleg2018'!C65+'1.4.mell._HKK_Mérleg2018'!C65+'1.5._mell._MŐSZ_Mérleg2018'!C65+'1.6._mell._HVGYKCSSZ_Mérleg2018'!C65</f>
        <v>0</v>
      </c>
      <c r="D65" s="10">
        <f>+'1.1.mell._ÖNK_Mérleg2018'!D65+'1.2.mell._HKÖH_Mérleg2018'!D65+'1.3.mell._HVÓBKI_Mérleg2018'!D65+'1.4.mell._HKK_Mérleg2018'!D65+'1.5._mell._MŐSZ_Mérleg2018'!D65+'1.6._mell._HVGYKCSSZ_Mérleg2018'!D65</f>
        <v>0</v>
      </c>
      <c r="E65" s="10">
        <f>+'1.1.mell._ÖNK_Mérleg2018'!E65+'1.2.mell._HKÖH_Mérleg2018'!E65+'1.3.mell._HVÓBKI_Mérleg2018'!E65+'1.4.mell._HKK_Mérleg2018'!E65+'1.5._mell._MŐSZ_Mérleg2018'!E65+'1.6._mell._HVGYKCSSZ_Mérleg2018'!E65</f>
        <v>0</v>
      </c>
      <c r="F65" s="1401" t="str">
        <f t="shared" si="1"/>
        <v>-</v>
      </c>
      <c r="G65" s="34">
        <f>+'1.1.mell._ÖNK_Mérleg2018'!G65+'1.2.mell._HKÖH_Mérleg2018'!G65+'1.3.mell._HVÓBKI_Mérleg2018'!G65+'1.4.mell._HKK_Mérleg2018'!G65+'1.5._mell._MŐSZ_Mérleg2018'!G65+'1.6._mell._HVGYKCSSZ_Mérleg2018'!G65</f>
        <v>0</v>
      </c>
      <c r="H65" s="10">
        <f>+'1.1.mell._ÖNK_Mérleg2018'!H65+'1.2.mell._HKÖH_Mérleg2018'!H65+'1.3.mell._HVÓBKI_Mérleg2018'!H65+'1.4.mell._HKK_Mérleg2018'!H65+'1.5._mell._MŐSZ_Mérleg2018'!H65+'1.6._mell._HVGYKCSSZ_Mérleg2018'!H65</f>
        <v>0</v>
      </c>
      <c r="I65" s="35">
        <f>+'1.1.mell._ÖNK_Mérleg2018'!I65+'1.2.mell._HKÖH_Mérleg2018'!I65+'1.3.mell._HVÓBKI_Mérleg2018'!I65+'1.4.mell._HKK_Mérleg2018'!I65+'1.5._mell._MŐSZ_Mérleg2018'!I65+'1.6._mell._HVGYKCSSZ_Mérleg2018'!I65</f>
        <v>0</v>
      </c>
      <c r="K65" s="4">
        <f>+E65-G65-H65-I65</f>
        <v>0</v>
      </c>
    </row>
    <row r="66" spans="1:11">
      <c r="A66" s="84" t="s">
        <v>70</v>
      </c>
      <c r="B66" s="65" t="s">
        <v>972</v>
      </c>
      <c r="C66" s="1051">
        <f>+'1.1.mell._ÖNK_Mérleg2018'!C66+'1.2.mell._HKÖH_Mérleg2018'!C66+'1.3.mell._HVÓBKI_Mérleg2018'!C66+'1.4.mell._HKK_Mérleg2018'!C66+'1.5._mell._MŐSZ_Mérleg2018'!C66+'1.6._mell._HVGYKCSSZ_Mérleg2018'!C66</f>
        <v>0</v>
      </c>
      <c r="D66" s="10">
        <f>+'1.1.mell._ÖNK_Mérleg2018'!D66+'1.2.mell._HKÖH_Mérleg2018'!D66+'1.3.mell._HVÓBKI_Mérleg2018'!D66+'1.4.mell._HKK_Mérleg2018'!D66+'1.5._mell._MŐSZ_Mérleg2018'!D66+'1.6._mell._HVGYKCSSZ_Mérleg2018'!D66</f>
        <v>0</v>
      </c>
      <c r="E66" s="10">
        <f>+'1.1.mell._ÖNK_Mérleg2018'!E66+'1.2.mell._HKÖH_Mérleg2018'!E66+'1.3.mell._HVÓBKI_Mérleg2018'!E66+'1.4.mell._HKK_Mérleg2018'!E66+'1.5._mell._MŐSZ_Mérleg2018'!E66+'1.6._mell._HVGYKCSSZ_Mérleg2018'!E66</f>
        <v>0</v>
      </c>
      <c r="F66" s="1401" t="str">
        <f t="shared" si="1"/>
        <v>-</v>
      </c>
      <c r="G66" s="34">
        <f>+'1.1.mell._ÖNK_Mérleg2018'!G66+'1.2.mell._HKÖH_Mérleg2018'!G66+'1.3.mell._HVÓBKI_Mérleg2018'!G66+'1.4.mell._HKK_Mérleg2018'!G66+'1.5._mell._MŐSZ_Mérleg2018'!G66+'1.6._mell._HVGYKCSSZ_Mérleg2018'!G66</f>
        <v>0</v>
      </c>
      <c r="H66" s="10">
        <f>+'1.1.mell._ÖNK_Mérleg2018'!H66+'1.2.mell._HKÖH_Mérleg2018'!H66+'1.3.mell._HVÓBKI_Mérleg2018'!H66+'1.4.mell._HKK_Mérleg2018'!H66+'1.5._mell._MŐSZ_Mérleg2018'!H66+'1.6._mell._HVGYKCSSZ_Mérleg2018'!H66</f>
        <v>0</v>
      </c>
      <c r="I66" s="35">
        <f>+'1.1.mell._ÖNK_Mérleg2018'!I66+'1.2.mell._HKÖH_Mérleg2018'!I66+'1.3.mell._HVÓBKI_Mérleg2018'!I66+'1.4.mell._HKK_Mérleg2018'!I66+'1.5._mell._MŐSZ_Mérleg2018'!I66+'1.6._mell._HVGYKCSSZ_Mérleg2018'!I66</f>
        <v>0</v>
      </c>
      <c r="K66" s="4">
        <f>+E66-G66-H66-I66</f>
        <v>0</v>
      </c>
    </row>
    <row r="67" spans="1:11">
      <c r="A67" s="84" t="s">
        <v>71</v>
      </c>
      <c r="B67" s="65" t="s">
        <v>973</v>
      </c>
      <c r="C67" s="1051">
        <f>+'1.1.mell._ÖNK_Mérleg2018'!C67+'1.2.mell._HKÖH_Mérleg2018'!C67+'1.3.mell._HVÓBKI_Mérleg2018'!C67+'1.4.mell._HKK_Mérleg2018'!C67+'1.5._mell._MŐSZ_Mérleg2018'!C67+'1.6._mell._HVGYKCSSZ_Mérleg2018'!C67</f>
        <v>0</v>
      </c>
      <c r="D67" s="10">
        <f>+'1.1.mell._ÖNK_Mérleg2018'!D67+'1.2.mell._HKÖH_Mérleg2018'!D67+'1.3.mell._HVÓBKI_Mérleg2018'!D67+'1.4.mell._HKK_Mérleg2018'!D67+'1.5._mell._MŐSZ_Mérleg2018'!D67+'1.6._mell._HVGYKCSSZ_Mérleg2018'!D67</f>
        <v>0</v>
      </c>
      <c r="E67" s="10">
        <f>+'1.1.mell._ÖNK_Mérleg2018'!E67+'1.2.mell._HKÖH_Mérleg2018'!E67+'1.3.mell._HVÓBKI_Mérleg2018'!E67+'1.4.mell._HKK_Mérleg2018'!E67+'1.5._mell._MŐSZ_Mérleg2018'!E67+'1.6._mell._HVGYKCSSZ_Mérleg2018'!E67</f>
        <v>0</v>
      </c>
      <c r="F67" s="1401" t="str">
        <f t="shared" si="1"/>
        <v>-</v>
      </c>
      <c r="G67" s="34">
        <f>+'1.1.mell._ÖNK_Mérleg2018'!G67+'1.2.mell._HKÖH_Mérleg2018'!G67+'1.3.mell._HVÓBKI_Mérleg2018'!G67+'1.4.mell._HKK_Mérleg2018'!G67+'1.5._mell._MŐSZ_Mérleg2018'!G67+'1.6._mell._HVGYKCSSZ_Mérleg2018'!G67</f>
        <v>0</v>
      </c>
      <c r="H67" s="10">
        <f>+'1.1.mell._ÖNK_Mérleg2018'!H67+'1.2.mell._HKÖH_Mérleg2018'!H67+'1.3.mell._HVÓBKI_Mérleg2018'!H67+'1.4.mell._HKK_Mérleg2018'!H67+'1.5._mell._MŐSZ_Mérleg2018'!H67+'1.6._mell._HVGYKCSSZ_Mérleg2018'!H67</f>
        <v>0</v>
      </c>
      <c r="I67" s="35">
        <f>+'1.1.mell._ÖNK_Mérleg2018'!I67+'1.2.mell._HKÖH_Mérleg2018'!I67+'1.3.mell._HVÓBKI_Mérleg2018'!I67+'1.4.mell._HKK_Mérleg2018'!I67+'1.5._mell._MŐSZ_Mérleg2018'!I67+'1.6._mell._HVGYKCSSZ_Mérleg2018'!I67</f>
        <v>0</v>
      </c>
      <c r="K67" s="4">
        <f>+E67-G67-H67-I67</f>
        <v>0</v>
      </c>
    </row>
    <row r="68" spans="1:11">
      <c r="A68" s="85" t="s">
        <v>72</v>
      </c>
      <c r="B68" s="67" t="s">
        <v>969</v>
      </c>
      <c r="C68" s="501">
        <f>+'1.1.mell._ÖNK_Mérleg2018'!C68+'1.2.mell._HKÖH_Mérleg2018'!C68+'1.3.mell._HVÓBKI_Mérleg2018'!C68+'1.4.mell._HKK_Mérleg2018'!C68+'1.5._mell._MŐSZ_Mérleg2018'!C68+'1.6._mell._HVGYKCSSZ_Mérleg2018'!C68</f>
        <v>0</v>
      </c>
      <c r="D68" s="11">
        <f>+'1.1.mell._ÖNK_Mérleg2018'!D68+'1.2.mell._HKÖH_Mérleg2018'!D68+'1.3.mell._HVÓBKI_Mérleg2018'!D68+'1.4.mell._HKK_Mérleg2018'!D68+'1.5._mell._MŐSZ_Mérleg2018'!D68+'1.6._mell._HVGYKCSSZ_Mérleg2018'!D68</f>
        <v>7894</v>
      </c>
      <c r="E68" s="11">
        <f>+'1.1.mell._ÖNK_Mérleg2018'!E68+'1.2.mell._HKÖH_Mérleg2018'!E68+'1.3.mell._HVÓBKI_Mérleg2018'!E68+'1.4.mell._HKK_Mérleg2018'!E68+'1.5._mell._MŐSZ_Mérleg2018'!E68+'1.6._mell._HVGYKCSSZ_Mérleg2018'!E68</f>
        <v>1009</v>
      </c>
      <c r="F68" s="1402">
        <f t="shared" si="1"/>
        <v>0.1278185964023309</v>
      </c>
      <c r="G68" s="20">
        <f>+'1.1.mell._ÖNK_Mérleg2018'!G68+'1.2.mell._HKÖH_Mérleg2018'!G68+'1.3.mell._HVÓBKI_Mérleg2018'!G68+'1.4.mell._HKK_Mérleg2018'!G68+'1.5._mell._MŐSZ_Mérleg2018'!G68+'1.6._mell._HVGYKCSSZ_Mérleg2018'!G68</f>
        <v>120</v>
      </c>
      <c r="H68" s="11">
        <f>+'1.1.mell._ÖNK_Mérleg2018'!H68+'1.2.mell._HKÖH_Mérleg2018'!H68+'1.3.mell._HVÓBKI_Mérleg2018'!H68+'1.4.mell._HKK_Mérleg2018'!H68+'1.5._mell._MŐSZ_Mérleg2018'!H68+'1.6._mell._HVGYKCSSZ_Mérleg2018'!H68</f>
        <v>889</v>
      </c>
      <c r="I68" s="16">
        <f>+'1.1.mell._ÖNK_Mérleg2018'!I68+'1.2.mell._HKÖH_Mérleg2018'!I68+'1.3.mell._HVÓBKI_Mérleg2018'!I68+'1.4.mell._HKK_Mérleg2018'!I68+'1.5._mell._MŐSZ_Mérleg2018'!I68+'1.6._mell._HVGYKCSSZ_Mérleg2018'!I68</f>
        <v>0</v>
      </c>
      <c r="K68" s="4">
        <f>+E68-G68-H68-I68</f>
        <v>0</v>
      </c>
    </row>
    <row r="69" spans="1:11" ht="12.75" thickBot="1">
      <c r="A69" s="78" t="s">
        <v>968</v>
      </c>
      <c r="B69" s="68" t="s">
        <v>970</v>
      </c>
      <c r="C69" s="500">
        <f>+'1.1.mell._ÖNK_Mérleg2018'!C69+'1.2.mell._HKÖH_Mérleg2018'!C69+'1.3.mell._HVÓBKI_Mérleg2018'!C69+'1.4.mell._HKK_Mérleg2018'!C69+'1.5._mell._MŐSZ_Mérleg2018'!C69+'1.6._mell._HVGYKCSSZ_Mérleg2018'!C69</f>
        <v>1500</v>
      </c>
      <c r="D69" s="22">
        <f>+'1.1.mell._ÖNK_Mérleg2018'!D69+'1.2.mell._HKÖH_Mérleg2018'!D69+'1.3.mell._HVÓBKI_Mérleg2018'!D69+'1.4.mell._HKK_Mérleg2018'!D69+'1.5._mell._MŐSZ_Mérleg2018'!D69+'1.6._mell._HVGYKCSSZ_Mérleg2018'!D69</f>
        <v>2036</v>
      </c>
      <c r="E69" s="22">
        <f>+'1.1.mell._ÖNK_Mérleg2018'!E69+'1.2.mell._HKÖH_Mérleg2018'!E69+'1.3.mell._HVÓBKI_Mérleg2018'!E69+'1.4.mell._HKK_Mérleg2018'!E69+'1.5._mell._MŐSZ_Mérleg2018'!E69+'1.6._mell._HVGYKCSSZ_Mérleg2018'!E69</f>
        <v>2000</v>
      </c>
      <c r="F69" s="1404">
        <f t="shared" si="1"/>
        <v>0.98231827111984282</v>
      </c>
      <c r="G69" s="21">
        <f>+'1.1.mell._ÖNK_Mérleg2018'!G69+'1.2.mell._HKÖH_Mérleg2018'!G69+'1.3.mell._HVÓBKI_Mérleg2018'!G69+'1.4.mell._HKK_Mérleg2018'!G69+'1.5._mell._MŐSZ_Mérleg2018'!G69+'1.6._mell._HVGYKCSSZ_Mérleg2018'!G69</f>
        <v>2000</v>
      </c>
      <c r="H69" s="22">
        <f>+'1.1.mell._ÖNK_Mérleg2018'!H69+'1.2.mell._HKÖH_Mérleg2018'!H69+'1.3.mell._HVÓBKI_Mérleg2018'!H69+'1.4.mell._HKK_Mérleg2018'!H69+'1.5._mell._MŐSZ_Mérleg2018'!H69+'1.6._mell._HVGYKCSSZ_Mérleg2018'!H69</f>
        <v>0</v>
      </c>
      <c r="I69" s="23">
        <f>+'1.1.mell._ÖNK_Mérleg2018'!I69+'1.2.mell._HKÖH_Mérleg2018'!I69+'1.3.mell._HVÓBKI_Mérleg2018'!I69+'1.4.mell._HKK_Mérleg2018'!I69+'1.5._mell._MŐSZ_Mérleg2018'!I69+'1.6._mell._HVGYKCSSZ_Mérleg2018'!I69</f>
        <v>0</v>
      </c>
      <c r="K69" s="4">
        <f>+E69-G69-H69-I69</f>
        <v>0</v>
      </c>
    </row>
    <row r="70" spans="1:11" s="3" customFormat="1" ht="12.75" thickBot="1">
      <c r="A70" s="83" t="s">
        <v>11</v>
      </c>
      <c r="B70" s="69" t="s">
        <v>303</v>
      </c>
      <c r="C70" s="1049">
        <f t="shared" ref="C70:F70" si="11">+C10+C50</f>
        <v>1467320</v>
      </c>
      <c r="D70" s="28">
        <f t="shared" si="11"/>
        <v>3607598</v>
      </c>
      <c r="E70" s="28">
        <f t="shared" si="11"/>
        <v>3417980</v>
      </c>
      <c r="F70" s="1400">
        <f t="shared" si="1"/>
        <v>0.94743926568314984</v>
      </c>
      <c r="G70" s="27">
        <f>+G10+G50</f>
        <v>3387484</v>
      </c>
      <c r="H70" s="28">
        <f>+H10+H50</f>
        <v>27669</v>
      </c>
      <c r="I70" s="29">
        <f>+I10+I50</f>
        <v>2827</v>
      </c>
      <c r="J70" s="712">
        <f>+E70/$E$102</f>
        <v>0.59699287097612574</v>
      </c>
      <c r="K70" s="3">
        <f>+E70-G70-H70-I70</f>
        <v>0</v>
      </c>
    </row>
    <row r="71" spans="1:11" s="3" customFormat="1" ht="12.75" thickBot="1">
      <c r="A71" s="83" t="s">
        <v>10</v>
      </c>
      <c r="B71" s="70" t="s">
        <v>304</v>
      </c>
      <c r="C71" s="1049">
        <f t="shared" ref="C71:F71" si="12">+C72</f>
        <v>1832034</v>
      </c>
      <c r="D71" s="28">
        <f t="shared" si="12"/>
        <v>449560</v>
      </c>
      <c r="E71" s="28">
        <f t="shared" si="12"/>
        <v>449560</v>
      </c>
      <c r="F71" s="1400">
        <f t="shared" si="1"/>
        <v>1</v>
      </c>
      <c r="G71" s="27">
        <f>+G72</f>
        <v>449548</v>
      </c>
      <c r="H71" s="28">
        <f>+H72</f>
        <v>12</v>
      </c>
      <c r="I71" s="29">
        <f>+I72</f>
        <v>0</v>
      </c>
      <c r="J71" s="712">
        <f>+E71/$E$102</f>
        <v>7.8521265506535168E-2</v>
      </c>
      <c r="K71" s="3">
        <f>+E71-G71-H71-I71</f>
        <v>0</v>
      </c>
    </row>
    <row r="72" spans="1:11" s="3" customFormat="1" ht="12.75" thickBot="1">
      <c r="A72" s="83" t="s">
        <v>9</v>
      </c>
      <c r="B72" s="64" t="s">
        <v>980</v>
      </c>
      <c r="C72" s="1049">
        <f t="shared" ref="C72:F72" si="13">+C73+C83+C84+C85</f>
        <v>1832034</v>
      </c>
      <c r="D72" s="28">
        <f t="shared" si="13"/>
        <v>449560</v>
      </c>
      <c r="E72" s="28">
        <f t="shared" si="13"/>
        <v>449560</v>
      </c>
      <c r="F72" s="1400">
        <f t="shared" si="1"/>
        <v>1</v>
      </c>
      <c r="G72" s="27">
        <f>+G73+G83+G84+G85</f>
        <v>449548</v>
      </c>
      <c r="H72" s="28">
        <f>+H73+H83+H84+H85</f>
        <v>12</v>
      </c>
      <c r="I72" s="29">
        <f>+I73+I83+I84+I85</f>
        <v>0</v>
      </c>
      <c r="J72" s="712">
        <f>+E72/$E$102</f>
        <v>7.8521265506535168E-2</v>
      </c>
      <c r="K72" s="3">
        <f>+E72-G72-H72-I72</f>
        <v>0</v>
      </c>
    </row>
    <row r="73" spans="1:11">
      <c r="A73" s="84" t="s">
        <v>73</v>
      </c>
      <c r="B73" s="65" t="s">
        <v>975</v>
      </c>
      <c r="C73" s="1051">
        <f t="shared" ref="C73:F73" si="14">+C74+C75+C76+C77+C78+C79+C80+C81+C82</f>
        <v>1832034</v>
      </c>
      <c r="D73" s="10">
        <f t="shared" si="14"/>
        <v>449560</v>
      </c>
      <c r="E73" s="10">
        <f t="shared" si="14"/>
        <v>449560</v>
      </c>
      <c r="F73" s="1401">
        <f t="shared" si="1"/>
        <v>1</v>
      </c>
      <c r="G73" s="34">
        <f>+G74+G75+G76+G77+G78+G79+G80+G81+G82</f>
        <v>449548</v>
      </c>
      <c r="H73" s="10">
        <f>+H74+H75+H76+H77+H78+H79+H80+H81+H82</f>
        <v>12</v>
      </c>
      <c r="I73" s="35">
        <f>+I74+I75+I76+I77+I78+I79+I80+I81+I82</f>
        <v>0</v>
      </c>
      <c r="K73" s="4">
        <f>+E73-G73-H73-I73</f>
        <v>0</v>
      </c>
    </row>
    <row r="74" spans="1:11" s="13" customFormat="1">
      <c r="A74" s="86" t="s">
        <v>196</v>
      </c>
      <c r="B74" s="66" t="s">
        <v>974</v>
      </c>
      <c r="C74" s="502">
        <f>+'1.1.mell._ÖNK_Mérleg2018'!C74+'1.2.mell._HKÖH_Mérleg2018'!C74+'1.3.mell._HVÓBKI_Mérleg2018'!C74+'1.4.mell._HKK_Mérleg2018'!C74+'1.5._mell._MŐSZ_Mérleg2018'!C74+'1.6._mell._HVGYKCSSZ_Mérleg2018'!C74</f>
        <v>0</v>
      </c>
      <c r="D74" s="12">
        <f>+'1.1.mell._ÖNK_Mérleg2018'!D74+'1.2.mell._HKÖH_Mérleg2018'!D74+'1.3.mell._HVÓBKI_Mérleg2018'!D74+'1.4.mell._HKK_Mérleg2018'!D74+'1.5._mell._MŐSZ_Mérleg2018'!D74+'1.6._mell._HVGYKCSSZ_Mérleg2018'!D74</f>
        <v>85565</v>
      </c>
      <c r="E74" s="12">
        <f>+'1.1.mell._ÖNK_Mérleg2018'!E74+'1.2.mell._HKÖH_Mérleg2018'!E74+'1.3.mell._HVÓBKI_Mérleg2018'!E74+'1.4.mell._HKK_Mérleg2018'!E74+'1.5._mell._MŐSZ_Mérleg2018'!E74+'1.6._mell._HVGYKCSSZ_Mérleg2018'!E74</f>
        <v>85565</v>
      </c>
      <c r="F74" s="1402">
        <f t="shared" ref="F74:F102" si="15">IF(ISERROR(E74/D74),"-",E74/D74)</f>
        <v>1</v>
      </c>
      <c r="G74" s="19">
        <f>+'1.1.mell._ÖNK_Mérleg2018'!G74+'1.2.mell._HKÖH_Mérleg2018'!G74+'1.3.mell._HVÓBKI_Mérleg2018'!G74+'1.4.mell._HKK_Mérleg2018'!G74+'1.5._mell._MŐSZ_Mérleg2018'!G74+'1.6._mell._HVGYKCSSZ_Mérleg2018'!G74</f>
        <v>85565</v>
      </c>
      <c r="H74" s="12">
        <f>+'1.1.mell._ÖNK_Mérleg2018'!H74+'1.2.mell._HKÖH_Mérleg2018'!H74+'1.3.mell._HVÓBKI_Mérleg2018'!H74+'1.4.mell._HKK_Mérleg2018'!H74+'1.5._mell._MŐSZ_Mérleg2018'!H74+'1.6._mell._HVGYKCSSZ_Mérleg2018'!H74</f>
        <v>0</v>
      </c>
      <c r="I74" s="15">
        <f>+'1.1.mell._ÖNK_Mérleg2018'!I74+'1.2.mell._HKÖH_Mérleg2018'!I74+'1.3.mell._HVÓBKI_Mérleg2018'!I74+'1.4.mell._HKK_Mérleg2018'!I74+'1.5._mell._MŐSZ_Mérleg2018'!I74+'1.6._mell._HVGYKCSSZ_Mérleg2018'!I74</f>
        <v>0</v>
      </c>
      <c r="K74" s="13">
        <f>+E74-G74-H74-I74</f>
        <v>0</v>
      </c>
    </row>
    <row r="75" spans="1:11" s="13" customFormat="1">
      <c r="A75" s="86" t="s">
        <v>197</v>
      </c>
      <c r="B75" s="66" t="s">
        <v>247</v>
      </c>
      <c r="C75" s="502">
        <f>+'1.1.mell._ÖNK_Mérleg2018'!C75+'1.2.mell._HKÖH_Mérleg2018'!C75+'1.3.mell._HVÓBKI_Mérleg2018'!C75+'1.4.mell._HKK_Mérleg2018'!C75+'1.5._mell._MŐSZ_Mérleg2018'!C75+'1.6._mell._HVGYKCSSZ_Mérleg2018'!C75</f>
        <v>0</v>
      </c>
      <c r="D75" s="12">
        <f>+'1.1.mell._ÖNK_Mérleg2018'!D75+'1.2.mell._HKÖH_Mérleg2018'!D75+'1.3.mell._HVÓBKI_Mérleg2018'!D75+'1.4.mell._HKK_Mérleg2018'!D75+'1.5._mell._MŐSZ_Mérleg2018'!D75+'1.6._mell._HVGYKCSSZ_Mérleg2018'!D75</f>
        <v>0</v>
      </c>
      <c r="E75" s="12">
        <f>+'1.1.mell._ÖNK_Mérleg2018'!E75+'1.2.mell._HKÖH_Mérleg2018'!E75+'1.3.mell._HVÓBKI_Mérleg2018'!E75+'1.4.mell._HKK_Mérleg2018'!E75+'1.5._mell._MŐSZ_Mérleg2018'!E75+'1.6._mell._HVGYKCSSZ_Mérleg2018'!E75</f>
        <v>0</v>
      </c>
      <c r="F75" s="1402" t="str">
        <f t="shared" si="15"/>
        <v>-</v>
      </c>
      <c r="G75" s="19">
        <f>+'1.1.mell._ÖNK_Mérleg2018'!G75+'1.2.mell._HKÖH_Mérleg2018'!G75+'1.3.mell._HVÓBKI_Mérleg2018'!G75+'1.4.mell._HKK_Mérleg2018'!G75+'1.5._mell._MŐSZ_Mérleg2018'!G75+'1.6._mell._HVGYKCSSZ_Mérleg2018'!G75</f>
        <v>0</v>
      </c>
      <c r="H75" s="12">
        <f>+'1.1.mell._ÖNK_Mérleg2018'!H75+'1.2.mell._HKÖH_Mérleg2018'!H75+'1.3.mell._HVÓBKI_Mérleg2018'!H75+'1.4.mell._HKK_Mérleg2018'!H75+'1.5._mell._MŐSZ_Mérleg2018'!H75+'1.6._mell._HVGYKCSSZ_Mérleg2018'!H75</f>
        <v>0</v>
      </c>
      <c r="I75" s="15">
        <f>+'1.1.mell._ÖNK_Mérleg2018'!I75+'1.2.mell._HKÖH_Mérleg2018'!I75+'1.3.mell._HVÓBKI_Mérleg2018'!I75+'1.4.mell._HKK_Mérleg2018'!I75+'1.5._mell._MŐSZ_Mérleg2018'!I75+'1.6._mell._HVGYKCSSZ_Mérleg2018'!I75</f>
        <v>0</v>
      </c>
      <c r="K75" s="13">
        <f>+E75-G75-H75-I75</f>
        <v>0</v>
      </c>
    </row>
    <row r="76" spans="1:11" s="13" customFormat="1">
      <c r="A76" s="86" t="s">
        <v>198</v>
      </c>
      <c r="B76" s="66" t="s">
        <v>248</v>
      </c>
      <c r="C76" s="502">
        <f>+'1.1.mell._ÖNK_Mérleg2018'!C76+'1.2.mell._HKÖH_Mérleg2018'!C76+'1.3.mell._HVÓBKI_Mérleg2018'!C76+'1.4.mell._HKK_Mérleg2018'!C76+'1.5._mell._MŐSZ_Mérleg2018'!C76+'1.6._mell._HVGYKCSSZ_Mérleg2018'!C76</f>
        <v>1832034</v>
      </c>
      <c r="D76" s="12">
        <f>+'1.1.mell._ÖNK_Mérleg2018'!D76+'1.2.mell._HKÖH_Mérleg2018'!D76+'1.3.mell._HVÓBKI_Mérleg2018'!D76+'1.4.mell._HKK_Mérleg2018'!D76+'1.5._mell._MŐSZ_Mérleg2018'!D76+'1.6._mell._HVGYKCSSZ_Mérleg2018'!D76</f>
        <v>337324</v>
      </c>
      <c r="E76" s="12">
        <f>+'1.1.mell._ÖNK_Mérleg2018'!E76+'1.2.mell._HKÖH_Mérleg2018'!E76+'1.3.mell._HVÓBKI_Mérleg2018'!E76+'1.4.mell._HKK_Mérleg2018'!E76+'1.5._mell._MŐSZ_Mérleg2018'!E76+'1.6._mell._HVGYKCSSZ_Mérleg2018'!E76</f>
        <v>337324</v>
      </c>
      <c r="F76" s="1402">
        <f t="shared" si="15"/>
        <v>1</v>
      </c>
      <c r="G76" s="19">
        <f>+'1.1.mell._ÖNK_Mérleg2018'!G76+'1.2.mell._HKÖH_Mérleg2018'!G76+'1.3.mell._HVÓBKI_Mérleg2018'!G76+'1.4.mell._HKK_Mérleg2018'!G76+'1.5._mell._MŐSZ_Mérleg2018'!G76+'1.6._mell._HVGYKCSSZ_Mérleg2018'!G76</f>
        <v>337312</v>
      </c>
      <c r="H76" s="12">
        <f>+'1.1.mell._ÖNK_Mérleg2018'!H76+'1.2.mell._HKÖH_Mérleg2018'!H76+'1.3.mell._HVÓBKI_Mérleg2018'!H76+'1.4.mell._HKK_Mérleg2018'!H76+'1.5._mell._MŐSZ_Mérleg2018'!H76+'1.6._mell._HVGYKCSSZ_Mérleg2018'!H76</f>
        <v>12</v>
      </c>
      <c r="I76" s="15">
        <f>+'1.1.mell._ÖNK_Mérleg2018'!I76+'1.2.mell._HKÖH_Mérleg2018'!I76+'1.3.mell._HVÓBKI_Mérleg2018'!I76+'1.4.mell._HKK_Mérleg2018'!I76+'1.5._mell._MŐSZ_Mérleg2018'!I76+'1.6._mell._HVGYKCSSZ_Mérleg2018'!I76</f>
        <v>0</v>
      </c>
      <c r="K76" s="13">
        <f>+E76-G76-H76-I76</f>
        <v>0</v>
      </c>
    </row>
    <row r="77" spans="1:11" s="13" customFormat="1">
      <c r="A77" s="86" t="s">
        <v>199</v>
      </c>
      <c r="B77" s="66" t="s">
        <v>249</v>
      </c>
      <c r="C77" s="502">
        <f>+'1.1.mell._ÖNK_Mérleg2018'!C77+'1.2.mell._HKÖH_Mérleg2018'!C77+'1.3.mell._HVÓBKI_Mérleg2018'!C77+'1.4.mell._HKK_Mérleg2018'!C77+'1.5._mell._MŐSZ_Mérleg2018'!C77+'1.6._mell._HVGYKCSSZ_Mérleg2018'!C77</f>
        <v>0</v>
      </c>
      <c r="D77" s="12">
        <f>+'1.1.mell._ÖNK_Mérleg2018'!D77+'1.2.mell._HKÖH_Mérleg2018'!D77+'1.3.mell._HVÓBKI_Mérleg2018'!D77+'1.4.mell._HKK_Mérleg2018'!D77+'1.5._mell._MŐSZ_Mérleg2018'!D77+'1.6._mell._HVGYKCSSZ_Mérleg2018'!D77</f>
        <v>26671</v>
      </c>
      <c r="E77" s="12">
        <f>+'1.1.mell._ÖNK_Mérleg2018'!E77+'1.2.mell._HKÖH_Mérleg2018'!E77+'1.3.mell._HVÓBKI_Mérleg2018'!E77+'1.4.mell._HKK_Mérleg2018'!E77+'1.5._mell._MŐSZ_Mérleg2018'!E77+'1.6._mell._HVGYKCSSZ_Mérleg2018'!E77</f>
        <v>26671</v>
      </c>
      <c r="F77" s="1402">
        <f t="shared" si="15"/>
        <v>1</v>
      </c>
      <c r="G77" s="19">
        <f>+'1.1.mell._ÖNK_Mérleg2018'!G77+'1.2.mell._HKÖH_Mérleg2018'!G77+'1.3.mell._HVÓBKI_Mérleg2018'!G77+'1.4.mell._HKK_Mérleg2018'!G77+'1.5._mell._MŐSZ_Mérleg2018'!G77+'1.6._mell._HVGYKCSSZ_Mérleg2018'!G77</f>
        <v>26671</v>
      </c>
      <c r="H77" s="12">
        <f>+'1.1.mell._ÖNK_Mérleg2018'!H77+'1.2.mell._HKÖH_Mérleg2018'!H77+'1.3.mell._HVÓBKI_Mérleg2018'!H77+'1.4.mell._HKK_Mérleg2018'!H77+'1.5._mell._MŐSZ_Mérleg2018'!H77+'1.6._mell._HVGYKCSSZ_Mérleg2018'!H77</f>
        <v>0</v>
      </c>
      <c r="I77" s="15">
        <f>+'1.1.mell._ÖNK_Mérleg2018'!I77+'1.2.mell._HKÖH_Mérleg2018'!I77+'1.3.mell._HVÓBKI_Mérleg2018'!I77+'1.4.mell._HKK_Mérleg2018'!I77+'1.5._mell._MŐSZ_Mérleg2018'!I77+'1.6._mell._HVGYKCSSZ_Mérleg2018'!I77</f>
        <v>0</v>
      </c>
      <c r="K77" s="13">
        <f>+E77-G77-H77-I77</f>
        <v>0</v>
      </c>
    </row>
    <row r="78" spans="1:11" s="13" customFormat="1">
      <c r="A78" s="86" t="s">
        <v>200</v>
      </c>
      <c r="B78" s="66" t="s">
        <v>250</v>
      </c>
      <c r="C78" s="502">
        <f>+'1.1.mell._ÖNK_Mérleg2018'!C78+'1.2.mell._HKÖH_Mérleg2018'!C78+'1.3.mell._HVÓBKI_Mérleg2018'!C78+'1.4.mell._HKK_Mérleg2018'!C78+'1.5._mell._MŐSZ_Mérleg2018'!C78+'1.6._mell._HVGYKCSSZ_Mérleg2018'!C78</f>
        <v>0</v>
      </c>
      <c r="D78" s="12">
        <f>+'1.1.mell._ÖNK_Mérleg2018'!D78+'1.2.mell._HKÖH_Mérleg2018'!D78+'1.3.mell._HVÓBKI_Mérleg2018'!D78+'1.4.mell._HKK_Mérleg2018'!D78+'1.5._mell._MŐSZ_Mérleg2018'!D78+'1.6._mell._HVGYKCSSZ_Mérleg2018'!D78</f>
        <v>0</v>
      </c>
      <c r="E78" s="12">
        <f>+'1.1.mell._ÖNK_Mérleg2018'!E78+'1.2.mell._HKÖH_Mérleg2018'!E78+'1.3.mell._HVÓBKI_Mérleg2018'!E78+'1.4.mell._HKK_Mérleg2018'!E78+'1.5._mell._MŐSZ_Mérleg2018'!E78+'1.6._mell._HVGYKCSSZ_Mérleg2018'!E78</f>
        <v>0</v>
      </c>
      <c r="F78" s="1402" t="str">
        <f t="shared" si="15"/>
        <v>-</v>
      </c>
      <c r="G78" s="19">
        <f>+'1.1.mell._ÖNK_Mérleg2018'!G78+'1.2.mell._HKÖH_Mérleg2018'!G78+'1.3.mell._HVÓBKI_Mérleg2018'!G78+'1.4.mell._HKK_Mérleg2018'!G78+'1.5._mell._MŐSZ_Mérleg2018'!G78+'1.6._mell._HVGYKCSSZ_Mérleg2018'!G78</f>
        <v>0</v>
      </c>
      <c r="H78" s="12">
        <f>+'1.1.mell._ÖNK_Mérleg2018'!H78+'1.2.mell._HKÖH_Mérleg2018'!H78+'1.3.mell._HVÓBKI_Mérleg2018'!H78+'1.4.mell._HKK_Mérleg2018'!H78+'1.5._mell._MŐSZ_Mérleg2018'!H78+'1.6._mell._HVGYKCSSZ_Mérleg2018'!H78</f>
        <v>0</v>
      </c>
      <c r="I78" s="15">
        <f>+'1.1.mell._ÖNK_Mérleg2018'!I78+'1.2.mell._HKÖH_Mérleg2018'!I78+'1.3.mell._HVÓBKI_Mérleg2018'!I78+'1.4.mell._HKK_Mérleg2018'!I78+'1.5._mell._MŐSZ_Mérleg2018'!I78+'1.6._mell._HVGYKCSSZ_Mérleg2018'!I78</f>
        <v>0</v>
      </c>
      <c r="K78" s="13">
        <f>+E78-G78-H78-I78</f>
        <v>0</v>
      </c>
    </row>
    <row r="79" spans="1:11" s="13" customFormat="1">
      <c r="A79" s="103" t="s">
        <v>201</v>
      </c>
      <c r="B79" s="104" t="s">
        <v>251</v>
      </c>
      <c r="C79" s="1064"/>
      <c r="D79" s="106"/>
      <c r="E79" s="106"/>
      <c r="F79" s="1405" t="str">
        <f t="shared" si="15"/>
        <v>-</v>
      </c>
      <c r="G79" s="105"/>
      <c r="H79" s="106"/>
      <c r="I79" s="107"/>
      <c r="K79" s="117">
        <f>+E79-G79-H79-I79</f>
        <v>0</v>
      </c>
    </row>
    <row r="80" spans="1:11" s="13" customFormat="1">
      <c r="A80" s="86" t="s">
        <v>204</v>
      </c>
      <c r="B80" s="66" t="s">
        <v>252</v>
      </c>
      <c r="C80" s="502">
        <f>+'1.1.mell._ÖNK_Mérleg2018'!C80+'1.2.mell._HKÖH_Mérleg2018'!C80+'1.3.mell._HVÓBKI_Mérleg2018'!C80+'1.4.mell._HKK_Mérleg2018'!C80+'1.5._mell._MŐSZ_Mérleg2018'!C80+'1.6._mell._HVGYKCSSZ_Mérleg2018'!C80</f>
        <v>0</v>
      </c>
      <c r="D80" s="12">
        <f>+'1.1.mell._ÖNK_Mérleg2018'!D80+'1.2.mell._HKÖH_Mérleg2018'!D80+'1.3.mell._HVÓBKI_Mérleg2018'!D80+'1.4.mell._HKK_Mérleg2018'!D80+'1.5._mell._MŐSZ_Mérleg2018'!D80+'1.6._mell._HVGYKCSSZ_Mérleg2018'!D80</f>
        <v>0</v>
      </c>
      <c r="E80" s="12">
        <f>+'1.1.mell._ÖNK_Mérleg2018'!E80+'1.2.mell._HKÖH_Mérleg2018'!E80+'1.3.mell._HVÓBKI_Mérleg2018'!E80+'1.4.mell._HKK_Mérleg2018'!E80+'1.5._mell._MŐSZ_Mérleg2018'!E80+'1.6._mell._HVGYKCSSZ_Mérleg2018'!E80</f>
        <v>0</v>
      </c>
      <c r="F80" s="1402" t="str">
        <f t="shared" si="15"/>
        <v>-</v>
      </c>
      <c r="G80" s="19">
        <f>+'1.1.mell._ÖNK_Mérleg2018'!G80+'1.2.mell._HKÖH_Mérleg2018'!G80+'1.3.mell._HVÓBKI_Mérleg2018'!G80+'1.4.mell._HKK_Mérleg2018'!G80+'1.5._mell._MŐSZ_Mérleg2018'!G80+'1.6._mell._HVGYKCSSZ_Mérleg2018'!G80</f>
        <v>0</v>
      </c>
      <c r="H80" s="12">
        <f>+'1.1.mell._ÖNK_Mérleg2018'!H80+'1.2.mell._HKÖH_Mérleg2018'!H80+'1.3.mell._HVÓBKI_Mérleg2018'!H80+'1.4.mell._HKK_Mérleg2018'!H80+'1.5._mell._MŐSZ_Mérleg2018'!H80+'1.6._mell._HVGYKCSSZ_Mérleg2018'!H80</f>
        <v>0</v>
      </c>
      <c r="I80" s="15">
        <f>+'1.1.mell._ÖNK_Mérleg2018'!I80+'1.2.mell._HKÖH_Mérleg2018'!I80+'1.3.mell._HVÓBKI_Mérleg2018'!I80+'1.4.mell._HKK_Mérleg2018'!I80+'1.5._mell._MŐSZ_Mérleg2018'!I80+'1.6._mell._HVGYKCSSZ_Mérleg2018'!I80</f>
        <v>0</v>
      </c>
      <c r="K80" s="117">
        <f>+E80-G80-H80-I80</f>
        <v>0</v>
      </c>
    </row>
    <row r="81" spans="1:11" s="13" customFormat="1">
      <c r="A81" s="86" t="s">
        <v>202</v>
      </c>
      <c r="B81" s="66" t="s">
        <v>245</v>
      </c>
      <c r="C81" s="502">
        <f>+'1.1.mell._ÖNK_Mérleg2018'!C81+'1.2.mell._HKÖH_Mérleg2018'!C81+'1.3.mell._HVÓBKI_Mérleg2018'!C81+'1.4.mell._HKK_Mérleg2018'!C81+'1.5._mell._MŐSZ_Mérleg2018'!C81+'1.6._mell._HVGYKCSSZ_Mérleg2018'!C81</f>
        <v>0</v>
      </c>
      <c r="D81" s="12">
        <f>+'1.1.mell._ÖNK_Mérleg2018'!D81+'1.2.mell._HKÖH_Mérleg2018'!D81+'1.3.mell._HVÓBKI_Mérleg2018'!D81+'1.4.mell._HKK_Mérleg2018'!D81+'1.5._mell._MŐSZ_Mérleg2018'!D81+'1.6._mell._HVGYKCSSZ_Mérleg2018'!D81</f>
        <v>0</v>
      </c>
      <c r="E81" s="12">
        <f>+'1.1.mell._ÖNK_Mérleg2018'!E81+'1.2.mell._HKÖH_Mérleg2018'!E81+'1.3.mell._HVÓBKI_Mérleg2018'!E81+'1.4.mell._HKK_Mérleg2018'!E81+'1.5._mell._MŐSZ_Mérleg2018'!E81+'1.6._mell._HVGYKCSSZ_Mérleg2018'!E81</f>
        <v>0</v>
      </c>
      <c r="F81" s="1402" t="str">
        <f t="shared" si="15"/>
        <v>-</v>
      </c>
      <c r="G81" s="19">
        <f>+'1.1.mell._ÖNK_Mérleg2018'!G81+'1.2.mell._HKÖH_Mérleg2018'!G81+'1.3.mell._HVÓBKI_Mérleg2018'!G81+'1.4.mell._HKK_Mérleg2018'!G81+'1.5._mell._MŐSZ_Mérleg2018'!G81+'1.6._mell._HVGYKCSSZ_Mérleg2018'!G81</f>
        <v>0</v>
      </c>
      <c r="H81" s="12">
        <f>+'1.1.mell._ÖNK_Mérleg2018'!H81+'1.2.mell._HKÖH_Mérleg2018'!H81+'1.3.mell._HVÓBKI_Mérleg2018'!H81+'1.4.mell._HKK_Mérleg2018'!H81+'1.5._mell._MŐSZ_Mérleg2018'!H81+'1.6._mell._HVGYKCSSZ_Mérleg2018'!H81</f>
        <v>0</v>
      </c>
      <c r="I81" s="15">
        <f>+'1.1.mell._ÖNK_Mérleg2018'!I81+'1.2.mell._HKÖH_Mérleg2018'!I81+'1.3.mell._HVÓBKI_Mérleg2018'!I81+'1.4.mell._HKK_Mérleg2018'!I81+'1.5._mell._MŐSZ_Mérleg2018'!I81+'1.6._mell._HVGYKCSSZ_Mérleg2018'!I81</f>
        <v>0</v>
      </c>
      <c r="K81" s="117">
        <f>+E81-G81-H81-I81</f>
        <v>0</v>
      </c>
    </row>
    <row r="82" spans="1:11" s="13" customFormat="1">
      <c r="A82" s="86" t="s">
        <v>976</v>
      </c>
      <c r="B82" s="66" t="s">
        <v>977</v>
      </c>
      <c r="C82" s="502">
        <f>+'1.1.mell._ÖNK_Mérleg2018'!C82+'1.2.mell._HKÖH_Mérleg2018'!C82+'1.3.mell._HVÓBKI_Mérleg2018'!C82+'1.4.mell._HKK_Mérleg2018'!C82+'1.5._mell._MŐSZ_Mérleg2018'!C82+'1.6._mell._HVGYKCSSZ_Mérleg2018'!C82</f>
        <v>0</v>
      </c>
      <c r="D82" s="12">
        <f>+'1.1.mell._ÖNK_Mérleg2018'!D82+'1.2.mell._HKÖH_Mérleg2018'!D82+'1.3.mell._HVÓBKI_Mérleg2018'!D82+'1.4.mell._HKK_Mérleg2018'!D82+'1.5._mell._MŐSZ_Mérleg2018'!D82+'1.6._mell._HVGYKCSSZ_Mérleg2018'!D82</f>
        <v>0</v>
      </c>
      <c r="E82" s="12">
        <f>+'1.1.mell._ÖNK_Mérleg2018'!E82+'1.2.mell._HKÖH_Mérleg2018'!E82+'1.3.mell._HVÓBKI_Mérleg2018'!E82+'1.4.mell._HKK_Mérleg2018'!E82+'1.5._mell._MŐSZ_Mérleg2018'!E82+'1.6._mell._HVGYKCSSZ_Mérleg2018'!E82</f>
        <v>0</v>
      </c>
      <c r="F82" s="1402" t="str">
        <f t="shared" si="15"/>
        <v>-</v>
      </c>
      <c r="G82" s="19">
        <f>+'1.1.mell._ÖNK_Mérleg2018'!G82+'1.2.mell._HKÖH_Mérleg2018'!G82+'1.3.mell._HVÓBKI_Mérleg2018'!G82+'1.4.mell._HKK_Mérleg2018'!G82+'1.5._mell._MŐSZ_Mérleg2018'!G82+'1.6._mell._HVGYKCSSZ_Mérleg2018'!G82</f>
        <v>0</v>
      </c>
      <c r="H82" s="12">
        <f>+'1.1.mell._ÖNK_Mérleg2018'!H82+'1.2.mell._HKÖH_Mérleg2018'!H82+'1.3.mell._HVÓBKI_Mérleg2018'!H82+'1.4.mell._HKK_Mérleg2018'!H82+'1.5._mell._MŐSZ_Mérleg2018'!H82+'1.6._mell._HVGYKCSSZ_Mérleg2018'!H82</f>
        <v>0</v>
      </c>
      <c r="I82" s="15">
        <f>+'1.1.mell._ÖNK_Mérleg2018'!I82+'1.2.mell._HKÖH_Mérleg2018'!I82+'1.3.mell._HVÓBKI_Mérleg2018'!I82+'1.4.mell._HKK_Mérleg2018'!I82+'1.5._mell._MŐSZ_Mérleg2018'!I82+'1.6._mell._HVGYKCSSZ_Mérleg2018'!I82</f>
        <v>0</v>
      </c>
      <c r="K82" s="117">
        <f>+E82-G82-H82-I82</f>
        <v>0</v>
      </c>
    </row>
    <row r="83" spans="1:11">
      <c r="A83" s="85" t="s">
        <v>74</v>
      </c>
      <c r="B83" s="67" t="s">
        <v>243</v>
      </c>
      <c r="C83" s="501">
        <f>+'1.1.mell._ÖNK_Mérleg2018'!C83+'1.2.mell._HKÖH_Mérleg2018'!C83+'1.3.mell._HVÓBKI_Mérleg2018'!C83+'1.4.mell._HKK_Mérleg2018'!C83+'1.5._mell._MŐSZ_Mérleg2018'!C83+'1.6._mell._HVGYKCSSZ_Mérleg2018'!C83</f>
        <v>0</v>
      </c>
      <c r="D83" s="11">
        <f>+'1.1.mell._ÖNK_Mérleg2018'!D83+'1.2.mell._HKÖH_Mérleg2018'!D83+'1.3.mell._HVÓBKI_Mérleg2018'!D83+'1.4.mell._HKK_Mérleg2018'!D83+'1.5._mell._MŐSZ_Mérleg2018'!D83+'1.6._mell._HVGYKCSSZ_Mérleg2018'!D83</f>
        <v>0</v>
      </c>
      <c r="E83" s="11">
        <f>+'1.1.mell._ÖNK_Mérleg2018'!E83+'1.2.mell._HKÖH_Mérleg2018'!E83+'1.3.mell._HVÓBKI_Mérleg2018'!E83+'1.4.mell._HKK_Mérleg2018'!E83+'1.5._mell._MŐSZ_Mérleg2018'!E83+'1.6._mell._HVGYKCSSZ_Mérleg2018'!E83</f>
        <v>0</v>
      </c>
      <c r="F83" s="1402" t="str">
        <f t="shared" si="15"/>
        <v>-</v>
      </c>
      <c r="G83" s="20">
        <f>+'1.1.mell._ÖNK_Mérleg2018'!G83+'1.2.mell._HKÖH_Mérleg2018'!G83+'1.3.mell._HVÓBKI_Mérleg2018'!G83+'1.4.mell._HKK_Mérleg2018'!G83+'1.5._mell._MŐSZ_Mérleg2018'!G83+'1.6._mell._HVGYKCSSZ_Mérleg2018'!G83</f>
        <v>0</v>
      </c>
      <c r="H83" s="11">
        <f>+'1.1.mell._ÖNK_Mérleg2018'!H83+'1.2.mell._HKÖH_Mérleg2018'!H83+'1.3.mell._HVÓBKI_Mérleg2018'!H83+'1.4.mell._HKK_Mérleg2018'!H83+'1.5._mell._MŐSZ_Mérleg2018'!H83+'1.6._mell._HVGYKCSSZ_Mérleg2018'!H83</f>
        <v>0</v>
      </c>
      <c r="I83" s="16">
        <f>+'1.1.mell._ÖNK_Mérleg2018'!I83+'1.2.mell._HKÖH_Mérleg2018'!I83+'1.3.mell._HVÓBKI_Mérleg2018'!I83+'1.4.mell._HKK_Mérleg2018'!I83+'1.5._mell._MŐSZ_Mérleg2018'!I83+'1.6._mell._HVGYKCSSZ_Mérleg2018'!I83</f>
        <v>0</v>
      </c>
      <c r="K83" s="118">
        <f>+E83-G83-H83-I83</f>
        <v>0</v>
      </c>
    </row>
    <row r="84" spans="1:11">
      <c r="A84" s="78" t="s">
        <v>203</v>
      </c>
      <c r="B84" s="68" t="s">
        <v>244</v>
      </c>
      <c r="C84" s="500">
        <f>+'1.1.mell._ÖNK_Mérleg2018'!C84+'1.2.mell._HKÖH_Mérleg2018'!C84+'1.3.mell._HVÓBKI_Mérleg2018'!C84+'1.4.mell._HKK_Mérleg2018'!C84+'1.5._mell._MŐSZ_Mérleg2018'!C84+'1.6._mell._HVGYKCSSZ_Mérleg2018'!C84</f>
        <v>0</v>
      </c>
      <c r="D84" s="22">
        <f>+'1.1.mell._ÖNK_Mérleg2018'!D84+'1.2.mell._HKÖH_Mérleg2018'!D84+'1.3.mell._HVÓBKI_Mérleg2018'!D84+'1.4.mell._HKK_Mérleg2018'!D84+'1.5._mell._MŐSZ_Mérleg2018'!D84+'1.6._mell._HVGYKCSSZ_Mérleg2018'!D84</f>
        <v>0</v>
      </c>
      <c r="E84" s="22">
        <f>+'1.1.mell._ÖNK_Mérleg2018'!E84+'1.2.mell._HKÖH_Mérleg2018'!E84+'1.3.mell._HVÓBKI_Mérleg2018'!E84+'1.4.mell._HKK_Mérleg2018'!E84+'1.5._mell._MŐSZ_Mérleg2018'!E84+'1.6._mell._HVGYKCSSZ_Mérleg2018'!E84</f>
        <v>0</v>
      </c>
      <c r="F84" s="1404" t="str">
        <f t="shared" si="15"/>
        <v>-</v>
      </c>
      <c r="G84" s="21">
        <f>+'1.1.mell._ÖNK_Mérleg2018'!G84+'1.2.mell._HKÖH_Mérleg2018'!G84+'1.3.mell._HVÓBKI_Mérleg2018'!G84+'1.4.mell._HKK_Mérleg2018'!G84+'1.5._mell._MŐSZ_Mérleg2018'!G84+'1.6._mell._HVGYKCSSZ_Mérleg2018'!G84</f>
        <v>0</v>
      </c>
      <c r="H84" s="22">
        <f>+'1.1.mell._ÖNK_Mérleg2018'!H84+'1.2.mell._HKÖH_Mérleg2018'!H84+'1.3.mell._HVÓBKI_Mérleg2018'!H84+'1.4.mell._HKK_Mérleg2018'!H84+'1.5._mell._MŐSZ_Mérleg2018'!H84+'1.6._mell._HVGYKCSSZ_Mérleg2018'!H84</f>
        <v>0</v>
      </c>
      <c r="I84" s="23">
        <f>+'1.1.mell._ÖNK_Mérleg2018'!I84+'1.2.mell._HKÖH_Mérleg2018'!I84+'1.3.mell._HVÓBKI_Mérleg2018'!I84+'1.4.mell._HKK_Mérleg2018'!I84+'1.5._mell._MŐSZ_Mérleg2018'!I84+'1.6._mell._HVGYKCSSZ_Mérleg2018'!I84</f>
        <v>0</v>
      </c>
      <c r="K84" s="118">
        <f>+E84-G84-H84-I84</f>
        <v>0</v>
      </c>
    </row>
    <row r="85" spans="1:11" ht="12.75" thickBot="1">
      <c r="A85" s="78" t="s">
        <v>978</v>
      </c>
      <c r="B85" s="68" t="s">
        <v>979</v>
      </c>
      <c r="C85" s="500">
        <f>+'1.1.mell._ÖNK_Mérleg2018'!C85+'1.2.mell._HKÖH_Mérleg2018'!C85+'1.3.mell._HVÓBKI_Mérleg2018'!C85+'1.4.mell._HKK_Mérleg2018'!C85+'1.5._mell._MŐSZ_Mérleg2018'!C85+'1.6._mell._HVGYKCSSZ_Mérleg2018'!C85</f>
        <v>0</v>
      </c>
      <c r="D85" s="22">
        <f>+'1.1.mell._ÖNK_Mérleg2018'!D85+'1.2.mell._HKÖH_Mérleg2018'!D85+'1.3.mell._HVÓBKI_Mérleg2018'!D85+'1.4.mell._HKK_Mérleg2018'!D85+'1.5._mell._MŐSZ_Mérleg2018'!D85+'1.6._mell._HVGYKCSSZ_Mérleg2018'!D85</f>
        <v>0</v>
      </c>
      <c r="E85" s="22">
        <f>+'1.1.mell._ÖNK_Mérleg2018'!E85+'1.2.mell._HKÖH_Mérleg2018'!E85+'1.3.mell._HVÓBKI_Mérleg2018'!E85+'1.4.mell._HKK_Mérleg2018'!E85+'1.5._mell._MŐSZ_Mérleg2018'!E85+'1.6._mell._HVGYKCSSZ_Mérleg2018'!E85</f>
        <v>0</v>
      </c>
      <c r="F85" s="1404" t="str">
        <f t="shared" si="15"/>
        <v>-</v>
      </c>
      <c r="G85" s="21">
        <f>+'1.1.mell._ÖNK_Mérleg2018'!G85+'1.2.mell._HKÖH_Mérleg2018'!G85+'1.3.mell._HVÓBKI_Mérleg2018'!G85+'1.4.mell._HKK_Mérleg2018'!G85+'1.5._mell._MŐSZ_Mérleg2018'!G85+'1.6._mell._HVGYKCSSZ_Mérleg2018'!G85</f>
        <v>0</v>
      </c>
      <c r="H85" s="22">
        <f>+'1.1.mell._ÖNK_Mérleg2018'!H85+'1.2.mell._HKÖH_Mérleg2018'!H85+'1.3.mell._HVÓBKI_Mérleg2018'!H85+'1.4.mell._HKK_Mérleg2018'!H85+'1.5._mell._MŐSZ_Mérleg2018'!H85+'1.6._mell._HVGYKCSSZ_Mérleg2018'!H85</f>
        <v>0</v>
      </c>
      <c r="I85" s="23">
        <f>+'1.1.mell._ÖNK_Mérleg2018'!I85+'1.2.mell._HKÖH_Mérleg2018'!I85+'1.3.mell._HVÓBKI_Mérleg2018'!I85+'1.4.mell._HKK_Mérleg2018'!I85+'1.5._mell._MŐSZ_Mérleg2018'!I85+'1.6._mell._HVGYKCSSZ_Mérleg2018'!I85</f>
        <v>0</v>
      </c>
      <c r="K85" s="118">
        <f>+E85-G85-H85-I85</f>
        <v>0</v>
      </c>
    </row>
    <row r="86" spans="1:11" s="3" customFormat="1" ht="12.75" thickBot="1">
      <c r="A86" s="83" t="s">
        <v>45</v>
      </c>
      <c r="B86" s="70" t="s">
        <v>305</v>
      </c>
      <c r="C86" s="1049">
        <f t="shared" ref="C86:F86" si="16">+C87</f>
        <v>8000</v>
      </c>
      <c r="D86" s="28">
        <f t="shared" si="16"/>
        <v>1857788</v>
      </c>
      <c r="E86" s="28">
        <f t="shared" si="16"/>
        <v>1857788</v>
      </c>
      <c r="F86" s="1400">
        <f t="shared" si="15"/>
        <v>1</v>
      </c>
      <c r="G86" s="27">
        <f>+G87</f>
        <v>1857788</v>
      </c>
      <c r="H86" s="28">
        <f>+H87</f>
        <v>0</v>
      </c>
      <c r="I86" s="29">
        <f>+I87</f>
        <v>0</v>
      </c>
      <c r="J86" s="712">
        <f>+E86/$E$102</f>
        <v>0.3244858635173391</v>
      </c>
      <c r="K86" s="119">
        <f>+E86-G86-H86-I86</f>
        <v>0</v>
      </c>
    </row>
    <row r="87" spans="1:11" s="3" customFormat="1" ht="12.75" thickBot="1">
      <c r="A87" s="83" t="s">
        <v>44</v>
      </c>
      <c r="B87" s="64" t="s">
        <v>982</v>
      </c>
      <c r="C87" s="1049">
        <f t="shared" ref="C87:F87" si="17">+C88+C98+C99+C100</f>
        <v>8000</v>
      </c>
      <c r="D87" s="28">
        <f t="shared" si="17"/>
        <v>1857788</v>
      </c>
      <c r="E87" s="28">
        <f t="shared" si="17"/>
        <v>1857788</v>
      </c>
      <c r="F87" s="1400">
        <f t="shared" si="15"/>
        <v>1</v>
      </c>
      <c r="G87" s="27">
        <f>+G88+G98+G99+G100</f>
        <v>1857788</v>
      </c>
      <c r="H87" s="28">
        <f>+H88+H98+H99+H100</f>
        <v>0</v>
      </c>
      <c r="I87" s="29">
        <f>+I88+I98+I99+I100</f>
        <v>0</v>
      </c>
      <c r="J87" s="712">
        <f>+E87/$E$102</f>
        <v>0.3244858635173391</v>
      </c>
      <c r="K87" s="119">
        <f>+E87-G87-H87-I87</f>
        <v>0</v>
      </c>
    </row>
    <row r="88" spans="1:11">
      <c r="A88" s="84" t="s">
        <v>232</v>
      </c>
      <c r="B88" s="65" t="s">
        <v>1042</v>
      </c>
      <c r="C88" s="1051">
        <f t="shared" ref="C88:F88" si="18">+C89+C90+C91+C92+C93+C94+C95+C96+C97</f>
        <v>8000</v>
      </c>
      <c r="D88" s="10">
        <f t="shared" si="18"/>
        <v>1857788</v>
      </c>
      <c r="E88" s="10">
        <f t="shared" si="18"/>
        <v>1857788</v>
      </c>
      <c r="F88" s="1401">
        <f t="shared" si="15"/>
        <v>1</v>
      </c>
      <c r="G88" s="34">
        <f>+G89+G90+G91+G92+G93+G94+G95+G96+G97</f>
        <v>1857788</v>
      </c>
      <c r="H88" s="10">
        <f>+H89+H90+H91+H92+H93+H94+H95+H96+H97</f>
        <v>0</v>
      </c>
      <c r="I88" s="35">
        <f>+I89+I90+I91+I92+I93+I94+I95+I96+I97</f>
        <v>0</v>
      </c>
      <c r="K88" s="118">
        <f>+E88-G88-H88-I88</f>
        <v>0</v>
      </c>
    </row>
    <row r="89" spans="1:11" s="13" customFormat="1">
      <c r="A89" s="86" t="s">
        <v>233</v>
      </c>
      <c r="B89" s="66" t="s">
        <v>974</v>
      </c>
      <c r="C89" s="502">
        <f>+'1.1.mell._ÖNK_Mérleg2018'!C89+'1.2.mell._HKÖH_Mérleg2018'!C89+'1.3.mell._HVÓBKI_Mérleg2018'!C89+'1.4.mell._HKK_Mérleg2018'!C89+'1.5._mell._MŐSZ_Mérleg2018'!C89+'1.6._mell._HVGYKCSSZ_Mérleg2018'!C89</f>
        <v>8000</v>
      </c>
      <c r="D89" s="12">
        <f>+'1.1.mell._ÖNK_Mérleg2018'!D89+'1.2.mell._HKÖH_Mérleg2018'!D89+'1.3.mell._HVÓBKI_Mérleg2018'!D89+'1.4.mell._HKK_Mérleg2018'!D89+'1.5._mell._MŐSZ_Mérleg2018'!D89+'1.6._mell._HVGYKCSSZ_Mérleg2018'!D89</f>
        <v>0</v>
      </c>
      <c r="E89" s="12">
        <f>+'1.1.mell._ÖNK_Mérleg2018'!E89+'1.2.mell._HKÖH_Mérleg2018'!E89+'1.3.mell._HVÓBKI_Mérleg2018'!E89+'1.4.mell._HKK_Mérleg2018'!E89+'1.5._mell._MŐSZ_Mérleg2018'!E89+'1.6._mell._HVGYKCSSZ_Mérleg2018'!E89</f>
        <v>0</v>
      </c>
      <c r="F89" s="1402" t="str">
        <f t="shared" si="15"/>
        <v>-</v>
      </c>
      <c r="G89" s="19">
        <f>+'1.1.mell._ÖNK_Mérleg2018'!G89+'1.2.mell._HKÖH_Mérleg2018'!G89+'1.3.mell._HVÓBKI_Mérleg2018'!G89+'1.4.mell._HKK_Mérleg2018'!G89+'1.5._mell._MŐSZ_Mérleg2018'!G89+'1.6._mell._HVGYKCSSZ_Mérleg2018'!G89</f>
        <v>0</v>
      </c>
      <c r="H89" s="12">
        <f>+'1.1.mell._ÖNK_Mérleg2018'!H89+'1.2.mell._HKÖH_Mérleg2018'!H89+'1.3.mell._HVÓBKI_Mérleg2018'!H89+'1.4.mell._HKK_Mérleg2018'!H89+'1.5._mell._MŐSZ_Mérleg2018'!H89+'1.6._mell._HVGYKCSSZ_Mérleg2018'!H89</f>
        <v>0</v>
      </c>
      <c r="I89" s="15">
        <f>+'1.1.mell._ÖNK_Mérleg2018'!I89+'1.2.mell._HKÖH_Mérleg2018'!I89+'1.3.mell._HVÓBKI_Mérleg2018'!I89+'1.4.mell._HKK_Mérleg2018'!I89+'1.5._mell._MŐSZ_Mérleg2018'!I89+'1.6._mell._HVGYKCSSZ_Mérleg2018'!I89</f>
        <v>0</v>
      </c>
      <c r="K89" s="117">
        <f>+E89-G89-H89-I89</f>
        <v>0</v>
      </c>
    </row>
    <row r="90" spans="1:11" s="13" customFormat="1">
      <c r="A90" s="86" t="s">
        <v>234</v>
      </c>
      <c r="B90" s="66" t="s">
        <v>247</v>
      </c>
      <c r="C90" s="502">
        <f>+'1.1.mell._ÖNK_Mérleg2018'!C90+'1.2.mell._HKÖH_Mérleg2018'!C90+'1.3.mell._HVÓBKI_Mérleg2018'!C90+'1.4.mell._HKK_Mérleg2018'!C90+'1.5._mell._MŐSZ_Mérleg2018'!C90+'1.6._mell._HVGYKCSSZ_Mérleg2018'!C90</f>
        <v>0</v>
      </c>
      <c r="D90" s="12">
        <f>+'1.1.mell._ÖNK_Mérleg2018'!D90+'1.2.mell._HKÖH_Mérleg2018'!D90+'1.3.mell._HVÓBKI_Mérleg2018'!D90+'1.4.mell._HKK_Mérleg2018'!D90+'1.5._mell._MŐSZ_Mérleg2018'!D90+'1.6._mell._HVGYKCSSZ_Mérleg2018'!D90</f>
        <v>0</v>
      </c>
      <c r="E90" s="12">
        <f>+'1.1.mell._ÖNK_Mérleg2018'!E90+'1.2.mell._HKÖH_Mérleg2018'!E90+'1.3.mell._HVÓBKI_Mérleg2018'!E90+'1.4.mell._HKK_Mérleg2018'!E90+'1.5._mell._MŐSZ_Mérleg2018'!E90+'1.6._mell._HVGYKCSSZ_Mérleg2018'!E90</f>
        <v>0</v>
      </c>
      <c r="F90" s="1402" t="str">
        <f t="shared" si="15"/>
        <v>-</v>
      </c>
      <c r="G90" s="19">
        <f>+'1.1.mell._ÖNK_Mérleg2018'!G90+'1.2.mell._HKÖH_Mérleg2018'!G90+'1.3.mell._HVÓBKI_Mérleg2018'!G90+'1.4.mell._HKK_Mérleg2018'!G90+'1.5._mell._MŐSZ_Mérleg2018'!G90+'1.6._mell._HVGYKCSSZ_Mérleg2018'!G90</f>
        <v>0</v>
      </c>
      <c r="H90" s="12">
        <f>+'1.1.mell._ÖNK_Mérleg2018'!H90+'1.2.mell._HKÖH_Mérleg2018'!H90+'1.3.mell._HVÓBKI_Mérleg2018'!H90+'1.4.mell._HKK_Mérleg2018'!H90+'1.5._mell._MŐSZ_Mérleg2018'!H90+'1.6._mell._HVGYKCSSZ_Mérleg2018'!H90</f>
        <v>0</v>
      </c>
      <c r="I90" s="15">
        <f>+'1.1.mell._ÖNK_Mérleg2018'!I90+'1.2.mell._HKÖH_Mérleg2018'!I90+'1.3.mell._HVÓBKI_Mérleg2018'!I90+'1.4.mell._HKK_Mérleg2018'!I90+'1.5._mell._MŐSZ_Mérleg2018'!I90+'1.6._mell._HVGYKCSSZ_Mérleg2018'!I90</f>
        <v>0</v>
      </c>
      <c r="K90" s="117">
        <f>+E90-G90-H90-I90</f>
        <v>0</v>
      </c>
    </row>
    <row r="91" spans="1:11" s="13" customFormat="1">
      <c r="A91" s="86" t="s">
        <v>235</v>
      </c>
      <c r="B91" s="66" t="s">
        <v>248</v>
      </c>
      <c r="C91" s="502">
        <f>+'1.1.mell._ÖNK_Mérleg2018'!C91+'1.2.mell._HKÖH_Mérleg2018'!C91+'1.3.mell._HVÓBKI_Mérleg2018'!C91+'1.4.mell._HKK_Mérleg2018'!C91+'1.5._mell._MŐSZ_Mérleg2018'!C91+'1.6._mell._HVGYKCSSZ_Mérleg2018'!C91</f>
        <v>0</v>
      </c>
      <c r="D91" s="12">
        <f>+'1.1.mell._ÖNK_Mérleg2018'!D91+'1.2.mell._HKÖH_Mérleg2018'!D91+'1.3.mell._HVÓBKI_Mérleg2018'!D91+'1.4.mell._HKK_Mérleg2018'!D91+'1.5._mell._MŐSZ_Mérleg2018'!D91+'1.6._mell._HVGYKCSSZ_Mérleg2018'!D91</f>
        <v>1857788</v>
      </c>
      <c r="E91" s="12">
        <f>+'1.1.mell._ÖNK_Mérleg2018'!E91+'1.2.mell._HKÖH_Mérleg2018'!E91+'1.3.mell._HVÓBKI_Mérleg2018'!E91+'1.4.mell._HKK_Mérleg2018'!E91+'1.5._mell._MŐSZ_Mérleg2018'!E91+'1.6._mell._HVGYKCSSZ_Mérleg2018'!E91</f>
        <v>1857788</v>
      </c>
      <c r="F91" s="1402">
        <f t="shared" si="15"/>
        <v>1</v>
      </c>
      <c r="G91" s="19">
        <f>+'1.1.mell._ÖNK_Mérleg2018'!G91+'1.2.mell._HKÖH_Mérleg2018'!G91+'1.3.mell._HVÓBKI_Mérleg2018'!G91+'1.4.mell._HKK_Mérleg2018'!G91+'1.5._mell._MŐSZ_Mérleg2018'!G91+'1.6._mell._HVGYKCSSZ_Mérleg2018'!G91</f>
        <v>1857788</v>
      </c>
      <c r="H91" s="12">
        <f>+'1.1.mell._ÖNK_Mérleg2018'!H91+'1.2.mell._HKÖH_Mérleg2018'!H91+'1.3.mell._HVÓBKI_Mérleg2018'!H91+'1.4.mell._HKK_Mérleg2018'!H91+'1.5._mell._MŐSZ_Mérleg2018'!H91+'1.6._mell._HVGYKCSSZ_Mérleg2018'!H91</f>
        <v>0</v>
      </c>
      <c r="I91" s="15">
        <f>+'1.1.mell._ÖNK_Mérleg2018'!I91+'1.2.mell._HKÖH_Mérleg2018'!I91+'1.3.mell._HVÓBKI_Mérleg2018'!I91+'1.4.mell._HKK_Mérleg2018'!I91+'1.5._mell._MŐSZ_Mérleg2018'!I91+'1.6._mell._HVGYKCSSZ_Mérleg2018'!I91</f>
        <v>0</v>
      </c>
      <c r="K91" s="117">
        <f>+E91-G91-H91-I91</f>
        <v>0</v>
      </c>
    </row>
    <row r="92" spans="1:11" s="13" customFormat="1">
      <c r="A92" s="86" t="s">
        <v>236</v>
      </c>
      <c r="B92" s="66" t="s">
        <v>249</v>
      </c>
      <c r="C92" s="502">
        <f>+'1.1.mell._ÖNK_Mérleg2018'!C92+'1.2.mell._HKÖH_Mérleg2018'!C92+'1.3.mell._HVÓBKI_Mérleg2018'!C92+'1.4.mell._HKK_Mérleg2018'!C92+'1.5._mell._MŐSZ_Mérleg2018'!C92+'1.6._mell._HVGYKCSSZ_Mérleg2018'!C92</f>
        <v>0</v>
      </c>
      <c r="D92" s="12">
        <f>+'1.1.mell._ÖNK_Mérleg2018'!D92+'1.2.mell._HKÖH_Mérleg2018'!D92+'1.3.mell._HVÓBKI_Mérleg2018'!D92+'1.4.mell._HKK_Mérleg2018'!D92+'1.5._mell._MŐSZ_Mérleg2018'!D92+'1.6._mell._HVGYKCSSZ_Mérleg2018'!D92</f>
        <v>0</v>
      </c>
      <c r="E92" s="12">
        <f>+'1.1.mell._ÖNK_Mérleg2018'!E92+'1.2.mell._HKÖH_Mérleg2018'!E92+'1.3.mell._HVÓBKI_Mérleg2018'!E92+'1.4.mell._HKK_Mérleg2018'!E92+'1.5._mell._MŐSZ_Mérleg2018'!E92+'1.6._mell._HVGYKCSSZ_Mérleg2018'!E92</f>
        <v>0</v>
      </c>
      <c r="F92" s="1402" t="str">
        <f t="shared" si="15"/>
        <v>-</v>
      </c>
      <c r="G92" s="19">
        <f>+'1.1.mell._ÖNK_Mérleg2018'!G92+'1.2.mell._HKÖH_Mérleg2018'!G92+'1.3.mell._HVÓBKI_Mérleg2018'!G92+'1.4.mell._HKK_Mérleg2018'!G92+'1.5._mell._MŐSZ_Mérleg2018'!G92+'1.6._mell._HVGYKCSSZ_Mérleg2018'!G92</f>
        <v>0</v>
      </c>
      <c r="H92" s="12">
        <f>+'1.1.mell._ÖNK_Mérleg2018'!H92+'1.2.mell._HKÖH_Mérleg2018'!H92+'1.3.mell._HVÓBKI_Mérleg2018'!H92+'1.4.mell._HKK_Mérleg2018'!H92+'1.5._mell._MŐSZ_Mérleg2018'!H92+'1.6._mell._HVGYKCSSZ_Mérleg2018'!H92</f>
        <v>0</v>
      </c>
      <c r="I92" s="15">
        <f>+'1.1.mell._ÖNK_Mérleg2018'!I92+'1.2.mell._HKÖH_Mérleg2018'!I92+'1.3.mell._HVÓBKI_Mérleg2018'!I92+'1.4.mell._HKK_Mérleg2018'!I92+'1.5._mell._MŐSZ_Mérleg2018'!I92+'1.6._mell._HVGYKCSSZ_Mérleg2018'!I92</f>
        <v>0</v>
      </c>
      <c r="K92" s="117">
        <f>+E92-G92-H92-I92</f>
        <v>0</v>
      </c>
    </row>
    <row r="93" spans="1:11" s="13" customFormat="1">
      <c r="A93" s="86" t="s">
        <v>237</v>
      </c>
      <c r="B93" s="66" t="s">
        <v>250</v>
      </c>
      <c r="C93" s="502">
        <f>+'1.1.mell._ÖNK_Mérleg2018'!C93+'1.2.mell._HKÖH_Mérleg2018'!C93+'1.3.mell._HVÓBKI_Mérleg2018'!C93+'1.4.mell._HKK_Mérleg2018'!C93+'1.5._mell._MŐSZ_Mérleg2018'!C93+'1.6._mell._HVGYKCSSZ_Mérleg2018'!C93</f>
        <v>0</v>
      </c>
      <c r="D93" s="12">
        <f>+'1.1.mell._ÖNK_Mérleg2018'!D93+'1.2.mell._HKÖH_Mérleg2018'!D93+'1.3.mell._HVÓBKI_Mérleg2018'!D93+'1.4.mell._HKK_Mérleg2018'!D93+'1.5._mell._MŐSZ_Mérleg2018'!D93+'1.6._mell._HVGYKCSSZ_Mérleg2018'!D93</f>
        <v>0</v>
      </c>
      <c r="E93" s="12">
        <f>+'1.1.mell._ÖNK_Mérleg2018'!E93+'1.2.mell._HKÖH_Mérleg2018'!E93+'1.3.mell._HVÓBKI_Mérleg2018'!E93+'1.4.mell._HKK_Mérleg2018'!E93+'1.5._mell._MŐSZ_Mérleg2018'!E93+'1.6._mell._HVGYKCSSZ_Mérleg2018'!E93</f>
        <v>0</v>
      </c>
      <c r="F93" s="1402" t="str">
        <f t="shared" si="15"/>
        <v>-</v>
      </c>
      <c r="G93" s="19">
        <f>+'1.1.mell._ÖNK_Mérleg2018'!G93+'1.2.mell._HKÖH_Mérleg2018'!G93+'1.3.mell._HVÓBKI_Mérleg2018'!G93+'1.4.mell._HKK_Mérleg2018'!G93+'1.5._mell._MŐSZ_Mérleg2018'!G93+'1.6._mell._HVGYKCSSZ_Mérleg2018'!G93</f>
        <v>0</v>
      </c>
      <c r="H93" s="12">
        <f>+'1.1.mell._ÖNK_Mérleg2018'!H93+'1.2.mell._HKÖH_Mérleg2018'!H93+'1.3.mell._HVÓBKI_Mérleg2018'!H93+'1.4.mell._HKK_Mérleg2018'!H93+'1.5._mell._MŐSZ_Mérleg2018'!H93+'1.6._mell._HVGYKCSSZ_Mérleg2018'!H93</f>
        <v>0</v>
      </c>
      <c r="I93" s="15">
        <f>+'1.1.mell._ÖNK_Mérleg2018'!I93+'1.2.mell._HKÖH_Mérleg2018'!I93+'1.3.mell._HVÓBKI_Mérleg2018'!I93+'1.4.mell._HKK_Mérleg2018'!I93+'1.5._mell._MŐSZ_Mérleg2018'!I93+'1.6._mell._HVGYKCSSZ_Mérleg2018'!I93</f>
        <v>0</v>
      </c>
      <c r="K93" s="117">
        <f>+E93-G93-H93-I93</f>
        <v>0</v>
      </c>
    </row>
    <row r="94" spans="1:11" s="13" customFormat="1">
      <c r="A94" s="103" t="s">
        <v>238</v>
      </c>
      <c r="B94" s="104" t="s">
        <v>251</v>
      </c>
      <c r="C94" s="1064"/>
      <c r="D94" s="106"/>
      <c r="E94" s="106"/>
      <c r="F94" s="1405" t="str">
        <f t="shared" si="15"/>
        <v>-</v>
      </c>
      <c r="G94" s="105"/>
      <c r="H94" s="106"/>
      <c r="I94" s="107"/>
      <c r="K94" s="117">
        <f>+E94-G94-H94-I94</f>
        <v>0</v>
      </c>
    </row>
    <row r="95" spans="1:11" s="13" customFormat="1">
      <c r="A95" s="86" t="s">
        <v>239</v>
      </c>
      <c r="B95" s="66" t="s">
        <v>252</v>
      </c>
      <c r="C95" s="502">
        <f>+'1.1.mell._ÖNK_Mérleg2018'!C95+'1.2.mell._HKÖH_Mérleg2018'!C95+'1.3.mell._HVÓBKI_Mérleg2018'!C95+'1.4.mell._HKK_Mérleg2018'!C95+'1.5._mell._MŐSZ_Mérleg2018'!C95+'1.6._mell._HVGYKCSSZ_Mérleg2018'!C95</f>
        <v>0</v>
      </c>
      <c r="D95" s="12">
        <f>+'1.1.mell._ÖNK_Mérleg2018'!D95+'1.2.mell._HKÖH_Mérleg2018'!D95+'1.3.mell._HVÓBKI_Mérleg2018'!D95+'1.4.mell._HKK_Mérleg2018'!D95+'1.5._mell._MŐSZ_Mérleg2018'!D95+'1.6._mell._HVGYKCSSZ_Mérleg2018'!D95</f>
        <v>0</v>
      </c>
      <c r="E95" s="12">
        <f>+'1.1.mell._ÖNK_Mérleg2018'!E95+'1.2.mell._HKÖH_Mérleg2018'!E95+'1.3.mell._HVÓBKI_Mérleg2018'!E95+'1.4.mell._HKK_Mérleg2018'!E95+'1.5._mell._MŐSZ_Mérleg2018'!E95+'1.6._mell._HVGYKCSSZ_Mérleg2018'!E95</f>
        <v>0</v>
      </c>
      <c r="F95" s="1402" t="str">
        <f t="shared" si="15"/>
        <v>-</v>
      </c>
      <c r="G95" s="19">
        <f>+'1.1.mell._ÖNK_Mérleg2018'!G95+'1.2.mell._HKÖH_Mérleg2018'!G95+'1.3.mell._HVÓBKI_Mérleg2018'!G95+'1.4.mell._HKK_Mérleg2018'!G95+'1.5._mell._MŐSZ_Mérleg2018'!G95+'1.6._mell._HVGYKCSSZ_Mérleg2018'!G95</f>
        <v>0</v>
      </c>
      <c r="H95" s="12">
        <f>+'1.1.mell._ÖNK_Mérleg2018'!H95+'1.2.mell._HKÖH_Mérleg2018'!H95+'1.3.mell._HVÓBKI_Mérleg2018'!H95+'1.4.mell._HKK_Mérleg2018'!H95+'1.5._mell._MŐSZ_Mérleg2018'!H95+'1.6._mell._HVGYKCSSZ_Mérleg2018'!H95</f>
        <v>0</v>
      </c>
      <c r="I95" s="15">
        <f>+'1.1.mell._ÖNK_Mérleg2018'!I95+'1.2.mell._HKÖH_Mérleg2018'!I95+'1.3.mell._HVÓBKI_Mérleg2018'!I95+'1.4.mell._HKK_Mérleg2018'!I95+'1.5._mell._MŐSZ_Mérleg2018'!I95+'1.6._mell._HVGYKCSSZ_Mérleg2018'!I95</f>
        <v>0</v>
      </c>
      <c r="K95" s="13">
        <f>+E95-G95-H95-I95</f>
        <v>0</v>
      </c>
    </row>
    <row r="96" spans="1:11" s="13" customFormat="1">
      <c r="A96" s="86" t="s">
        <v>240</v>
      </c>
      <c r="B96" s="66" t="s">
        <v>245</v>
      </c>
      <c r="C96" s="502">
        <f>+'1.1.mell._ÖNK_Mérleg2018'!C96+'1.2.mell._HKÖH_Mérleg2018'!C96+'1.3.mell._HVÓBKI_Mérleg2018'!C96+'1.4.mell._HKK_Mérleg2018'!C96+'1.5._mell._MŐSZ_Mérleg2018'!C96+'1.6._mell._HVGYKCSSZ_Mérleg2018'!C96</f>
        <v>0</v>
      </c>
      <c r="D96" s="12">
        <f>+'1.1.mell._ÖNK_Mérleg2018'!D96+'1.2.mell._HKÖH_Mérleg2018'!D96+'1.3.mell._HVÓBKI_Mérleg2018'!D96+'1.4.mell._HKK_Mérleg2018'!D96+'1.5._mell._MŐSZ_Mérleg2018'!D96+'1.6._mell._HVGYKCSSZ_Mérleg2018'!D96</f>
        <v>0</v>
      </c>
      <c r="E96" s="12">
        <f>+'1.1.mell._ÖNK_Mérleg2018'!E96+'1.2.mell._HKÖH_Mérleg2018'!E96+'1.3.mell._HVÓBKI_Mérleg2018'!E96+'1.4.mell._HKK_Mérleg2018'!E96+'1.5._mell._MŐSZ_Mérleg2018'!E96+'1.6._mell._HVGYKCSSZ_Mérleg2018'!E96</f>
        <v>0</v>
      </c>
      <c r="F96" s="1402" t="str">
        <f t="shared" si="15"/>
        <v>-</v>
      </c>
      <c r="G96" s="19">
        <f>+'1.1.mell._ÖNK_Mérleg2018'!G96+'1.2.mell._HKÖH_Mérleg2018'!G96+'1.3.mell._HVÓBKI_Mérleg2018'!G96+'1.4.mell._HKK_Mérleg2018'!G96+'1.5._mell._MŐSZ_Mérleg2018'!G96+'1.6._mell._HVGYKCSSZ_Mérleg2018'!G96</f>
        <v>0</v>
      </c>
      <c r="H96" s="12">
        <f>+'1.1.mell._ÖNK_Mérleg2018'!H96+'1.2.mell._HKÖH_Mérleg2018'!H96+'1.3.mell._HVÓBKI_Mérleg2018'!H96+'1.4.mell._HKK_Mérleg2018'!H96+'1.5._mell._MŐSZ_Mérleg2018'!H96+'1.6._mell._HVGYKCSSZ_Mérleg2018'!H96</f>
        <v>0</v>
      </c>
      <c r="I96" s="15">
        <f>+'1.1.mell._ÖNK_Mérleg2018'!I96+'1.2.mell._HKÖH_Mérleg2018'!I96+'1.3.mell._HVÓBKI_Mérleg2018'!I96+'1.4.mell._HKK_Mérleg2018'!I96+'1.5._mell._MŐSZ_Mérleg2018'!I96+'1.6._mell._HVGYKCSSZ_Mérleg2018'!I96</f>
        <v>0</v>
      </c>
      <c r="K96" s="13">
        <f>+E96-G96-H96-I96</f>
        <v>0</v>
      </c>
    </row>
    <row r="97" spans="1:14" s="13" customFormat="1">
      <c r="A97" s="86" t="s">
        <v>981</v>
      </c>
      <c r="B97" s="66" t="s">
        <v>977</v>
      </c>
      <c r="C97" s="502">
        <f>+'1.1.mell._ÖNK_Mérleg2018'!C97+'1.2.mell._HKÖH_Mérleg2018'!C97+'1.3.mell._HVÓBKI_Mérleg2018'!C97+'1.4.mell._HKK_Mérleg2018'!C97+'1.5._mell._MŐSZ_Mérleg2018'!C97+'1.6._mell._HVGYKCSSZ_Mérleg2018'!C97</f>
        <v>0</v>
      </c>
      <c r="D97" s="12">
        <f>+'1.1.mell._ÖNK_Mérleg2018'!D97+'1.2.mell._HKÖH_Mérleg2018'!D97+'1.3.mell._HVÓBKI_Mérleg2018'!D97+'1.4.mell._HKK_Mérleg2018'!D97+'1.5._mell._MŐSZ_Mérleg2018'!D97+'1.6._mell._HVGYKCSSZ_Mérleg2018'!D97</f>
        <v>0</v>
      </c>
      <c r="E97" s="12">
        <f>+'1.1.mell._ÖNK_Mérleg2018'!E97+'1.2.mell._HKÖH_Mérleg2018'!E97+'1.3.mell._HVÓBKI_Mérleg2018'!E97+'1.4.mell._HKK_Mérleg2018'!E97+'1.5._mell._MŐSZ_Mérleg2018'!E97+'1.6._mell._HVGYKCSSZ_Mérleg2018'!E97</f>
        <v>0</v>
      </c>
      <c r="F97" s="1402" t="str">
        <f t="shared" si="15"/>
        <v>-</v>
      </c>
      <c r="G97" s="19">
        <f>+'1.1.mell._ÖNK_Mérleg2018'!G97+'1.2.mell._HKÖH_Mérleg2018'!G97+'1.3.mell._HVÓBKI_Mérleg2018'!G97+'1.4.mell._HKK_Mérleg2018'!G97+'1.5._mell._MŐSZ_Mérleg2018'!G97+'1.6._mell._HVGYKCSSZ_Mérleg2018'!G97</f>
        <v>0</v>
      </c>
      <c r="H97" s="12">
        <f>+'1.1.mell._ÖNK_Mérleg2018'!H97+'1.2.mell._HKÖH_Mérleg2018'!H97+'1.3.mell._HVÓBKI_Mérleg2018'!H97+'1.4.mell._HKK_Mérleg2018'!H97+'1.5._mell._MŐSZ_Mérleg2018'!H97+'1.6._mell._HVGYKCSSZ_Mérleg2018'!H97</f>
        <v>0</v>
      </c>
      <c r="I97" s="15">
        <f>+'1.1.mell._ÖNK_Mérleg2018'!I97+'1.2.mell._HKÖH_Mérleg2018'!I97+'1.3.mell._HVÓBKI_Mérleg2018'!I97+'1.4.mell._HKK_Mérleg2018'!I97+'1.5._mell._MŐSZ_Mérleg2018'!I97+'1.6._mell._HVGYKCSSZ_Mérleg2018'!I97</f>
        <v>0</v>
      </c>
      <c r="K97" s="13">
        <f>+E97-G97-H97-I97</f>
        <v>0</v>
      </c>
    </row>
    <row r="98" spans="1:14">
      <c r="A98" s="85" t="s">
        <v>241</v>
      </c>
      <c r="B98" s="67" t="s">
        <v>243</v>
      </c>
      <c r="C98" s="501">
        <f>+'1.1.mell._ÖNK_Mérleg2018'!C98+'1.2.mell._HKÖH_Mérleg2018'!C98+'1.3.mell._HVÓBKI_Mérleg2018'!C98+'1.4.mell._HKK_Mérleg2018'!C98+'1.5._mell._MŐSZ_Mérleg2018'!C98+'1.6._mell._HVGYKCSSZ_Mérleg2018'!C98</f>
        <v>0</v>
      </c>
      <c r="D98" s="11">
        <f>+'1.1.mell._ÖNK_Mérleg2018'!D98+'1.2.mell._HKÖH_Mérleg2018'!D98+'1.3.mell._HVÓBKI_Mérleg2018'!D98+'1.4.mell._HKK_Mérleg2018'!D98+'1.5._mell._MŐSZ_Mérleg2018'!D98+'1.6._mell._HVGYKCSSZ_Mérleg2018'!D98</f>
        <v>0</v>
      </c>
      <c r="E98" s="11">
        <f>+'1.1.mell._ÖNK_Mérleg2018'!E98+'1.2.mell._HKÖH_Mérleg2018'!E98+'1.3.mell._HVÓBKI_Mérleg2018'!E98+'1.4.mell._HKK_Mérleg2018'!E98+'1.5._mell._MŐSZ_Mérleg2018'!E98+'1.6._mell._HVGYKCSSZ_Mérleg2018'!E98</f>
        <v>0</v>
      </c>
      <c r="F98" s="1402" t="str">
        <f t="shared" si="15"/>
        <v>-</v>
      </c>
      <c r="G98" s="20">
        <f>+'1.1.mell._ÖNK_Mérleg2018'!G98+'1.2.mell._HKÖH_Mérleg2018'!G98+'1.3.mell._HVÓBKI_Mérleg2018'!G98+'1.4.mell._HKK_Mérleg2018'!G98+'1.5._mell._MŐSZ_Mérleg2018'!G98+'1.6._mell._HVGYKCSSZ_Mérleg2018'!G98</f>
        <v>0</v>
      </c>
      <c r="H98" s="11">
        <f>+'1.1.mell._ÖNK_Mérleg2018'!H98+'1.2.mell._HKÖH_Mérleg2018'!H98+'1.3.mell._HVÓBKI_Mérleg2018'!H98+'1.4.mell._HKK_Mérleg2018'!H98+'1.5._mell._MŐSZ_Mérleg2018'!H98+'1.6._mell._HVGYKCSSZ_Mérleg2018'!H98</f>
        <v>0</v>
      </c>
      <c r="I98" s="16">
        <f>+'1.1.mell._ÖNK_Mérleg2018'!I98+'1.2.mell._HKÖH_Mérleg2018'!I98+'1.3.mell._HVÓBKI_Mérleg2018'!I98+'1.4.mell._HKK_Mérleg2018'!I98+'1.5._mell._MŐSZ_Mérleg2018'!I98+'1.6._mell._HVGYKCSSZ_Mérleg2018'!I98</f>
        <v>0</v>
      </c>
      <c r="K98" s="4">
        <f>+E98-G98-H98-I98</f>
        <v>0</v>
      </c>
    </row>
    <row r="99" spans="1:14">
      <c r="A99" s="78" t="s">
        <v>242</v>
      </c>
      <c r="B99" s="68" t="s">
        <v>244</v>
      </c>
      <c r="C99" s="500">
        <f>+'1.1.mell._ÖNK_Mérleg2018'!C99+'1.2.mell._HKÖH_Mérleg2018'!C99+'1.3.mell._HVÓBKI_Mérleg2018'!C99+'1.4.mell._HKK_Mérleg2018'!C99+'1.5._mell._MŐSZ_Mérleg2018'!C99+'1.6._mell._HVGYKCSSZ_Mérleg2018'!C99</f>
        <v>0</v>
      </c>
      <c r="D99" s="22">
        <f>+'1.1.mell._ÖNK_Mérleg2018'!D99+'1.2.mell._HKÖH_Mérleg2018'!D99+'1.3.mell._HVÓBKI_Mérleg2018'!D99+'1.4.mell._HKK_Mérleg2018'!D99+'1.5._mell._MŐSZ_Mérleg2018'!D99+'1.6._mell._HVGYKCSSZ_Mérleg2018'!D99</f>
        <v>0</v>
      </c>
      <c r="E99" s="22">
        <f>+'1.1.mell._ÖNK_Mérleg2018'!E99+'1.2.mell._HKÖH_Mérleg2018'!E99+'1.3.mell._HVÓBKI_Mérleg2018'!E99+'1.4.mell._HKK_Mérleg2018'!E99+'1.5._mell._MŐSZ_Mérleg2018'!E99+'1.6._mell._HVGYKCSSZ_Mérleg2018'!E99</f>
        <v>0</v>
      </c>
      <c r="F99" s="1404" t="str">
        <f t="shared" si="15"/>
        <v>-</v>
      </c>
      <c r="G99" s="21">
        <f>+'1.1.mell._ÖNK_Mérleg2018'!G99+'1.2.mell._HKÖH_Mérleg2018'!G99+'1.3.mell._HVÓBKI_Mérleg2018'!G99+'1.4.mell._HKK_Mérleg2018'!G99+'1.5._mell._MŐSZ_Mérleg2018'!G99+'1.6._mell._HVGYKCSSZ_Mérleg2018'!G99</f>
        <v>0</v>
      </c>
      <c r="H99" s="22">
        <f>+'1.1.mell._ÖNK_Mérleg2018'!H99+'1.2.mell._HKÖH_Mérleg2018'!H99+'1.3.mell._HVÓBKI_Mérleg2018'!H99+'1.4.mell._HKK_Mérleg2018'!H99+'1.5._mell._MŐSZ_Mérleg2018'!H99+'1.6._mell._HVGYKCSSZ_Mérleg2018'!H99</f>
        <v>0</v>
      </c>
      <c r="I99" s="23">
        <f>+'1.1.mell._ÖNK_Mérleg2018'!I99+'1.2.mell._HKÖH_Mérleg2018'!I99+'1.3.mell._HVÓBKI_Mérleg2018'!I99+'1.4.mell._HKK_Mérleg2018'!I99+'1.5._mell._MŐSZ_Mérleg2018'!I99+'1.6._mell._HVGYKCSSZ_Mérleg2018'!I99</f>
        <v>0</v>
      </c>
      <c r="K99" s="4">
        <f>+E99-G99-H99-I99</f>
        <v>0</v>
      </c>
    </row>
    <row r="100" spans="1:14" ht="12.75" thickBot="1">
      <c r="A100" s="78" t="s">
        <v>983</v>
      </c>
      <c r="B100" s="68" t="s">
        <v>979</v>
      </c>
      <c r="C100" s="500">
        <f>+'1.1.mell._ÖNK_Mérleg2018'!C100+'1.2.mell._HKÖH_Mérleg2018'!C100+'1.3.mell._HVÓBKI_Mérleg2018'!C100+'1.4.mell._HKK_Mérleg2018'!C100+'1.5._mell._MŐSZ_Mérleg2018'!C100+'1.6._mell._HVGYKCSSZ_Mérleg2018'!C100</f>
        <v>0</v>
      </c>
      <c r="D100" s="22">
        <f>+'1.1.mell._ÖNK_Mérleg2018'!D100+'1.2.mell._HKÖH_Mérleg2018'!D100+'1.3.mell._HVÓBKI_Mérleg2018'!D100+'1.4.mell._HKK_Mérleg2018'!D100+'1.5._mell._MŐSZ_Mérleg2018'!D100+'1.6._mell._HVGYKCSSZ_Mérleg2018'!D100</f>
        <v>0</v>
      </c>
      <c r="E100" s="22">
        <f>+'1.1.mell._ÖNK_Mérleg2018'!E100+'1.2.mell._HKÖH_Mérleg2018'!E100+'1.3.mell._HVÓBKI_Mérleg2018'!E100+'1.4.mell._HKK_Mérleg2018'!E100+'1.5._mell._MŐSZ_Mérleg2018'!E100+'1.6._mell._HVGYKCSSZ_Mérleg2018'!E100</f>
        <v>0</v>
      </c>
      <c r="F100" s="1404" t="str">
        <f t="shared" si="15"/>
        <v>-</v>
      </c>
      <c r="G100" s="21">
        <f>+'1.1.mell._ÖNK_Mérleg2018'!G100+'1.2.mell._HKÖH_Mérleg2018'!G100+'1.3.mell._HVÓBKI_Mérleg2018'!G100+'1.4.mell._HKK_Mérleg2018'!G100+'1.5._mell._MŐSZ_Mérleg2018'!G100+'1.6._mell._HVGYKCSSZ_Mérleg2018'!G100</f>
        <v>0</v>
      </c>
      <c r="H100" s="22">
        <f>+'1.1.mell._ÖNK_Mérleg2018'!H100+'1.2.mell._HKÖH_Mérleg2018'!H100+'1.3.mell._HVÓBKI_Mérleg2018'!H100+'1.4.mell._HKK_Mérleg2018'!H100+'1.5._mell._MŐSZ_Mérleg2018'!H100+'1.6._mell._HVGYKCSSZ_Mérleg2018'!H100</f>
        <v>0</v>
      </c>
      <c r="I100" s="23">
        <f>+'1.1.mell._ÖNK_Mérleg2018'!I100+'1.2.mell._HKÖH_Mérleg2018'!I100+'1.3.mell._HVÓBKI_Mérleg2018'!I100+'1.4.mell._HKK_Mérleg2018'!I100+'1.5._mell._MŐSZ_Mérleg2018'!I100+'1.6._mell._HVGYKCSSZ_Mérleg2018'!I100</f>
        <v>0</v>
      </c>
      <c r="K100" s="4">
        <f>+E100-G100-H100-I100</f>
        <v>0</v>
      </c>
    </row>
    <row r="101" spans="1:14" s="3" customFormat="1" ht="12.75" thickBot="1">
      <c r="A101" s="83" t="s">
        <v>43</v>
      </c>
      <c r="B101" s="69" t="s">
        <v>306</v>
      </c>
      <c r="C101" s="1049">
        <f t="shared" ref="C101:F101" si="19">+C71+C86</f>
        <v>1840034</v>
      </c>
      <c r="D101" s="28">
        <f t="shared" si="19"/>
        <v>2307348</v>
      </c>
      <c r="E101" s="28">
        <f t="shared" si="19"/>
        <v>2307348</v>
      </c>
      <c r="F101" s="1400">
        <f t="shared" si="15"/>
        <v>1</v>
      </c>
      <c r="G101" s="27">
        <f>+G71+G86</f>
        <v>2307336</v>
      </c>
      <c r="H101" s="28">
        <f>+H71+H86</f>
        <v>12</v>
      </c>
      <c r="I101" s="29">
        <f>+I71+I86</f>
        <v>0</v>
      </c>
      <c r="J101" s="712">
        <f>+E101/$E$102</f>
        <v>0.40300712902387426</v>
      </c>
      <c r="K101" s="3">
        <f>+E101-G101-H101-I101</f>
        <v>0</v>
      </c>
    </row>
    <row r="102" spans="1:14" s="3" customFormat="1" ht="12.75" thickBot="1">
      <c r="A102" s="87" t="s">
        <v>40</v>
      </c>
      <c r="B102" s="71" t="s">
        <v>307</v>
      </c>
      <c r="C102" s="1056">
        <f t="shared" ref="C102:F102" si="20">+C70+C101</f>
        <v>3307354</v>
      </c>
      <c r="D102" s="25">
        <f t="shared" si="20"/>
        <v>5914946</v>
      </c>
      <c r="E102" s="25">
        <f t="shared" si="20"/>
        <v>5725328</v>
      </c>
      <c r="F102" s="1406">
        <f t="shared" si="15"/>
        <v>0.96794256447987859</v>
      </c>
      <c r="G102" s="24">
        <f>+G70+G101</f>
        <v>5694820</v>
      </c>
      <c r="H102" s="25">
        <f>+H70+H101</f>
        <v>27681</v>
      </c>
      <c r="I102" s="26">
        <f>+I70+I101</f>
        <v>2827</v>
      </c>
      <c r="J102" s="712">
        <f>+E102/$E$102</f>
        <v>1</v>
      </c>
      <c r="K102" s="3">
        <f>+E102-G102-H102-I102</f>
        <v>0</v>
      </c>
    </row>
    <row r="103" spans="1:14" s="3" customFormat="1">
      <c r="A103" s="53"/>
      <c r="B103" s="30"/>
      <c r="F103" s="1397"/>
      <c r="G103" s="30"/>
      <c r="H103" s="30"/>
      <c r="I103" s="30"/>
      <c r="L103" s="3">
        <f>+E102-E208</f>
        <v>3100881</v>
      </c>
      <c r="M103" s="3">
        <f>+E10+E72-E109-E178</f>
        <v>608587</v>
      </c>
      <c r="N103" s="3">
        <f>+E50+E86-E149-E192</f>
        <v>2492294</v>
      </c>
    </row>
    <row r="104" spans="1:14" s="3" customFormat="1">
      <c r="A104" s="53"/>
      <c r="B104" s="30"/>
      <c r="C104" s="30"/>
      <c r="D104" s="30"/>
      <c r="E104" s="30"/>
      <c r="F104" s="1407"/>
      <c r="G104" s="30"/>
      <c r="H104" s="30"/>
      <c r="I104" s="30"/>
    </row>
    <row r="105" spans="1:14" s="52" customFormat="1" ht="15.75">
      <c r="A105" s="1216" t="s">
        <v>80</v>
      </c>
      <c r="B105" s="1216"/>
      <c r="C105" s="1216"/>
      <c r="D105" s="1216"/>
      <c r="E105" s="1216"/>
      <c r="F105" s="1216"/>
      <c r="G105" s="1216"/>
      <c r="H105" s="1216"/>
      <c r="I105" s="1216"/>
    </row>
    <row r="106" spans="1:14" s="36" customFormat="1" ht="12.75" thickBot="1">
      <c r="A106" s="38" t="s">
        <v>279</v>
      </c>
      <c r="F106" s="1397"/>
      <c r="I106" s="37" t="s">
        <v>281</v>
      </c>
    </row>
    <row r="107" spans="1:14" s="3" customFormat="1" ht="48.75" thickBot="1">
      <c r="A107" s="79" t="s">
        <v>17</v>
      </c>
      <c r="B107" s="80" t="s">
        <v>329</v>
      </c>
      <c r="C107" s="412" t="s">
        <v>1474</v>
      </c>
      <c r="D107" s="1047" t="s">
        <v>1475</v>
      </c>
      <c r="E107" s="6" t="s">
        <v>1529</v>
      </c>
      <c r="F107" s="1398" t="s">
        <v>1527</v>
      </c>
      <c r="G107" s="5" t="s">
        <v>51</v>
      </c>
      <c r="H107" s="6" t="s">
        <v>52</v>
      </c>
      <c r="I107" s="7" t="s">
        <v>53</v>
      </c>
    </row>
    <row r="108" spans="1:14" s="3" customFormat="1" ht="12.75" thickBot="1">
      <c r="A108" s="81" t="s">
        <v>253</v>
      </c>
      <c r="B108" s="82" t="s">
        <v>254</v>
      </c>
      <c r="C108" s="1221" t="s">
        <v>255</v>
      </c>
      <c r="D108" s="1222"/>
      <c r="E108" s="1222"/>
      <c r="F108" s="1222"/>
      <c r="G108" s="1223"/>
      <c r="H108" s="1223"/>
      <c r="I108" s="1224"/>
    </row>
    <row r="109" spans="1:14" s="3" customFormat="1" ht="12.75" thickBot="1">
      <c r="A109" s="83" t="s">
        <v>4</v>
      </c>
      <c r="B109" s="69" t="s">
        <v>308</v>
      </c>
      <c r="C109" s="1049">
        <f t="shared" ref="C109:F109" si="21">+C110+C114+C116+C123+C132</f>
        <v>1565130</v>
      </c>
      <c r="D109" s="28">
        <f t="shared" si="21"/>
        <v>5003351</v>
      </c>
      <c r="E109" s="28">
        <f t="shared" si="21"/>
        <v>1807005</v>
      </c>
      <c r="F109" s="1408">
        <f t="shared" ref="F109:F172" si="22">IF(ISERROR(E109/D109),"-",E109/D109)</f>
        <v>0.36115895127085829</v>
      </c>
      <c r="G109" s="27">
        <f>+G110+G114+G116+G123+G132</f>
        <v>1765075</v>
      </c>
      <c r="H109" s="28">
        <f>+H110+H114+H116+H123+H132</f>
        <v>38594</v>
      </c>
      <c r="I109" s="29">
        <f>+I110+I114+I116+I123+I132</f>
        <v>3336</v>
      </c>
      <c r="J109" s="712">
        <f>+E109/$E$208</f>
        <v>0.68852790702193645</v>
      </c>
      <c r="K109" s="3">
        <f>+E109-G109-H109-I109</f>
        <v>0</v>
      </c>
    </row>
    <row r="110" spans="1:14" s="3" customFormat="1" ht="12.75" thickBot="1">
      <c r="A110" s="83" t="s">
        <v>5</v>
      </c>
      <c r="B110" s="64" t="s">
        <v>309</v>
      </c>
      <c r="C110" s="1049">
        <f t="shared" ref="C110:F110" si="23">+C112+C113</f>
        <v>613440</v>
      </c>
      <c r="D110" s="28">
        <f t="shared" si="23"/>
        <v>839058</v>
      </c>
      <c r="E110" s="28">
        <f t="shared" si="23"/>
        <v>839058</v>
      </c>
      <c r="F110" s="1408">
        <f t="shared" si="22"/>
        <v>1</v>
      </c>
      <c r="G110" s="27">
        <f>+G112+G113</f>
        <v>823102</v>
      </c>
      <c r="H110" s="28">
        <f>+H112+H113</f>
        <v>13453</v>
      </c>
      <c r="I110" s="29">
        <f>+I112+I113</f>
        <v>2503</v>
      </c>
      <c r="J110" s="712">
        <f>+E110/$E$208</f>
        <v>0.31970849478004321</v>
      </c>
      <c r="K110" s="3">
        <f>+E110-G110-H110-I110</f>
        <v>0</v>
      </c>
    </row>
    <row r="111" spans="1:14" s="36" customFormat="1">
      <c r="A111" s="819" t="s">
        <v>349</v>
      </c>
      <c r="B111" s="820" t="s">
        <v>350</v>
      </c>
      <c r="C111" s="1058">
        <f>+'1.1.mell._ÖNK_Mérleg2018'!C111+'1.2.mell._HKÖH_Mérleg2018'!C111+'1.3.mell._HVÓBKI_Mérleg2018'!C111+'1.4.mell._HKK_Mérleg2018'!C111+'1.5._mell._MŐSZ_Mérleg2018'!C111+'1.6._mell._HVGYKCSSZ_Mérleg2018'!C111</f>
        <v>16807</v>
      </c>
      <c r="D111" s="97">
        <f>+'1.1.mell._ÖNK_Mérleg2018'!D111+'1.2.mell._HKÖH_Mérleg2018'!D111+'1.3.mell._HVÓBKI_Mérleg2018'!D111+'1.4.mell._HKK_Mérleg2018'!D111+'1.5._mell._MŐSZ_Mérleg2018'!D111+'1.6._mell._HVGYKCSSZ_Mérleg2018'!D111</f>
        <v>96862</v>
      </c>
      <c r="E111" s="97">
        <f>+'1.1.mell._ÖNK_Mérleg2018'!E111+'1.2.mell._HKÖH_Mérleg2018'!E111+'1.3.mell._HVÓBKI_Mérleg2018'!E111+'1.4.mell._HKK_Mérleg2018'!E111+'1.5._mell._MŐSZ_Mérleg2018'!E111+'1.6._mell._HVGYKCSSZ_Mérleg2018'!E111</f>
        <v>96862</v>
      </c>
      <c r="F111" s="1409">
        <f t="shared" si="22"/>
        <v>1</v>
      </c>
      <c r="G111" s="96">
        <f>+'1.1.mell._ÖNK_Mérleg2018'!G111+'1.2.mell._HKÖH_Mérleg2018'!G111+'1.3.mell._HVÓBKI_Mérleg2018'!G111+'1.4.mell._HKK_Mérleg2018'!G111+'1.5._mell._MŐSZ_Mérleg2018'!G111+'1.6._mell._HVGYKCSSZ_Mérleg2018'!G111</f>
        <v>96862</v>
      </c>
      <c r="H111" s="97">
        <f>+'1.1.mell._ÖNK_Mérleg2018'!H111+'1.2.mell._HKÖH_Mérleg2018'!H111+'1.3.mell._HVÓBKI_Mérleg2018'!H111+'1.4.mell._HKK_Mérleg2018'!H111+'1.5._mell._MŐSZ_Mérleg2018'!H111+'1.6._mell._HVGYKCSSZ_Mérleg2018'!H111</f>
        <v>0</v>
      </c>
      <c r="I111" s="98">
        <f>+'1.1.mell._ÖNK_Mérleg2018'!I111+'1.2.mell._HKÖH_Mérleg2018'!I111+'1.3.mell._HVÓBKI_Mérleg2018'!I111+'1.4.mell._HKK_Mérleg2018'!I111+'1.5._mell._MŐSZ_Mérleg2018'!I111+'1.6._mell._HVGYKCSSZ_Mérleg2018'!I111</f>
        <v>0</v>
      </c>
      <c r="K111" s="36">
        <f>+E111-G111-H111-I111</f>
        <v>0</v>
      </c>
    </row>
    <row r="112" spans="1:14">
      <c r="A112" s="84" t="s">
        <v>54</v>
      </c>
      <c r="B112" s="65" t="s">
        <v>127</v>
      </c>
      <c r="C112" s="1051">
        <f>+'1.1.mell._ÖNK_Mérleg2018'!C112+'1.2.mell._HKÖH_Mérleg2018'!C112+'1.3.mell._HVÓBKI_Mérleg2018'!C112+'1.4.mell._HKK_Mérleg2018'!C112+'1.5._mell._MŐSZ_Mérleg2018'!C112+'1.6._mell._HVGYKCSSZ_Mérleg2018'!C112</f>
        <v>561213</v>
      </c>
      <c r="D112" s="10">
        <f>+'1.1.mell._ÖNK_Mérleg2018'!D112+'1.2.mell._HKÖH_Mérleg2018'!D112+'1.3.mell._HVÓBKI_Mérleg2018'!D112+'1.4.mell._HKK_Mérleg2018'!D112+'1.5._mell._MŐSZ_Mérleg2018'!D112+'1.6._mell._HVGYKCSSZ_Mérleg2018'!D112</f>
        <v>746559</v>
      </c>
      <c r="E112" s="10">
        <f>+'1.1.mell._ÖNK_Mérleg2018'!E112+'1.2.mell._HKÖH_Mérleg2018'!E112+'1.3.mell._HVÓBKI_Mérleg2018'!E112+'1.4.mell._HKK_Mérleg2018'!E112+'1.5._mell._MŐSZ_Mérleg2018'!E112+'1.6._mell._HVGYKCSSZ_Mérleg2018'!E112</f>
        <v>746559</v>
      </c>
      <c r="F112" s="1410">
        <f t="shared" si="22"/>
        <v>1</v>
      </c>
      <c r="G112" s="34">
        <f>+'1.1.mell._ÖNK_Mérleg2018'!G112+'1.2.mell._HKÖH_Mérleg2018'!G112+'1.3.mell._HVÓBKI_Mérleg2018'!G112+'1.4.mell._HKK_Mérleg2018'!G112+'1.5._mell._MŐSZ_Mérleg2018'!G112+'1.6._mell._HVGYKCSSZ_Mérleg2018'!G112</f>
        <v>733171</v>
      </c>
      <c r="H112" s="10">
        <f>+'1.1.mell._ÖNK_Mérleg2018'!H112+'1.2.mell._HKÖH_Mérleg2018'!H112+'1.3.mell._HVÓBKI_Mérleg2018'!H112+'1.4.mell._HKK_Mérleg2018'!H112+'1.5._mell._MŐSZ_Mérleg2018'!H112+'1.6._mell._HVGYKCSSZ_Mérleg2018'!H112</f>
        <v>13388</v>
      </c>
      <c r="I112" s="35">
        <f>+'1.1.mell._ÖNK_Mérleg2018'!I112+'1.2.mell._HKÖH_Mérleg2018'!I112+'1.3.mell._HVÓBKI_Mérleg2018'!I112+'1.4.mell._HKK_Mérleg2018'!I112+'1.5._mell._MŐSZ_Mérleg2018'!I112+'1.6._mell._HVGYKCSSZ_Mérleg2018'!I112</f>
        <v>0</v>
      </c>
      <c r="K112" s="4">
        <f>+E112-G112-H112-I112</f>
        <v>0</v>
      </c>
    </row>
    <row r="113" spans="1:11" ht="12.75" thickBot="1">
      <c r="A113" s="78" t="s">
        <v>55</v>
      </c>
      <c r="B113" s="68" t="s">
        <v>128</v>
      </c>
      <c r="C113" s="500">
        <f>+'1.1.mell._ÖNK_Mérleg2018'!C113+'1.2.mell._HKÖH_Mérleg2018'!C113+'1.3.mell._HVÓBKI_Mérleg2018'!C113+'1.4.mell._HKK_Mérleg2018'!C113+'1.5._mell._MŐSZ_Mérleg2018'!C113+'1.6._mell._HVGYKCSSZ_Mérleg2018'!C113</f>
        <v>52227</v>
      </c>
      <c r="D113" s="22">
        <f>+'1.1.mell._ÖNK_Mérleg2018'!D113+'1.2.mell._HKÖH_Mérleg2018'!D113+'1.3.mell._HVÓBKI_Mérleg2018'!D113+'1.4.mell._HKK_Mérleg2018'!D113+'1.5._mell._MŐSZ_Mérleg2018'!D113+'1.6._mell._HVGYKCSSZ_Mérleg2018'!D113</f>
        <v>92499</v>
      </c>
      <c r="E113" s="22">
        <f>+'1.1.mell._ÖNK_Mérleg2018'!E113+'1.2.mell._HKÖH_Mérleg2018'!E113+'1.3.mell._HVÓBKI_Mérleg2018'!E113+'1.4.mell._HKK_Mérleg2018'!E113+'1.5._mell._MŐSZ_Mérleg2018'!E113+'1.6._mell._HVGYKCSSZ_Mérleg2018'!E113</f>
        <v>92499</v>
      </c>
      <c r="F113" s="1411">
        <f t="shared" si="22"/>
        <v>1</v>
      </c>
      <c r="G113" s="21">
        <f>+'1.1.mell._ÖNK_Mérleg2018'!G113+'1.2.mell._HKÖH_Mérleg2018'!G113+'1.3.mell._HVÓBKI_Mérleg2018'!G113+'1.4.mell._HKK_Mérleg2018'!G113+'1.5._mell._MŐSZ_Mérleg2018'!G113+'1.6._mell._HVGYKCSSZ_Mérleg2018'!G113</f>
        <v>89931</v>
      </c>
      <c r="H113" s="22">
        <f>+'1.1.mell._ÖNK_Mérleg2018'!H113+'1.2.mell._HKÖH_Mérleg2018'!H113+'1.3.mell._HVÓBKI_Mérleg2018'!H113+'1.4.mell._HKK_Mérleg2018'!H113+'1.5._mell._MŐSZ_Mérleg2018'!H113+'1.6._mell._HVGYKCSSZ_Mérleg2018'!H113</f>
        <v>65</v>
      </c>
      <c r="I113" s="23">
        <f>+'1.1.mell._ÖNK_Mérleg2018'!I113+'1.2.mell._HKÖH_Mérleg2018'!I113+'1.3.mell._HVÓBKI_Mérleg2018'!I113+'1.4.mell._HKK_Mérleg2018'!I113+'1.5._mell._MŐSZ_Mérleg2018'!I113+'1.6._mell._HVGYKCSSZ_Mérleg2018'!I113</f>
        <v>2503</v>
      </c>
      <c r="K113" s="4">
        <f>+E113-G113-H113-I113</f>
        <v>0</v>
      </c>
    </row>
    <row r="114" spans="1:11" s="3" customFormat="1" ht="12.75" thickBot="1">
      <c r="A114" s="83" t="s">
        <v>6</v>
      </c>
      <c r="B114" s="64" t="s">
        <v>256</v>
      </c>
      <c r="C114" s="1049">
        <f>+'1.1.mell._ÖNK_Mérleg2018'!C114+'1.2.mell._HKÖH_Mérleg2018'!C114+'1.3.mell._HVÓBKI_Mérleg2018'!C114+'1.4.mell._HKK_Mérleg2018'!C114+'1.5._mell._MŐSZ_Mérleg2018'!C114+'1.6._mell._HVGYKCSSZ_Mérleg2018'!C114</f>
        <v>124419</v>
      </c>
      <c r="D114" s="28">
        <f>+'1.1.mell._ÖNK_Mérleg2018'!D114+'1.2.mell._HKÖH_Mérleg2018'!D114+'1.3.mell._HVÓBKI_Mérleg2018'!D114+'1.4.mell._HKK_Mérleg2018'!D114+'1.5._mell._MŐSZ_Mérleg2018'!D114+'1.6._mell._HVGYKCSSZ_Mérleg2018'!D114</f>
        <v>154821</v>
      </c>
      <c r="E114" s="28">
        <f>+'1.1.mell._ÖNK_Mérleg2018'!E114+'1.2.mell._HKÖH_Mérleg2018'!E114+'1.3.mell._HVÓBKI_Mérleg2018'!E114+'1.4.mell._HKK_Mérleg2018'!E114+'1.5._mell._MŐSZ_Mérleg2018'!E114+'1.6._mell._HVGYKCSSZ_Mérleg2018'!E114</f>
        <v>153994</v>
      </c>
      <c r="F114" s="1408">
        <f t="shared" si="22"/>
        <v>0.99465834738181513</v>
      </c>
      <c r="G114" s="27">
        <f>+'1.1.mell._ÖNK_Mérleg2018'!G114+'1.2.mell._HKÖH_Mérleg2018'!G114+'1.3.mell._HVÓBKI_Mérleg2018'!G114+'1.4.mell._HKK_Mérleg2018'!G114+'1.5._mell._MŐSZ_Mérleg2018'!G114+'1.6._mell._HVGYKCSSZ_Mérleg2018'!G114</f>
        <v>150952</v>
      </c>
      <c r="H114" s="28">
        <f>+'1.1.mell._ÖNK_Mérleg2018'!H114+'1.2.mell._HKÖH_Mérleg2018'!H114+'1.3.mell._HVÓBKI_Mérleg2018'!H114+'1.4.mell._HKK_Mérleg2018'!H114+'1.5._mell._MŐSZ_Mérleg2018'!H114+'1.6._mell._HVGYKCSSZ_Mérleg2018'!H114</f>
        <v>2481</v>
      </c>
      <c r="I114" s="29">
        <f>+'1.1.mell._ÖNK_Mérleg2018'!I114+'1.2.mell._HKÖH_Mérleg2018'!I114+'1.3.mell._HVÓBKI_Mérleg2018'!I114+'1.4.mell._HKK_Mérleg2018'!I114+'1.5._mell._MŐSZ_Mérleg2018'!I114+'1.6._mell._HVGYKCSSZ_Mérleg2018'!I114</f>
        <v>561</v>
      </c>
      <c r="J114" s="712">
        <f>+E114/$E$208</f>
        <v>5.8676742186068151E-2</v>
      </c>
      <c r="K114" s="3">
        <f>+E114-G114-H114-I114</f>
        <v>0</v>
      </c>
    </row>
    <row r="115" spans="1:11" s="36" customFormat="1" ht="12.75" thickBot="1">
      <c r="A115" s="819" t="s">
        <v>346</v>
      </c>
      <c r="B115" s="820" t="s">
        <v>347</v>
      </c>
      <c r="C115" s="1058">
        <f>+'1.1.mell._ÖNK_Mérleg2018'!C115+'1.2.mell._HKÖH_Mérleg2018'!C115+'1.3.mell._HVÓBKI_Mérleg2018'!C115+'1.4.mell._HKK_Mérleg2018'!C115+'1.5._mell._MŐSZ_Mérleg2018'!C115+'1.6._mell._HVGYKCSSZ_Mérleg2018'!C115</f>
        <v>4547</v>
      </c>
      <c r="D115" s="97">
        <f>+'1.1.mell._ÖNK_Mérleg2018'!D115+'1.2.mell._HKÖH_Mérleg2018'!D115+'1.3.mell._HVÓBKI_Mérleg2018'!D115+'1.4.mell._HKK_Mérleg2018'!D115+'1.5._mell._MŐSZ_Mérleg2018'!D115+'1.6._mell._HVGYKCSSZ_Mérleg2018'!D115</f>
        <v>16944</v>
      </c>
      <c r="E115" s="97">
        <f>+'1.1.mell._ÖNK_Mérleg2018'!E115+'1.2.mell._HKÖH_Mérleg2018'!E115+'1.3.mell._HVÓBKI_Mérleg2018'!E115+'1.4.mell._HKK_Mérleg2018'!E115+'1.5._mell._MŐSZ_Mérleg2018'!E115+'1.6._mell._HVGYKCSSZ_Mérleg2018'!E115</f>
        <v>16944</v>
      </c>
      <c r="F115" s="1409">
        <f t="shared" si="22"/>
        <v>1</v>
      </c>
      <c r="G115" s="96">
        <f>+'1.1.mell._ÖNK_Mérleg2018'!G115+'1.2.mell._HKÖH_Mérleg2018'!G115+'1.3.mell._HVÓBKI_Mérleg2018'!G115+'1.4.mell._HKK_Mérleg2018'!G115+'1.5._mell._MŐSZ_Mérleg2018'!G115+'1.6._mell._HVGYKCSSZ_Mérleg2018'!G115</f>
        <v>16944</v>
      </c>
      <c r="H115" s="97">
        <f>+'1.1.mell._ÖNK_Mérleg2018'!H115+'1.2.mell._HKÖH_Mérleg2018'!H115+'1.3.mell._HVÓBKI_Mérleg2018'!H115+'1.4.mell._HKK_Mérleg2018'!H115+'1.5._mell._MŐSZ_Mérleg2018'!H115+'1.6._mell._HVGYKCSSZ_Mérleg2018'!H115</f>
        <v>0</v>
      </c>
      <c r="I115" s="98">
        <f>+'1.1.mell._ÖNK_Mérleg2018'!I115+'1.2.mell._HKÖH_Mérleg2018'!I115+'1.3.mell._HVÓBKI_Mérleg2018'!I115+'1.4.mell._HKK_Mérleg2018'!I115+'1.5._mell._MŐSZ_Mérleg2018'!I115+'1.6._mell._HVGYKCSSZ_Mérleg2018'!I115</f>
        <v>0</v>
      </c>
      <c r="K115" s="36">
        <f>+E115-G115-H115-I115</f>
        <v>0</v>
      </c>
    </row>
    <row r="116" spans="1:11" s="3" customFormat="1" ht="12.75" thickBot="1">
      <c r="A116" s="83" t="s">
        <v>3</v>
      </c>
      <c r="B116" s="64" t="s">
        <v>343</v>
      </c>
      <c r="C116" s="1049">
        <f t="shared" ref="C116:F116" si="24">+C118+C119+C120+C121+C122</f>
        <v>441900</v>
      </c>
      <c r="D116" s="28">
        <f t="shared" si="24"/>
        <v>744258</v>
      </c>
      <c r="E116" s="28">
        <f t="shared" si="24"/>
        <v>690773</v>
      </c>
      <c r="F116" s="1408">
        <f t="shared" si="22"/>
        <v>0.92813647955413314</v>
      </c>
      <c r="G116" s="27">
        <f>+G118+G119+G120+G121+G122</f>
        <v>667853</v>
      </c>
      <c r="H116" s="28">
        <f>+H118+H119+H120+H121+H122</f>
        <v>22648</v>
      </c>
      <c r="I116" s="29">
        <f>+I118+I119+I120+I121+I122</f>
        <v>272</v>
      </c>
      <c r="J116" s="712">
        <f>+E116/$E$208</f>
        <v>0.26320706800327842</v>
      </c>
      <c r="K116" s="3">
        <f>+E116-G116-H116-I116</f>
        <v>0</v>
      </c>
    </row>
    <row r="117" spans="1:11" s="36" customFormat="1">
      <c r="A117" s="819" t="s">
        <v>341</v>
      </c>
      <c r="B117" s="820" t="s">
        <v>348</v>
      </c>
      <c r="C117" s="1058">
        <f>+'1.1.mell._ÖNK_Mérleg2018'!C117+'1.2.mell._HKÖH_Mérleg2018'!C117+'1.3.mell._HVÓBKI_Mérleg2018'!C117+'1.4.mell._HKK_Mérleg2018'!C117+'1.5._mell._MŐSZ_Mérleg2018'!C117+'1.6._mell._HVGYKCSSZ_Mérleg2018'!C117</f>
        <v>63554</v>
      </c>
      <c r="D117" s="97">
        <f>+'1.1.mell._ÖNK_Mérleg2018'!D117+'1.2.mell._HKÖH_Mérleg2018'!D117+'1.3.mell._HVÓBKI_Mérleg2018'!D117+'1.4.mell._HKK_Mérleg2018'!D117+'1.5._mell._MŐSZ_Mérleg2018'!D117+'1.6._mell._HVGYKCSSZ_Mérleg2018'!D117</f>
        <v>274265</v>
      </c>
      <c r="E117" s="97">
        <f>+'1.1.mell._ÖNK_Mérleg2018'!E117+'1.2.mell._HKÖH_Mérleg2018'!E117+'1.3.mell._HVÓBKI_Mérleg2018'!E117+'1.4.mell._HKK_Mérleg2018'!E117+'1.5._mell._MŐSZ_Mérleg2018'!E117+'1.6._mell._HVGYKCSSZ_Mérleg2018'!E117</f>
        <v>271494</v>
      </c>
      <c r="F117" s="1409">
        <f t="shared" si="22"/>
        <v>0.98989663281862428</v>
      </c>
      <c r="G117" s="96">
        <f>+'1.1.mell._ÖNK_Mérleg2018'!G117+'1.2.mell._HKÖH_Mérleg2018'!G117+'1.3.mell._HVÓBKI_Mérleg2018'!G117+'1.4.mell._HKK_Mérleg2018'!G117+'1.5._mell._MŐSZ_Mérleg2018'!G117+'1.6._mell._HVGYKCSSZ_Mérleg2018'!G117</f>
        <v>271494</v>
      </c>
      <c r="H117" s="97">
        <f>+'1.1.mell._ÖNK_Mérleg2018'!H117+'1.2.mell._HKÖH_Mérleg2018'!H117+'1.3.mell._HVÓBKI_Mérleg2018'!H117+'1.4.mell._HKK_Mérleg2018'!H117+'1.5._mell._MŐSZ_Mérleg2018'!H117+'1.6._mell._HVGYKCSSZ_Mérleg2018'!H117</f>
        <v>0</v>
      </c>
      <c r="I117" s="98">
        <f>+'1.1.mell._ÖNK_Mérleg2018'!I117+'1.2.mell._HKÖH_Mérleg2018'!I117+'1.3.mell._HVÓBKI_Mérleg2018'!I117+'1.4.mell._HKK_Mérleg2018'!I117+'1.5._mell._MŐSZ_Mérleg2018'!I117+'1.6._mell._HVGYKCSSZ_Mérleg2018'!I117</f>
        <v>0</v>
      </c>
      <c r="K117" s="36">
        <f>+E117-G117-H117-I117</f>
        <v>0</v>
      </c>
    </row>
    <row r="118" spans="1:11">
      <c r="A118" s="84" t="s">
        <v>61</v>
      </c>
      <c r="B118" s="65" t="s">
        <v>129</v>
      </c>
      <c r="C118" s="1051">
        <f>+'1.1.mell._ÖNK_Mérleg2018'!C118+'1.2.mell._HKÖH_Mérleg2018'!C118+'1.3.mell._HVÓBKI_Mérleg2018'!C118+'1.4.mell._HKK_Mérleg2018'!C118+'1.5._mell._MŐSZ_Mérleg2018'!C118+'1.6._mell._HVGYKCSSZ_Mérleg2018'!C118</f>
        <v>35055</v>
      </c>
      <c r="D118" s="10">
        <f>+'1.1.mell._ÖNK_Mérleg2018'!D118+'1.2.mell._HKÖH_Mérleg2018'!D118+'1.3.mell._HVÓBKI_Mérleg2018'!D118+'1.4.mell._HKK_Mérleg2018'!D118+'1.5._mell._MŐSZ_Mérleg2018'!D118+'1.6._mell._HVGYKCSSZ_Mérleg2018'!D118</f>
        <v>73501</v>
      </c>
      <c r="E118" s="10">
        <f>+'1.1.mell._ÖNK_Mérleg2018'!E118+'1.2.mell._HKÖH_Mérleg2018'!E118+'1.3.mell._HVÓBKI_Mérleg2018'!E118+'1.4.mell._HKK_Mérleg2018'!E118+'1.5._mell._MŐSZ_Mérleg2018'!E118+'1.6._mell._HVGYKCSSZ_Mérleg2018'!E118</f>
        <v>70377</v>
      </c>
      <c r="F118" s="1410">
        <f t="shared" si="22"/>
        <v>0.9574971769091577</v>
      </c>
      <c r="G118" s="34">
        <f>+'1.1.mell._ÖNK_Mérleg2018'!G118+'1.2.mell._HKÖH_Mérleg2018'!G118+'1.3.mell._HVÓBKI_Mérleg2018'!G118+'1.4.mell._HKK_Mérleg2018'!G118+'1.5._mell._MŐSZ_Mérleg2018'!G118+'1.6._mell._HVGYKCSSZ_Mérleg2018'!G118</f>
        <v>54238</v>
      </c>
      <c r="H118" s="10">
        <f>+'1.1.mell._ÖNK_Mérleg2018'!H118+'1.2.mell._HKÖH_Mérleg2018'!H118+'1.3.mell._HVÓBKI_Mérleg2018'!H118+'1.4.mell._HKK_Mérleg2018'!H118+'1.5._mell._MŐSZ_Mérleg2018'!H118+'1.6._mell._HVGYKCSSZ_Mérleg2018'!H118</f>
        <v>15992</v>
      </c>
      <c r="I118" s="35">
        <f>+'1.1.mell._ÖNK_Mérleg2018'!I118+'1.2.mell._HKÖH_Mérleg2018'!I118+'1.3.mell._HVÓBKI_Mérleg2018'!I118+'1.4.mell._HKK_Mérleg2018'!I118+'1.5._mell._MŐSZ_Mérleg2018'!I118+'1.6._mell._HVGYKCSSZ_Mérleg2018'!I118</f>
        <v>147</v>
      </c>
      <c r="K118" s="4">
        <f>+E118-G118-H118-I118</f>
        <v>0</v>
      </c>
    </row>
    <row r="119" spans="1:11">
      <c r="A119" s="85" t="s">
        <v>62</v>
      </c>
      <c r="B119" s="67" t="s">
        <v>130</v>
      </c>
      <c r="C119" s="501">
        <f>+'1.1.mell._ÖNK_Mérleg2018'!C119+'1.2.mell._HKÖH_Mérleg2018'!C119+'1.3.mell._HVÓBKI_Mérleg2018'!C119+'1.4.mell._HKK_Mérleg2018'!C119+'1.5._mell._MŐSZ_Mérleg2018'!C119+'1.6._mell._HVGYKCSSZ_Mérleg2018'!C119</f>
        <v>26490</v>
      </c>
      <c r="D119" s="11">
        <f>+'1.1.mell._ÖNK_Mérleg2018'!D119+'1.2.mell._HKÖH_Mérleg2018'!D119+'1.3.mell._HVÓBKI_Mérleg2018'!D119+'1.4.mell._HKK_Mérleg2018'!D119+'1.5._mell._MŐSZ_Mérleg2018'!D119+'1.6._mell._HVGYKCSSZ_Mérleg2018'!D119</f>
        <v>28469</v>
      </c>
      <c r="E119" s="11">
        <f>+'1.1.mell._ÖNK_Mérleg2018'!E119+'1.2.mell._HKÖH_Mérleg2018'!E119+'1.3.mell._HVÓBKI_Mérleg2018'!E119+'1.4.mell._HKK_Mérleg2018'!E119+'1.5._mell._MŐSZ_Mérleg2018'!E119+'1.6._mell._HVGYKCSSZ_Mérleg2018'!E119</f>
        <v>24473</v>
      </c>
      <c r="F119" s="1412">
        <f t="shared" si="22"/>
        <v>0.85963679792054515</v>
      </c>
      <c r="G119" s="20">
        <f>+'1.1.mell._ÖNK_Mérleg2018'!G119+'1.2.mell._HKÖH_Mérleg2018'!G119+'1.3.mell._HVÓBKI_Mérleg2018'!G119+'1.4.mell._HKK_Mérleg2018'!G119+'1.5._mell._MŐSZ_Mérleg2018'!G119+'1.6._mell._HVGYKCSSZ_Mérleg2018'!G119</f>
        <v>24465</v>
      </c>
      <c r="H119" s="11">
        <f>+'1.1.mell._ÖNK_Mérleg2018'!H119+'1.2.mell._HKÖH_Mérleg2018'!H119+'1.3.mell._HVÓBKI_Mérleg2018'!H119+'1.4.mell._HKK_Mérleg2018'!H119+'1.5._mell._MŐSZ_Mérleg2018'!H119+'1.6._mell._HVGYKCSSZ_Mérleg2018'!H119</f>
        <v>8</v>
      </c>
      <c r="I119" s="16">
        <f>+'1.1.mell._ÖNK_Mérleg2018'!I119+'1.2.mell._HKÖH_Mérleg2018'!I119+'1.3.mell._HVÓBKI_Mérleg2018'!I119+'1.4.mell._HKK_Mérleg2018'!I119+'1.5._mell._MŐSZ_Mérleg2018'!I119+'1.6._mell._HVGYKCSSZ_Mérleg2018'!I119</f>
        <v>0</v>
      </c>
      <c r="K119" s="4">
        <f>+E119-G119-H119-I119</f>
        <v>0</v>
      </c>
    </row>
    <row r="120" spans="1:11">
      <c r="A120" s="85" t="s">
        <v>63</v>
      </c>
      <c r="B120" s="67" t="s">
        <v>131</v>
      </c>
      <c r="C120" s="501">
        <f>+'1.1.mell._ÖNK_Mérleg2018'!C120+'1.2.mell._HKÖH_Mérleg2018'!C120+'1.3.mell._HVÓBKI_Mérleg2018'!C120+'1.4.mell._HKK_Mérleg2018'!C120+'1.5._mell._MŐSZ_Mérleg2018'!C120+'1.6._mell._HVGYKCSSZ_Mérleg2018'!C120</f>
        <v>270417</v>
      </c>
      <c r="D120" s="11">
        <f>+'1.1.mell._ÖNK_Mérleg2018'!D120+'1.2.mell._HKÖH_Mérleg2018'!D120+'1.3.mell._HVÓBKI_Mérleg2018'!D120+'1.4.mell._HKK_Mérleg2018'!D120+'1.5._mell._MŐSZ_Mérleg2018'!D120+'1.6._mell._HVGYKCSSZ_Mérleg2018'!D120</f>
        <v>473385</v>
      </c>
      <c r="E120" s="11">
        <f>+'1.1.mell._ÖNK_Mérleg2018'!E120+'1.2.mell._HKÖH_Mérleg2018'!E120+'1.3.mell._HVÓBKI_Mérleg2018'!E120+'1.4.mell._HKK_Mérleg2018'!E120+'1.5._mell._MŐSZ_Mérleg2018'!E120+'1.6._mell._HVGYKCSSZ_Mérleg2018'!E120</f>
        <v>437818</v>
      </c>
      <c r="F120" s="1412">
        <f t="shared" si="22"/>
        <v>0.92486665187954831</v>
      </c>
      <c r="G120" s="20">
        <f>+'1.1.mell._ÖNK_Mérleg2018'!G120+'1.2.mell._HKÖH_Mérleg2018'!G120+'1.3.mell._HVÓBKI_Mérleg2018'!G120+'1.4.mell._HKK_Mérleg2018'!G120+'1.5._mell._MŐSZ_Mérleg2018'!G120+'1.6._mell._HVGYKCSSZ_Mérleg2018'!G120</f>
        <v>435023</v>
      </c>
      <c r="H120" s="11">
        <f>+'1.1.mell._ÖNK_Mérleg2018'!H120+'1.2.mell._HKÖH_Mérleg2018'!H120+'1.3.mell._HVÓBKI_Mérleg2018'!H120+'1.4.mell._HKK_Mérleg2018'!H120+'1.5._mell._MŐSZ_Mérleg2018'!H120+'1.6._mell._HVGYKCSSZ_Mérleg2018'!H120</f>
        <v>2766</v>
      </c>
      <c r="I120" s="16">
        <f>+'1.1.mell._ÖNK_Mérleg2018'!I120+'1.2.mell._HKÖH_Mérleg2018'!I120+'1.3.mell._HVÓBKI_Mérleg2018'!I120+'1.4.mell._HKK_Mérleg2018'!I120+'1.5._mell._MŐSZ_Mérleg2018'!I120+'1.6._mell._HVGYKCSSZ_Mérleg2018'!I120</f>
        <v>29</v>
      </c>
      <c r="K120" s="4">
        <f>+E120-G120-H120-I120</f>
        <v>0</v>
      </c>
    </row>
    <row r="121" spans="1:11">
      <c r="A121" s="85" t="s">
        <v>64</v>
      </c>
      <c r="B121" s="67" t="s">
        <v>132</v>
      </c>
      <c r="C121" s="501">
        <f>+'1.1.mell._ÖNK_Mérleg2018'!C121+'1.2.mell._HKÖH_Mérleg2018'!C121+'1.3.mell._HVÓBKI_Mérleg2018'!C121+'1.4.mell._HKK_Mérleg2018'!C121+'1.5._mell._MŐSZ_Mérleg2018'!C121+'1.6._mell._HVGYKCSSZ_Mérleg2018'!C121</f>
        <v>1175</v>
      </c>
      <c r="D121" s="11">
        <f>+'1.1.mell._ÖNK_Mérleg2018'!D121+'1.2.mell._HKÖH_Mérleg2018'!D121+'1.3.mell._HVÓBKI_Mérleg2018'!D121+'1.4.mell._HKK_Mérleg2018'!D121+'1.5._mell._MŐSZ_Mérleg2018'!D121+'1.6._mell._HVGYKCSSZ_Mérleg2018'!D121</f>
        <v>3319</v>
      </c>
      <c r="E121" s="11">
        <f>+'1.1.mell._ÖNK_Mérleg2018'!E121+'1.2.mell._HKÖH_Mérleg2018'!E121+'1.3.mell._HVÓBKI_Mérleg2018'!E121+'1.4.mell._HKK_Mérleg2018'!E121+'1.5._mell._MŐSZ_Mérleg2018'!E121+'1.6._mell._HVGYKCSSZ_Mérleg2018'!E121</f>
        <v>3099</v>
      </c>
      <c r="F121" s="1412">
        <f t="shared" si="22"/>
        <v>0.9337149743898765</v>
      </c>
      <c r="G121" s="20">
        <f>+'1.1.mell._ÖNK_Mérleg2018'!G121+'1.2.mell._HKÖH_Mérleg2018'!G121+'1.3.mell._HVÓBKI_Mérleg2018'!G121+'1.4.mell._HKK_Mérleg2018'!G121+'1.5._mell._MŐSZ_Mérleg2018'!G121+'1.6._mell._HVGYKCSSZ_Mérleg2018'!G121</f>
        <v>3099</v>
      </c>
      <c r="H121" s="11">
        <f>+'1.1.mell._ÖNK_Mérleg2018'!H121+'1.2.mell._HKÖH_Mérleg2018'!H121+'1.3.mell._HVÓBKI_Mérleg2018'!H121+'1.4.mell._HKK_Mérleg2018'!H121+'1.5._mell._MŐSZ_Mérleg2018'!H121+'1.6._mell._HVGYKCSSZ_Mérleg2018'!H121</f>
        <v>0</v>
      </c>
      <c r="I121" s="16">
        <f>+'1.1.mell._ÖNK_Mérleg2018'!I121+'1.2.mell._HKÖH_Mérleg2018'!I121+'1.3.mell._HVÓBKI_Mérleg2018'!I121+'1.4.mell._HKK_Mérleg2018'!I121+'1.5._mell._MŐSZ_Mérleg2018'!I121+'1.6._mell._HVGYKCSSZ_Mérleg2018'!I121</f>
        <v>0</v>
      </c>
      <c r="K121" s="4">
        <f>+E121-G121-H121-I121</f>
        <v>0</v>
      </c>
    </row>
    <row r="122" spans="1:11" ht="12.75" thickBot="1">
      <c r="A122" s="78" t="s">
        <v>65</v>
      </c>
      <c r="B122" s="68" t="s">
        <v>133</v>
      </c>
      <c r="C122" s="500">
        <f>+'1.1.mell._ÖNK_Mérleg2018'!C122+'1.2.mell._HKÖH_Mérleg2018'!C122+'1.3.mell._HVÓBKI_Mérleg2018'!C122+'1.4.mell._HKK_Mérleg2018'!C122+'1.5._mell._MŐSZ_Mérleg2018'!C122+'1.6._mell._HVGYKCSSZ_Mérleg2018'!C122</f>
        <v>108763</v>
      </c>
      <c r="D122" s="22">
        <f>+'1.1.mell._ÖNK_Mérleg2018'!D122+'1.2.mell._HKÖH_Mérleg2018'!D122+'1.3.mell._HVÓBKI_Mérleg2018'!D122+'1.4.mell._HKK_Mérleg2018'!D122+'1.5._mell._MŐSZ_Mérleg2018'!D122+'1.6._mell._HVGYKCSSZ_Mérleg2018'!D122</f>
        <v>165584</v>
      </c>
      <c r="E122" s="22">
        <f>+'1.1.mell._ÖNK_Mérleg2018'!E122+'1.2.mell._HKÖH_Mérleg2018'!E122+'1.3.mell._HVÓBKI_Mérleg2018'!E122+'1.4.mell._HKK_Mérleg2018'!E122+'1.5._mell._MŐSZ_Mérleg2018'!E122+'1.6._mell._HVGYKCSSZ_Mérleg2018'!E122</f>
        <v>155006</v>
      </c>
      <c r="F122" s="1411">
        <f t="shared" si="22"/>
        <v>0.93611701613682485</v>
      </c>
      <c r="G122" s="21">
        <f>+'1.1.mell._ÖNK_Mérleg2018'!G122+'1.2.mell._HKÖH_Mérleg2018'!G122+'1.3.mell._HVÓBKI_Mérleg2018'!G122+'1.4.mell._HKK_Mérleg2018'!G122+'1.5._mell._MŐSZ_Mérleg2018'!G122+'1.6._mell._HVGYKCSSZ_Mérleg2018'!G122</f>
        <v>151028</v>
      </c>
      <c r="H122" s="22">
        <f>+'1.1.mell._ÖNK_Mérleg2018'!H122+'1.2.mell._HKÖH_Mérleg2018'!H122+'1.3.mell._HVÓBKI_Mérleg2018'!H122+'1.4.mell._HKK_Mérleg2018'!H122+'1.5._mell._MŐSZ_Mérleg2018'!H122+'1.6._mell._HVGYKCSSZ_Mérleg2018'!H122</f>
        <v>3882</v>
      </c>
      <c r="I122" s="23">
        <f>+'1.1.mell._ÖNK_Mérleg2018'!I122+'1.2.mell._HKÖH_Mérleg2018'!I122+'1.3.mell._HVÓBKI_Mérleg2018'!I122+'1.4.mell._HKK_Mérleg2018'!I122+'1.5._mell._MŐSZ_Mérleg2018'!I122+'1.6._mell._HVGYKCSSZ_Mérleg2018'!I122</f>
        <v>96</v>
      </c>
      <c r="K122" s="4">
        <f>+E122-G122-H122-I122</f>
        <v>0</v>
      </c>
    </row>
    <row r="123" spans="1:11" s="3" customFormat="1" ht="12.75" thickBot="1">
      <c r="A123" s="83" t="s">
        <v>16</v>
      </c>
      <c r="B123" s="64" t="s">
        <v>310</v>
      </c>
      <c r="C123" s="1049">
        <f t="shared" ref="C123:F123" si="25">+C124+C125+C126+C127+C128+C129+C130+C131</f>
        <v>51635</v>
      </c>
      <c r="D123" s="28">
        <f t="shared" si="25"/>
        <v>56062</v>
      </c>
      <c r="E123" s="28">
        <f t="shared" si="25"/>
        <v>54350</v>
      </c>
      <c r="F123" s="1408">
        <f t="shared" si="22"/>
        <v>0.96946238093539294</v>
      </c>
      <c r="G123" s="27">
        <f>+G124+G125+G126+G127+G128+G129+G130+G131</f>
        <v>54350</v>
      </c>
      <c r="H123" s="28">
        <f>+H124+H125+H126+H127+H128+H129+H130+H131</f>
        <v>0</v>
      </c>
      <c r="I123" s="29">
        <f>+I124+I125+I126+I127+I128+I129+I130+I131</f>
        <v>0</v>
      </c>
      <c r="J123" s="712">
        <f>+E123/$E$208</f>
        <v>2.0709124627016663E-2</v>
      </c>
      <c r="K123" s="3">
        <f>+E123-G123-H123-I123</f>
        <v>0</v>
      </c>
    </row>
    <row r="124" spans="1:11">
      <c r="A124" s="84" t="s">
        <v>227</v>
      </c>
      <c r="B124" s="65" t="s">
        <v>134</v>
      </c>
      <c r="C124" s="1051">
        <f>+'1.1.mell._ÖNK_Mérleg2018'!C124+'1.2.mell._HKÖH_Mérleg2018'!C124+'1.3.mell._HVÓBKI_Mérleg2018'!C124+'1.4.mell._HKK_Mérleg2018'!C124+'1.5._mell._MŐSZ_Mérleg2018'!C124+'1.6._mell._HVGYKCSSZ_Mérleg2018'!C124</f>
        <v>0</v>
      </c>
      <c r="D124" s="10">
        <f>+'1.1.mell._ÖNK_Mérleg2018'!D124+'1.2.mell._HKÖH_Mérleg2018'!D124+'1.3.mell._HVÓBKI_Mérleg2018'!D124+'1.4.mell._HKK_Mérleg2018'!D124+'1.5._mell._MŐSZ_Mérleg2018'!D124+'1.6._mell._HVGYKCSSZ_Mérleg2018'!D124</f>
        <v>0</v>
      </c>
      <c r="E124" s="10">
        <f>+'1.1.mell._ÖNK_Mérleg2018'!E124+'1.2.mell._HKÖH_Mérleg2018'!E124+'1.3.mell._HVÓBKI_Mérleg2018'!E124+'1.4.mell._HKK_Mérleg2018'!E124+'1.5._mell._MŐSZ_Mérleg2018'!E124+'1.6._mell._HVGYKCSSZ_Mérleg2018'!E124</f>
        <v>0</v>
      </c>
      <c r="F124" s="1410" t="str">
        <f t="shared" si="22"/>
        <v>-</v>
      </c>
      <c r="G124" s="34">
        <f>+'1.1.mell._ÖNK_Mérleg2018'!G124+'1.2.mell._HKÖH_Mérleg2018'!G124+'1.3.mell._HVÓBKI_Mérleg2018'!G124+'1.4.mell._HKK_Mérleg2018'!G124+'1.5._mell._MŐSZ_Mérleg2018'!G124+'1.6._mell._HVGYKCSSZ_Mérleg2018'!G124</f>
        <v>0</v>
      </c>
      <c r="H124" s="10">
        <f>+'1.1.mell._ÖNK_Mérleg2018'!H124+'1.2.mell._HKÖH_Mérleg2018'!H124+'1.3.mell._HVÓBKI_Mérleg2018'!H124+'1.4.mell._HKK_Mérleg2018'!H124+'1.5._mell._MŐSZ_Mérleg2018'!H124+'1.6._mell._HVGYKCSSZ_Mérleg2018'!H124</f>
        <v>0</v>
      </c>
      <c r="I124" s="35">
        <f>+'1.1.mell._ÖNK_Mérleg2018'!I124+'1.2.mell._HKÖH_Mérleg2018'!I124+'1.3.mell._HVÓBKI_Mérleg2018'!I124+'1.4.mell._HKK_Mérleg2018'!I124+'1.5._mell._MŐSZ_Mérleg2018'!I124+'1.6._mell._HVGYKCSSZ_Mérleg2018'!I124</f>
        <v>0</v>
      </c>
      <c r="K124" s="4">
        <f>+E124-G124-H124-I124</f>
        <v>0</v>
      </c>
    </row>
    <row r="125" spans="1:11">
      <c r="A125" s="85" t="s">
        <v>228</v>
      </c>
      <c r="B125" s="67" t="s">
        <v>135</v>
      </c>
      <c r="C125" s="501">
        <f>+'1.1.mell._ÖNK_Mérleg2018'!C125+'1.2.mell._HKÖH_Mérleg2018'!C125+'1.3.mell._HVÓBKI_Mérleg2018'!C125+'1.4.mell._HKK_Mérleg2018'!C125+'1.5._mell._MŐSZ_Mérleg2018'!C125+'1.6._mell._HVGYKCSSZ_Mérleg2018'!C125</f>
        <v>0</v>
      </c>
      <c r="D125" s="11">
        <f>+'1.1.mell._ÖNK_Mérleg2018'!D125+'1.2.mell._HKÖH_Mérleg2018'!D125+'1.3.mell._HVÓBKI_Mérleg2018'!D125+'1.4.mell._HKK_Mérleg2018'!D125+'1.5._mell._MŐSZ_Mérleg2018'!D125+'1.6._mell._HVGYKCSSZ_Mérleg2018'!D125</f>
        <v>12775</v>
      </c>
      <c r="E125" s="11">
        <f>+'1.1.mell._ÖNK_Mérleg2018'!E125+'1.2.mell._HKÖH_Mérleg2018'!E125+'1.3.mell._HVÓBKI_Mérleg2018'!E125+'1.4.mell._HKK_Mérleg2018'!E125+'1.5._mell._MŐSZ_Mérleg2018'!E125+'1.6._mell._HVGYKCSSZ_Mérleg2018'!E125</f>
        <v>12775</v>
      </c>
      <c r="F125" s="1412">
        <f t="shared" si="22"/>
        <v>1</v>
      </c>
      <c r="G125" s="20">
        <f>+'1.1.mell._ÖNK_Mérleg2018'!G125+'1.2.mell._HKÖH_Mérleg2018'!G125+'1.3.mell._HVÓBKI_Mérleg2018'!G125+'1.4.mell._HKK_Mérleg2018'!G125+'1.5._mell._MŐSZ_Mérleg2018'!G125+'1.6._mell._HVGYKCSSZ_Mérleg2018'!G125</f>
        <v>12775</v>
      </c>
      <c r="H125" s="11">
        <f>+'1.1.mell._ÖNK_Mérleg2018'!H125+'1.2.mell._HKÖH_Mérleg2018'!H125+'1.3.mell._HVÓBKI_Mérleg2018'!H125+'1.4.mell._HKK_Mérleg2018'!H125+'1.5._mell._MŐSZ_Mérleg2018'!H125+'1.6._mell._HVGYKCSSZ_Mérleg2018'!H125</f>
        <v>0</v>
      </c>
      <c r="I125" s="16">
        <f>+'1.1.mell._ÖNK_Mérleg2018'!I125+'1.2.mell._HKÖH_Mérleg2018'!I125+'1.3.mell._HVÓBKI_Mérleg2018'!I125+'1.4.mell._HKK_Mérleg2018'!I125+'1.5._mell._MŐSZ_Mérleg2018'!I125+'1.6._mell._HVGYKCSSZ_Mérleg2018'!I125</f>
        <v>0</v>
      </c>
      <c r="K125" s="4">
        <f>+E125-G125-H125-I125</f>
        <v>0</v>
      </c>
    </row>
    <row r="126" spans="1:11">
      <c r="A126" s="85" t="s">
        <v>229</v>
      </c>
      <c r="B126" s="67" t="s">
        <v>136</v>
      </c>
      <c r="C126" s="501">
        <f>+'1.1.mell._ÖNK_Mérleg2018'!C126+'1.2.mell._HKÖH_Mérleg2018'!C126+'1.3.mell._HVÓBKI_Mérleg2018'!C126+'1.4.mell._HKK_Mérleg2018'!C126+'1.5._mell._MŐSZ_Mérleg2018'!C126+'1.6._mell._HVGYKCSSZ_Mérleg2018'!C126</f>
        <v>0</v>
      </c>
      <c r="D126" s="11">
        <f>+'1.1.mell._ÖNK_Mérleg2018'!D126+'1.2.mell._HKÖH_Mérleg2018'!D126+'1.3.mell._HVÓBKI_Mérleg2018'!D126+'1.4.mell._HKK_Mérleg2018'!D126+'1.5._mell._MŐSZ_Mérleg2018'!D126+'1.6._mell._HVGYKCSSZ_Mérleg2018'!D126</f>
        <v>0</v>
      </c>
      <c r="E126" s="11">
        <f>+'1.1.mell._ÖNK_Mérleg2018'!E126+'1.2.mell._HKÖH_Mérleg2018'!E126+'1.3.mell._HVÓBKI_Mérleg2018'!E126+'1.4.mell._HKK_Mérleg2018'!E126+'1.5._mell._MŐSZ_Mérleg2018'!E126+'1.6._mell._HVGYKCSSZ_Mérleg2018'!E126</f>
        <v>0</v>
      </c>
      <c r="F126" s="1412" t="str">
        <f t="shared" si="22"/>
        <v>-</v>
      </c>
      <c r="G126" s="20">
        <f>+'1.1.mell._ÖNK_Mérleg2018'!G126+'1.2.mell._HKÖH_Mérleg2018'!G126+'1.3.mell._HVÓBKI_Mérleg2018'!G126+'1.4.mell._HKK_Mérleg2018'!G126+'1.5._mell._MŐSZ_Mérleg2018'!G126+'1.6._mell._HVGYKCSSZ_Mérleg2018'!G126</f>
        <v>0</v>
      </c>
      <c r="H126" s="11">
        <f>+'1.1.mell._ÖNK_Mérleg2018'!H126+'1.2.mell._HKÖH_Mérleg2018'!H126+'1.3.mell._HVÓBKI_Mérleg2018'!H126+'1.4.mell._HKK_Mérleg2018'!H126+'1.5._mell._MŐSZ_Mérleg2018'!H126+'1.6._mell._HVGYKCSSZ_Mérleg2018'!H126</f>
        <v>0</v>
      </c>
      <c r="I126" s="16">
        <f>+'1.1.mell._ÖNK_Mérleg2018'!I126+'1.2.mell._HKÖH_Mérleg2018'!I126+'1.3.mell._HVÓBKI_Mérleg2018'!I126+'1.4.mell._HKK_Mérleg2018'!I126+'1.5._mell._MŐSZ_Mérleg2018'!I126+'1.6._mell._HVGYKCSSZ_Mérleg2018'!I126</f>
        <v>0</v>
      </c>
      <c r="K126" s="4">
        <f>+E126-G126-H126-I126</f>
        <v>0</v>
      </c>
    </row>
    <row r="127" spans="1:11">
      <c r="A127" s="85" t="s">
        <v>257</v>
      </c>
      <c r="B127" s="67" t="s">
        <v>137</v>
      </c>
      <c r="C127" s="501">
        <f>+'1.1.mell._ÖNK_Mérleg2018'!C127+'1.2.mell._HKÖH_Mérleg2018'!C127+'1.3.mell._HVÓBKI_Mérleg2018'!C127+'1.4.mell._HKK_Mérleg2018'!C127+'1.5._mell._MŐSZ_Mérleg2018'!C127+'1.6._mell._HVGYKCSSZ_Mérleg2018'!C127</f>
        <v>2300</v>
      </c>
      <c r="D127" s="11">
        <f>+'1.1.mell._ÖNK_Mérleg2018'!D127+'1.2.mell._HKÖH_Mérleg2018'!D127+'1.3.mell._HVÓBKI_Mérleg2018'!D127+'1.4.mell._HKK_Mérleg2018'!D127+'1.5._mell._MŐSZ_Mérleg2018'!D127+'1.6._mell._HVGYKCSSZ_Mérleg2018'!D127</f>
        <v>0</v>
      </c>
      <c r="E127" s="11">
        <f>+'1.1.mell._ÖNK_Mérleg2018'!E127+'1.2.mell._HKÖH_Mérleg2018'!E127+'1.3.mell._HVÓBKI_Mérleg2018'!E127+'1.4.mell._HKK_Mérleg2018'!E127+'1.5._mell._MŐSZ_Mérleg2018'!E127+'1.6._mell._HVGYKCSSZ_Mérleg2018'!E127</f>
        <v>0</v>
      </c>
      <c r="F127" s="1412" t="str">
        <f t="shared" si="22"/>
        <v>-</v>
      </c>
      <c r="G127" s="20">
        <f>+'1.1.mell._ÖNK_Mérleg2018'!G127+'1.2.mell._HKÖH_Mérleg2018'!G127+'1.3.mell._HVÓBKI_Mérleg2018'!G127+'1.4.mell._HKK_Mérleg2018'!G127+'1.5._mell._MŐSZ_Mérleg2018'!G127+'1.6._mell._HVGYKCSSZ_Mérleg2018'!G127</f>
        <v>0</v>
      </c>
      <c r="H127" s="11">
        <f>+'1.1.mell._ÖNK_Mérleg2018'!H127+'1.2.mell._HKÖH_Mérleg2018'!H127+'1.3.mell._HVÓBKI_Mérleg2018'!H127+'1.4.mell._HKK_Mérleg2018'!H127+'1.5._mell._MŐSZ_Mérleg2018'!H127+'1.6._mell._HVGYKCSSZ_Mérleg2018'!H127</f>
        <v>0</v>
      </c>
      <c r="I127" s="16">
        <f>+'1.1.mell._ÖNK_Mérleg2018'!I127+'1.2.mell._HKÖH_Mérleg2018'!I127+'1.3.mell._HVÓBKI_Mérleg2018'!I127+'1.4.mell._HKK_Mérleg2018'!I127+'1.5._mell._MŐSZ_Mérleg2018'!I127+'1.6._mell._HVGYKCSSZ_Mérleg2018'!I127</f>
        <v>0</v>
      </c>
      <c r="K127" s="4">
        <f>+E127-G127-H127-I127</f>
        <v>0</v>
      </c>
    </row>
    <row r="128" spans="1:11">
      <c r="A128" s="85" t="s">
        <v>258</v>
      </c>
      <c r="B128" s="67" t="s">
        <v>138</v>
      </c>
      <c r="C128" s="501">
        <f>+'1.1.mell._ÖNK_Mérleg2018'!C128+'1.2.mell._HKÖH_Mérleg2018'!C128+'1.3.mell._HVÓBKI_Mérleg2018'!C128+'1.4.mell._HKK_Mérleg2018'!C128+'1.5._mell._MŐSZ_Mérleg2018'!C128+'1.6._mell._HVGYKCSSZ_Mérleg2018'!C128</f>
        <v>0</v>
      </c>
      <c r="D128" s="11">
        <f>+'1.1.mell._ÖNK_Mérleg2018'!D128+'1.2.mell._HKÖH_Mérleg2018'!D128+'1.3.mell._HVÓBKI_Mérleg2018'!D128+'1.4.mell._HKK_Mérleg2018'!D128+'1.5._mell._MŐSZ_Mérleg2018'!D128+'1.6._mell._HVGYKCSSZ_Mérleg2018'!D128</f>
        <v>0</v>
      </c>
      <c r="E128" s="11">
        <f>+'1.1.mell._ÖNK_Mérleg2018'!E128+'1.2.mell._HKÖH_Mérleg2018'!E128+'1.3.mell._HVÓBKI_Mérleg2018'!E128+'1.4.mell._HKK_Mérleg2018'!E128+'1.5._mell._MŐSZ_Mérleg2018'!E128+'1.6._mell._HVGYKCSSZ_Mérleg2018'!E128</f>
        <v>0</v>
      </c>
      <c r="F128" s="1412" t="str">
        <f t="shared" si="22"/>
        <v>-</v>
      </c>
      <c r="G128" s="20">
        <f>+'1.1.mell._ÖNK_Mérleg2018'!G128+'1.2.mell._HKÖH_Mérleg2018'!G128+'1.3.mell._HVÓBKI_Mérleg2018'!G128+'1.4.mell._HKK_Mérleg2018'!G128+'1.5._mell._MŐSZ_Mérleg2018'!G128+'1.6._mell._HVGYKCSSZ_Mérleg2018'!G128</f>
        <v>0</v>
      </c>
      <c r="H128" s="11">
        <f>+'1.1.mell._ÖNK_Mérleg2018'!H128+'1.2.mell._HKÖH_Mérleg2018'!H128+'1.3.mell._HVÓBKI_Mérleg2018'!H128+'1.4.mell._HKK_Mérleg2018'!H128+'1.5._mell._MŐSZ_Mérleg2018'!H128+'1.6._mell._HVGYKCSSZ_Mérleg2018'!H128</f>
        <v>0</v>
      </c>
      <c r="I128" s="16">
        <f>+'1.1.mell._ÖNK_Mérleg2018'!I128+'1.2.mell._HKÖH_Mérleg2018'!I128+'1.3.mell._HVÓBKI_Mérleg2018'!I128+'1.4.mell._HKK_Mérleg2018'!I128+'1.5._mell._MŐSZ_Mérleg2018'!I128+'1.6._mell._HVGYKCSSZ_Mérleg2018'!I128</f>
        <v>0</v>
      </c>
      <c r="K128" s="4">
        <f>+E128-G128-H128-I128</f>
        <v>0</v>
      </c>
    </row>
    <row r="129" spans="1:11">
      <c r="A129" s="85" t="s">
        <v>259</v>
      </c>
      <c r="B129" s="67" t="s">
        <v>139</v>
      </c>
      <c r="C129" s="501">
        <f>+'1.1.mell._ÖNK_Mérleg2018'!C129+'1.2.mell._HKÖH_Mérleg2018'!C129+'1.3.mell._HVÓBKI_Mérleg2018'!C129+'1.4.mell._HKK_Mérleg2018'!C129+'1.5._mell._MŐSZ_Mérleg2018'!C129+'1.6._mell._HVGYKCSSZ_Mérleg2018'!C129</f>
        <v>18000</v>
      </c>
      <c r="D129" s="11">
        <f>+'1.1.mell._ÖNK_Mérleg2018'!D129+'1.2.mell._HKÖH_Mérleg2018'!D129+'1.3.mell._HVÓBKI_Mérleg2018'!D129+'1.4.mell._HKK_Mérleg2018'!D129+'1.5._mell._MŐSZ_Mérleg2018'!D129+'1.6._mell._HVGYKCSSZ_Mérleg2018'!D129</f>
        <v>0</v>
      </c>
      <c r="E129" s="11">
        <f>+'1.1.mell._ÖNK_Mérleg2018'!E129+'1.2.mell._HKÖH_Mérleg2018'!E129+'1.3.mell._HVÓBKI_Mérleg2018'!E129+'1.4.mell._HKK_Mérleg2018'!E129+'1.5._mell._MŐSZ_Mérleg2018'!E129+'1.6._mell._HVGYKCSSZ_Mérleg2018'!E129</f>
        <v>0</v>
      </c>
      <c r="F129" s="1412" t="str">
        <f t="shared" si="22"/>
        <v>-</v>
      </c>
      <c r="G129" s="20">
        <f>+'1.1.mell._ÖNK_Mérleg2018'!G129+'1.2.mell._HKÖH_Mérleg2018'!G129+'1.3.mell._HVÓBKI_Mérleg2018'!G129+'1.4.mell._HKK_Mérleg2018'!G129+'1.5._mell._MŐSZ_Mérleg2018'!G129+'1.6._mell._HVGYKCSSZ_Mérleg2018'!G129</f>
        <v>0</v>
      </c>
      <c r="H129" s="11">
        <f>+'1.1.mell._ÖNK_Mérleg2018'!H129+'1.2.mell._HKÖH_Mérleg2018'!H129+'1.3.mell._HVÓBKI_Mérleg2018'!H129+'1.4.mell._HKK_Mérleg2018'!H129+'1.5._mell._MŐSZ_Mérleg2018'!H129+'1.6._mell._HVGYKCSSZ_Mérleg2018'!H129</f>
        <v>0</v>
      </c>
      <c r="I129" s="16">
        <f>+'1.1.mell._ÖNK_Mérleg2018'!I129+'1.2.mell._HKÖH_Mérleg2018'!I129+'1.3.mell._HVÓBKI_Mérleg2018'!I129+'1.4.mell._HKK_Mérleg2018'!I129+'1.5._mell._MŐSZ_Mérleg2018'!I129+'1.6._mell._HVGYKCSSZ_Mérleg2018'!I129</f>
        <v>0</v>
      </c>
      <c r="K129" s="4">
        <f>+E129-G129-H129-I129</f>
        <v>0</v>
      </c>
    </row>
    <row r="130" spans="1:11">
      <c r="A130" s="85" t="s">
        <v>260</v>
      </c>
      <c r="B130" s="67" t="s">
        <v>140</v>
      </c>
      <c r="C130" s="501">
        <f>+'1.1.mell._ÖNK_Mérleg2018'!C130+'1.2.mell._HKÖH_Mérleg2018'!C130+'1.3.mell._HVÓBKI_Mérleg2018'!C130+'1.4.mell._HKK_Mérleg2018'!C130+'1.5._mell._MŐSZ_Mérleg2018'!C130+'1.6._mell._HVGYKCSSZ_Mérleg2018'!C130</f>
        <v>11935</v>
      </c>
      <c r="D130" s="11">
        <f>+'1.1.mell._ÖNK_Mérleg2018'!D130+'1.2.mell._HKÖH_Mérleg2018'!D130+'1.3.mell._HVÓBKI_Mérleg2018'!D130+'1.4.mell._HKK_Mérleg2018'!D130+'1.5._mell._MŐSZ_Mérleg2018'!D130+'1.6._mell._HVGYKCSSZ_Mérleg2018'!D130</f>
        <v>2300</v>
      </c>
      <c r="E130" s="11">
        <f>+'1.1.mell._ÖNK_Mérleg2018'!E130+'1.2.mell._HKÖH_Mérleg2018'!E130+'1.3.mell._HVÓBKI_Mérleg2018'!E130+'1.4.mell._HKK_Mérleg2018'!E130+'1.5._mell._MŐSZ_Mérleg2018'!E130+'1.6._mell._HVGYKCSSZ_Mérleg2018'!E130</f>
        <v>2300</v>
      </c>
      <c r="F130" s="1412">
        <f t="shared" si="22"/>
        <v>1</v>
      </c>
      <c r="G130" s="20">
        <f>+'1.1.mell._ÖNK_Mérleg2018'!G130+'1.2.mell._HKÖH_Mérleg2018'!G130+'1.3.mell._HVÓBKI_Mérleg2018'!G130+'1.4.mell._HKK_Mérleg2018'!G130+'1.5._mell._MŐSZ_Mérleg2018'!G130+'1.6._mell._HVGYKCSSZ_Mérleg2018'!G130</f>
        <v>2300</v>
      </c>
      <c r="H130" s="11">
        <f>+'1.1.mell._ÖNK_Mérleg2018'!H130+'1.2.mell._HKÖH_Mérleg2018'!H130+'1.3.mell._HVÓBKI_Mérleg2018'!H130+'1.4.mell._HKK_Mérleg2018'!H130+'1.5._mell._MŐSZ_Mérleg2018'!H130+'1.6._mell._HVGYKCSSZ_Mérleg2018'!H130</f>
        <v>0</v>
      </c>
      <c r="I130" s="16">
        <f>+'1.1.mell._ÖNK_Mérleg2018'!I130+'1.2.mell._HKÖH_Mérleg2018'!I130+'1.3.mell._HVÓBKI_Mérleg2018'!I130+'1.4.mell._HKK_Mérleg2018'!I130+'1.5._mell._MŐSZ_Mérleg2018'!I130+'1.6._mell._HVGYKCSSZ_Mérleg2018'!I130</f>
        <v>0</v>
      </c>
      <c r="K130" s="4">
        <f>+E130-G130-H130-I130</f>
        <v>0</v>
      </c>
    </row>
    <row r="131" spans="1:11" ht="12.75" thickBot="1">
      <c r="A131" s="78" t="s">
        <v>261</v>
      </c>
      <c r="B131" s="68" t="s">
        <v>141</v>
      </c>
      <c r="C131" s="500">
        <f>+'1.1.mell._ÖNK_Mérleg2018'!C131+'1.2.mell._HKÖH_Mérleg2018'!C131+'1.3.mell._HVÓBKI_Mérleg2018'!C131+'1.4.mell._HKK_Mérleg2018'!C131+'1.5._mell._MŐSZ_Mérleg2018'!C131+'1.6._mell._HVGYKCSSZ_Mérleg2018'!C131</f>
        <v>19400</v>
      </c>
      <c r="D131" s="22">
        <f>+'1.1.mell._ÖNK_Mérleg2018'!D131+'1.2.mell._HKÖH_Mérleg2018'!D131+'1.3.mell._HVÓBKI_Mérleg2018'!D131+'1.4.mell._HKK_Mérleg2018'!D131+'1.5._mell._MŐSZ_Mérleg2018'!D131+'1.6._mell._HVGYKCSSZ_Mérleg2018'!D131</f>
        <v>40987</v>
      </c>
      <c r="E131" s="22">
        <f>+'1.1.mell._ÖNK_Mérleg2018'!E131+'1.2.mell._HKÖH_Mérleg2018'!E131+'1.3.mell._HVÓBKI_Mérleg2018'!E131+'1.4.mell._HKK_Mérleg2018'!E131+'1.5._mell._MŐSZ_Mérleg2018'!E131+'1.6._mell._HVGYKCSSZ_Mérleg2018'!E131</f>
        <v>39275</v>
      </c>
      <c r="F131" s="1411">
        <f t="shared" si="22"/>
        <v>0.95823065850147604</v>
      </c>
      <c r="G131" s="21">
        <f>+'1.1.mell._ÖNK_Mérleg2018'!G131+'1.2.mell._HKÖH_Mérleg2018'!G131+'1.3.mell._HVÓBKI_Mérleg2018'!G131+'1.4.mell._HKK_Mérleg2018'!G131+'1.5._mell._MŐSZ_Mérleg2018'!G131+'1.6._mell._HVGYKCSSZ_Mérleg2018'!G131</f>
        <v>39275</v>
      </c>
      <c r="H131" s="22">
        <f>+'1.1.mell._ÖNK_Mérleg2018'!H131+'1.2.mell._HKÖH_Mérleg2018'!H131+'1.3.mell._HVÓBKI_Mérleg2018'!H131+'1.4.mell._HKK_Mérleg2018'!H131+'1.5._mell._MŐSZ_Mérleg2018'!H131+'1.6._mell._HVGYKCSSZ_Mérleg2018'!H131</f>
        <v>0</v>
      </c>
      <c r="I131" s="23">
        <f>+'1.1.mell._ÖNK_Mérleg2018'!I131+'1.2.mell._HKÖH_Mérleg2018'!I131+'1.3.mell._HVÓBKI_Mérleg2018'!I131+'1.4.mell._HKK_Mérleg2018'!I131+'1.5._mell._MŐSZ_Mérleg2018'!I131+'1.6._mell._HVGYKCSSZ_Mérleg2018'!I131</f>
        <v>0</v>
      </c>
      <c r="K131" s="4">
        <f>+E131-G131-H131-I131</f>
        <v>0</v>
      </c>
    </row>
    <row r="132" spans="1:11" s="3" customFormat="1" ht="12.75" thickBot="1">
      <c r="A132" s="83" t="s">
        <v>15</v>
      </c>
      <c r="B132" s="64" t="s">
        <v>987</v>
      </c>
      <c r="C132" s="1049">
        <f t="shared" ref="C132:F132" si="26">+C133+C134+C135+C136+C137+C138+C144+C140+C141+C142+C143+C145+C146</f>
        <v>333736</v>
      </c>
      <c r="D132" s="28">
        <f t="shared" si="26"/>
        <v>3209152</v>
      </c>
      <c r="E132" s="28">
        <f t="shared" si="26"/>
        <v>68830</v>
      </c>
      <c r="F132" s="1408">
        <f t="shared" si="22"/>
        <v>2.1448033623835829E-2</v>
      </c>
      <c r="G132" s="27">
        <f>+G133+G134+G135+G136+G137+G138+G144+G140+G141+G142+G143+G145+G146</f>
        <v>68818</v>
      </c>
      <c r="H132" s="28">
        <f>+H133+H134+H135+H136+H137+H138+H144+H140+H141+H142+H143+H145+H146</f>
        <v>12</v>
      </c>
      <c r="I132" s="29">
        <f>+I133+I134+I135+I136+I137+I138+I144+I140+I141+I142+I143+I145+I146</f>
        <v>0</v>
      </c>
      <c r="J132" s="712">
        <f>+E132/$E$208</f>
        <v>2.6226477425530026E-2</v>
      </c>
      <c r="K132" s="3">
        <f>+E132-G132-H132-I132</f>
        <v>0</v>
      </c>
    </row>
    <row r="133" spans="1:11">
      <c r="A133" s="84" t="s">
        <v>87</v>
      </c>
      <c r="B133" s="65" t="s">
        <v>142</v>
      </c>
      <c r="C133" s="1051">
        <f>+'1.1.mell._ÖNK_Mérleg2018'!C133+'1.2.mell._HKÖH_Mérleg2018'!C133+'1.3.mell._HVÓBKI_Mérleg2018'!C133+'1.4.mell._HKK_Mérleg2018'!C133+'1.5._mell._MŐSZ_Mérleg2018'!C133+'1.6._mell._HVGYKCSSZ_Mérleg2018'!C133</f>
        <v>0</v>
      </c>
      <c r="D133" s="10">
        <f>+'1.1.mell._ÖNK_Mérleg2018'!D133+'1.2.mell._HKÖH_Mérleg2018'!D133+'1.3.mell._HVÓBKI_Mérleg2018'!D133+'1.4.mell._HKK_Mérleg2018'!D133+'1.5._mell._MŐSZ_Mérleg2018'!D133+'1.6._mell._HVGYKCSSZ_Mérleg2018'!D133</f>
        <v>0</v>
      </c>
      <c r="E133" s="10">
        <f>+'1.1.mell._ÖNK_Mérleg2018'!E133+'1.2.mell._HKÖH_Mérleg2018'!E133+'1.3.mell._HVÓBKI_Mérleg2018'!E133+'1.4.mell._HKK_Mérleg2018'!E133+'1.5._mell._MŐSZ_Mérleg2018'!E133+'1.6._mell._HVGYKCSSZ_Mérleg2018'!E133</f>
        <v>0</v>
      </c>
      <c r="F133" s="1410" t="str">
        <f t="shared" si="22"/>
        <v>-</v>
      </c>
      <c r="G133" s="34">
        <f>+'1.1.mell._ÖNK_Mérleg2018'!G133+'1.2.mell._HKÖH_Mérleg2018'!G133+'1.3.mell._HVÓBKI_Mérleg2018'!G133+'1.4.mell._HKK_Mérleg2018'!G133+'1.5._mell._MŐSZ_Mérleg2018'!G133+'1.6._mell._HVGYKCSSZ_Mérleg2018'!G133</f>
        <v>0</v>
      </c>
      <c r="H133" s="10">
        <f>+'1.1.mell._ÖNK_Mérleg2018'!H133+'1.2.mell._HKÖH_Mérleg2018'!H133+'1.3.mell._HVÓBKI_Mérleg2018'!H133+'1.4.mell._HKK_Mérleg2018'!H133+'1.5._mell._MŐSZ_Mérleg2018'!H133+'1.6._mell._HVGYKCSSZ_Mérleg2018'!H133</f>
        <v>0</v>
      </c>
      <c r="I133" s="35">
        <f>+'1.1.mell._ÖNK_Mérleg2018'!I133+'1.2.mell._HKÖH_Mérleg2018'!I133+'1.3.mell._HVÓBKI_Mérleg2018'!I133+'1.4.mell._HKK_Mérleg2018'!I133+'1.5._mell._MŐSZ_Mérleg2018'!I133+'1.6._mell._HVGYKCSSZ_Mérleg2018'!I133</f>
        <v>0</v>
      </c>
      <c r="K133" s="4">
        <f>+E133-G133-H133-I133</f>
        <v>0</v>
      </c>
    </row>
    <row r="134" spans="1:11">
      <c r="A134" s="85" t="s">
        <v>88</v>
      </c>
      <c r="B134" s="67" t="s">
        <v>143</v>
      </c>
      <c r="C134" s="501">
        <f>+'1.1.mell._ÖNK_Mérleg2018'!C134+'1.2.mell._HKÖH_Mérleg2018'!C134+'1.3.mell._HVÓBKI_Mérleg2018'!C134+'1.4.mell._HKK_Mérleg2018'!C134+'1.5._mell._MŐSZ_Mérleg2018'!C134+'1.6._mell._HVGYKCSSZ_Mérleg2018'!C134</f>
        <v>5488</v>
      </c>
      <c r="D134" s="11">
        <f>+'1.1.mell._ÖNK_Mérleg2018'!D134+'1.2.mell._HKÖH_Mérleg2018'!D134+'1.3.mell._HVÓBKI_Mérleg2018'!D134+'1.4.mell._HKK_Mérleg2018'!D134+'1.5._mell._MŐSZ_Mérleg2018'!D134+'1.6._mell._HVGYKCSSZ_Mérleg2018'!D134</f>
        <v>4931</v>
      </c>
      <c r="E134" s="11">
        <f>+'1.1.mell._ÖNK_Mérleg2018'!E134+'1.2.mell._HKÖH_Mérleg2018'!E134+'1.3.mell._HVÓBKI_Mérleg2018'!E134+'1.4.mell._HKK_Mérleg2018'!E134+'1.5._mell._MŐSZ_Mérleg2018'!E134+'1.6._mell._HVGYKCSSZ_Mérleg2018'!E134</f>
        <v>4931</v>
      </c>
      <c r="F134" s="1412">
        <f t="shared" si="22"/>
        <v>1</v>
      </c>
      <c r="G134" s="20">
        <f>+'1.1.mell._ÖNK_Mérleg2018'!G134+'1.2.mell._HKÖH_Mérleg2018'!G134+'1.3.mell._HVÓBKI_Mérleg2018'!G134+'1.4.mell._HKK_Mérleg2018'!G134+'1.5._mell._MŐSZ_Mérleg2018'!G134+'1.6._mell._HVGYKCSSZ_Mérleg2018'!G134</f>
        <v>4919</v>
      </c>
      <c r="H134" s="11">
        <f>+'1.1.mell._ÖNK_Mérleg2018'!H134+'1.2.mell._HKÖH_Mérleg2018'!H134+'1.3.mell._HVÓBKI_Mérleg2018'!H134+'1.4.mell._HKK_Mérleg2018'!H134+'1.5._mell._MŐSZ_Mérleg2018'!H134+'1.6._mell._HVGYKCSSZ_Mérleg2018'!H134</f>
        <v>12</v>
      </c>
      <c r="I134" s="16">
        <f>+'1.1.mell._ÖNK_Mérleg2018'!I134+'1.2.mell._HKÖH_Mérleg2018'!I134+'1.3.mell._HVÓBKI_Mérleg2018'!I134+'1.4.mell._HKK_Mérleg2018'!I134+'1.5._mell._MŐSZ_Mérleg2018'!I134+'1.6._mell._HVGYKCSSZ_Mérleg2018'!I134</f>
        <v>0</v>
      </c>
      <c r="K134" s="4">
        <f>+E134-G134-H134-I134</f>
        <v>0</v>
      </c>
    </row>
    <row r="135" spans="1:11">
      <c r="A135" s="85" t="s">
        <v>182</v>
      </c>
      <c r="B135" s="67" t="s">
        <v>144</v>
      </c>
      <c r="C135" s="501">
        <f>+'1.1.mell._ÖNK_Mérleg2018'!C135+'1.2.mell._HKÖH_Mérleg2018'!C135+'1.3.mell._HVÓBKI_Mérleg2018'!C135+'1.4.mell._HKK_Mérleg2018'!C135+'1.5._mell._MŐSZ_Mérleg2018'!C135+'1.6._mell._HVGYKCSSZ_Mérleg2018'!C135</f>
        <v>0</v>
      </c>
      <c r="D135" s="11">
        <f>+'1.1.mell._ÖNK_Mérleg2018'!D135+'1.2.mell._HKÖH_Mérleg2018'!D135+'1.3.mell._HVÓBKI_Mérleg2018'!D135+'1.4.mell._HKK_Mérleg2018'!D135+'1.5._mell._MŐSZ_Mérleg2018'!D135+'1.6._mell._HVGYKCSSZ_Mérleg2018'!D135</f>
        <v>0</v>
      </c>
      <c r="E135" s="11">
        <f>+'1.1.mell._ÖNK_Mérleg2018'!E135+'1.2.mell._HKÖH_Mérleg2018'!E135+'1.3.mell._HVÓBKI_Mérleg2018'!E135+'1.4.mell._HKK_Mérleg2018'!E135+'1.5._mell._MŐSZ_Mérleg2018'!E135+'1.6._mell._HVGYKCSSZ_Mérleg2018'!E135</f>
        <v>0</v>
      </c>
      <c r="F135" s="1412" t="str">
        <f t="shared" si="22"/>
        <v>-</v>
      </c>
      <c r="G135" s="20">
        <f>+'1.1.mell._ÖNK_Mérleg2018'!G135+'1.2.mell._HKÖH_Mérleg2018'!G135+'1.3.mell._HVÓBKI_Mérleg2018'!G135+'1.4.mell._HKK_Mérleg2018'!G135+'1.5._mell._MŐSZ_Mérleg2018'!G135+'1.6._mell._HVGYKCSSZ_Mérleg2018'!G135</f>
        <v>0</v>
      </c>
      <c r="H135" s="11">
        <f>+'1.1.mell._ÖNK_Mérleg2018'!H135+'1.2.mell._HKÖH_Mérleg2018'!H135+'1.3.mell._HVÓBKI_Mérleg2018'!H135+'1.4.mell._HKK_Mérleg2018'!H135+'1.5._mell._MŐSZ_Mérleg2018'!H135+'1.6._mell._HVGYKCSSZ_Mérleg2018'!H135</f>
        <v>0</v>
      </c>
      <c r="I135" s="16">
        <f>+'1.1.mell._ÖNK_Mérleg2018'!I135+'1.2.mell._HKÖH_Mérleg2018'!I135+'1.3.mell._HVÓBKI_Mérleg2018'!I135+'1.4.mell._HKK_Mérleg2018'!I135+'1.5._mell._MŐSZ_Mérleg2018'!I135+'1.6._mell._HVGYKCSSZ_Mérleg2018'!I135</f>
        <v>0</v>
      </c>
      <c r="K135" s="4">
        <f>+E135-G135-H135-I135</f>
        <v>0</v>
      </c>
    </row>
    <row r="136" spans="1:11">
      <c r="A136" s="85" t="s">
        <v>183</v>
      </c>
      <c r="B136" s="67" t="s">
        <v>145</v>
      </c>
      <c r="C136" s="501">
        <f>+'1.1.mell._ÖNK_Mérleg2018'!C136+'1.2.mell._HKÖH_Mérleg2018'!C136+'1.3.mell._HVÓBKI_Mérleg2018'!C136+'1.4.mell._HKK_Mérleg2018'!C136+'1.5._mell._MŐSZ_Mérleg2018'!C136+'1.6._mell._HVGYKCSSZ_Mérleg2018'!C136</f>
        <v>0</v>
      </c>
      <c r="D136" s="11">
        <f>+'1.1.mell._ÖNK_Mérleg2018'!D136+'1.2.mell._HKÖH_Mérleg2018'!D136+'1.3.mell._HVÓBKI_Mérleg2018'!D136+'1.4.mell._HKK_Mérleg2018'!D136+'1.5._mell._MŐSZ_Mérleg2018'!D136+'1.6._mell._HVGYKCSSZ_Mérleg2018'!D136</f>
        <v>0</v>
      </c>
      <c r="E136" s="11">
        <f>+'1.1.mell._ÖNK_Mérleg2018'!E136+'1.2.mell._HKÖH_Mérleg2018'!E136+'1.3.mell._HVÓBKI_Mérleg2018'!E136+'1.4.mell._HKK_Mérleg2018'!E136+'1.5._mell._MŐSZ_Mérleg2018'!E136+'1.6._mell._HVGYKCSSZ_Mérleg2018'!E136</f>
        <v>0</v>
      </c>
      <c r="F136" s="1412" t="str">
        <f t="shared" si="22"/>
        <v>-</v>
      </c>
      <c r="G136" s="20">
        <f>+'1.1.mell._ÖNK_Mérleg2018'!G136+'1.2.mell._HKÖH_Mérleg2018'!G136+'1.3.mell._HVÓBKI_Mérleg2018'!G136+'1.4.mell._HKK_Mérleg2018'!G136+'1.5._mell._MŐSZ_Mérleg2018'!G136+'1.6._mell._HVGYKCSSZ_Mérleg2018'!G136</f>
        <v>0</v>
      </c>
      <c r="H136" s="11">
        <f>+'1.1.mell._ÖNK_Mérleg2018'!H136+'1.2.mell._HKÖH_Mérleg2018'!H136+'1.3.mell._HVÓBKI_Mérleg2018'!H136+'1.4.mell._HKK_Mérleg2018'!H136+'1.5._mell._MŐSZ_Mérleg2018'!H136+'1.6._mell._HVGYKCSSZ_Mérleg2018'!H136</f>
        <v>0</v>
      </c>
      <c r="I136" s="16">
        <f>+'1.1.mell._ÖNK_Mérleg2018'!I136+'1.2.mell._HKÖH_Mérleg2018'!I136+'1.3.mell._HVÓBKI_Mérleg2018'!I136+'1.4.mell._HKK_Mérleg2018'!I136+'1.5._mell._MŐSZ_Mérleg2018'!I136+'1.6._mell._HVGYKCSSZ_Mérleg2018'!I136</f>
        <v>0</v>
      </c>
      <c r="K136" s="4">
        <f>+E136-G136-H136-I136</f>
        <v>0</v>
      </c>
    </row>
    <row r="137" spans="1:11">
      <c r="A137" s="85" t="s">
        <v>184</v>
      </c>
      <c r="B137" s="67" t="s">
        <v>146</v>
      </c>
      <c r="C137" s="501">
        <f>+'1.1.mell._ÖNK_Mérleg2018'!C137+'1.2.mell._HKÖH_Mérleg2018'!C137+'1.3.mell._HVÓBKI_Mérleg2018'!C137+'1.4.mell._HKK_Mérleg2018'!C137+'1.5._mell._MŐSZ_Mérleg2018'!C137+'1.6._mell._HVGYKCSSZ_Mérleg2018'!C137</f>
        <v>0</v>
      </c>
      <c r="D137" s="11">
        <f>+'1.1.mell._ÖNK_Mérleg2018'!D137+'1.2.mell._HKÖH_Mérleg2018'!D137+'1.3.mell._HVÓBKI_Mérleg2018'!D137+'1.4.mell._HKK_Mérleg2018'!D137+'1.5._mell._MŐSZ_Mérleg2018'!D137+'1.6._mell._HVGYKCSSZ_Mérleg2018'!D137</f>
        <v>0</v>
      </c>
      <c r="E137" s="11">
        <f>+'1.1.mell._ÖNK_Mérleg2018'!E137+'1.2.mell._HKÖH_Mérleg2018'!E137+'1.3.mell._HVÓBKI_Mérleg2018'!E137+'1.4.mell._HKK_Mérleg2018'!E137+'1.5._mell._MŐSZ_Mérleg2018'!E137+'1.6._mell._HVGYKCSSZ_Mérleg2018'!E137</f>
        <v>0</v>
      </c>
      <c r="F137" s="1412" t="str">
        <f t="shared" si="22"/>
        <v>-</v>
      </c>
      <c r="G137" s="20">
        <f>+'1.1.mell._ÖNK_Mérleg2018'!G137+'1.2.mell._HKÖH_Mérleg2018'!G137+'1.3.mell._HVÓBKI_Mérleg2018'!G137+'1.4.mell._HKK_Mérleg2018'!G137+'1.5._mell._MŐSZ_Mérleg2018'!G137+'1.6._mell._HVGYKCSSZ_Mérleg2018'!G137</f>
        <v>0</v>
      </c>
      <c r="H137" s="11">
        <f>+'1.1.mell._ÖNK_Mérleg2018'!H137+'1.2.mell._HKÖH_Mérleg2018'!H137+'1.3.mell._HVÓBKI_Mérleg2018'!H137+'1.4.mell._HKK_Mérleg2018'!H137+'1.5._mell._MŐSZ_Mérleg2018'!H137+'1.6._mell._HVGYKCSSZ_Mérleg2018'!H137</f>
        <v>0</v>
      </c>
      <c r="I137" s="16">
        <f>+'1.1.mell._ÖNK_Mérleg2018'!I137+'1.2.mell._HKÖH_Mérleg2018'!I137+'1.3.mell._HVÓBKI_Mérleg2018'!I137+'1.4.mell._HKK_Mérleg2018'!I137+'1.5._mell._MŐSZ_Mérleg2018'!I137+'1.6._mell._HVGYKCSSZ_Mérleg2018'!I137</f>
        <v>0</v>
      </c>
      <c r="K137" s="4">
        <f>+E137-G137-H137-I137</f>
        <v>0</v>
      </c>
    </row>
    <row r="138" spans="1:11">
      <c r="A138" s="85" t="s">
        <v>262</v>
      </c>
      <c r="B138" s="67" t="s">
        <v>147</v>
      </c>
      <c r="C138" s="501">
        <f>+'1.1.mell._ÖNK_Mérleg2018'!C138+'1.2.mell._HKÖH_Mérleg2018'!C138+'1.3.mell._HVÓBKI_Mérleg2018'!C138+'1.4.mell._HKK_Mérleg2018'!C138+'1.5._mell._MŐSZ_Mérleg2018'!C138+'1.6._mell._HVGYKCSSZ_Mérleg2018'!C138</f>
        <v>9087</v>
      </c>
      <c r="D138" s="11">
        <f>+'1.1.mell._ÖNK_Mérleg2018'!D138+'1.2.mell._HKÖH_Mérleg2018'!D138+'1.3.mell._HVÓBKI_Mérleg2018'!D138+'1.4.mell._HKK_Mérleg2018'!D138+'1.5._mell._MŐSZ_Mérleg2018'!D138+'1.6._mell._HVGYKCSSZ_Mérleg2018'!D138</f>
        <v>17874</v>
      </c>
      <c r="E138" s="11">
        <f>+'1.1.mell._ÖNK_Mérleg2018'!E138+'1.2.mell._HKÖH_Mérleg2018'!E138+'1.3.mell._HVÓBKI_Mérleg2018'!E138+'1.4.mell._HKK_Mérleg2018'!E138+'1.5._mell._MŐSZ_Mérleg2018'!E138+'1.6._mell._HVGYKCSSZ_Mérleg2018'!E138</f>
        <v>10526</v>
      </c>
      <c r="F138" s="1412">
        <f t="shared" si="22"/>
        <v>0.58890007832606017</v>
      </c>
      <c r="G138" s="20">
        <f>+'1.1.mell._ÖNK_Mérleg2018'!G138+'1.2.mell._HKÖH_Mérleg2018'!G138+'1.3.mell._HVÓBKI_Mérleg2018'!G138+'1.4.mell._HKK_Mérleg2018'!G138+'1.5._mell._MŐSZ_Mérleg2018'!G138+'1.6._mell._HVGYKCSSZ_Mérleg2018'!G138</f>
        <v>10526</v>
      </c>
      <c r="H138" s="11">
        <f>+'1.1.mell._ÖNK_Mérleg2018'!H138+'1.2.mell._HKÖH_Mérleg2018'!H138+'1.3.mell._HVÓBKI_Mérleg2018'!H138+'1.4.mell._HKK_Mérleg2018'!H138+'1.5._mell._MŐSZ_Mérleg2018'!H138+'1.6._mell._HVGYKCSSZ_Mérleg2018'!H138</f>
        <v>0</v>
      </c>
      <c r="I138" s="16">
        <f>+'1.1.mell._ÖNK_Mérleg2018'!I138+'1.2.mell._HKÖH_Mérleg2018'!I138+'1.3.mell._HVÓBKI_Mérleg2018'!I138+'1.4.mell._HKK_Mérleg2018'!I138+'1.5._mell._MŐSZ_Mérleg2018'!I138+'1.6._mell._HVGYKCSSZ_Mérleg2018'!I138</f>
        <v>0</v>
      </c>
      <c r="K138" s="4">
        <f>+E138-G138-H138-I138</f>
        <v>0</v>
      </c>
    </row>
    <row r="139" spans="1:11" s="13" customFormat="1">
      <c r="A139" s="89" t="s">
        <v>336</v>
      </c>
      <c r="B139" s="818" t="s">
        <v>993</v>
      </c>
      <c r="C139" s="1050">
        <f>+'1.1.mell._ÖNK_Mérleg2018'!C139+'1.2.mell._HKÖH_Mérleg2018'!C139+'1.3.mell._HVÓBKI_Mérleg2018'!C139+'1.4.mell._HKK_Mérleg2018'!C139+'1.5._mell._MŐSZ_Mérleg2018'!C139+'1.6._mell._HVGYKCSSZ_Mérleg2018'!C139</f>
        <v>0</v>
      </c>
      <c r="D139" s="43">
        <f>+'1.1.mell._ÖNK_Mérleg2018'!D139+'1.2.mell._HKÖH_Mérleg2018'!D139+'1.3.mell._HVÓBKI_Mérleg2018'!D139+'1.4.mell._HKK_Mérleg2018'!D139+'1.5._mell._MŐSZ_Mérleg2018'!D139+'1.6._mell._HVGYKCSSZ_Mérleg2018'!D139</f>
        <v>2720</v>
      </c>
      <c r="E139" s="43">
        <f>+'1.1.mell._ÖNK_Mérleg2018'!E139+'1.2.mell._HKÖH_Mérleg2018'!E139+'1.3.mell._HVÓBKI_Mérleg2018'!E139+'1.4.mell._HKK_Mérleg2018'!E139+'1.5._mell._MŐSZ_Mérleg2018'!E139+'1.6._mell._HVGYKCSSZ_Mérleg2018'!E139</f>
        <v>2720</v>
      </c>
      <c r="F139" s="1411">
        <f t="shared" si="22"/>
        <v>1</v>
      </c>
      <c r="G139" s="45">
        <f>+'1.1.mell._ÖNK_Mérleg2018'!G139+'1.2.mell._HKÖH_Mérleg2018'!G139+'1.3.mell._HVÓBKI_Mérleg2018'!G139+'1.4.mell._HKK_Mérleg2018'!G139+'1.5._mell._MŐSZ_Mérleg2018'!G139+'1.6._mell._HVGYKCSSZ_Mérleg2018'!G139</f>
        <v>2720</v>
      </c>
      <c r="H139" s="43">
        <f>+'1.1.mell._ÖNK_Mérleg2018'!H139+'1.2.mell._HKÖH_Mérleg2018'!H139+'1.3.mell._HVÓBKI_Mérleg2018'!H139+'1.4.mell._HKK_Mérleg2018'!H139+'1.5._mell._MŐSZ_Mérleg2018'!H139+'1.6._mell._HVGYKCSSZ_Mérleg2018'!H139</f>
        <v>0</v>
      </c>
      <c r="I139" s="44">
        <f>+'1.1.mell._ÖNK_Mérleg2018'!I139+'1.2.mell._HKÖH_Mérleg2018'!I139+'1.3.mell._HVÓBKI_Mérleg2018'!I139+'1.4.mell._HKK_Mérleg2018'!I139+'1.5._mell._MŐSZ_Mérleg2018'!I139+'1.6._mell._HVGYKCSSZ_Mérleg2018'!I139</f>
        <v>0</v>
      </c>
      <c r="K139" s="13">
        <f>+E139-G139-H139-I139</f>
        <v>0</v>
      </c>
    </row>
    <row r="140" spans="1:11">
      <c r="A140" s="85" t="s">
        <v>263</v>
      </c>
      <c r="B140" s="67" t="s">
        <v>148</v>
      </c>
      <c r="C140" s="501">
        <f>+'1.1.mell._ÖNK_Mérleg2018'!C140+'1.2.mell._HKÖH_Mérleg2018'!C140+'1.3.mell._HVÓBKI_Mérleg2018'!C140+'1.4.mell._HKK_Mérleg2018'!C140+'1.5._mell._MŐSZ_Mérleg2018'!C140+'1.6._mell._HVGYKCSSZ_Mérleg2018'!C140</f>
        <v>0</v>
      </c>
      <c r="D140" s="11">
        <f>+'1.1.mell._ÖNK_Mérleg2018'!D140+'1.2.mell._HKÖH_Mérleg2018'!D140+'1.3.mell._HVÓBKI_Mérleg2018'!D140+'1.4.mell._HKK_Mérleg2018'!D140+'1.5._mell._MŐSZ_Mérleg2018'!D140+'1.6._mell._HVGYKCSSZ_Mérleg2018'!D140</f>
        <v>0</v>
      </c>
      <c r="E140" s="11">
        <f>+'1.1.mell._ÖNK_Mérleg2018'!E140+'1.2.mell._HKÖH_Mérleg2018'!E140+'1.3.mell._HVÓBKI_Mérleg2018'!E140+'1.4.mell._HKK_Mérleg2018'!E140+'1.5._mell._MŐSZ_Mérleg2018'!E140+'1.6._mell._HVGYKCSSZ_Mérleg2018'!E140</f>
        <v>0</v>
      </c>
      <c r="F140" s="1412" t="str">
        <f t="shared" si="22"/>
        <v>-</v>
      </c>
      <c r="G140" s="20">
        <f>+'1.1.mell._ÖNK_Mérleg2018'!G140+'1.2.mell._HKÖH_Mérleg2018'!G140+'1.3.mell._HVÓBKI_Mérleg2018'!G140+'1.4.mell._HKK_Mérleg2018'!G140+'1.5._mell._MŐSZ_Mérleg2018'!G140+'1.6._mell._HVGYKCSSZ_Mérleg2018'!G140</f>
        <v>0</v>
      </c>
      <c r="H140" s="11">
        <f>+'1.1.mell._ÖNK_Mérleg2018'!H140+'1.2.mell._HKÖH_Mérleg2018'!H140+'1.3.mell._HVÓBKI_Mérleg2018'!H140+'1.4.mell._HKK_Mérleg2018'!H140+'1.5._mell._MŐSZ_Mérleg2018'!H140+'1.6._mell._HVGYKCSSZ_Mérleg2018'!H140</f>
        <v>0</v>
      </c>
      <c r="I140" s="16">
        <f>+'1.1.mell._ÖNK_Mérleg2018'!I140+'1.2.mell._HKÖH_Mérleg2018'!I140+'1.3.mell._HVÓBKI_Mérleg2018'!I140+'1.4.mell._HKK_Mérleg2018'!I140+'1.5._mell._MŐSZ_Mérleg2018'!I140+'1.6._mell._HVGYKCSSZ_Mérleg2018'!I140</f>
        <v>0</v>
      </c>
      <c r="K140" s="4">
        <f>+E140-G140-H140-I140</f>
        <v>0</v>
      </c>
    </row>
    <row r="141" spans="1:11">
      <c r="A141" s="85" t="s">
        <v>264</v>
      </c>
      <c r="B141" s="67" t="s">
        <v>149</v>
      </c>
      <c r="C141" s="501">
        <f>+'1.1.mell._ÖNK_Mérleg2018'!C141+'1.2.mell._HKÖH_Mérleg2018'!C141+'1.3.mell._HVÓBKI_Mérleg2018'!C141+'1.4.mell._HKK_Mérleg2018'!C141+'1.5._mell._MŐSZ_Mérleg2018'!C141+'1.6._mell._HVGYKCSSZ_Mérleg2018'!C141</f>
        <v>0</v>
      </c>
      <c r="D141" s="11">
        <f>+'1.1.mell._ÖNK_Mérleg2018'!D141+'1.2.mell._HKÖH_Mérleg2018'!D141+'1.3.mell._HVÓBKI_Mérleg2018'!D141+'1.4.mell._HKK_Mérleg2018'!D141+'1.5._mell._MŐSZ_Mérleg2018'!D141+'1.6._mell._HVGYKCSSZ_Mérleg2018'!D141</f>
        <v>9401</v>
      </c>
      <c r="E141" s="11">
        <f>+'1.1.mell._ÖNK_Mérleg2018'!E141+'1.2.mell._HKÖH_Mérleg2018'!E141+'1.3.mell._HVÓBKI_Mérleg2018'!E141+'1.4.mell._HKK_Mérleg2018'!E141+'1.5._mell._MŐSZ_Mérleg2018'!E141+'1.6._mell._HVGYKCSSZ_Mérleg2018'!E141</f>
        <v>9401</v>
      </c>
      <c r="F141" s="1412">
        <f t="shared" si="22"/>
        <v>1</v>
      </c>
      <c r="G141" s="20">
        <f>+'1.1.mell._ÖNK_Mérleg2018'!G141+'1.2.mell._HKÖH_Mérleg2018'!G141+'1.3.mell._HVÓBKI_Mérleg2018'!G141+'1.4.mell._HKK_Mérleg2018'!G141+'1.5._mell._MŐSZ_Mérleg2018'!G141+'1.6._mell._HVGYKCSSZ_Mérleg2018'!G141</f>
        <v>9401</v>
      </c>
      <c r="H141" s="11">
        <f>+'1.1.mell._ÖNK_Mérleg2018'!H141+'1.2.mell._HKÖH_Mérleg2018'!H141+'1.3.mell._HVÓBKI_Mérleg2018'!H141+'1.4.mell._HKK_Mérleg2018'!H141+'1.5._mell._MŐSZ_Mérleg2018'!H141+'1.6._mell._HVGYKCSSZ_Mérleg2018'!H141</f>
        <v>0</v>
      </c>
      <c r="I141" s="16">
        <f>+'1.1.mell._ÖNK_Mérleg2018'!I141+'1.2.mell._HKÖH_Mérleg2018'!I141+'1.3.mell._HVÓBKI_Mérleg2018'!I141+'1.4.mell._HKK_Mérleg2018'!I141+'1.5._mell._MŐSZ_Mérleg2018'!I141+'1.6._mell._HVGYKCSSZ_Mérleg2018'!I141</f>
        <v>0</v>
      </c>
      <c r="K141" s="4">
        <f>+E141-G141-H141-I141</f>
        <v>0</v>
      </c>
    </row>
    <row r="142" spans="1:11">
      <c r="A142" s="85" t="s">
        <v>265</v>
      </c>
      <c r="B142" s="67" t="s">
        <v>150</v>
      </c>
      <c r="C142" s="501">
        <f>+'1.1.mell._ÖNK_Mérleg2018'!C142+'1.2.mell._HKÖH_Mérleg2018'!C142+'1.3.mell._HVÓBKI_Mérleg2018'!C142+'1.4.mell._HKK_Mérleg2018'!C142+'1.5._mell._MŐSZ_Mérleg2018'!C142+'1.6._mell._HVGYKCSSZ_Mérleg2018'!C142</f>
        <v>0</v>
      </c>
      <c r="D142" s="11">
        <f>+'1.1.mell._ÖNK_Mérleg2018'!D142+'1.2.mell._HKÖH_Mérleg2018'!D142+'1.3.mell._HVÓBKI_Mérleg2018'!D142+'1.4.mell._HKK_Mérleg2018'!D142+'1.5._mell._MŐSZ_Mérleg2018'!D142+'1.6._mell._HVGYKCSSZ_Mérleg2018'!D142</f>
        <v>0</v>
      </c>
      <c r="E142" s="11">
        <f>+'1.1.mell._ÖNK_Mérleg2018'!E142+'1.2.mell._HKÖH_Mérleg2018'!E142+'1.3.mell._HVÓBKI_Mérleg2018'!E142+'1.4.mell._HKK_Mérleg2018'!E142+'1.5._mell._MŐSZ_Mérleg2018'!E142+'1.6._mell._HVGYKCSSZ_Mérleg2018'!E142</f>
        <v>0</v>
      </c>
      <c r="F142" s="1412" t="str">
        <f t="shared" si="22"/>
        <v>-</v>
      </c>
      <c r="G142" s="20">
        <f>+'1.1.mell._ÖNK_Mérleg2018'!G142+'1.2.mell._HKÖH_Mérleg2018'!G142+'1.3.mell._HVÓBKI_Mérleg2018'!G142+'1.4.mell._HKK_Mérleg2018'!G142+'1.5._mell._MŐSZ_Mérleg2018'!G142+'1.6._mell._HVGYKCSSZ_Mérleg2018'!G142</f>
        <v>0</v>
      </c>
      <c r="H142" s="11">
        <f>+'1.1.mell._ÖNK_Mérleg2018'!H142+'1.2.mell._HKÖH_Mérleg2018'!H142+'1.3.mell._HVÓBKI_Mérleg2018'!H142+'1.4.mell._HKK_Mérleg2018'!H142+'1.5._mell._MŐSZ_Mérleg2018'!H142+'1.6._mell._HVGYKCSSZ_Mérleg2018'!H142</f>
        <v>0</v>
      </c>
      <c r="I142" s="16">
        <f>+'1.1.mell._ÖNK_Mérleg2018'!I142+'1.2.mell._HKÖH_Mérleg2018'!I142+'1.3.mell._HVÓBKI_Mérleg2018'!I142+'1.4.mell._HKK_Mérleg2018'!I142+'1.5._mell._MŐSZ_Mérleg2018'!I142+'1.6._mell._HVGYKCSSZ_Mérleg2018'!I142</f>
        <v>0</v>
      </c>
      <c r="K142" s="4">
        <f>+E142-G142-H142-I142</f>
        <v>0</v>
      </c>
    </row>
    <row r="143" spans="1:11">
      <c r="A143" s="85" t="s">
        <v>266</v>
      </c>
      <c r="B143" s="67" t="s">
        <v>151</v>
      </c>
      <c r="C143" s="501">
        <f>+'1.1.mell._ÖNK_Mérleg2018'!C143+'1.2.mell._HKÖH_Mérleg2018'!C143+'1.3.mell._HVÓBKI_Mérleg2018'!C143+'1.4.mell._HKK_Mérleg2018'!C143+'1.5._mell._MŐSZ_Mérleg2018'!C143+'1.6._mell._HVGYKCSSZ_Mérleg2018'!C143</f>
        <v>0</v>
      </c>
      <c r="D143" s="11">
        <f>+'1.1.mell._ÖNK_Mérleg2018'!D143+'1.2.mell._HKÖH_Mérleg2018'!D143+'1.3.mell._HVÓBKI_Mérleg2018'!D143+'1.4.mell._HKK_Mérleg2018'!D143+'1.5._mell._MŐSZ_Mérleg2018'!D143+'1.6._mell._HVGYKCSSZ_Mérleg2018'!D143</f>
        <v>0</v>
      </c>
      <c r="E143" s="11">
        <f>+'1.1.mell._ÖNK_Mérleg2018'!E143+'1.2.mell._HKÖH_Mérleg2018'!E143+'1.3.mell._HVÓBKI_Mérleg2018'!E143+'1.4.mell._HKK_Mérleg2018'!E143+'1.5._mell._MŐSZ_Mérleg2018'!E143+'1.6._mell._HVGYKCSSZ_Mérleg2018'!E143</f>
        <v>0</v>
      </c>
      <c r="F143" s="1412" t="str">
        <f t="shared" si="22"/>
        <v>-</v>
      </c>
      <c r="G143" s="20">
        <f>+'1.1.mell._ÖNK_Mérleg2018'!G143+'1.2.mell._HKÖH_Mérleg2018'!G143+'1.3.mell._HVÓBKI_Mérleg2018'!G143+'1.4.mell._HKK_Mérleg2018'!G143+'1.5._mell._MŐSZ_Mérleg2018'!G143+'1.6._mell._HVGYKCSSZ_Mérleg2018'!G143</f>
        <v>0</v>
      </c>
      <c r="H143" s="11">
        <f>+'1.1.mell._ÖNK_Mérleg2018'!H143+'1.2.mell._HKÖH_Mérleg2018'!H143+'1.3.mell._HVÓBKI_Mérleg2018'!H143+'1.4.mell._HKK_Mérleg2018'!H143+'1.5._mell._MŐSZ_Mérleg2018'!H143+'1.6._mell._HVGYKCSSZ_Mérleg2018'!H143</f>
        <v>0</v>
      </c>
      <c r="I143" s="16">
        <f>+'1.1.mell._ÖNK_Mérleg2018'!I143+'1.2.mell._HKÖH_Mérleg2018'!I143+'1.3.mell._HVÓBKI_Mérleg2018'!I143+'1.4.mell._HKK_Mérleg2018'!I143+'1.5._mell._MŐSZ_Mérleg2018'!I143+'1.6._mell._HVGYKCSSZ_Mérleg2018'!I143</f>
        <v>0</v>
      </c>
      <c r="K143" s="4">
        <f>+E143-G143-H143-I143</f>
        <v>0</v>
      </c>
    </row>
    <row r="144" spans="1:11">
      <c r="A144" s="85" t="s">
        <v>267</v>
      </c>
      <c r="B144" s="67" t="s">
        <v>988</v>
      </c>
      <c r="C144" s="501">
        <f>+'1.1.mell._ÖNK_Mérleg2018'!C144+'1.2.mell._HKÖH_Mérleg2018'!C144+'1.3.mell._HVÓBKI_Mérleg2018'!C144+'1.4.mell._HKK_Mérleg2018'!C144+'1.5._mell._MŐSZ_Mérleg2018'!C144+'1.6._mell._HVGYKCSSZ_Mérleg2018'!C144</f>
        <v>0</v>
      </c>
      <c r="D144" s="11">
        <f>+'1.1.mell._ÖNK_Mérleg2018'!D144+'1.2.mell._HKÖH_Mérleg2018'!D144+'1.3.mell._HVÓBKI_Mérleg2018'!D144+'1.4.mell._HKK_Mérleg2018'!D144+'1.5._mell._MŐSZ_Mérleg2018'!D144+'1.6._mell._HVGYKCSSZ_Mérleg2018'!D144</f>
        <v>0</v>
      </c>
      <c r="E144" s="11">
        <f>+'1.1.mell._ÖNK_Mérleg2018'!E144+'1.2.mell._HKÖH_Mérleg2018'!E144+'1.3.mell._HVÓBKI_Mérleg2018'!E144+'1.4.mell._HKK_Mérleg2018'!E144+'1.5._mell._MŐSZ_Mérleg2018'!E144+'1.6._mell._HVGYKCSSZ_Mérleg2018'!E144</f>
        <v>0</v>
      </c>
      <c r="F144" s="1412" t="str">
        <f t="shared" si="22"/>
        <v>-</v>
      </c>
      <c r="G144" s="20">
        <f>+'1.1.mell._ÖNK_Mérleg2018'!G144+'1.2.mell._HKÖH_Mérleg2018'!G144+'1.3.mell._HVÓBKI_Mérleg2018'!G144+'1.4.mell._HKK_Mérleg2018'!G144+'1.5._mell._MŐSZ_Mérleg2018'!G144+'1.6._mell._HVGYKCSSZ_Mérleg2018'!G144</f>
        <v>0</v>
      </c>
      <c r="H144" s="11">
        <f>+'1.1.mell._ÖNK_Mérleg2018'!H144+'1.2.mell._HKÖH_Mérleg2018'!H144+'1.3.mell._HVÓBKI_Mérleg2018'!H144+'1.4.mell._HKK_Mérleg2018'!H144+'1.5._mell._MŐSZ_Mérleg2018'!H144+'1.6._mell._HVGYKCSSZ_Mérleg2018'!H144</f>
        <v>0</v>
      </c>
      <c r="I144" s="16">
        <f>+'1.1.mell._ÖNK_Mérleg2018'!I144+'1.2.mell._HKÖH_Mérleg2018'!I144+'1.3.mell._HVÓBKI_Mérleg2018'!I144+'1.4.mell._HKK_Mérleg2018'!I144+'1.5._mell._MŐSZ_Mérleg2018'!I144+'1.6._mell._HVGYKCSSZ_Mérleg2018'!I144</f>
        <v>0</v>
      </c>
      <c r="K144" s="4">
        <f>+E144-G144-H144-I144</f>
        <v>0</v>
      </c>
    </row>
    <row r="145" spans="1:11">
      <c r="A145" s="85" t="s">
        <v>268</v>
      </c>
      <c r="B145" s="67" t="s">
        <v>989</v>
      </c>
      <c r="C145" s="501">
        <f>+'1.1.mell._ÖNK_Mérleg2018'!C145+'1.2.mell._HKÖH_Mérleg2018'!C145+'1.3.mell._HVÓBKI_Mérleg2018'!C145+'1.4.mell._HKK_Mérleg2018'!C145+'1.5._mell._MŐSZ_Mérleg2018'!C145+'1.6._mell._HVGYKCSSZ_Mérleg2018'!C145</f>
        <v>47100</v>
      </c>
      <c r="D145" s="11">
        <f>+'1.1.mell._ÖNK_Mérleg2018'!D145+'1.2.mell._HKÖH_Mérleg2018'!D145+'1.3.mell._HVÓBKI_Mérleg2018'!D145+'1.4.mell._HKK_Mérleg2018'!D145+'1.5._mell._MŐSZ_Mérleg2018'!D145+'1.6._mell._HVGYKCSSZ_Mérleg2018'!D145</f>
        <v>44807</v>
      </c>
      <c r="E145" s="11">
        <f>+'1.1.mell._ÖNK_Mérleg2018'!E145+'1.2.mell._HKÖH_Mérleg2018'!E145+'1.3.mell._HVÓBKI_Mérleg2018'!E145+'1.4.mell._HKK_Mérleg2018'!E145+'1.5._mell._MŐSZ_Mérleg2018'!E145+'1.6._mell._HVGYKCSSZ_Mérleg2018'!E145</f>
        <v>43972</v>
      </c>
      <c r="F145" s="1412">
        <f t="shared" si="22"/>
        <v>0.98136451893677323</v>
      </c>
      <c r="G145" s="20">
        <f>+'1.1.mell._ÖNK_Mérleg2018'!G145+'1.2.mell._HKÖH_Mérleg2018'!G145+'1.3.mell._HVÓBKI_Mérleg2018'!G145+'1.4.mell._HKK_Mérleg2018'!G145+'1.5._mell._MŐSZ_Mérleg2018'!G145+'1.6._mell._HVGYKCSSZ_Mérleg2018'!G145</f>
        <v>43972</v>
      </c>
      <c r="H145" s="11">
        <f>+'1.1.mell._ÖNK_Mérleg2018'!H145+'1.2.mell._HKÖH_Mérleg2018'!H145+'1.3.mell._HVÓBKI_Mérleg2018'!H145+'1.4.mell._HKK_Mérleg2018'!H145+'1.5._mell._MŐSZ_Mérleg2018'!H145+'1.6._mell._HVGYKCSSZ_Mérleg2018'!H145</f>
        <v>0</v>
      </c>
      <c r="I145" s="16">
        <f>+'1.1.mell._ÖNK_Mérleg2018'!I145+'1.2.mell._HKÖH_Mérleg2018'!I145+'1.3.mell._HVÓBKI_Mérleg2018'!I145+'1.4.mell._HKK_Mérleg2018'!I145+'1.5._mell._MŐSZ_Mérleg2018'!I145+'1.6._mell._HVGYKCSSZ_Mérleg2018'!I145</f>
        <v>0</v>
      </c>
      <c r="K145" s="4">
        <f>+E145-G145-H145-I145</f>
        <v>0</v>
      </c>
    </row>
    <row r="146" spans="1:11">
      <c r="A146" s="78" t="s">
        <v>984</v>
      </c>
      <c r="B146" s="68" t="s">
        <v>990</v>
      </c>
      <c r="C146" s="500">
        <f t="shared" ref="C146:F146" si="27">+C147+C148</f>
        <v>272061</v>
      </c>
      <c r="D146" s="22">
        <f t="shared" si="27"/>
        <v>3132139</v>
      </c>
      <c r="E146" s="22">
        <f t="shared" si="27"/>
        <v>0</v>
      </c>
      <c r="F146" s="1411">
        <f t="shared" si="22"/>
        <v>0</v>
      </c>
      <c r="G146" s="21">
        <f>+G147+G148</f>
        <v>0</v>
      </c>
      <c r="H146" s="22">
        <f>+H147+H148</f>
        <v>0</v>
      </c>
      <c r="I146" s="23">
        <f>+I147+I148</f>
        <v>0</v>
      </c>
      <c r="K146" s="4">
        <f>+E146-G146-H146-I146</f>
        <v>0</v>
      </c>
    </row>
    <row r="147" spans="1:11" s="13" customFormat="1">
      <c r="A147" s="89" t="s">
        <v>985</v>
      </c>
      <c r="B147" s="74" t="s">
        <v>991</v>
      </c>
      <c r="C147" s="1050">
        <f>+'1.1.mell._ÖNK_Mérleg2018'!C147+'1.2.mell._HKÖH_Mérleg2018'!C147+'1.3.mell._HVÓBKI_Mérleg2018'!C147+'1.4.mell._HKK_Mérleg2018'!C147+'1.5._mell._MŐSZ_Mérleg2018'!C147+'1.6._mell._HVGYKCSSZ_Mérleg2018'!C147</f>
        <v>5000</v>
      </c>
      <c r="D147" s="43">
        <f>+'1.1.mell._ÖNK_Mérleg2018'!D147+'1.2.mell._HKÖH_Mérleg2018'!D147+'1.3.mell._HVÓBKI_Mérleg2018'!D147+'1.4.mell._HKK_Mérleg2018'!D147+'1.5._mell._MŐSZ_Mérleg2018'!D147+'1.6._mell._HVGYKCSSZ_Mérleg2018'!D147</f>
        <v>3132139</v>
      </c>
      <c r="E147" s="43">
        <f>+'1.1.mell._ÖNK_Mérleg2018'!E147+'1.2.mell._HKÖH_Mérleg2018'!E147+'1.3.mell._HVÓBKI_Mérleg2018'!E147+'1.4.mell._HKK_Mérleg2018'!E147+'1.5._mell._MŐSZ_Mérleg2018'!E147+'1.6._mell._HVGYKCSSZ_Mérleg2018'!E147</f>
        <v>0</v>
      </c>
      <c r="F147" s="1411">
        <f t="shared" si="22"/>
        <v>0</v>
      </c>
      <c r="G147" s="45">
        <f>+'1.1.mell._ÖNK_Mérleg2018'!G147+'1.2.mell._HKÖH_Mérleg2018'!G147+'1.3.mell._HVÓBKI_Mérleg2018'!G147+'1.4.mell._HKK_Mérleg2018'!G147+'1.5._mell._MŐSZ_Mérleg2018'!G147+'1.6._mell._HVGYKCSSZ_Mérleg2018'!G147</f>
        <v>0</v>
      </c>
      <c r="H147" s="43">
        <f>+'1.1.mell._ÖNK_Mérleg2018'!H147+'1.2.mell._HKÖH_Mérleg2018'!H147+'1.3.mell._HVÓBKI_Mérleg2018'!H147+'1.4.mell._HKK_Mérleg2018'!H147+'1.5._mell._MŐSZ_Mérleg2018'!H147+'1.6._mell._HVGYKCSSZ_Mérleg2018'!H147</f>
        <v>0</v>
      </c>
      <c r="I147" s="44">
        <f>+'1.1.mell._ÖNK_Mérleg2018'!I147+'1.2.mell._HKÖH_Mérleg2018'!I147+'1.3.mell._HVÓBKI_Mérleg2018'!I147+'1.4.mell._HKK_Mérleg2018'!I147+'1.5._mell._MŐSZ_Mérleg2018'!I147+'1.6._mell._HVGYKCSSZ_Mérleg2018'!I147</f>
        <v>0</v>
      </c>
      <c r="K147" s="13">
        <f>+E147-G147-H147-I147</f>
        <v>0</v>
      </c>
    </row>
    <row r="148" spans="1:11" s="13" customFormat="1" ht="12.75" thickBot="1">
      <c r="A148" s="89" t="s">
        <v>986</v>
      </c>
      <c r="B148" s="74" t="s">
        <v>992</v>
      </c>
      <c r="C148" s="1050">
        <f>+'1.1.mell._ÖNK_Mérleg2018'!C148+'1.2.mell._HKÖH_Mérleg2018'!C148+'1.3.mell._HVÓBKI_Mérleg2018'!C148+'1.4.mell._HKK_Mérleg2018'!C148+'1.5._mell._MŐSZ_Mérleg2018'!C148+'1.6._mell._HVGYKCSSZ_Mérleg2018'!C148</f>
        <v>267061</v>
      </c>
      <c r="D148" s="43">
        <f>+'1.1.mell._ÖNK_Mérleg2018'!D148+'1.2.mell._HKÖH_Mérleg2018'!D148+'1.3.mell._HVÓBKI_Mérleg2018'!D148+'1.4.mell._HKK_Mérleg2018'!D148+'1.5._mell._MŐSZ_Mérleg2018'!D148+'1.6._mell._HVGYKCSSZ_Mérleg2018'!D148</f>
        <v>0</v>
      </c>
      <c r="E148" s="43">
        <f>+'1.1.mell._ÖNK_Mérleg2018'!E148+'1.2.mell._HKÖH_Mérleg2018'!E148+'1.3.mell._HVÓBKI_Mérleg2018'!E148+'1.4.mell._HKK_Mérleg2018'!E148+'1.5._mell._MŐSZ_Mérleg2018'!E148+'1.6._mell._HVGYKCSSZ_Mérleg2018'!E148</f>
        <v>0</v>
      </c>
      <c r="F148" s="1411" t="str">
        <f t="shared" si="22"/>
        <v>-</v>
      </c>
      <c r="G148" s="45">
        <f>+'1.1.mell._ÖNK_Mérleg2018'!G148+'1.2.mell._HKÖH_Mérleg2018'!G148+'1.3.mell._HVÓBKI_Mérleg2018'!G148+'1.4.mell._HKK_Mérleg2018'!G148+'1.5._mell._MŐSZ_Mérleg2018'!G148+'1.6._mell._HVGYKCSSZ_Mérleg2018'!G148</f>
        <v>0</v>
      </c>
      <c r="H148" s="43">
        <f>+'1.1.mell._ÖNK_Mérleg2018'!H148+'1.2.mell._HKÖH_Mérleg2018'!H148+'1.3.mell._HVÓBKI_Mérleg2018'!H148+'1.4.mell._HKK_Mérleg2018'!H148+'1.5._mell._MŐSZ_Mérleg2018'!H148+'1.6._mell._HVGYKCSSZ_Mérleg2018'!H148</f>
        <v>0</v>
      </c>
      <c r="I148" s="44">
        <f>+'1.1.mell._ÖNK_Mérleg2018'!I148+'1.2.mell._HKÖH_Mérleg2018'!I148+'1.3.mell._HVÓBKI_Mérleg2018'!I148+'1.4.mell._HKK_Mérleg2018'!I148+'1.5._mell._MŐSZ_Mérleg2018'!I148+'1.6._mell._HVGYKCSSZ_Mérleg2018'!I148</f>
        <v>0</v>
      </c>
      <c r="K148" s="13">
        <f>+E148-G148-H148-I148</f>
        <v>0</v>
      </c>
    </row>
    <row r="149" spans="1:11" s="3" customFormat="1" ht="12.75" thickBot="1">
      <c r="A149" s="83" t="s">
        <v>14</v>
      </c>
      <c r="B149" s="69" t="s">
        <v>311</v>
      </c>
      <c r="C149" s="1049">
        <f t="shared" ref="C149:F149" si="28">+C150+C159+C165</f>
        <v>1716878</v>
      </c>
      <c r="D149" s="28">
        <f t="shared" si="28"/>
        <v>760213</v>
      </c>
      <c r="E149" s="28">
        <f t="shared" si="28"/>
        <v>706531</v>
      </c>
      <c r="F149" s="1408">
        <f t="shared" si="22"/>
        <v>0.92938558009399996</v>
      </c>
      <c r="G149" s="27">
        <f>+G150+G159+G165</f>
        <v>706109</v>
      </c>
      <c r="H149" s="28">
        <f>+H150+H159+H165</f>
        <v>422</v>
      </c>
      <c r="I149" s="29">
        <f>+I150+I159+I165</f>
        <v>0</v>
      </c>
      <c r="J149" s="712">
        <f>+E149/$E$208</f>
        <v>0.26921138053083182</v>
      </c>
      <c r="K149" s="3">
        <f>+E149-G149-H149-I149</f>
        <v>0</v>
      </c>
    </row>
    <row r="150" spans="1:11" s="3" customFormat="1" ht="12.75" thickBot="1">
      <c r="A150" s="83" t="s">
        <v>13</v>
      </c>
      <c r="B150" s="64" t="s">
        <v>312</v>
      </c>
      <c r="C150" s="1049">
        <f t="shared" ref="C150:F150" si="29">+C152+C153+C154+C155+C156+C157+C158</f>
        <v>908654</v>
      </c>
      <c r="D150" s="28">
        <f t="shared" si="29"/>
        <v>530213</v>
      </c>
      <c r="E150" s="28">
        <f t="shared" si="29"/>
        <v>476531</v>
      </c>
      <c r="F150" s="1408">
        <f t="shared" si="22"/>
        <v>0.89875389701874531</v>
      </c>
      <c r="G150" s="27">
        <f>+G152+G153+G154+G155+G156+G157+G158</f>
        <v>476109</v>
      </c>
      <c r="H150" s="28">
        <f>+H152+H153+H154+H155+H156+H157+H158</f>
        <v>422</v>
      </c>
      <c r="I150" s="29">
        <f>+I152+I153+I154+I155+I156+I157+I158</f>
        <v>0</v>
      </c>
      <c r="J150" s="712">
        <f>+E150/$E$208</f>
        <v>0.18157387060969415</v>
      </c>
      <c r="K150" s="3">
        <f>+E150-G150-H150-I150</f>
        <v>0</v>
      </c>
    </row>
    <row r="151" spans="1:11" s="36" customFormat="1">
      <c r="A151" s="819" t="s">
        <v>994</v>
      </c>
      <c r="B151" s="820" t="s">
        <v>342</v>
      </c>
      <c r="C151" s="1058">
        <f>+'1.1.mell._ÖNK_Mérleg2018'!C151+'1.2.mell._HKÖH_Mérleg2018'!C151+'1.3.mell._HVÓBKI_Mérleg2018'!C151+'1.4.mell._HKK_Mérleg2018'!C151+'1.5._mell._MŐSZ_Mérleg2018'!C151+'1.6._mell._HVGYKCSSZ_Mérleg2018'!C151</f>
        <v>867373</v>
      </c>
      <c r="D151" s="97">
        <f>+'1.1.mell._ÖNK_Mérleg2018'!D151+'1.2.mell._HKÖH_Mérleg2018'!D151+'1.3.mell._HVÓBKI_Mérleg2018'!D151+'1.4.mell._HKK_Mérleg2018'!D151+'1.5._mell._MŐSZ_Mérleg2018'!D151+'1.6._mell._HVGYKCSSZ_Mérleg2018'!D151</f>
        <v>384122</v>
      </c>
      <c r="E151" s="97">
        <f>+'1.1.mell._ÖNK_Mérleg2018'!E151+'1.2.mell._HKÖH_Mérleg2018'!E151+'1.3.mell._HVÓBKI_Mérleg2018'!E151+'1.4.mell._HKK_Mérleg2018'!E151+'1.5._mell._MŐSZ_Mérleg2018'!E151+'1.6._mell._HVGYKCSSZ_Mérleg2018'!E151</f>
        <v>377145</v>
      </c>
      <c r="F151" s="1409">
        <f t="shared" si="22"/>
        <v>0.98183649986202304</v>
      </c>
      <c r="G151" s="96">
        <f>+'1.1.mell._ÖNK_Mérleg2018'!G151+'1.2.mell._HKÖH_Mérleg2018'!G151+'1.3.mell._HVÓBKI_Mérleg2018'!G151+'1.4.mell._HKK_Mérleg2018'!G151+'1.5._mell._MŐSZ_Mérleg2018'!G151+'1.6._mell._HVGYKCSSZ_Mérleg2018'!G151</f>
        <v>377145</v>
      </c>
      <c r="H151" s="97">
        <f>+'1.1.mell._ÖNK_Mérleg2018'!H151+'1.2.mell._HKÖH_Mérleg2018'!H151+'1.3.mell._HVÓBKI_Mérleg2018'!H151+'1.4.mell._HKK_Mérleg2018'!H151+'1.5._mell._MŐSZ_Mérleg2018'!H151+'1.6._mell._HVGYKCSSZ_Mérleg2018'!H151</f>
        <v>0</v>
      </c>
      <c r="I151" s="98">
        <f>+'1.1.mell._ÖNK_Mérleg2018'!I151+'1.2.mell._HKÖH_Mérleg2018'!I151+'1.3.mell._HVÓBKI_Mérleg2018'!I151+'1.4.mell._HKK_Mérleg2018'!I151+'1.5._mell._MŐSZ_Mérleg2018'!I151+'1.6._mell._HVGYKCSSZ_Mérleg2018'!I151</f>
        <v>0</v>
      </c>
      <c r="K151" s="36">
        <f>+E151-G151-H151-I151</f>
        <v>0</v>
      </c>
    </row>
    <row r="152" spans="1:11">
      <c r="A152" s="84" t="s">
        <v>66</v>
      </c>
      <c r="B152" s="65" t="s">
        <v>152</v>
      </c>
      <c r="C152" s="1051">
        <f>+'1.1.mell._ÖNK_Mérleg2018'!C152+'1.2.mell._HKÖH_Mérleg2018'!C152+'1.3.mell._HVÓBKI_Mérleg2018'!C152+'1.4.mell._HKK_Mérleg2018'!C152+'1.5._mell._MŐSZ_Mérleg2018'!C152+'1.6._mell._HVGYKCSSZ_Mérleg2018'!C152</f>
        <v>5512</v>
      </c>
      <c r="D152" s="10">
        <f>+'1.1.mell._ÖNK_Mérleg2018'!D152+'1.2.mell._HKÖH_Mérleg2018'!D152+'1.3.mell._HVÓBKI_Mérleg2018'!D152+'1.4.mell._HKK_Mérleg2018'!D152+'1.5._mell._MŐSZ_Mérleg2018'!D152+'1.6._mell._HVGYKCSSZ_Mérleg2018'!D152</f>
        <v>1102</v>
      </c>
      <c r="E152" s="10">
        <f>+'1.1.mell._ÖNK_Mérleg2018'!E152+'1.2.mell._HKÖH_Mérleg2018'!E152+'1.3.mell._HVÓBKI_Mérleg2018'!E152+'1.4.mell._HKK_Mérleg2018'!E152+'1.5._mell._MŐSZ_Mérleg2018'!E152+'1.6._mell._HVGYKCSSZ_Mérleg2018'!E152</f>
        <v>1102</v>
      </c>
      <c r="F152" s="1410">
        <f t="shared" si="22"/>
        <v>1</v>
      </c>
      <c r="G152" s="34">
        <f>+'1.1.mell._ÖNK_Mérleg2018'!G152+'1.2.mell._HKÖH_Mérleg2018'!G152+'1.3.mell._HVÓBKI_Mérleg2018'!G152+'1.4.mell._HKK_Mérleg2018'!G152+'1.5._mell._MŐSZ_Mérleg2018'!G152+'1.6._mell._HVGYKCSSZ_Mérleg2018'!G152</f>
        <v>1102</v>
      </c>
      <c r="H152" s="10">
        <f>+'1.1.mell._ÖNK_Mérleg2018'!H152+'1.2.mell._HKÖH_Mérleg2018'!H152+'1.3.mell._HVÓBKI_Mérleg2018'!H152+'1.4.mell._HKK_Mérleg2018'!H152+'1.5._mell._MŐSZ_Mérleg2018'!H152+'1.6._mell._HVGYKCSSZ_Mérleg2018'!H152</f>
        <v>0</v>
      </c>
      <c r="I152" s="35">
        <f>+'1.1.mell._ÖNK_Mérleg2018'!I152+'1.2.mell._HKÖH_Mérleg2018'!I152+'1.3.mell._HVÓBKI_Mérleg2018'!I152+'1.4.mell._HKK_Mérleg2018'!I152+'1.5._mell._MŐSZ_Mérleg2018'!I152+'1.6._mell._HVGYKCSSZ_Mérleg2018'!I152</f>
        <v>0</v>
      </c>
      <c r="K152" s="4">
        <f>+E152-G152-H152-I152</f>
        <v>0</v>
      </c>
    </row>
    <row r="153" spans="1:11">
      <c r="A153" s="85" t="s">
        <v>67</v>
      </c>
      <c r="B153" s="67" t="s">
        <v>153</v>
      </c>
      <c r="C153" s="501">
        <f>+'1.1.mell._ÖNK_Mérleg2018'!C153+'1.2.mell._HKÖH_Mérleg2018'!C153+'1.3.mell._HVÓBKI_Mérleg2018'!C153+'1.4.mell._HKK_Mérleg2018'!C153+'1.5._mell._MŐSZ_Mérleg2018'!C153+'1.6._mell._HVGYKCSSZ_Mérleg2018'!C153</f>
        <v>316079</v>
      </c>
      <c r="D153" s="11">
        <f>+'1.1.mell._ÖNK_Mérleg2018'!D153+'1.2.mell._HKÖH_Mérleg2018'!D153+'1.3.mell._HVÓBKI_Mérleg2018'!D153+'1.4.mell._HKK_Mérleg2018'!D153+'1.5._mell._MŐSZ_Mérleg2018'!D153+'1.6._mell._HVGYKCSSZ_Mérleg2018'!D153</f>
        <v>357934</v>
      </c>
      <c r="E153" s="11">
        <f>+'1.1.mell._ÖNK_Mérleg2018'!E153+'1.2.mell._HKÖH_Mérleg2018'!E153+'1.3.mell._HVÓBKI_Mérleg2018'!E153+'1.4.mell._HKK_Mérleg2018'!E153+'1.5._mell._MŐSZ_Mérleg2018'!E153+'1.6._mell._HVGYKCSSZ_Mérleg2018'!E153</f>
        <v>312152</v>
      </c>
      <c r="F153" s="1412">
        <f t="shared" si="22"/>
        <v>0.87209373795168943</v>
      </c>
      <c r="G153" s="20">
        <f>+'1.1.mell._ÖNK_Mérleg2018'!G153+'1.2.mell._HKÖH_Mérleg2018'!G153+'1.3.mell._HVÓBKI_Mérleg2018'!G153+'1.4.mell._HKK_Mérleg2018'!G153+'1.5._mell._MŐSZ_Mérleg2018'!G153+'1.6._mell._HVGYKCSSZ_Mérleg2018'!G153</f>
        <v>312152</v>
      </c>
      <c r="H153" s="11">
        <f>+'1.1.mell._ÖNK_Mérleg2018'!H153+'1.2.mell._HKÖH_Mérleg2018'!H153+'1.3.mell._HVÓBKI_Mérleg2018'!H153+'1.4.mell._HKK_Mérleg2018'!H153+'1.5._mell._MŐSZ_Mérleg2018'!H153+'1.6._mell._HVGYKCSSZ_Mérleg2018'!H153</f>
        <v>0</v>
      </c>
      <c r="I153" s="16">
        <f>+'1.1.mell._ÖNK_Mérleg2018'!I153+'1.2.mell._HKÖH_Mérleg2018'!I153+'1.3.mell._HVÓBKI_Mérleg2018'!I153+'1.4.mell._HKK_Mérleg2018'!I153+'1.5._mell._MŐSZ_Mérleg2018'!I153+'1.6._mell._HVGYKCSSZ_Mérleg2018'!I153</f>
        <v>0</v>
      </c>
      <c r="K153" s="4">
        <f>+E153-G153-H153-I153</f>
        <v>0</v>
      </c>
    </row>
    <row r="154" spans="1:11">
      <c r="A154" s="85" t="s">
        <v>68</v>
      </c>
      <c r="B154" s="67" t="s">
        <v>154</v>
      </c>
      <c r="C154" s="501">
        <f>+'1.1.mell._ÖNK_Mérleg2018'!C154+'1.2.mell._HKÖH_Mérleg2018'!C154+'1.3.mell._HVÓBKI_Mérleg2018'!C154+'1.4.mell._HKK_Mérleg2018'!C154+'1.5._mell._MŐSZ_Mérleg2018'!C154+'1.6._mell._HVGYKCSSZ_Mérleg2018'!C154</f>
        <v>0</v>
      </c>
      <c r="D154" s="11">
        <f>+'1.1.mell._ÖNK_Mérleg2018'!D154+'1.2.mell._HKÖH_Mérleg2018'!D154+'1.3.mell._HVÓBKI_Mérleg2018'!D154+'1.4.mell._HKK_Mérleg2018'!D154+'1.5._mell._MŐSZ_Mérleg2018'!D154+'1.6._mell._HVGYKCSSZ_Mérleg2018'!D154</f>
        <v>19415</v>
      </c>
      <c r="E154" s="11">
        <f>+'1.1.mell._ÖNK_Mérleg2018'!E154+'1.2.mell._HKÖH_Mérleg2018'!E154+'1.3.mell._HVÓBKI_Mérleg2018'!E154+'1.4.mell._HKK_Mérleg2018'!E154+'1.5._mell._MŐSZ_Mérleg2018'!E154+'1.6._mell._HVGYKCSSZ_Mérleg2018'!E154</f>
        <v>19415</v>
      </c>
      <c r="F154" s="1412">
        <f t="shared" si="22"/>
        <v>1</v>
      </c>
      <c r="G154" s="20">
        <f>+'1.1.mell._ÖNK_Mérleg2018'!G154+'1.2.mell._HKÖH_Mérleg2018'!G154+'1.3.mell._HVÓBKI_Mérleg2018'!G154+'1.4.mell._HKK_Mérleg2018'!G154+'1.5._mell._MŐSZ_Mérleg2018'!G154+'1.6._mell._HVGYKCSSZ_Mérleg2018'!G154</f>
        <v>19415</v>
      </c>
      <c r="H154" s="11">
        <f>+'1.1.mell._ÖNK_Mérleg2018'!H154+'1.2.mell._HKÖH_Mérleg2018'!H154+'1.3.mell._HVÓBKI_Mérleg2018'!H154+'1.4.mell._HKK_Mérleg2018'!H154+'1.5._mell._MŐSZ_Mérleg2018'!H154+'1.6._mell._HVGYKCSSZ_Mérleg2018'!H154</f>
        <v>0</v>
      </c>
      <c r="I154" s="16">
        <f>+'1.1.mell._ÖNK_Mérleg2018'!I154+'1.2.mell._HKÖH_Mérleg2018'!I154+'1.3.mell._HVÓBKI_Mérleg2018'!I154+'1.4.mell._HKK_Mérleg2018'!I154+'1.5._mell._MŐSZ_Mérleg2018'!I154+'1.6._mell._HVGYKCSSZ_Mérleg2018'!I154</f>
        <v>0</v>
      </c>
      <c r="K154" s="4">
        <f>+E154-G154-H154-I154</f>
        <v>0</v>
      </c>
    </row>
    <row r="155" spans="1:11">
      <c r="A155" s="85" t="s">
        <v>230</v>
      </c>
      <c r="B155" s="67" t="s">
        <v>155</v>
      </c>
      <c r="C155" s="501">
        <f>+'1.1.mell._ÖNK_Mérleg2018'!C155+'1.2.mell._HKÖH_Mérleg2018'!C155+'1.3.mell._HVÓBKI_Mérleg2018'!C155+'1.4.mell._HKK_Mérleg2018'!C155+'1.5._mell._MŐSZ_Mérleg2018'!C155+'1.6._mell._HVGYKCSSZ_Mérleg2018'!C155</f>
        <v>417504</v>
      </c>
      <c r="D155" s="11">
        <f>+'1.1.mell._ÖNK_Mérleg2018'!D155+'1.2.mell._HKÖH_Mérleg2018'!D155+'1.3.mell._HVÓBKI_Mérleg2018'!D155+'1.4.mell._HKK_Mérleg2018'!D155+'1.5._mell._MŐSZ_Mérleg2018'!D155+'1.6._mell._HVGYKCSSZ_Mérleg2018'!D155</f>
        <v>61208</v>
      </c>
      <c r="E155" s="11">
        <f>+'1.1.mell._ÖNK_Mérleg2018'!E155+'1.2.mell._HKÖH_Mérleg2018'!E155+'1.3.mell._HVÓBKI_Mérleg2018'!E155+'1.4.mell._HKK_Mérleg2018'!E155+'1.5._mell._MŐSZ_Mérleg2018'!E155+'1.6._mell._HVGYKCSSZ_Mérleg2018'!E155</f>
        <v>55680</v>
      </c>
      <c r="F155" s="1412">
        <f t="shared" si="22"/>
        <v>0.90968500849562151</v>
      </c>
      <c r="G155" s="20">
        <f>+'1.1.mell._ÖNK_Mérleg2018'!G155+'1.2.mell._HKÖH_Mérleg2018'!G155+'1.3.mell._HVÓBKI_Mérleg2018'!G155+'1.4.mell._HKK_Mérleg2018'!G155+'1.5._mell._MŐSZ_Mérleg2018'!G155+'1.6._mell._HVGYKCSSZ_Mérleg2018'!G155</f>
        <v>55348</v>
      </c>
      <c r="H155" s="11">
        <f>+'1.1.mell._ÖNK_Mérleg2018'!H155+'1.2.mell._HKÖH_Mérleg2018'!H155+'1.3.mell._HVÓBKI_Mérleg2018'!H155+'1.4.mell._HKK_Mérleg2018'!H155+'1.5._mell._MŐSZ_Mérleg2018'!H155+'1.6._mell._HVGYKCSSZ_Mérleg2018'!H155</f>
        <v>332</v>
      </c>
      <c r="I155" s="16">
        <f>+'1.1.mell._ÖNK_Mérleg2018'!I155+'1.2.mell._HKÖH_Mérleg2018'!I155+'1.3.mell._HVÓBKI_Mérleg2018'!I155+'1.4.mell._HKK_Mérleg2018'!I155+'1.5._mell._MŐSZ_Mérleg2018'!I155+'1.6._mell._HVGYKCSSZ_Mérleg2018'!I155</f>
        <v>0</v>
      </c>
      <c r="K155" s="4">
        <f>+E155-G155-H155-I155</f>
        <v>0</v>
      </c>
    </row>
    <row r="156" spans="1:11">
      <c r="A156" s="85" t="s">
        <v>231</v>
      </c>
      <c r="B156" s="67" t="s">
        <v>156</v>
      </c>
      <c r="C156" s="501">
        <f>+'1.1.mell._ÖNK_Mérleg2018'!C156+'1.2.mell._HKÖH_Mérleg2018'!C156+'1.3.mell._HVÓBKI_Mérleg2018'!C156+'1.4.mell._HKK_Mérleg2018'!C156+'1.5._mell._MŐSZ_Mérleg2018'!C156+'1.6._mell._HVGYKCSSZ_Mérleg2018'!C156</f>
        <v>0</v>
      </c>
      <c r="D156" s="11">
        <f>+'1.1.mell._ÖNK_Mérleg2018'!D156+'1.2.mell._HKÖH_Mérleg2018'!D156+'1.3.mell._HVÓBKI_Mérleg2018'!D156+'1.4.mell._HKK_Mérleg2018'!D156+'1.5._mell._MŐSZ_Mérleg2018'!D156+'1.6._mell._HVGYKCSSZ_Mérleg2018'!D156</f>
        <v>5000</v>
      </c>
      <c r="E156" s="11">
        <f>+'1.1.mell._ÖNK_Mérleg2018'!E156+'1.2.mell._HKÖH_Mérleg2018'!E156+'1.3.mell._HVÓBKI_Mérleg2018'!E156+'1.4.mell._HKK_Mérleg2018'!E156+'1.5._mell._MŐSZ_Mérleg2018'!E156+'1.6._mell._HVGYKCSSZ_Mérleg2018'!E156</f>
        <v>5000</v>
      </c>
      <c r="F156" s="1412">
        <f t="shared" si="22"/>
        <v>1</v>
      </c>
      <c r="G156" s="20">
        <f>+'1.1.mell._ÖNK_Mérleg2018'!G156+'1.2.mell._HKÖH_Mérleg2018'!G156+'1.3.mell._HVÓBKI_Mérleg2018'!G156+'1.4.mell._HKK_Mérleg2018'!G156+'1.5._mell._MŐSZ_Mérleg2018'!G156+'1.6._mell._HVGYKCSSZ_Mérleg2018'!G156</f>
        <v>5000</v>
      </c>
      <c r="H156" s="11">
        <f>+'1.1.mell._ÖNK_Mérleg2018'!H156+'1.2.mell._HKÖH_Mérleg2018'!H156+'1.3.mell._HVÓBKI_Mérleg2018'!H156+'1.4.mell._HKK_Mérleg2018'!H156+'1.5._mell._MŐSZ_Mérleg2018'!H156+'1.6._mell._HVGYKCSSZ_Mérleg2018'!H156</f>
        <v>0</v>
      </c>
      <c r="I156" s="16">
        <f>+'1.1.mell._ÖNK_Mérleg2018'!I156+'1.2.mell._HKÖH_Mérleg2018'!I156+'1.3.mell._HVÓBKI_Mérleg2018'!I156+'1.4.mell._HKK_Mérleg2018'!I156+'1.5._mell._MŐSZ_Mérleg2018'!I156+'1.6._mell._HVGYKCSSZ_Mérleg2018'!I156</f>
        <v>0</v>
      </c>
      <c r="K156" s="4">
        <f>+E156-G156-H156-I156</f>
        <v>0</v>
      </c>
    </row>
    <row r="157" spans="1:11">
      <c r="A157" s="85" t="s">
        <v>269</v>
      </c>
      <c r="B157" s="67" t="s">
        <v>157</v>
      </c>
      <c r="C157" s="501">
        <f>+'1.1.mell._ÖNK_Mérleg2018'!C157+'1.2.mell._HKÖH_Mérleg2018'!C157+'1.3.mell._HVÓBKI_Mérleg2018'!C157+'1.4.mell._HKK_Mérleg2018'!C157+'1.5._mell._MŐSZ_Mérleg2018'!C157+'1.6._mell._HVGYKCSSZ_Mérleg2018'!C157</f>
        <v>0</v>
      </c>
      <c r="D157" s="11">
        <f>+'1.1.mell._ÖNK_Mérleg2018'!D157+'1.2.mell._HKÖH_Mérleg2018'!D157+'1.3.mell._HVÓBKI_Mérleg2018'!D157+'1.4.mell._HKK_Mérleg2018'!D157+'1.5._mell._MŐSZ_Mérleg2018'!D157+'1.6._mell._HVGYKCSSZ_Mérleg2018'!D157</f>
        <v>0</v>
      </c>
      <c r="E157" s="11">
        <f>+'1.1.mell._ÖNK_Mérleg2018'!E157+'1.2.mell._HKÖH_Mérleg2018'!E157+'1.3.mell._HVÓBKI_Mérleg2018'!E157+'1.4.mell._HKK_Mérleg2018'!E157+'1.5._mell._MŐSZ_Mérleg2018'!E157+'1.6._mell._HVGYKCSSZ_Mérleg2018'!E157</f>
        <v>0</v>
      </c>
      <c r="F157" s="1412" t="str">
        <f t="shared" si="22"/>
        <v>-</v>
      </c>
      <c r="G157" s="20">
        <f>+'1.1.mell._ÖNK_Mérleg2018'!G157+'1.2.mell._HKÖH_Mérleg2018'!G157+'1.3.mell._HVÓBKI_Mérleg2018'!G157+'1.4.mell._HKK_Mérleg2018'!G157+'1.5._mell._MŐSZ_Mérleg2018'!G157+'1.6._mell._HVGYKCSSZ_Mérleg2018'!G157</f>
        <v>0</v>
      </c>
      <c r="H157" s="11">
        <f>+'1.1.mell._ÖNK_Mérleg2018'!H157+'1.2.mell._HKÖH_Mérleg2018'!H157+'1.3.mell._HVÓBKI_Mérleg2018'!H157+'1.4.mell._HKK_Mérleg2018'!H157+'1.5._mell._MŐSZ_Mérleg2018'!H157+'1.6._mell._HVGYKCSSZ_Mérleg2018'!H157</f>
        <v>0</v>
      </c>
      <c r="I157" s="16">
        <f>+'1.1.mell._ÖNK_Mérleg2018'!I157+'1.2.mell._HKÖH_Mérleg2018'!I157+'1.3.mell._HVÓBKI_Mérleg2018'!I157+'1.4.mell._HKK_Mérleg2018'!I157+'1.5._mell._MŐSZ_Mérleg2018'!I157+'1.6._mell._HVGYKCSSZ_Mérleg2018'!I157</f>
        <v>0</v>
      </c>
      <c r="K157" s="4">
        <f>+E157-G157-H157-I157</f>
        <v>0</v>
      </c>
    </row>
    <row r="158" spans="1:11" ht="12.75" thickBot="1">
      <c r="A158" s="78" t="s">
        <v>270</v>
      </c>
      <c r="B158" s="68" t="s">
        <v>158</v>
      </c>
      <c r="C158" s="500">
        <f>+'1.1.mell._ÖNK_Mérleg2018'!C158+'1.2.mell._HKÖH_Mérleg2018'!C158+'1.3.mell._HVÓBKI_Mérleg2018'!C158+'1.4.mell._HKK_Mérleg2018'!C158+'1.5._mell._MŐSZ_Mérleg2018'!C158+'1.6._mell._HVGYKCSSZ_Mérleg2018'!C158</f>
        <v>169559</v>
      </c>
      <c r="D158" s="22">
        <f>+'1.1.mell._ÖNK_Mérleg2018'!D158+'1.2.mell._HKÖH_Mérleg2018'!D158+'1.3.mell._HVÓBKI_Mérleg2018'!D158+'1.4.mell._HKK_Mérleg2018'!D158+'1.5._mell._MŐSZ_Mérleg2018'!D158+'1.6._mell._HVGYKCSSZ_Mérleg2018'!D158</f>
        <v>85554</v>
      </c>
      <c r="E158" s="22">
        <f>+'1.1.mell._ÖNK_Mérleg2018'!E158+'1.2.mell._HKÖH_Mérleg2018'!E158+'1.3.mell._HVÓBKI_Mérleg2018'!E158+'1.4.mell._HKK_Mérleg2018'!E158+'1.5._mell._MŐSZ_Mérleg2018'!E158+'1.6._mell._HVGYKCSSZ_Mérleg2018'!E158</f>
        <v>83182</v>
      </c>
      <c r="F158" s="1411">
        <f t="shared" si="22"/>
        <v>0.97227482058115344</v>
      </c>
      <c r="G158" s="21">
        <f>+'1.1.mell._ÖNK_Mérleg2018'!G158+'1.2.mell._HKÖH_Mérleg2018'!G158+'1.3.mell._HVÓBKI_Mérleg2018'!G158+'1.4.mell._HKK_Mérleg2018'!G158+'1.5._mell._MŐSZ_Mérleg2018'!G158+'1.6._mell._HVGYKCSSZ_Mérleg2018'!G158</f>
        <v>83092</v>
      </c>
      <c r="H158" s="22">
        <f>+'1.1.mell._ÖNK_Mérleg2018'!H158+'1.2.mell._HKÖH_Mérleg2018'!H158+'1.3.mell._HVÓBKI_Mérleg2018'!H158+'1.4.mell._HKK_Mérleg2018'!H158+'1.5._mell._MŐSZ_Mérleg2018'!H158+'1.6._mell._HVGYKCSSZ_Mérleg2018'!H158</f>
        <v>90</v>
      </c>
      <c r="I158" s="23">
        <f>+'1.1.mell._ÖNK_Mérleg2018'!I158+'1.2.mell._HKÖH_Mérleg2018'!I158+'1.3.mell._HVÓBKI_Mérleg2018'!I158+'1.4.mell._HKK_Mérleg2018'!I158+'1.5._mell._MŐSZ_Mérleg2018'!I158+'1.6._mell._HVGYKCSSZ_Mérleg2018'!I158</f>
        <v>0</v>
      </c>
      <c r="K158" s="4">
        <f>+E158-G158-H158-I158</f>
        <v>0</v>
      </c>
    </row>
    <row r="159" spans="1:11" s="3" customFormat="1" ht="12.75" thickBot="1">
      <c r="A159" s="83" t="s">
        <v>12</v>
      </c>
      <c r="B159" s="64" t="s">
        <v>313</v>
      </c>
      <c r="C159" s="1049">
        <f t="shared" ref="C159:F159" si="30">+C161+C162+C163+C164</f>
        <v>808224</v>
      </c>
      <c r="D159" s="28">
        <f t="shared" si="30"/>
        <v>228800</v>
      </c>
      <c r="E159" s="28">
        <f t="shared" si="30"/>
        <v>228800</v>
      </c>
      <c r="F159" s="1408">
        <f t="shared" si="22"/>
        <v>1</v>
      </c>
      <c r="G159" s="27">
        <f>+G161+G162+G163+G164</f>
        <v>228800</v>
      </c>
      <c r="H159" s="28">
        <f>+H161+H162+H163+H164</f>
        <v>0</v>
      </c>
      <c r="I159" s="29">
        <f>+I161+I162+I163+I164</f>
        <v>0</v>
      </c>
      <c r="J159" s="712">
        <f>+E159/$E$208</f>
        <v>8.7180270738940427E-2</v>
      </c>
      <c r="K159" s="3">
        <f>+E159-G159-H159-I159</f>
        <v>0</v>
      </c>
    </row>
    <row r="160" spans="1:11" s="36" customFormat="1">
      <c r="A160" s="819" t="s">
        <v>344</v>
      </c>
      <c r="B160" s="820" t="s">
        <v>345</v>
      </c>
      <c r="C160" s="1058">
        <f>+'1.1.mell._ÖNK_Mérleg2018'!C160+'1.2.mell._HKÖH_Mérleg2018'!C160+'1.3.mell._HVÓBKI_Mérleg2018'!C160+'1.4.mell._HKK_Mérleg2018'!C160+'1.5._mell._MŐSZ_Mérleg2018'!C160+'1.6._mell._HVGYKCSSZ_Mérleg2018'!C160</f>
        <v>792788</v>
      </c>
      <c r="D160" s="97">
        <f>+'1.1.mell._ÖNK_Mérleg2018'!D160+'1.2.mell._HKÖH_Mérleg2018'!D160+'1.3.mell._HVÓBKI_Mérleg2018'!D160+'1.4.mell._HKK_Mérleg2018'!D160+'1.5._mell._MŐSZ_Mérleg2018'!D160+'1.6._mell._HVGYKCSSZ_Mérleg2018'!D160</f>
        <v>212673</v>
      </c>
      <c r="E160" s="97">
        <f>+'1.1.mell._ÖNK_Mérleg2018'!E160+'1.2.mell._HKÖH_Mérleg2018'!E160+'1.3.mell._HVÓBKI_Mérleg2018'!E160+'1.4.mell._HKK_Mérleg2018'!E160+'1.5._mell._MŐSZ_Mérleg2018'!E160+'1.6._mell._HVGYKCSSZ_Mérleg2018'!E160</f>
        <v>212673</v>
      </c>
      <c r="F160" s="1409">
        <f t="shared" si="22"/>
        <v>1</v>
      </c>
      <c r="G160" s="96">
        <f>+'1.1.mell._ÖNK_Mérleg2018'!G160+'1.2.mell._HKÖH_Mérleg2018'!G160+'1.3.mell._HVÓBKI_Mérleg2018'!G160+'1.4.mell._HKK_Mérleg2018'!G160+'1.5._mell._MŐSZ_Mérleg2018'!G160+'1.6._mell._HVGYKCSSZ_Mérleg2018'!G160</f>
        <v>212673</v>
      </c>
      <c r="H160" s="97">
        <f>+'1.1.mell._ÖNK_Mérleg2018'!H160+'1.2.mell._HKÖH_Mérleg2018'!H160+'1.3.mell._HVÓBKI_Mérleg2018'!H160+'1.4.mell._HKK_Mérleg2018'!H160+'1.5._mell._MŐSZ_Mérleg2018'!H160+'1.6._mell._HVGYKCSSZ_Mérleg2018'!H160</f>
        <v>0</v>
      </c>
      <c r="I160" s="98">
        <f>+'1.1.mell._ÖNK_Mérleg2018'!I160+'1.2.mell._HKÖH_Mérleg2018'!I160+'1.3.mell._HVÓBKI_Mérleg2018'!I160+'1.4.mell._HKK_Mérleg2018'!I160+'1.5._mell._MŐSZ_Mérleg2018'!I160+'1.6._mell._HVGYKCSSZ_Mérleg2018'!I160</f>
        <v>0</v>
      </c>
      <c r="K160" s="36">
        <f>+E160-G160-H160-I160</f>
        <v>0</v>
      </c>
    </row>
    <row r="161" spans="1:11">
      <c r="A161" s="84" t="s">
        <v>69</v>
      </c>
      <c r="B161" s="65" t="s">
        <v>159</v>
      </c>
      <c r="C161" s="1051">
        <f>+'1.1.mell._ÖNK_Mérleg2018'!C161+'1.2.mell._HKÖH_Mérleg2018'!C161+'1.3.mell._HVÓBKI_Mérleg2018'!C161+'1.4.mell._HKK_Mérleg2018'!C161+'1.5._mell._MŐSZ_Mérleg2018'!C161+'1.6._mell._HVGYKCSSZ_Mérleg2018'!C161</f>
        <v>636396</v>
      </c>
      <c r="D161" s="10">
        <f>+'1.1.mell._ÖNK_Mérleg2018'!D161+'1.2.mell._HKÖH_Mérleg2018'!D161+'1.3.mell._HVÓBKI_Mérleg2018'!D161+'1.4.mell._HKK_Mérleg2018'!D161+'1.5._mell._MŐSZ_Mérleg2018'!D161+'1.6._mell._HVGYKCSSZ_Mérleg2018'!D161</f>
        <v>178158</v>
      </c>
      <c r="E161" s="10">
        <f>+'1.1.mell._ÖNK_Mérleg2018'!E161+'1.2.mell._HKÖH_Mérleg2018'!E161+'1.3.mell._HVÓBKI_Mérleg2018'!E161+'1.4.mell._HKK_Mérleg2018'!E161+'1.5._mell._MŐSZ_Mérleg2018'!E161+'1.6._mell._HVGYKCSSZ_Mérleg2018'!E161</f>
        <v>178158</v>
      </c>
      <c r="F161" s="1410">
        <f t="shared" si="22"/>
        <v>1</v>
      </c>
      <c r="G161" s="34">
        <f>+'1.1.mell._ÖNK_Mérleg2018'!G161+'1.2.mell._HKÖH_Mérleg2018'!G161+'1.3.mell._HVÓBKI_Mérleg2018'!G161+'1.4.mell._HKK_Mérleg2018'!G161+'1.5._mell._MŐSZ_Mérleg2018'!G161+'1.6._mell._HVGYKCSSZ_Mérleg2018'!G161</f>
        <v>178158</v>
      </c>
      <c r="H161" s="10">
        <f>+'1.1.mell._ÖNK_Mérleg2018'!H161+'1.2.mell._HKÖH_Mérleg2018'!H161+'1.3.mell._HVÓBKI_Mérleg2018'!H161+'1.4.mell._HKK_Mérleg2018'!H161+'1.5._mell._MŐSZ_Mérleg2018'!H161+'1.6._mell._HVGYKCSSZ_Mérleg2018'!H161</f>
        <v>0</v>
      </c>
      <c r="I161" s="35">
        <f>+'1.1.mell._ÖNK_Mérleg2018'!I161+'1.2.mell._HKÖH_Mérleg2018'!I161+'1.3.mell._HVÓBKI_Mérleg2018'!I161+'1.4.mell._HKK_Mérleg2018'!I161+'1.5._mell._MŐSZ_Mérleg2018'!I161+'1.6._mell._HVGYKCSSZ_Mérleg2018'!I161</f>
        <v>0</v>
      </c>
      <c r="K161" s="4">
        <f>+E161-G161-H161-I161</f>
        <v>0</v>
      </c>
    </row>
    <row r="162" spans="1:11">
      <c r="A162" s="85" t="s">
        <v>70</v>
      </c>
      <c r="B162" s="67" t="s">
        <v>160</v>
      </c>
      <c r="C162" s="501">
        <f>+'1.1.mell._ÖNK_Mérleg2018'!C162+'1.2.mell._HKÖH_Mérleg2018'!C162+'1.3.mell._HVÓBKI_Mérleg2018'!C162+'1.4.mell._HKK_Mérleg2018'!C162+'1.5._mell._MŐSZ_Mérleg2018'!C162+'1.6._mell._HVGYKCSSZ_Mérleg2018'!C162</f>
        <v>0</v>
      </c>
      <c r="D162" s="11">
        <f>+'1.1.mell._ÖNK_Mérleg2018'!D162+'1.2.mell._HKÖH_Mérleg2018'!D162+'1.3.mell._HVÓBKI_Mérleg2018'!D162+'1.4.mell._HKK_Mérleg2018'!D162+'1.5._mell._MŐSZ_Mérleg2018'!D162+'1.6._mell._HVGYKCSSZ_Mérleg2018'!D162</f>
        <v>0</v>
      </c>
      <c r="E162" s="11">
        <f>+'1.1.mell._ÖNK_Mérleg2018'!E162+'1.2.mell._HKÖH_Mérleg2018'!E162+'1.3.mell._HVÓBKI_Mérleg2018'!E162+'1.4.mell._HKK_Mérleg2018'!E162+'1.5._mell._MŐSZ_Mérleg2018'!E162+'1.6._mell._HVGYKCSSZ_Mérleg2018'!E162</f>
        <v>0</v>
      </c>
      <c r="F162" s="1412" t="str">
        <f t="shared" si="22"/>
        <v>-</v>
      </c>
      <c r="G162" s="20">
        <f>+'1.1.mell._ÖNK_Mérleg2018'!G162+'1.2.mell._HKÖH_Mérleg2018'!G162+'1.3.mell._HVÓBKI_Mérleg2018'!G162+'1.4.mell._HKK_Mérleg2018'!G162+'1.5._mell._MŐSZ_Mérleg2018'!G162+'1.6._mell._HVGYKCSSZ_Mérleg2018'!G162</f>
        <v>0</v>
      </c>
      <c r="H162" s="11">
        <f>+'1.1.mell._ÖNK_Mérleg2018'!H162+'1.2.mell._HKÖH_Mérleg2018'!H162+'1.3.mell._HVÓBKI_Mérleg2018'!H162+'1.4.mell._HKK_Mérleg2018'!H162+'1.5._mell._MŐSZ_Mérleg2018'!H162+'1.6._mell._HVGYKCSSZ_Mérleg2018'!H162</f>
        <v>0</v>
      </c>
      <c r="I162" s="16">
        <f>+'1.1.mell._ÖNK_Mérleg2018'!I162+'1.2.mell._HKÖH_Mérleg2018'!I162+'1.3.mell._HVÓBKI_Mérleg2018'!I162+'1.4.mell._HKK_Mérleg2018'!I162+'1.5._mell._MŐSZ_Mérleg2018'!I162+'1.6._mell._HVGYKCSSZ_Mérleg2018'!I162</f>
        <v>0</v>
      </c>
      <c r="K162" s="4">
        <f>+E162-G162-H162-I162</f>
        <v>0</v>
      </c>
    </row>
    <row r="163" spans="1:11">
      <c r="A163" s="85" t="s">
        <v>71</v>
      </c>
      <c r="B163" s="67" t="s">
        <v>161</v>
      </c>
      <c r="C163" s="501">
        <f>+'1.1.mell._ÖNK_Mérleg2018'!C163+'1.2.mell._HKÖH_Mérleg2018'!C163+'1.3.mell._HVÓBKI_Mérleg2018'!C163+'1.4.mell._HKK_Mérleg2018'!C163+'1.5._mell._MŐSZ_Mérleg2018'!C163+'1.6._mell._HVGYKCSSZ_Mérleg2018'!C163</f>
        <v>0</v>
      </c>
      <c r="D163" s="11">
        <f>+'1.1.mell._ÖNK_Mérleg2018'!D163+'1.2.mell._HKÖH_Mérleg2018'!D163+'1.3.mell._HVÓBKI_Mérleg2018'!D163+'1.4.mell._HKK_Mérleg2018'!D163+'1.5._mell._MŐSZ_Mérleg2018'!D163+'1.6._mell._HVGYKCSSZ_Mérleg2018'!D163</f>
        <v>2109</v>
      </c>
      <c r="E163" s="11">
        <f>+'1.1.mell._ÖNK_Mérleg2018'!E163+'1.2.mell._HKÖH_Mérleg2018'!E163+'1.3.mell._HVÓBKI_Mérleg2018'!E163+'1.4.mell._HKK_Mérleg2018'!E163+'1.5._mell._MŐSZ_Mérleg2018'!E163+'1.6._mell._HVGYKCSSZ_Mérleg2018'!E163</f>
        <v>2109</v>
      </c>
      <c r="F163" s="1412">
        <f t="shared" si="22"/>
        <v>1</v>
      </c>
      <c r="G163" s="20">
        <f>+'1.1.mell._ÖNK_Mérleg2018'!G163+'1.2.mell._HKÖH_Mérleg2018'!G163+'1.3.mell._HVÓBKI_Mérleg2018'!G163+'1.4.mell._HKK_Mérleg2018'!G163+'1.5._mell._MŐSZ_Mérleg2018'!G163+'1.6._mell._HVGYKCSSZ_Mérleg2018'!G163</f>
        <v>2109</v>
      </c>
      <c r="H163" s="11">
        <f>+'1.1.mell._ÖNK_Mérleg2018'!H163+'1.2.mell._HKÖH_Mérleg2018'!H163+'1.3.mell._HVÓBKI_Mérleg2018'!H163+'1.4.mell._HKK_Mérleg2018'!H163+'1.5._mell._MŐSZ_Mérleg2018'!H163+'1.6._mell._HVGYKCSSZ_Mérleg2018'!H163</f>
        <v>0</v>
      </c>
      <c r="I163" s="16">
        <f>+'1.1.mell._ÖNK_Mérleg2018'!I163+'1.2.mell._HKÖH_Mérleg2018'!I163+'1.3.mell._HVÓBKI_Mérleg2018'!I163+'1.4.mell._HKK_Mérleg2018'!I163+'1.5._mell._MŐSZ_Mérleg2018'!I163+'1.6._mell._HVGYKCSSZ_Mérleg2018'!I163</f>
        <v>0</v>
      </c>
      <c r="K163" s="4">
        <f>+E163-G163-H163-I163</f>
        <v>0</v>
      </c>
    </row>
    <row r="164" spans="1:11" ht="12.75" thickBot="1">
      <c r="A164" s="78" t="s">
        <v>72</v>
      </c>
      <c r="B164" s="68" t="s">
        <v>162</v>
      </c>
      <c r="C164" s="500">
        <f>+'1.1.mell._ÖNK_Mérleg2018'!C164+'1.2.mell._HKÖH_Mérleg2018'!C164+'1.3.mell._HVÓBKI_Mérleg2018'!C164+'1.4.mell._HKK_Mérleg2018'!C164+'1.5._mell._MŐSZ_Mérleg2018'!C164+'1.6._mell._HVGYKCSSZ_Mérleg2018'!C164</f>
        <v>171828</v>
      </c>
      <c r="D164" s="22">
        <f>+'1.1.mell._ÖNK_Mérleg2018'!D164+'1.2.mell._HKÖH_Mérleg2018'!D164+'1.3.mell._HVÓBKI_Mérleg2018'!D164+'1.4.mell._HKK_Mérleg2018'!D164+'1.5._mell._MŐSZ_Mérleg2018'!D164+'1.6._mell._HVGYKCSSZ_Mérleg2018'!D164</f>
        <v>48533</v>
      </c>
      <c r="E164" s="22">
        <f>+'1.1.mell._ÖNK_Mérleg2018'!E164+'1.2.mell._HKÖH_Mérleg2018'!E164+'1.3.mell._HVÓBKI_Mérleg2018'!E164+'1.4.mell._HKK_Mérleg2018'!E164+'1.5._mell._MŐSZ_Mérleg2018'!E164+'1.6._mell._HVGYKCSSZ_Mérleg2018'!E164</f>
        <v>48533</v>
      </c>
      <c r="F164" s="1411">
        <f t="shared" si="22"/>
        <v>1</v>
      </c>
      <c r="G164" s="21">
        <f>+'1.1.mell._ÖNK_Mérleg2018'!G164+'1.2.mell._HKÖH_Mérleg2018'!G164+'1.3.mell._HVÓBKI_Mérleg2018'!G164+'1.4.mell._HKK_Mérleg2018'!G164+'1.5._mell._MŐSZ_Mérleg2018'!G164+'1.6._mell._HVGYKCSSZ_Mérleg2018'!G164</f>
        <v>48533</v>
      </c>
      <c r="H164" s="22">
        <f>+'1.1.mell._ÖNK_Mérleg2018'!H164+'1.2.mell._HKÖH_Mérleg2018'!H164+'1.3.mell._HVÓBKI_Mérleg2018'!H164+'1.4.mell._HKK_Mérleg2018'!H164+'1.5._mell._MŐSZ_Mérleg2018'!H164+'1.6._mell._HVGYKCSSZ_Mérleg2018'!H164</f>
        <v>0</v>
      </c>
      <c r="I164" s="23">
        <f>+'1.1.mell._ÖNK_Mérleg2018'!I164+'1.2.mell._HKÖH_Mérleg2018'!I164+'1.3.mell._HVÓBKI_Mérleg2018'!I164+'1.4.mell._HKK_Mérleg2018'!I164+'1.5._mell._MŐSZ_Mérleg2018'!I164+'1.6._mell._HVGYKCSSZ_Mérleg2018'!I164</f>
        <v>0</v>
      </c>
      <c r="K164" s="4">
        <f>+E164-G164-H164-I164</f>
        <v>0</v>
      </c>
    </row>
    <row r="165" spans="1:11" s="3" customFormat="1" ht="12.75" thickBot="1">
      <c r="A165" s="83" t="s">
        <v>11</v>
      </c>
      <c r="B165" s="64" t="s">
        <v>996</v>
      </c>
      <c r="C165" s="1049">
        <f t="shared" ref="C165:F165" si="31">+C166+C167+C168+C169+C171+C172+C173+C174+C175</f>
        <v>0</v>
      </c>
      <c r="D165" s="28">
        <f t="shared" si="31"/>
        <v>1200</v>
      </c>
      <c r="E165" s="28">
        <f t="shared" si="31"/>
        <v>1200</v>
      </c>
      <c r="F165" s="1408">
        <f t="shared" si="22"/>
        <v>1</v>
      </c>
      <c r="G165" s="27">
        <f>+G166+G167+G168+G169+G171+G172+G173+G174+G175</f>
        <v>1200</v>
      </c>
      <c r="H165" s="28">
        <f>+H166+H167+H168+H169+H171+H172+H173+H174+H175</f>
        <v>0</v>
      </c>
      <c r="I165" s="29">
        <f>+I166+I167+I168+I169+I171+I172+I173+I174+I175</f>
        <v>0</v>
      </c>
      <c r="J165" s="712">
        <f>+E165/$E$208</f>
        <v>4.5723918219724001E-4</v>
      </c>
      <c r="K165" s="3">
        <f>+E165-G165-H165-I165</f>
        <v>0</v>
      </c>
    </row>
    <row r="166" spans="1:11">
      <c r="A166" s="84" t="s">
        <v>271</v>
      </c>
      <c r="B166" s="65" t="s">
        <v>163</v>
      </c>
      <c r="C166" s="1051">
        <f>+'1.1.mell._ÖNK_Mérleg2018'!C166+'1.2.mell._HKÖH_Mérleg2018'!C166+'1.3.mell._HVÓBKI_Mérleg2018'!C166+'1.4.mell._HKK_Mérleg2018'!C166+'1.5._mell._MŐSZ_Mérleg2018'!C166+'1.6._mell._HVGYKCSSZ_Mérleg2018'!C166</f>
        <v>0</v>
      </c>
      <c r="D166" s="10">
        <f>+'1.1.mell._ÖNK_Mérleg2018'!D166+'1.2.mell._HKÖH_Mérleg2018'!D166+'1.3.mell._HVÓBKI_Mérleg2018'!D166+'1.4.mell._HKK_Mérleg2018'!D166+'1.5._mell._MŐSZ_Mérleg2018'!D166+'1.6._mell._HVGYKCSSZ_Mérleg2018'!D166</f>
        <v>0</v>
      </c>
      <c r="E166" s="10">
        <f>+'1.1.mell._ÖNK_Mérleg2018'!E166+'1.2.mell._HKÖH_Mérleg2018'!E166+'1.3.mell._HVÓBKI_Mérleg2018'!E166+'1.4.mell._HKK_Mérleg2018'!E166+'1.5._mell._MŐSZ_Mérleg2018'!E166+'1.6._mell._HVGYKCSSZ_Mérleg2018'!E166</f>
        <v>0</v>
      </c>
      <c r="F166" s="1410" t="str">
        <f t="shared" si="22"/>
        <v>-</v>
      </c>
      <c r="G166" s="34">
        <f>+'1.1.mell._ÖNK_Mérleg2018'!G166+'1.2.mell._HKÖH_Mérleg2018'!G166+'1.3.mell._HVÓBKI_Mérleg2018'!G166+'1.4.mell._HKK_Mérleg2018'!G166+'1.5._mell._MŐSZ_Mérleg2018'!G166+'1.6._mell._HVGYKCSSZ_Mérleg2018'!G166</f>
        <v>0</v>
      </c>
      <c r="H166" s="10">
        <f>+'1.1.mell._ÖNK_Mérleg2018'!H166+'1.2.mell._HKÖH_Mérleg2018'!H166+'1.3.mell._HVÓBKI_Mérleg2018'!H166+'1.4.mell._HKK_Mérleg2018'!H166+'1.5._mell._MŐSZ_Mérleg2018'!H166+'1.6._mell._HVGYKCSSZ_Mérleg2018'!H166</f>
        <v>0</v>
      </c>
      <c r="I166" s="35">
        <f>+'1.1.mell._ÖNK_Mérleg2018'!I166+'1.2.mell._HKÖH_Mérleg2018'!I166+'1.3.mell._HVÓBKI_Mérleg2018'!I166+'1.4.mell._HKK_Mérleg2018'!I166+'1.5._mell._MŐSZ_Mérleg2018'!I166+'1.6._mell._HVGYKCSSZ_Mérleg2018'!I166</f>
        <v>0</v>
      </c>
      <c r="K166" s="4">
        <f>+E166-G166-H166-I166</f>
        <v>0</v>
      </c>
    </row>
    <row r="167" spans="1:11">
      <c r="A167" s="85" t="s">
        <v>272</v>
      </c>
      <c r="B167" s="67" t="s">
        <v>164</v>
      </c>
      <c r="C167" s="501">
        <f>+'1.1.mell._ÖNK_Mérleg2018'!C167+'1.2.mell._HKÖH_Mérleg2018'!C167+'1.3.mell._HVÓBKI_Mérleg2018'!C167+'1.4.mell._HKK_Mérleg2018'!C167+'1.5._mell._MŐSZ_Mérleg2018'!C167+'1.6._mell._HVGYKCSSZ_Mérleg2018'!C167</f>
        <v>0</v>
      </c>
      <c r="D167" s="11">
        <f>+'1.1.mell._ÖNK_Mérleg2018'!D167+'1.2.mell._HKÖH_Mérleg2018'!D167+'1.3.mell._HVÓBKI_Mérleg2018'!D167+'1.4.mell._HKK_Mérleg2018'!D167+'1.5._mell._MŐSZ_Mérleg2018'!D167+'1.6._mell._HVGYKCSSZ_Mérleg2018'!D167</f>
        <v>0</v>
      </c>
      <c r="E167" s="11">
        <f>+'1.1.mell._ÖNK_Mérleg2018'!E167+'1.2.mell._HKÖH_Mérleg2018'!E167+'1.3.mell._HVÓBKI_Mérleg2018'!E167+'1.4.mell._HKK_Mérleg2018'!E167+'1.5._mell._MŐSZ_Mérleg2018'!E167+'1.6._mell._HVGYKCSSZ_Mérleg2018'!E167</f>
        <v>0</v>
      </c>
      <c r="F167" s="1412" t="str">
        <f t="shared" si="22"/>
        <v>-</v>
      </c>
      <c r="G167" s="20">
        <f>+'1.1.mell._ÖNK_Mérleg2018'!G167+'1.2.mell._HKÖH_Mérleg2018'!G167+'1.3.mell._HVÓBKI_Mérleg2018'!G167+'1.4.mell._HKK_Mérleg2018'!G167+'1.5._mell._MŐSZ_Mérleg2018'!G167+'1.6._mell._HVGYKCSSZ_Mérleg2018'!G167</f>
        <v>0</v>
      </c>
      <c r="H167" s="11">
        <f>+'1.1.mell._ÖNK_Mérleg2018'!H167+'1.2.mell._HKÖH_Mérleg2018'!H167+'1.3.mell._HVÓBKI_Mérleg2018'!H167+'1.4.mell._HKK_Mérleg2018'!H167+'1.5._mell._MŐSZ_Mérleg2018'!H167+'1.6._mell._HVGYKCSSZ_Mérleg2018'!H167</f>
        <v>0</v>
      </c>
      <c r="I167" s="16">
        <f>+'1.1.mell._ÖNK_Mérleg2018'!I167+'1.2.mell._HKÖH_Mérleg2018'!I167+'1.3.mell._HVÓBKI_Mérleg2018'!I167+'1.4.mell._HKK_Mérleg2018'!I167+'1.5._mell._MŐSZ_Mérleg2018'!I167+'1.6._mell._HVGYKCSSZ_Mérleg2018'!I167</f>
        <v>0</v>
      </c>
      <c r="K167" s="4">
        <f>+E167-G167-H167-I167</f>
        <v>0</v>
      </c>
    </row>
    <row r="168" spans="1:11">
      <c r="A168" s="85" t="s">
        <v>273</v>
      </c>
      <c r="B168" s="67" t="s">
        <v>165</v>
      </c>
      <c r="C168" s="501">
        <f>+'1.1.mell._ÖNK_Mérleg2018'!C168+'1.2.mell._HKÖH_Mérleg2018'!C168+'1.3.mell._HVÓBKI_Mérleg2018'!C168+'1.4.mell._HKK_Mérleg2018'!C168+'1.5._mell._MŐSZ_Mérleg2018'!C168+'1.6._mell._HVGYKCSSZ_Mérleg2018'!C168</f>
        <v>0</v>
      </c>
      <c r="D168" s="11">
        <f>+'1.1.mell._ÖNK_Mérleg2018'!D168+'1.2.mell._HKÖH_Mérleg2018'!D168+'1.3.mell._HVÓBKI_Mérleg2018'!D168+'1.4.mell._HKK_Mérleg2018'!D168+'1.5._mell._MŐSZ_Mérleg2018'!D168+'1.6._mell._HVGYKCSSZ_Mérleg2018'!D168</f>
        <v>0</v>
      </c>
      <c r="E168" s="11">
        <f>+'1.1.mell._ÖNK_Mérleg2018'!E168+'1.2.mell._HKÖH_Mérleg2018'!E168+'1.3.mell._HVÓBKI_Mérleg2018'!E168+'1.4.mell._HKK_Mérleg2018'!E168+'1.5._mell._MŐSZ_Mérleg2018'!E168+'1.6._mell._HVGYKCSSZ_Mérleg2018'!E168</f>
        <v>0</v>
      </c>
      <c r="F168" s="1412" t="str">
        <f t="shared" si="22"/>
        <v>-</v>
      </c>
      <c r="G168" s="20">
        <f>+'1.1.mell._ÖNK_Mérleg2018'!G168+'1.2.mell._HKÖH_Mérleg2018'!G168+'1.3.mell._HVÓBKI_Mérleg2018'!G168+'1.4.mell._HKK_Mérleg2018'!G168+'1.5._mell._MŐSZ_Mérleg2018'!G168+'1.6._mell._HVGYKCSSZ_Mérleg2018'!G168</f>
        <v>0</v>
      </c>
      <c r="H168" s="11">
        <f>+'1.1.mell._ÖNK_Mérleg2018'!H168+'1.2.mell._HKÖH_Mérleg2018'!H168+'1.3.mell._HVÓBKI_Mérleg2018'!H168+'1.4.mell._HKK_Mérleg2018'!H168+'1.5._mell._MŐSZ_Mérleg2018'!H168+'1.6._mell._HVGYKCSSZ_Mérleg2018'!H168</f>
        <v>0</v>
      </c>
      <c r="I168" s="16">
        <f>+'1.1.mell._ÖNK_Mérleg2018'!I168+'1.2.mell._HKÖH_Mérleg2018'!I168+'1.3.mell._HVÓBKI_Mérleg2018'!I168+'1.4.mell._HKK_Mérleg2018'!I168+'1.5._mell._MŐSZ_Mérleg2018'!I168+'1.6._mell._HVGYKCSSZ_Mérleg2018'!I168</f>
        <v>0</v>
      </c>
      <c r="K168" s="4">
        <f>+E168-G168-H168-I168</f>
        <v>0</v>
      </c>
    </row>
    <row r="169" spans="1:11">
      <c r="A169" s="85" t="s">
        <v>274</v>
      </c>
      <c r="B169" s="67" t="s">
        <v>166</v>
      </c>
      <c r="C169" s="501">
        <f>+'1.1.mell._ÖNK_Mérleg2018'!C169+'1.2.mell._HKÖH_Mérleg2018'!C169+'1.3.mell._HVÓBKI_Mérleg2018'!C169+'1.4.mell._HKK_Mérleg2018'!C169+'1.5._mell._MŐSZ_Mérleg2018'!C169+'1.6._mell._HVGYKCSSZ_Mérleg2018'!C169</f>
        <v>0</v>
      </c>
      <c r="D169" s="11">
        <f>+'1.1.mell._ÖNK_Mérleg2018'!D169+'1.2.mell._HKÖH_Mérleg2018'!D169+'1.3.mell._HVÓBKI_Mérleg2018'!D169+'1.4.mell._HKK_Mérleg2018'!D169+'1.5._mell._MŐSZ_Mérleg2018'!D169+'1.6._mell._HVGYKCSSZ_Mérleg2018'!D169</f>
        <v>1200</v>
      </c>
      <c r="E169" s="11">
        <f>+'1.1.mell._ÖNK_Mérleg2018'!E169+'1.2.mell._HKÖH_Mérleg2018'!E169+'1.3.mell._HVÓBKI_Mérleg2018'!E169+'1.4.mell._HKK_Mérleg2018'!E169+'1.5._mell._MŐSZ_Mérleg2018'!E169+'1.6._mell._HVGYKCSSZ_Mérleg2018'!E169</f>
        <v>1200</v>
      </c>
      <c r="F169" s="1412">
        <f t="shared" si="22"/>
        <v>1</v>
      </c>
      <c r="G169" s="20">
        <f>+'1.1.mell._ÖNK_Mérleg2018'!G169+'1.2.mell._HKÖH_Mérleg2018'!G169+'1.3.mell._HVÓBKI_Mérleg2018'!G169+'1.4.mell._HKK_Mérleg2018'!G169+'1.5._mell._MŐSZ_Mérleg2018'!G169+'1.6._mell._HVGYKCSSZ_Mérleg2018'!G169</f>
        <v>1200</v>
      </c>
      <c r="H169" s="11">
        <f>+'1.1.mell._ÖNK_Mérleg2018'!H169+'1.2.mell._HKÖH_Mérleg2018'!H169+'1.3.mell._HVÓBKI_Mérleg2018'!H169+'1.4.mell._HKK_Mérleg2018'!H169+'1.5._mell._MŐSZ_Mérleg2018'!H169+'1.6._mell._HVGYKCSSZ_Mérleg2018'!H169</f>
        <v>0</v>
      </c>
      <c r="I169" s="16">
        <f>+'1.1.mell._ÖNK_Mérleg2018'!I169+'1.2.mell._HKÖH_Mérleg2018'!I169+'1.3.mell._HVÓBKI_Mérleg2018'!I169+'1.4.mell._HKK_Mérleg2018'!I169+'1.5._mell._MŐSZ_Mérleg2018'!I169+'1.6._mell._HVGYKCSSZ_Mérleg2018'!I169</f>
        <v>0</v>
      </c>
      <c r="K169" s="4">
        <f>+E169-G169-H169-I169</f>
        <v>0</v>
      </c>
    </row>
    <row r="170" spans="1:11" s="13" customFormat="1">
      <c r="A170" s="89" t="s">
        <v>339</v>
      </c>
      <c r="B170" s="818" t="s">
        <v>340</v>
      </c>
      <c r="C170" s="1050">
        <f>+'1.1.mell._ÖNK_Mérleg2018'!C170+'1.2.mell._HKÖH_Mérleg2018'!C170+'1.3.mell._HVÓBKI_Mérleg2018'!C170+'1.4.mell._HKK_Mérleg2018'!C170+'1.5._mell._MŐSZ_Mérleg2018'!C170+'1.6._mell._HVGYKCSSZ_Mérleg2018'!C170</f>
        <v>0</v>
      </c>
      <c r="D170" s="43">
        <f>+'1.1.mell._ÖNK_Mérleg2018'!D170+'1.2.mell._HKÖH_Mérleg2018'!D170+'1.3.mell._HVÓBKI_Mérleg2018'!D170+'1.4.mell._HKK_Mérleg2018'!D170+'1.5._mell._MŐSZ_Mérleg2018'!D170+'1.6._mell._HVGYKCSSZ_Mérleg2018'!D170</f>
        <v>0</v>
      </c>
      <c r="E170" s="43">
        <f>+'1.1.mell._ÖNK_Mérleg2018'!E170+'1.2.mell._HKÖH_Mérleg2018'!E170+'1.3.mell._HVÓBKI_Mérleg2018'!E170+'1.4.mell._HKK_Mérleg2018'!E170+'1.5._mell._MŐSZ_Mérleg2018'!E170+'1.6._mell._HVGYKCSSZ_Mérleg2018'!E170</f>
        <v>0</v>
      </c>
      <c r="F170" s="1411" t="str">
        <f t="shared" si="22"/>
        <v>-</v>
      </c>
      <c r="G170" s="45">
        <f>+'1.1.mell._ÖNK_Mérleg2018'!G170+'1.2.mell._HKÖH_Mérleg2018'!G170+'1.3.mell._HVÓBKI_Mérleg2018'!G170+'1.4.mell._HKK_Mérleg2018'!G170+'1.5._mell._MŐSZ_Mérleg2018'!G170+'1.6._mell._HVGYKCSSZ_Mérleg2018'!G170</f>
        <v>0</v>
      </c>
      <c r="H170" s="43">
        <f>+'1.1.mell._ÖNK_Mérleg2018'!H170+'1.2.mell._HKÖH_Mérleg2018'!H170+'1.3.mell._HVÓBKI_Mérleg2018'!H170+'1.4.mell._HKK_Mérleg2018'!H170+'1.5._mell._MŐSZ_Mérleg2018'!H170+'1.6._mell._HVGYKCSSZ_Mérleg2018'!H170</f>
        <v>0</v>
      </c>
      <c r="I170" s="44">
        <f>+'1.1.mell._ÖNK_Mérleg2018'!I170+'1.2.mell._HKÖH_Mérleg2018'!I170+'1.3.mell._HVÓBKI_Mérleg2018'!I170+'1.4.mell._HKK_Mérleg2018'!I170+'1.5._mell._MŐSZ_Mérleg2018'!I170+'1.6._mell._HVGYKCSSZ_Mérleg2018'!I170</f>
        <v>0</v>
      </c>
      <c r="K170" s="13">
        <f>+E170-G170-H170-I170</f>
        <v>0</v>
      </c>
    </row>
    <row r="171" spans="1:11">
      <c r="A171" s="85" t="s">
        <v>275</v>
      </c>
      <c r="B171" s="67" t="s">
        <v>167</v>
      </c>
      <c r="C171" s="501">
        <f>+'1.1.mell._ÖNK_Mérleg2018'!C171+'1.2.mell._HKÖH_Mérleg2018'!C171+'1.3.mell._HVÓBKI_Mérleg2018'!C171+'1.4.mell._HKK_Mérleg2018'!C171+'1.5._mell._MŐSZ_Mérleg2018'!C171+'1.6._mell._HVGYKCSSZ_Mérleg2018'!C171</f>
        <v>0</v>
      </c>
      <c r="D171" s="11">
        <f>+'1.1.mell._ÖNK_Mérleg2018'!D171+'1.2.mell._HKÖH_Mérleg2018'!D171+'1.3.mell._HVÓBKI_Mérleg2018'!D171+'1.4.mell._HKK_Mérleg2018'!D171+'1.5._mell._MŐSZ_Mérleg2018'!D171+'1.6._mell._HVGYKCSSZ_Mérleg2018'!D171</f>
        <v>0</v>
      </c>
      <c r="E171" s="11">
        <f>+'1.1.mell._ÖNK_Mérleg2018'!E171+'1.2.mell._HKÖH_Mérleg2018'!E171+'1.3.mell._HVÓBKI_Mérleg2018'!E171+'1.4.mell._HKK_Mérleg2018'!E171+'1.5._mell._MŐSZ_Mérleg2018'!E171+'1.6._mell._HVGYKCSSZ_Mérleg2018'!E171</f>
        <v>0</v>
      </c>
      <c r="F171" s="1412" t="str">
        <f t="shared" si="22"/>
        <v>-</v>
      </c>
      <c r="G171" s="20">
        <f>+'1.1.mell._ÖNK_Mérleg2018'!G171+'1.2.mell._HKÖH_Mérleg2018'!G171+'1.3.mell._HVÓBKI_Mérleg2018'!G171+'1.4.mell._HKK_Mérleg2018'!G171+'1.5._mell._MŐSZ_Mérleg2018'!G171+'1.6._mell._HVGYKCSSZ_Mérleg2018'!G171</f>
        <v>0</v>
      </c>
      <c r="H171" s="11">
        <f>+'1.1.mell._ÖNK_Mérleg2018'!H171+'1.2.mell._HKÖH_Mérleg2018'!H171+'1.3.mell._HVÓBKI_Mérleg2018'!H171+'1.4.mell._HKK_Mérleg2018'!H171+'1.5._mell._MŐSZ_Mérleg2018'!H171+'1.6._mell._HVGYKCSSZ_Mérleg2018'!H171</f>
        <v>0</v>
      </c>
      <c r="I171" s="16">
        <f>+'1.1.mell._ÖNK_Mérleg2018'!I171+'1.2.mell._HKÖH_Mérleg2018'!I171+'1.3.mell._HVÓBKI_Mérleg2018'!I171+'1.4.mell._HKK_Mérleg2018'!I171+'1.5._mell._MŐSZ_Mérleg2018'!I171+'1.6._mell._HVGYKCSSZ_Mérleg2018'!I171</f>
        <v>0</v>
      </c>
      <c r="K171" s="4">
        <f>+E171-G171-H171-I171</f>
        <v>0</v>
      </c>
    </row>
    <row r="172" spans="1:11">
      <c r="A172" s="85" t="s">
        <v>276</v>
      </c>
      <c r="B172" s="67" t="s">
        <v>168</v>
      </c>
      <c r="C172" s="501">
        <f>+'1.1.mell._ÖNK_Mérleg2018'!C172+'1.2.mell._HKÖH_Mérleg2018'!C172+'1.3.mell._HVÓBKI_Mérleg2018'!C172+'1.4.mell._HKK_Mérleg2018'!C172+'1.5._mell._MŐSZ_Mérleg2018'!C172+'1.6._mell._HVGYKCSSZ_Mérleg2018'!C172</f>
        <v>0</v>
      </c>
      <c r="D172" s="11">
        <f>+'1.1.mell._ÖNK_Mérleg2018'!D172+'1.2.mell._HKÖH_Mérleg2018'!D172+'1.3.mell._HVÓBKI_Mérleg2018'!D172+'1.4.mell._HKK_Mérleg2018'!D172+'1.5._mell._MŐSZ_Mérleg2018'!D172+'1.6._mell._HVGYKCSSZ_Mérleg2018'!D172</f>
        <v>0</v>
      </c>
      <c r="E172" s="11">
        <f>+'1.1.mell._ÖNK_Mérleg2018'!E172+'1.2.mell._HKÖH_Mérleg2018'!E172+'1.3.mell._HVÓBKI_Mérleg2018'!E172+'1.4.mell._HKK_Mérleg2018'!E172+'1.5._mell._MŐSZ_Mérleg2018'!E172+'1.6._mell._HVGYKCSSZ_Mérleg2018'!E172</f>
        <v>0</v>
      </c>
      <c r="F172" s="1412" t="str">
        <f t="shared" si="22"/>
        <v>-</v>
      </c>
      <c r="G172" s="20">
        <f>+'1.1.mell._ÖNK_Mérleg2018'!G172+'1.2.mell._HKÖH_Mérleg2018'!G172+'1.3.mell._HVÓBKI_Mérleg2018'!G172+'1.4.mell._HKK_Mérleg2018'!G172+'1.5._mell._MŐSZ_Mérleg2018'!G172+'1.6._mell._HVGYKCSSZ_Mérleg2018'!G172</f>
        <v>0</v>
      </c>
      <c r="H172" s="11">
        <f>+'1.1.mell._ÖNK_Mérleg2018'!H172+'1.2.mell._HKÖH_Mérleg2018'!H172+'1.3.mell._HVÓBKI_Mérleg2018'!H172+'1.4.mell._HKK_Mérleg2018'!H172+'1.5._mell._MŐSZ_Mérleg2018'!H172+'1.6._mell._HVGYKCSSZ_Mérleg2018'!H172</f>
        <v>0</v>
      </c>
      <c r="I172" s="16">
        <f>+'1.1.mell._ÖNK_Mérleg2018'!I172+'1.2.mell._HKÖH_Mérleg2018'!I172+'1.3.mell._HVÓBKI_Mérleg2018'!I172+'1.4.mell._HKK_Mérleg2018'!I172+'1.5._mell._MŐSZ_Mérleg2018'!I172+'1.6._mell._HVGYKCSSZ_Mérleg2018'!I172</f>
        <v>0</v>
      </c>
      <c r="K172" s="4">
        <f>+E172-G172-H172-I172</f>
        <v>0</v>
      </c>
    </row>
    <row r="173" spans="1:11">
      <c r="A173" s="85" t="s">
        <v>277</v>
      </c>
      <c r="B173" s="67" t="s">
        <v>169</v>
      </c>
      <c r="C173" s="501">
        <f>+'1.1.mell._ÖNK_Mérleg2018'!C173+'1.2.mell._HKÖH_Mérleg2018'!C173+'1.3.mell._HVÓBKI_Mérleg2018'!C173+'1.4.mell._HKK_Mérleg2018'!C173+'1.5._mell._MŐSZ_Mérleg2018'!C173+'1.6._mell._HVGYKCSSZ_Mérleg2018'!C173</f>
        <v>0</v>
      </c>
      <c r="D173" s="11">
        <f>+'1.1.mell._ÖNK_Mérleg2018'!D173+'1.2.mell._HKÖH_Mérleg2018'!D173+'1.3.mell._HVÓBKI_Mérleg2018'!D173+'1.4.mell._HKK_Mérleg2018'!D173+'1.5._mell._MŐSZ_Mérleg2018'!D173+'1.6._mell._HVGYKCSSZ_Mérleg2018'!D173</f>
        <v>0</v>
      </c>
      <c r="E173" s="11">
        <f>+'1.1.mell._ÖNK_Mérleg2018'!E173+'1.2.mell._HKÖH_Mérleg2018'!E173+'1.3.mell._HVÓBKI_Mérleg2018'!E173+'1.4.mell._HKK_Mérleg2018'!E173+'1.5._mell._MŐSZ_Mérleg2018'!E173+'1.6._mell._HVGYKCSSZ_Mérleg2018'!E173</f>
        <v>0</v>
      </c>
      <c r="F173" s="1412" t="str">
        <f t="shared" ref="F173:F208" si="32">IF(ISERROR(E173/D173),"-",E173/D173)</f>
        <v>-</v>
      </c>
      <c r="G173" s="20">
        <f>+'1.1.mell._ÖNK_Mérleg2018'!G173+'1.2.mell._HKÖH_Mérleg2018'!G173+'1.3.mell._HVÓBKI_Mérleg2018'!G173+'1.4.mell._HKK_Mérleg2018'!G173+'1.5._mell._MŐSZ_Mérleg2018'!G173+'1.6._mell._HVGYKCSSZ_Mérleg2018'!G173</f>
        <v>0</v>
      </c>
      <c r="H173" s="11">
        <f>+'1.1.mell._ÖNK_Mérleg2018'!H173+'1.2.mell._HKÖH_Mérleg2018'!H173+'1.3.mell._HVÓBKI_Mérleg2018'!H173+'1.4.mell._HKK_Mérleg2018'!H173+'1.5._mell._MŐSZ_Mérleg2018'!H173+'1.6._mell._HVGYKCSSZ_Mérleg2018'!H173</f>
        <v>0</v>
      </c>
      <c r="I173" s="16">
        <f>+'1.1.mell._ÖNK_Mérleg2018'!I173+'1.2.mell._HKÖH_Mérleg2018'!I173+'1.3.mell._HVÓBKI_Mérleg2018'!I173+'1.4.mell._HKK_Mérleg2018'!I173+'1.5._mell._MŐSZ_Mérleg2018'!I173+'1.6._mell._HVGYKCSSZ_Mérleg2018'!I173</f>
        <v>0</v>
      </c>
      <c r="K173" s="4">
        <f>+E173-G173-H173-I173</f>
        <v>0</v>
      </c>
    </row>
    <row r="174" spans="1:11">
      <c r="A174" s="85" t="s">
        <v>278</v>
      </c>
      <c r="B174" s="67" t="s">
        <v>997</v>
      </c>
      <c r="C174" s="501">
        <f>+'1.1.mell._ÖNK_Mérleg2018'!C174+'1.2.mell._HKÖH_Mérleg2018'!C174+'1.3.mell._HVÓBKI_Mérleg2018'!C174+'1.4.mell._HKK_Mérleg2018'!C174+'1.5._mell._MŐSZ_Mérleg2018'!C174+'1.6._mell._HVGYKCSSZ_Mérleg2018'!C174</f>
        <v>0</v>
      </c>
      <c r="D174" s="11">
        <f>+'1.1.mell._ÖNK_Mérleg2018'!D174+'1.2.mell._HKÖH_Mérleg2018'!D174+'1.3.mell._HVÓBKI_Mérleg2018'!D174+'1.4.mell._HKK_Mérleg2018'!D174+'1.5._mell._MŐSZ_Mérleg2018'!D174+'1.6._mell._HVGYKCSSZ_Mérleg2018'!D174</f>
        <v>0</v>
      </c>
      <c r="E174" s="11">
        <f>+'1.1.mell._ÖNK_Mérleg2018'!E174+'1.2.mell._HKÖH_Mérleg2018'!E174+'1.3.mell._HVÓBKI_Mérleg2018'!E174+'1.4.mell._HKK_Mérleg2018'!E174+'1.5._mell._MŐSZ_Mérleg2018'!E174+'1.6._mell._HVGYKCSSZ_Mérleg2018'!E174</f>
        <v>0</v>
      </c>
      <c r="F174" s="1412" t="str">
        <f t="shared" si="32"/>
        <v>-</v>
      </c>
      <c r="G174" s="20">
        <f>+'1.1.mell._ÖNK_Mérleg2018'!G174+'1.2.mell._HKÖH_Mérleg2018'!G174+'1.3.mell._HVÓBKI_Mérleg2018'!G174+'1.4.mell._HKK_Mérleg2018'!G174+'1.5._mell._MŐSZ_Mérleg2018'!G174+'1.6._mell._HVGYKCSSZ_Mérleg2018'!G174</f>
        <v>0</v>
      </c>
      <c r="H174" s="11">
        <f>+'1.1.mell._ÖNK_Mérleg2018'!H174+'1.2.mell._HKÖH_Mérleg2018'!H174+'1.3.mell._HVÓBKI_Mérleg2018'!H174+'1.4.mell._HKK_Mérleg2018'!H174+'1.5._mell._MŐSZ_Mérleg2018'!H174+'1.6._mell._HVGYKCSSZ_Mérleg2018'!H174</f>
        <v>0</v>
      </c>
      <c r="I174" s="16">
        <f>+'1.1.mell._ÖNK_Mérleg2018'!I174+'1.2.mell._HKÖH_Mérleg2018'!I174+'1.3.mell._HVÓBKI_Mérleg2018'!I174+'1.4.mell._HKK_Mérleg2018'!I174+'1.5._mell._MŐSZ_Mérleg2018'!I174+'1.6._mell._HVGYKCSSZ_Mérleg2018'!I174</f>
        <v>0</v>
      </c>
      <c r="K174" s="4">
        <f>+E174-G174-H174-I174</f>
        <v>0</v>
      </c>
    </row>
    <row r="175" spans="1:11" ht="12.75" thickBot="1">
      <c r="A175" s="78" t="s">
        <v>995</v>
      </c>
      <c r="B175" s="68" t="s">
        <v>998</v>
      </c>
      <c r="C175" s="500">
        <f>+'1.1.mell._ÖNK_Mérleg2018'!C175+'1.2.mell._HKÖH_Mérleg2018'!C175+'1.3.mell._HVÓBKI_Mérleg2018'!C175+'1.4.mell._HKK_Mérleg2018'!C175+'1.5._mell._MŐSZ_Mérleg2018'!C175+'1.6._mell._HVGYKCSSZ_Mérleg2018'!C175</f>
        <v>0</v>
      </c>
      <c r="D175" s="22">
        <f>+'1.1.mell._ÖNK_Mérleg2018'!D175+'1.2.mell._HKÖH_Mérleg2018'!D175+'1.3.mell._HVÓBKI_Mérleg2018'!D175+'1.4.mell._HKK_Mérleg2018'!D175+'1.5._mell._MŐSZ_Mérleg2018'!D175+'1.6._mell._HVGYKCSSZ_Mérleg2018'!D175</f>
        <v>0</v>
      </c>
      <c r="E175" s="22">
        <f>+'1.1.mell._ÖNK_Mérleg2018'!E175+'1.2.mell._HKÖH_Mérleg2018'!E175+'1.3.mell._HVÓBKI_Mérleg2018'!E175+'1.4.mell._HKK_Mérleg2018'!E175+'1.5._mell._MŐSZ_Mérleg2018'!E175+'1.6._mell._HVGYKCSSZ_Mérleg2018'!E175</f>
        <v>0</v>
      </c>
      <c r="F175" s="1411" t="str">
        <f t="shared" si="32"/>
        <v>-</v>
      </c>
      <c r="G175" s="21">
        <f>+'1.1.mell._ÖNK_Mérleg2018'!G175+'1.2.mell._HKÖH_Mérleg2018'!G175+'1.3.mell._HVÓBKI_Mérleg2018'!G175+'1.4.mell._HKK_Mérleg2018'!G175+'1.5._mell._MŐSZ_Mérleg2018'!G175+'1.6._mell._HVGYKCSSZ_Mérleg2018'!G175</f>
        <v>0</v>
      </c>
      <c r="H175" s="22">
        <f>+'1.1.mell._ÖNK_Mérleg2018'!H175+'1.2.mell._HKÖH_Mérleg2018'!H175+'1.3.mell._HVÓBKI_Mérleg2018'!H175+'1.4.mell._HKK_Mérleg2018'!H175+'1.5._mell._MŐSZ_Mérleg2018'!H175+'1.6._mell._HVGYKCSSZ_Mérleg2018'!H175</f>
        <v>0</v>
      </c>
      <c r="I175" s="23">
        <f>+'1.1.mell._ÖNK_Mérleg2018'!I175+'1.2.mell._HKÖH_Mérleg2018'!I175+'1.3.mell._HVÓBKI_Mérleg2018'!I175+'1.4.mell._HKK_Mérleg2018'!I175+'1.5._mell._MŐSZ_Mérleg2018'!I175+'1.6._mell._HVGYKCSSZ_Mérleg2018'!I175</f>
        <v>0</v>
      </c>
      <c r="K175" s="4">
        <f>+E175-G175-H175-I175</f>
        <v>0</v>
      </c>
    </row>
    <row r="176" spans="1:11" s="3" customFormat="1" ht="12.75" thickBot="1">
      <c r="A176" s="83" t="s">
        <v>10</v>
      </c>
      <c r="B176" s="69" t="s">
        <v>314</v>
      </c>
      <c r="C176" s="1049">
        <f t="shared" ref="C176:F176" si="33">+C109+C149</f>
        <v>3282008</v>
      </c>
      <c r="D176" s="28">
        <f t="shared" si="33"/>
        <v>5763564</v>
      </c>
      <c r="E176" s="28">
        <f t="shared" si="33"/>
        <v>2513536</v>
      </c>
      <c r="F176" s="1408">
        <f t="shared" si="32"/>
        <v>0.43610793599238251</v>
      </c>
      <c r="G176" s="27">
        <f>+G109+G149</f>
        <v>2471184</v>
      </c>
      <c r="H176" s="28">
        <f>+H109+H149</f>
        <v>39016</v>
      </c>
      <c r="I176" s="29">
        <f>+I109+I149</f>
        <v>3336</v>
      </c>
      <c r="J176" s="712">
        <f>+E176/$E$208</f>
        <v>0.95773928755276827</v>
      </c>
      <c r="K176" s="3">
        <f>+E176-G176-H176-I176</f>
        <v>0</v>
      </c>
    </row>
    <row r="177" spans="1:11" s="3" customFormat="1" ht="12.75" thickBot="1">
      <c r="A177" s="83" t="s">
        <v>9</v>
      </c>
      <c r="B177" s="70" t="s">
        <v>315</v>
      </c>
      <c r="C177" s="1049">
        <f t="shared" ref="C177:F177" si="34">+C178</f>
        <v>25346</v>
      </c>
      <c r="D177" s="28">
        <f t="shared" si="34"/>
        <v>151382</v>
      </c>
      <c r="E177" s="28">
        <f t="shared" si="34"/>
        <v>110911</v>
      </c>
      <c r="F177" s="1408">
        <f t="shared" si="32"/>
        <v>0.73265645849572603</v>
      </c>
      <c r="G177" s="27">
        <f>+G178</f>
        <v>110911</v>
      </c>
      <c r="H177" s="28">
        <f>+H178</f>
        <v>0</v>
      </c>
      <c r="I177" s="29">
        <f>+I178</f>
        <v>0</v>
      </c>
      <c r="J177" s="712">
        <f>+E177/$E$208</f>
        <v>4.2260712447231744E-2</v>
      </c>
      <c r="K177" s="3">
        <f>+E177-G177-H177-I177</f>
        <v>0</v>
      </c>
    </row>
    <row r="178" spans="1:11" s="3" customFormat="1" ht="12.75" thickBot="1">
      <c r="A178" s="83" t="s">
        <v>45</v>
      </c>
      <c r="B178" s="64" t="s">
        <v>1005</v>
      </c>
      <c r="C178" s="1049">
        <f t="shared" ref="C178:F178" si="35">+C179+C189+C190+C191</f>
        <v>25346</v>
      </c>
      <c r="D178" s="28">
        <f t="shared" si="35"/>
        <v>151382</v>
      </c>
      <c r="E178" s="28">
        <f t="shared" si="35"/>
        <v>110911</v>
      </c>
      <c r="F178" s="1408">
        <f t="shared" si="32"/>
        <v>0.73265645849572603</v>
      </c>
      <c r="G178" s="27">
        <f>+G179+G189+G190+G191</f>
        <v>110911</v>
      </c>
      <c r="H178" s="28">
        <f>+H179+H189+H190+H191</f>
        <v>0</v>
      </c>
      <c r="I178" s="29">
        <f>+I179+I189+I190+I191</f>
        <v>0</v>
      </c>
      <c r="J178" s="712">
        <f>+E178/$E$208</f>
        <v>4.2260712447231744E-2</v>
      </c>
      <c r="K178" s="3">
        <f>+E178-G178-H178-I178</f>
        <v>0</v>
      </c>
    </row>
    <row r="179" spans="1:11">
      <c r="A179" s="84" t="s">
        <v>75</v>
      </c>
      <c r="B179" s="65" t="s">
        <v>1006</v>
      </c>
      <c r="C179" s="1051">
        <f t="shared" ref="C179:F179" si="36">+C180+C181+C182+C183+C184+C185+C186+C187+C188</f>
        <v>25346</v>
      </c>
      <c r="D179" s="10">
        <f t="shared" si="36"/>
        <v>151382</v>
      </c>
      <c r="E179" s="10">
        <f t="shared" si="36"/>
        <v>110911</v>
      </c>
      <c r="F179" s="1410">
        <f t="shared" si="32"/>
        <v>0.73265645849572603</v>
      </c>
      <c r="G179" s="34">
        <f>+G180+G181+G182+G183+G184+G185+G186+G187+G188</f>
        <v>110911</v>
      </c>
      <c r="H179" s="10">
        <f>+H180+H181+H182+H183+H184+H185+H186+H187+H188</f>
        <v>0</v>
      </c>
      <c r="I179" s="35">
        <f>+I180+I181+I182+I183+I184+I185+I186+I187+I188</f>
        <v>0</v>
      </c>
      <c r="K179" s="4">
        <f>+E179-G179-H179-I179</f>
        <v>0</v>
      </c>
    </row>
    <row r="180" spans="1:11" s="13" customFormat="1">
      <c r="A180" s="86" t="s">
        <v>205</v>
      </c>
      <c r="B180" s="66" t="s">
        <v>170</v>
      </c>
      <c r="C180" s="502">
        <f>+'1.1.mell._ÖNK_Mérleg2018'!C180+'1.2.mell._HKÖH_Mérleg2018'!C180+'1.3.mell._HVÓBKI_Mérleg2018'!C180+'1.4.mell._HKK_Mérleg2018'!C180+'1.5._mell._MŐSZ_Mérleg2018'!C180+'1.6._mell._HVGYKCSSZ_Mérleg2018'!C180</f>
        <v>0</v>
      </c>
      <c r="D180" s="12">
        <f>+'1.1.mell._ÖNK_Mérleg2018'!D180+'1.2.mell._HKÖH_Mérleg2018'!D180+'1.3.mell._HVÓBKI_Mérleg2018'!D180+'1.4.mell._HKK_Mérleg2018'!D180+'1.5._mell._MŐSZ_Mérleg2018'!D180+'1.6._mell._HVGYKCSSZ_Mérleg2018'!D180</f>
        <v>85565</v>
      </c>
      <c r="E180" s="12">
        <f>+'1.1.mell._ÖNK_Mérleg2018'!E180+'1.2.mell._HKÖH_Mérleg2018'!E180+'1.3.mell._HVÓBKI_Mérleg2018'!E180+'1.4.mell._HKK_Mérleg2018'!E180+'1.5._mell._MŐSZ_Mérleg2018'!E180+'1.6._mell._HVGYKCSSZ_Mérleg2018'!E180</f>
        <v>85565</v>
      </c>
      <c r="F180" s="1412">
        <f t="shared" si="32"/>
        <v>1</v>
      </c>
      <c r="G180" s="19">
        <f>+'1.1.mell._ÖNK_Mérleg2018'!G180+'1.2.mell._HKÖH_Mérleg2018'!G180+'1.3.mell._HVÓBKI_Mérleg2018'!G180+'1.4.mell._HKK_Mérleg2018'!G180+'1.5._mell._MŐSZ_Mérleg2018'!G180+'1.6._mell._HVGYKCSSZ_Mérleg2018'!G180</f>
        <v>85565</v>
      </c>
      <c r="H180" s="12">
        <f>+'1.1.mell._ÖNK_Mérleg2018'!H180+'1.2.mell._HKÖH_Mérleg2018'!H180+'1.3.mell._HVÓBKI_Mérleg2018'!H180+'1.4.mell._HKK_Mérleg2018'!H180+'1.5._mell._MŐSZ_Mérleg2018'!H180+'1.6._mell._HVGYKCSSZ_Mérleg2018'!H180</f>
        <v>0</v>
      </c>
      <c r="I180" s="15">
        <f>+'1.1.mell._ÖNK_Mérleg2018'!I180+'1.2.mell._HKÖH_Mérleg2018'!I180+'1.3.mell._HVÓBKI_Mérleg2018'!I180+'1.4.mell._HKK_Mérleg2018'!I180+'1.5._mell._MŐSZ_Mérleg2018'!I180+'1.6._mell._HVGYKCSSZ_Mérleg2018'!I180</f>
        <v>0</v>
      </c>
      <c r="K180" s="13">
        <f>+E180-G180-H180-I180</f>
        <v>0</v>
      </c>
    </row>
    <row r="181" spans="1:11" s="13" customFormat="1">
      <c r="A181" s="86" t="s">
        <v>206</v>
      </c>
      <c r="B181" s="66" t="s">
        <v>171</v>
      </c>
      <c r="C181" s="502">
        <f>+'1.1.mell._ÖNK_Mérleg2018'!C181+'1.2.mell._HKÖH_Mérleg2018'!C181+'1.3.mell._HVÓBKI_Mérleg2018'!C181+'1.4.mell._HKK_Mérleg2018'!C181+'1.5._mell._MŐSZ_Mérleg2018'!C181+'1.6._mell._HVGYKCSSZ_Mérleg2018'!C181</f>
        <v>0</v>
      </c>
      <c r="D181" s="12">
        <f>+'1.1.mell._ÖNK_Mérleg2018'!D181+'1.2.mell._HKÖH_Mérleg2018'!D181+'1.3.mell._HVÓBKI_Mérleg2018'!D181+'1.4.mell._HKK_Mérleg2018'!D181+'1.5._mell._MŐSZ_Mérleg2018'!D181+'1.6._mell._HVGYKCSSZ_Mérleg2018'!D181</f>
        <v>0</v>
      </c>
      <c r="E181" s="12">
        <f>+'1.1.mell._ÖNK_Mérleg2018'!E181+'1.2.mell._HKÖH_Mérleg2018'!E181+'1.3.mell._HVÓBKI_Mérleg2018'!E181+'1.4.mell._HKK_Mérleg2018'!E181+'1.5._mell._MŐSZ_Mérleg2018'!E181+'1.6._mell._HVGYKCSSZ_Mérleg2018'!E181</f>
        <v>0</v>
      </c>
      <c r="F181" s="1412" t="str">
        <f t="shared" si="32"/>
        <v>-</v>
      </c>
      <c r="G181" s="19">
        <f>+'1.1.mell._ÖNK_Mérleg2018'!G181+'1.2.mell._HKÖH_Mérleg2018'!G181+'1.3.mell._HVÓBKI_Mérleg2018'!G181+'1.4.mell._HKK_Mérleg2018'!G181+'1.5._mell._MŐSZ_Mérleg2018'!G181+'1.6._mell._HVGYKCSSZ_Mérleg2018'!G181</f>
        <v>0</v>
      </c>
      <c r="H181" s="12">
        <f>+'1.1.mell._ÖNK_Mérleg2018'!H181+'1.2.mell._HKÖH_Mérleg2018'!H181+'1.3.mell._HVÓBKI_Mérleg2018'!H181+'1.4.mell._HKK_Mérleg2018'!H181+'1.5._mell._MŐSZ_Mérleg2018'!H181+'1.6._mell._HVGYKCSSZ_Mérleg2018'!H181</f>
        <v>0</v>
      </c>
      <c r="I181" s="15">
        <f>+'1.1.mell._ÖNK_Mérleg2018'!I181+'1.2.mell._HKÖH_Mérleg2018'!I181+'1.3.mell._HVÓBKI_Mérleg2018'!I181+'1.4.mell._HKK_Mérleg2018'!I181+'1.5._mell._MŐSZ_Mérleg2018'!I181+'1.6._mell._HVGYKCSSZ_Mérleg2018'!I181</f>
        <v>0</v>
      </c>
      <c r="K181" s="13">
        <f>+E181-G181-H181-I181</f>
        <v>0</v>
      </c>
    </row>
    <row r="182" spans="1:11" s="13" customFormat="1">
      <c r="A182" s="86" t="s">
        <v>207</v>
      </c>
      <c r="B182" s="66" t="s">
        <v>172</v>
      </c>
      <c r="C182" s="502">
        <f>+'1.1.mell._ÖNK_Mérleg2018'!C182+'1.2.mell._HKÖH_Mérleg2018'!C182+'1.3.mell._HVÓBKI_Mérleg2018'!C182+'1.4.mell._HKK_Mérleg2018'!C182+'1.5._mell._MŐSZ_Mérleg2018'!C182+'1.6._mell._HVGYKCSSZ_Mérleg2018'!C182</f>
        <v>0</v>
      </c>
      <c r="D182" s="12">
        <f>+'1.1.mell._ÖNK_Mérleg2018'!D182+'1.2.mell._HKÖH_Mérleg2018'!D182+'1.3.mell._HVÓBKI_Mérleg2018'!D182+'1.4.mell._HKK_Mérleg2018'!D182+'1.5._mell._MŐSZ_Mérleg2018'!D182+'1.6._mell._HVGYKCSSZ_Mérleg2018'!D182</f>
        <v>0</v>
      </c>
      <c r="E182" s="12">
        <f>+'1.1.mell._ÖNK_Mérleg2018'!E182+'1.2.mell._HKÖH_Mérleg2018'!E182+'1.3.mell._HVÓBKI_Mérleg2018'!E182+'1.4.mell._HKK_Mérleg2018'!E182+'1.5._mell._MŐSZ_Mérleg2018'!E182+'1.6._mell._HVGYKCSSZ_Mérleg2018'!E182</f>
        <v>0</v>
      </c>
      <c r="F182" s="1412" t="str">
        <f t="shared" si="32"/>
        <v>-</v>
      </c>
      <c r="G182" s="19">
        <f>+'1.1.mell._ÖNK_Mérleg2018'!G182+'1.2.mell._HKÖH_Mérleg2018'!G182+'1.3.mell._HVÓBKI_Mérleg2018'!G182+'1.4.mell._HKK_Mérleg2018'!G182+'1.5._mell._MŐSZ_Mérleg2018'!G182+'1.6._mell._HVGYKCSSZ_Mérleg2018'!G182</f>
        <v>0</v>
      </c>
      <c r="H182" s="12">
        <f>+'1.1.mell._ÖNK_Mérleg2018'!H182+'1.2.mell._HKÖH_Mérleg2018'!H182+'1.3.mell._HVÓBKI_Mérleg2018'!H182+'1.4.mell._HKK_Mérleg2018'!H182+'1.5._mell._MŐSZ_Mérleg2018'!H182+'1.6._mell._HVGYKCSSZ_Mérleg2018'!H182</f>
        <v>0</v>
      </c>
      <c r="I182" s="15">
        <f>+'1.1.mell._ÖNK_Mérleg2018'!I182+'1.2.mell._HKÖH_Mérleg2018'!I182+'1.3.mell._HVÓBKI_Mérleg2018'!I182+'1.4.mell._HKK_Mérleg2018'!I182+'1.5._mell._MŐSZ_Mérleg2018'!I182+'1.6._mell._HVGYKCSSZ_Mérleg2018'!I182</f>
        <v>0</v>
      </c>
      <c r="K182" s="13">
        <f>+E182-G182-H182-I182</f>
        <v>0</v>
      </c>
    </row>
    <row r="183" spans="1:11" s="13" customFormat="1">
      <c r="A183" s="86" t="s">
        <v>208</v>
      </c>
      <c r="B183" s="66" t="s">
        <v>173</v>
      </c>
      <c r="C183" s="502">
        <f>+'1.1.mell._ÖNK_Mérleg2018'!C183+'1.2.mell._HKÖH_Mérleg2018'!C183+'1.3.mell._HVÓBKI_Mérleg2018'!C183+'1.4.mell._HKK_Mérleg2018'!C183+'1.5._mell._MŐSZ_Mérleg2018'!C183+'1.6._mell._HVGYKCSSZ_Mérleg2018'!C183</f>
        <v>25346</v>
      </c>
      <c r="D183" s="12">
        <f>+'1.1.mell._ÖNK_Mérleg2018'!D183+'1.2.mell._HKÖH_Mérleg2018'!D183+'1.3.mell._HVÓBKI_Mérleg2018'!D183+'1.4.mell._HKK_Mérleg2018'!D183+'1.5._mell._MŐSZ_Mérleg2018'!D183+'1.6._mell._HVGYKCSSZ_Mérleg2018'!D183</f>
        <v>25346</v>
      </c>
      <c r="E183" s="12">
        <f>+'1.1.mell._ÖNK_Mérleg2018'!E183+'1.2.mell._HKÖH_Mérleg2018'!E183+'1.3.mell._HVÓBKI_Mérleg2018'!E183+'1.4.mell._HKK_Mérleg2018'!E183+'1.5._mell._MŐSZ_Mérleg2018'!E183+'1.6._mell._HVGYKCSSZ_Mérleg2018'!E183</f>
        <v>25346</v>
      </c>
      <c r="F183" s="1412">
        <f t="shared" si="32"/>
        <v>1</v>
      </c>
      <c r="G183" s="19">
        <f>+'1.1.mell._ÖNK_Mérleg2018'!G183+'1.2.mell._HKÖH_Mérleg2018'!G183+'1.3.mell._HVÓBKI_Mérleg2018'!G183+'1.4.mell._HKK_Mérleg2018'!G183+'1.5._mell._MŐSZ_Mérleg2018'!G183+'1.6._mell._HVGYKCSSZ_Mérleg2018'!G183</f>
        <v>25346</v>
      </c>
      <c r="H183" s="12">
        <f>+'1.1.mell._ÖNK_Mérleg2018'!H183+'1.2.mell._HKÖH_Mérleg2018'!H183+'1.3.mell._HVÓBKI_Mérleg2018'!H183+'1.4.mell._HKK_Mérleg2018'!H183+'1.5._mell._MŐSZ_Mérleg2018'!H183+'1.6._mell._HVGYKCSSZ_Mérleg2018'!H183</f>
        <v>0</v>
      </c>
      <c r="I183" s="15">
        <f>+'1.1.mell._ÖNK_Mérleg2018'!I183+'1.2.mell._HKÖH_Mérleg2018'!I183+'1.3.mell._HVÓBKI_Mérleg2018'!I183+'1.4.mell._HKK_Mérleg2018'!I183+'1.5._mell._MŐSZ_Mérleg2018'!I183+'1.6._mell._HVGYKCSSZ_Mérleg2018'!I183</f>
        <v>0</v>
      </c>
      <c r="K183" s="13">
        <f>+E183-G183-H183-I183</f>
        <v>0</v>
      </c>
    </row>
    <row r="184" spans="1:11" s="13" customFormat="1">
      <c r="A184" s="103" t="s">
        <v>209</v>
      </c>
      <c r="B184" s="104" t="s">
        <v>174</v>
      </c>
      <c r="C184" s="1064"/>
      <c r="D184" s="106">
        <v>40471</v>
      </c>
      <c r="E184" s="106"/>
      <c r="F184" s="1413">
        <f t="shared" si="32"/>
        <v>0</v>
      </c>
      <c r="G184" s="105"/>
      <c r="H184" s="106"/>
      <c r="I184" s="107"/>
      <c r="K184" s="117">
        <f>+E184-G184-H184-I184</f>
        <v>0</v>
      </c>
    </row>
    <row r="185" spans="1:11" s="13" customFormat="1">
      <c r="A185" s="86" t="s">
        <v>210</v>
      </c>
      <c r="B185" s="66" t="s">
        <v>179</v>
      </c>
      <c r="C185" s="502">
        <f>+'1.1.mell._ÖNK_Mérleg2018'!C185+'1.2.mell._HKÖH_Mérleg2018'!C185+'1.3.mell._HVÓBKI_Mérleg2018'!C185+'1.4.mell._HKK_Mérleg2018'!C185+'1.5._mell._MŐSZ_Mérleg2018'!C185+'1.6._mell._HVGYKCSSZ_Mérleg2018'!C185</f>
        <v>0</v>
      </c>
      <c r="D185" s="12">
        <f>+'1.1.mell._ÖNK_Mérleg2018'!D185+'1.2.mell._HKÖH_Mérleg2018'!D185+'1.3.mell._HVÓBKI_Mérleg2018'!D185+'1.4.mell._HKK_Mérleg2018'!D185+'1.5._mell._MŐSZ_Mérleg2018'!D185+'1.6._mell._HVGYKCSSZ_Mérleg2018'!D185</f>
        <v>0</v>
      </c>
      <c r="E185" s="12">
        <f>+'1.1.mell._ÖNK_Mérleg2018'!E185+'1.2.mell._HKÖH_Mérleg2018'!E185+'1.3.mell._HVÓBKI_Mérleg2018'!E185+'1.4.mell._HKK_Mérleg2018'!E185+'1.5._mell._MŐSZ_Mérleg2018'!E185+'1.6._mell._HVGYKCSSZ_Mérleg2018'!E185</f>
        <v>0</v>
      </c>
      <c r="F185" s="1412" t="str">
        <f t="shared" si="32"/>
        <v>-</v>
      </c>
      <c r="G185" s="19">
        <f>+'1.1.mell._ÖNK_Mérleg2018'!G185+'1.2.mell._HKÖH_Mérleg2018'!G185+'1.3.mell._HVÓBKI_Mérleg2018'!G185+'1.4.mell._HKK_Mérleg2018'!G185+'1.5._mell._MŐSZ_Mérleg2018'!G185+'1.6._mell._HVGYKCSSZ_Mérleg2018'!G185</f>
        <v>0</v>
      </c>
      <c r="H185" s="12">
        <f>+'1.1.mell._ÖNK_Mérleg2018'!H185+'1.2.mell._HKÖH_Mérleg2018'!H185+'1.3.mell._HVÓBKI_Mérleg2018'!H185+'1.4.mell._HKK_Mérleg2018'!H185+'1.5._mell._MŐSZ_Mérleg2018'!H185+'1.6._mell._HVGYKCSSZ_Mérleg2018'!H185</f>
        <v>0</v>
      </c>
      <c r="I185" s="15">
        <f>+'1.1.mell._ÖNK_Mérleg2018'!I185+'1.2.mell._HKÖH_Mérleg2018'!I185+'1.3.mell._HVÓBKI_Mérleg2018'!I185+'1.4.mell._HKK_Mérleg2018'!I185+'1.5._mell._MŐSZ_Mérleg2018'!I185+'1.6._mell._HVGYKCSSZ_Mérleg2018'!I185</f>
        <v>0</v>
      </c>
      <c r="K185" s="13">
        <f>+E185-G185-H185-I185</f>
        <v>0</v>
      </c>
    </row>
    <row r="186" spans="1:11" s="13" customFormat="1">
      <c r="A186" s="86" t="s">
        <v>211</v>
      </c>
      <c r="B186" s="66" t="s">
        <v>175</v>
      </c>
      <c r="C186" s="502">
        <f>+'1.1.mell._ÖNK_Mérleg2018'!C186+'1.2.mell._HKÖH_Mérleg2018'!C186+'1.3.mell._HVÓBKI_Mérleg2018'!C186+'1.4.mell._HKK_Mérleg2018'!C186+'1.5._mell._MŐSZ_Mérleg2018'!C186+'1.6._mell._HVGYKCSSZ_Mérleg2018'!C186</f>
        <v>0</v>
      </c>
      <c r="D186" s="12">
        <f>+'1.1.mell._ÖNK_Mérleg2018'!D186+'1.2.mell._HKÖH_Mérleg2018'!D186+'1.3.mell._HVÓBKI_Mérleg2018'!D186+'1.4.mell._HKK_Mérleg2018'!D186+'1.5._mell._MŐSZ_Mérleg2018'!D186+'1.6._mell._HVGYKCSSZ_Mérleg2018'!D186</f>
        <v>0</v>
      </c>
      <c r="E186" s="12">
        <f>+'1.1.mell._ÖNK_Mérleg2018'!E186+'1.2.mell._HKÖH_Mérleg2018'!E186+'1.3.mell._HVÓBKI_Mérleg2018'!E186+'1.4.mell._HKK_Mérleg2018'!E186+'1.5._mell._MŐSZ_Mérleg2018'!E186+'1.6._mell._HVGYKCSSZ_Mérleg2018'!E186</f>
        <v>0</v>
      </c>
      <c r="F186" s="1412" t="str">
        <f t="shared" si="32"/>
        <v>-</v>
      </c>
      <c r="G186" s="19">
        <f>+'1.1.mell._ÖNK_Mérleg2018'!G186+'1.2.mell._HKÖH_Mérleg2018'!G186+'1.3.mell._HVÓBKI_Mérleg2018'!G186+'1.4.mell._HKK_Mérleg2018'!G186+'1.5._mell._MŐSZ_Mérleg2018'!G186+'1.6._mell._HVGYKCSSZ_Mérleg2018'!G186</f>
        <v>0</v>
      </c>
      <c r="H186" s="12">
        <f>+'1.1.mell._ÖNK_Mérleg2018'!H186+'1.2.mell._HKÖH_Mérleg2018'!H186+'1.3.mell._HVÓBKI_Mérleg2018'!H186+'1.4.mell._HKK_Mérleg2018'!H186+'1.5._mell._MŐSZ_Mérleg2018'!H186+'1.6._mell._HVGYKCSSZ_Mérleg2018'!H186</f>
        <v>0</v>
      </c>
      <c r="I186" s="15">
        <f>+'1.1.mell._ÖNK_Mérleg2018'!I186+'1.2.mell._HKÖH_Mérleg2018'!I186+'1.3.mell._HVÓBKI_Mérleg2018'!I186+'1.4.mell._HKK_Mérleg2018'!I186+'1.5._mell._MŐSZ_Mérleg2018'!I186+'1.6._mell._HVGYKCSSZ_Mérleg2018'!I186</f>
        <v>0</v>
      </c>
      <c r="K186" s="13">
        <f>+E186-G186-H186-I186</f>
        <v>0</v>
      </c>
    </row>
    <row r="187" spans="1:11" s="13" customFormat="1">
      <c r="A187" s="86" t="s">
        <v>212</v>
      </c>
      <c r="B187" s="66" t="s">
        <v>176</v>
      </c>
      <c r="C187" s="502">
        <f>+'1.1.mell._ÖNK_Mérleg2018'!C187+'1.2.mell._HKÖH_Mérleg2018'!C187+'1.3.mell._HVÓBKI_Mérleg2018'!C187+'1.4.mell._HKK_Mérleg2018'!C187+'1.5._mell._MŐSZ_Mérleg2018'!C187+'1.6._mell._HVGYKCSSZ_Mérleg2018'!C187</f>
        <v>0</v>
      </c>
      <c r="D187" s="12">
        <f>+'1.1.mell._ÖNK_Mérleg2018'!D187+'1.2.mell._HKÖH_Mérleg2018'!D187+'1.3.mell._HVÓBKI_Mérleg2018'!D187+'1.4.mell._HKK_Mérleg2018'!D187+'1.5._mell._MŐSZ_Mérleg2018'!D187+'1.6._mell._HVGYKCSSZ_Mérleg2018'!D187</f>
        <v>0</v>
      </c>
      <c r="E187" s="12">
        <f>+'1.1.mell._ÖNK_Mérleg2018'!E187+'1.2.mell._HKÖH_Mérleg2018'!E187+'1.3.mell._HVÓBKI_Mérleg2018'!E187+'1.4.mell._HKK_Mérleg2018'!E187+'1.5._mell._MŐSZ_Mérleg2018'!E187+'1.6._mell._HVGYKCSSZ_Mérleg2018'!E187</f>
        <v>0</v>
      </c>
      <c r="F187" s="1412" t="str">
        <f t="shared" si="32"/>
        <v>-</v>
      </c>
      <c r="G187" s="19">
        <f>+'1.1.mell._ÖNK_Mérleg2018'!G187+'1.2.mell._HKÖH_Mérleg2018'!G187+'1.3.mell._HVÓBKI_Mérleg2018'!G187+'1.4.mell._HKK_Mérleg2018'!G187+'1.5._mell._MŐSZ_Mérleg2018'!G187+'1.6._mell._HVGYKCSSZ_Mérleg2018'!G187</f>
        <v>0</v>
      </c>
      <c r="H187" s="12">
        <f>+'1.1.mell._ÖNK_Mérleg2018'!H187+'1.2.mell._HKÖH_Mérleg2018'!H187+'1.3.mell._HVÓBKI_Mérleg2018'!H187+'1.4.mell._HKK_Mérleg2018'!H187+'1.5._mell._MŐSZ_Mérleg2018'!H187+'1.6._mell._HVGYKCSSZ_Mérleg2018'!H187</f>
        <v>0</v>
      </c>
      <c r="I187" s="15">
        <f>+'1.1.mell._ÖNK_Mérleg2018'!I187+'1.2.mell._HKÖH_Mérleg2018'!I187+'1.3.mell._HVÓBKI_Mérleg2018'!I187+'1.4.mell._HKK_Mérleg2018'!I187+'1.5._mell._MŐSZ_Mérleg2018'!I187+'1.6._mell._HVGYKCSSZ_Mérleg2018'!I187</f>
        <v>0</v>
      </c>
      <c r="K187" s="13">
        <f>+E187-G187-H187-I187</f>
        <v>0</v>
      </c>
    </row>
    <row r="188" spans="1:11" s="13" customFormat="1">
      <c r="A188" s="86" t="s">
        <v>999</v>
      </c>
      <c r="B188" s="66" t="s">
        <v>1001</v>
      </c>
      <c r="C188" s="502">
        <f>+'1.1.mell._ÖNK_Mérleg2018'!C188+'1.2.mell._HKÖH_Mérleg2018'!C188+'1.3.mell._HVÓBKI_Mérleg2018'!C188+'1.4.mell._HKK_Mérleg2018'!C188+'1.5._mell._MŐSZ_Mérleg2018'!C188+'1.6._mell._HVGYKCSSZ_Mérleg2018'!C188</f>
        <v>0</v>
      </c>
      <c r="D188" s="12">
        <f>+'1.1.mell._ÖNK_Mérleg2018'!D188+'1.2.mell._HKÖH_Mérleg2018'!D188+'1.3.mell._HVÓBKI_Mérleg2018'!D188+'1.4.mell._HKK_Mérleg2018'!D188+'1.5._mell._MŐSZ_Mérleg2018'!D188+'1.6._mell._HVGYKCSSZ_Mérleg2018'!D188</f>
        <v>0</v>
      </c>
      <c r="E188" s="12">
        <f>+'1.1.mell._ÖNK_Mérleg2018'!E188+'1.2.mell._HKÖH_Mérleg2018'!E188+'1.3.mell._HVÓBKI_Mérleg2018'!E188+'1.4.mell._HKK_Mérleg2018'!E188+'1.5._mell._MŐSZ_Mérleg2018'!E188+'1.6._mell._HVGYKCSSZ_Mérleg2018'!E188</f>
        <v>0</v>
      </c>
      <c r="F188" s="1412" t="str">
        <f t="shared" si="32"/>
        <v>-</v>
      </c>
      <c r="G188" s="19">
        <f>+'1.1.mell._ÖNK_Mérleg2018'!G188+'1.2.mell._HKÖH_Mérleg2018'!G188+'1.3.mell._HVÓBKI_Mérleg2018'!G188+'1.4.mell._HKK_Mérleg2018'!G188+'1.5._mell._MŐSZ_Mérleg2018'!G188+'1.6._mell._HVGYKCSSZ_Mérleg2018'!G188</f>
        <v>0</v>
      </c>
      <c r="H188" s="12">
        <f>+'1.1.mell._ÖNK_Mérleg2018'!H188+'1.2.mell._HKÖH_Mérleg2018'!H188+'1.3.mell._HVÓBKI_Mérleg2018'!H188+'1.4.mell._HKK_Mérleg2018'!H188+'1.5._mell._MŐSZ_Mérleg2018'!H188+'1.6._mell._HVGYKCSSZ_Mérleg2018'!H188</f>
        <v>0</v>
      </c>
      <c r="I188" s="15">
        <f>+'1.1.mell._ÖNK_Mérleg2018'!I188+'1.2.mell._HKÖH_Mérleg2018'!I188+'1.3.mell._HVÓBKI_Mérleg2018'!I188+'1.4.mell._HKK_Mérleg2018'!I188+'1.5._mell._MŐSZ_Mérleg2018'!I188+'1.6._mell._HVGYKCSSZ_Mérleg2018'!I188</f>
        <v>0</v>
      </c>
      <c r="K188" s="13">
        <f>+E188-G188-H188-I188</f>
        <v>0</v>
      </c>
    </row>
    <row r="189" spans="1:11">
      <c r="A189" s="85" t="s">
        <v>76</v>
      </c>
      <c r="B189" s="67" t="s">
        <v>177</v>
      </c>
      <c r="C189" s="501">
        <f>+'1.1.mell._ÖNK_Mérleg2018'!C189+'1.2.mell._HKÖH_Mérleg2018'!C189+'1.3.mell._HVÓBKI_Mérleg2018'!C189+'1.4.mell._HKK_Mérleg2018'!C189+'1.5._mell._MŐSZ_Mérleg2018'!C189+'1.6._mell._HVGYKCSSZ_Mérleg2018'!C189</f>
        <v>0</v>
      </c>
      <c r="D189" s="11">
        <f>+'1.1.mell._ÖNK_Mérleg2018'!D189+'1.2.mell._HKÖH_Mérleg2018'!D189+'1.3.mell._HVÓBKI_Mérleg2018'!D189+'1.4.mell._HKK_Mérleg2018'!D189+'1.5._mell._MŐSZ_Mérleg2018'!D189+'1.6._mell._HVGYKCSSZ_Mérleg2018'!D189</f>
        <v>0</v>
      </c>
      <c r="E189" s="11">
        <f>+'1.1.mell._ÖNK_Mérleg2018'!E189+'1.2.mell._HKÖH_Mérleg2018'!E189+'1.3.mell._HVÓBKI_Mérleg2018'!E189+'1.4.mell._HKK_Mérleg2018'!E189+'1.5._mell._MŐSZ_Mérleg2018'!E189+'1.6._mell._HVGYKCSSZ_Mérleg2018'!E189</f>
        <v>0</v>
      </c>
      <c r="F189" s="1412" t="str">
        <f t="shared" si="32"/>
        <v>-</v>
      </c>
      <c r="G189" s="20">
        <f>+'1.1.mell._ÖNK_Mérleg2018'!G189+'1.2.mell._HKÖH_Mérleg2018'!G189+'1.3.mell._HVÓBKI_Mérleg2018'!G189+'1.4.mell._HKK_Mérleg2018'!G189+'1.5._mell._MŐSZ_Mérleg2018'!G189+'1.6._mell._HVGYKCSSZ_Mérleg2018'!G189</f>
        <v>0</v>
      </c>
      <c r="H189" s="11">
        <f>+'1.1.mell._ÖNK_Mérleg2018'!H189+'1.2.mell._HKÖH_Mérleg2018'!H189+'1.3.mell._HVÓBKI_Mérleg2018'!H189+'1.4.mell._HKK_Mérleg2018'!H189+'1.5._mell._MŐSZ_Mérleg2018'!H189+'1.6._mell._HVGYKCSSZ_Mérleg2018'!H189</f>
        <v>0</v>
      </c>
      <c r="I189" s="16">
        <f>+'1.1.mell._ÖNK_Mérleg2018'!I189+'1.2.mell._HKÖH_Mérleg2018'!I189+'1.3.mell._HVÓBKI_Mérleg2018'!I189+'1.4.mell._HKK_Mérleg2018'!I189+'1.5._mell._MŐSZ_Mérleg2018'!I189+'1.6._mell._HVGYKCSSZ_Mérleg2018'!I189</f>
        <v>0</v>
      </c>
      <c r="K189" s="4">
        <f>+E189-G189-H189-I189</f>
        <v>0</v>
      </c>
    </row>
    <row r="190" spans="1:11">
      <c r="A190" s="78" t="s">
        <v>77</v>
      </c>
      <c r="B190" s="68" t="s">
        <v>178</v>
      </c>
      <c r="C190" s="500">
        <f>+'1.1.mell._ÖNK_Mérleg2018'!C190+'1.2.mell._HKÖH_Mérleg2018'!C190+'1.3.mell._HVÓBKI_Mérleg2018'!C190+'1.4.mell._HKK_Mérleg2018'!C190+'1.5._mell._MŐSZ_Mérleg2018'!C190+'1.6._mell._HVGYKCSSZ_Mérleg2018'!C190</f>
        <v>0</v>
      </c>
      <c r="D190" s="22">
        <f>+'1.1.mell._ÖNK_Mérleg2018'!D190+'1.2.mell._HKÖH_Mérleg2018'!D190+'1.3.mell._HVÓBKI_Mérleg2018'!D190+'1.4.mell._HKK_Mérleg2018'!D190+'1.5._mell._MŐSZ_Mérleg2018'!D190+'1.6._mell._HVGYKCSSZ_Mérleg2018'!D190</f>
        <v>0</v>
      </c>
      <c r="E190" s="22">
        <f>+'1.1.mell._ÖNK_Mérleg2018'!E190+'1.2.mell._HKÖH_Mérleg2018'!E190+'1.3.mell._HVÓBKI_Mérleg2018'!E190+'1.4.mell._HKK_Mérleg2018'!E190+'1.5._mell._MŐSZ_Mérleg2018'!E190+'1.6._mell._HVGYKCSSZ_Mérleg2018'!E190</f>
        <v>0</v>
      </c>
      <c r="F190" s="1411" t="str">
        <f t="shared" si="32"/>
        <v>-</v>
      </c>
      <c r="G190" s="21">
        <f>+'1.1.mell._ÖNK_Mérleg2018'!G190+'1.2.mell._HKÖH_Mérleg2018'!G190+'1.3.mell._HVÓBKI_Mérleg2018'!G190+'1.4.mell._HKK_Mérleg2018'!G190+'1.5._mell._MŐSZ_Mérleg2018'!G190+'1.6._mell._HVGYKCSSZ_Mérleg2018'!G190</f>
        <v>0</v>
      </c>
      <c r="H190" s="22">
        <f>+'1.1.mell._ÖNK_Mérleg2018'!H190+'1.2.mell._HKÖH_Mérleg2018'!H190+'1.3.mell._HVÓBKI_Mérleg2018'!H190+'1.4.mell._HKK_Mérleg2018'!H190+'1.5._mell._MŐSZ_Mérleg2018'!H190+'1.6._mell._HVGYKCSSZ_Mérleg2018'!H190</f>
        <v>0</v>
      </c>
      <c r="I190" s="23">
        <f>+'1.1.mell._ÖNK_Mérleg2018'!I190+'1.2.mell._HKÖH_Mérleg2018'!I190+'1.3.mell._HVÓBKI_Mérleg2018'!I190+'1.4.mell._HKK_Mérleg2018'!I190+'1.5._mell._MŐSZ_Mérleg2018'!I190+'1.6._mell._HVGYKCSSZ_Mérleg2018'!I190</f>
        <v>0</v>
      </c>
      <c r="K190" s="4">
        <f>+E190-G190-H190-I190</f>
        <v>0</v>
      </c>
    </row>
    <row r="191" spans="1:11" ht="12.75" thickBot="1">
      <c r="A191" s="78" t="s">
        <v>1004</v>
      </c>
      <c r="B191" s="68" t="s">
        <v>1002</v>
      </c>
      <c r="C191" s="500">
        <f>+'1.1.mell._ÖNK_Mérleg2018'!C191+'1.2.mell._HKÖH_Mérleg2018'!C191+'1.3.mell._HVÓBKI_Mérleg2018'!C191+'1.4.mell._HKK_Mérleg2018'!C191+'1.5._mell._MŐSZ_Mérleg2018'!C191+'1.6._mell._HVGYKCSSZ_Mérleg2018'!C191</f>
        <v>0</v>
      </c>
      <c r="D191" s="22">
        <f>+'1.1.mell._ÖNK_Mérleg2018'!D191+'1.2.mell._HKÖH_Mérleg2018'!D191+'1.3.mell._HVÓBKI_Mérleg2018'!D191+'1.4.mell._HKK_Mérleg2018'!D191+'1.5._mell._MŐSZ_Mérleg2018'!D191+'1.6._mell._HVGYKCSSZ_Mérleg2018'!D191</f>
        <v>0</v>
      </c>
      <c r="E191" s="22">
        <f>+'1.1.mell._ÖNK_Mérleg2018'!E191+'1.2.mell._HKÖH_Mérleg2018'!E191+'1.3.mell._HVÓBKI_Mérleg2018'!E191+'1.4.mell._HKK_Mérleg2018'!E191+'1.5._mell._MŐSZ_Mérleg2018'!E191+'1.6._mell._HVGYKCSSZ_Mérleg2018'!E191</f>
        <v>0</v>
      </c>
      <c r="F191" s="1411" t="str">
        <f t="shared" si="32"/>
        <v>-</v>
      </c>
      <c r="G191" s="21">
        <f>+'1.1.mell._ÖNK_Mérleg2018'!G191+'1.2.mell._HKÖH_Mérleg2018'!G191+'1.3.mell._HVÓBKI_Mérleg2018'!G191+'1.4.mell._HKK_Mérleg2018'!G191+'1.5._mell._MŐSZ_Mérleg2018'!G191+'1.6._mell._HVGYKCSSZ_Mérleg2018'!G191</f>
        <v>0</v>
      </c>
      <c r="H191" s="22">
        <f>+'1.1.mell._ÖNK_Mérleg2018'!H191+'1.2.mell._HKÖH_Mérleg2018'!H191+'1.3.mell._HVÓBKI_Mérleg2018'!H191+'1.4.mell._HKK_Mérleg2018'!H191+'1.5._mell._MŐSZ_Mérleg2018'!H191+'1.6._mell._HVGYKCSSZ_Mérleg2018'!H191</f>
        <v>0</v>
      </c>
      <c r="I191" s="23">
        <f>+'1.1.mell._ÖNK_Mérleg2018'!I191+'1.2.mell._HKÖH_Mérleg2018'!I191+'1.3.mell._HVÓBKI_Mérleg2018'!I191+'1.4.mell._HKK_Mérleg2018'!I191+'1.5._mell._MŐSZ_Mérleg2018'!I191+'1.6._mell._HVGYKCSSZ_Mérleg2018'!I191</f>
        <v>0</v>
      </c>
      <c r="K191" s="4">
        <f>+E191-G191-H191-I191</f>
        <v>0</v>
      </c>
    </row>
    <row r="192" spans="1:11" s="3" customFormat="1" ht="12.75" thickBot="1">
      <c r="A192" s="83" t="s">
        <v>44</v>
      </c>
      <c r="B192" s="69" t="s">
        <v>316</v>
      </c>
      <c r="C192" s="1049">
        <f t="shared" ref="C192:F192" si="37">+C193</f>
        <v>0</v>
      </c>
      <c r="D192" s="28">
        <f t="shared" si="37"/>
        <v>0</v>
      </c>
      <c r="E192" s="28">
        <f t="shared" si="37"/>
        <v>0</v>
      </c>
      <c r="F192" s="1408" t="str">
        <f t="shared" si="32"/>
        <v>-</v>
      </c>
      <c r="G192" s="27">
        <f>+G193</f>
        <v>0</v>
      </c>
      <c r="H192" s="28">
        <f>+H193</f>
        <v>0</v>
      </c>
      <c r="I192" s="29">
        <f>+I193</f>
        <v>0</v>
      </c>
      <c r="J192" s="712">
        <f>+E192/$E$208</f>
        <v>0</v>
      </c>
      <c r="K192" s="3">
        <f>+E192-G192-H192-I192</f>
        <v>0</v>
      </c>
    </row>
    <row r="193" spans="1:11" s="3" customFormat="1" ht="12.75" thickBot="1">
      <c r="A193" s="83" t="s">
        <v>43</v>
      </c>
      <c r="B193" s="64" t="s">
        <v>1000</v>
      </c>
      <c r="C193" s="1049">
        <f t="shared" ref="C193:F193" si="38">+C194+C204+C205+C206</f>
        <v>0</v>
      </c>
      <c r="D193" s="28">
        <f t="shared" si="38"/>
        <v>0</v>
      </c>
      <c r="E193" s="28">
        <f t="shared" si="38"/>
        <v>0</v>
      </c>
      <c r="F193" s="1408" t="str">
        <f t="shared" si="32"/>
        <v>-</v>
      </c>
      <c r="G193" s="27">
        <f>+G194+G204+G205+G206</f>
        <v>0</v>
      </c>
      <c r="H193" s="28">
        <f>+H194+H204+H205+H206</f>
        <v>0</v>
      </c>
      <c r="I193" s="29">
        <f>+I194+I204+I205+I206</f>
        <v>0</v>
      </c>
      <c r="J193" s="712">
        <f>+E193/$E$208</f>
        <v>0</v>
      </c>
      <c r="K193" s="3">
        <f>+E193-G193-H193-I193</f>
        <v>0</v>
      </c>
    </row>
    <row r="194" spans="1:11">
      <c r="A194" s="84" t="s">
        <v>78</v>
      </c>
      <c r="B194" s="65" t="s">
        <v>1043</v>
      </c>
      <c r="C194" s="1051">
        <f t="shared" ref="C194:F194" si="39">+C195+C196+C197+C198+C199+C200+C201+C202+C203</f>
        <v>0</v>
      </c>
      <c r="D194" s="10">
        <f t="shared" si="39"/>
        <v>0</v>
      </c>
      <c r="E194" s="10">
        <f t="shared" si="39"/>
        <v>0</v>
      </c>
      <c r="F194" s="1410" t="str">
        <f t="shared" si="32"/>
        <v>-</v>
      </c>
      <c r="G194" s="34">
        <f>+G195+G196+G197+G198+G199+G200+G201+G202+G203</f>
        <v>0</v>
      </c>
      <c r="H194" s="10">
        <f>+H195+H196+H197+H198+H199+H200+H201+H202+H203</f>
        <v>0</v>
      </c>
      <c r="I194" s="35">
        <f>+I195+I196+I197+I198+I199+I200+I201+I202+I203</f>
        <v>0</v>
      </c>
      <c r="K194" s="4">
        <f>+E194-G194-H194-I194</f>
        <v>0</v>
      </c>
    </row>
    <row r="195" spans="1:11" s="13" customFormat="1">
      <c r="A195" s="86" t="s">
        <v>213</v>
      </c>
      <c r="B195" s="66" t="s">
        <v>170</v>
      </c>
      <c r="C195" s="502">
        <f>+'1.1.mell._ÖNK_Mérleg2018'!C195+'1.2.mell._HKÖH_Mérleg2018'!C195+'1.3.mell._HVÓBKI_Mérleg2018'!C195+'1.4.mell._HKK_Mérleg2018'!C195+'1.5._mell._MŐSZ_Mérleg2018'!C195+'1.6._mell._HVGYKCSSZ_Mérleg2018'!C195</f>
        <v>0</v>
      </c>
      <c r="D195" s="12">
        <f>+'1.1.mell._ÖNK_Mérleg2018'!D195+'1.2.mell._HKÖH_Mérleg2018'!D195+'1.3.mell._HVÓBKI_Mérleg2018'!D195+'1.4.mell._HKK_Mérleg2018'!D195+'1.5._mell._MŐSZ_Mérleg2018'!D195+'1.6._mell._HVGYKCSSZ_Mérleg2018'!D195</f>
        <v>0</v>
      </c>
      <c r="E195" s="12">
        <f>+'1.1.mell._ÖNK_Mérleg2018'!E195+'1.2.mell._HKÖH_Mérleg2018'!E195+'1.3.mell._HVÓBKI_Mérleg2018'!E195+'1.4.mell._HKK_Mérleg2018'!E195+'1.5._mell._MŐSZ_Mérleg2018'!E195+'1.6._mell._HVGYKCSSZ_Mérleg2018'!E195</f>
        <v>0</v>
      </c>
      <c r="F195" s="1412" t="str">
        <f t="shared" si="32"/>
        <v>-</v>
      </c>
      <c r="G195" s="19">
        <f>+'1.1.mell._ÖNK_Mérleg2018'!G195+'1.2.mell._HKÖH_Mérleg2018'!G195+'1.3.mell._HVÓBKI_Mérleg2018'!G195+'1.4.mell._HKK_Mérleg2018'!G195+'1.5._mell._MŐSZ_Mérleg2018'!G195+'1.6._mell._HVGYKCSSZ_Mérleg2018'!G195</f>
        <v>0</v>
      </c>
      <c r="H195" s="12">
        <f>+'1.1.mell._ÖNK_Mérleg2018'!H195+'1.2.mell._HKÖH_Mérleg2018'!H195+'1.3.mell._HVÓBKI_Mérleg2018'!H195+'1.4.mell._HKK_Mérleg2018'!H195+'1.5._mell._MŐSZ_Mérleg2018'!H195+'1.6._mell._HVGYKCSSZ_Mérleg2018'!H195</f>
        <v>0</v>
      </c>
      <c r="I195" s="15">
        <f>+'1.1.mell._ÖNK_Mérleg2018'!I195+'1.2.mell._HKÖH_Mérleg2018'!I195+'1.3.mell._HVÓBKI_Mérleg2018'!I195+'1.4.mell._HKK_Mérleg2018'!I195+'1.5._mell._MŐSZ_Mérleg2018'!I195+'1.6._mell._HVGYKCSSZ_Mérleg2018'!I195</f>
        <v>0</v>
      </c>
      <c r="K195" s="13">
        <f>+E195-G195-H195-I195</f>
        <v>0</v>
      </c>
    </row>
    <row r="196" spans="1:11" s="13" customFormat="1">
      <c r="A196" s="86" t="s">
        <v>214</v>
      </c>
      <c r="B196" s="66" t="s">
        <v>171</v>
      </c>
      <c r="C196" s="502">
        <f>+'1.1.mell._ÖNK_Mérleg2018'!C196+'1.2.mell._HKÖH_Mérleg2018'!C196+'1.3.mell._HVÓBKI_Mérleg2018'!C196+'1.4.mell._HKK_Mérleg2018'!C196+'1.5._mell._MŐSZ_Mérleg2018'!C196+'1.6._mell._HVGYKCSSZ_Mérleg2018'!C196</f>
        <v>0</v>
      </c>
      <c r="D196" s="12">
        <f>+'1.1.mell._ÖNK_Mérleg2018'!D196+'1.2.mell._HKÖH_Mérleg2018'!D196+'1.3.mell._HVÓBKI_Mérleg2018'!D196+'1.4.mell._HKK_Mérleg2018'!D196+'1.5._mell._MŐSZ_Mérleg2018'!D196+'1.6._mell._HVGYKCSSZ_Mérleg2018'!D196</f>
        <v>0</v>
      </c>
      <c r="E196" s="12">
        <f>+'1.1.mell._ÖNK_Mérleg2018'!E196+'1.2.mell._HKÖH_Mérleg2018'!E196+'1.3.mell._HVÓBKI_Mérleg2018'!E196+'1.4.mell._HKK_Mérleg2018'!E196+'1.5._mell._MŐSZ_Mérleg2018'!E196+'1.6._mell._HVGYKCSSZ_Mérleg2018'!E196</f>
        <v>0</v>
      </c>
      <c r="F196" s="1412" t="str">
        <f t="shared" si="32"/>
        <v>-</v>
      </c>
      <c r="G196" s="19">
        <f>+'1.1.mell._ÖNK_Mérleg2018'!G196+'1.2.mell._HKÖH_Mérleg2018'!G196+'1.3.mell._HVÓBKI_Mérleg2018'!G196+'1.4.mell._HKK_Mérleg2018'!G196+'1.5._mell._MŐSZ_Mérleg2018'!G196+'1.6._mell._HVGYKCSSZ_Mérleg2018'!G196</f>
        <v>0</v>
      </c>
      <c r="H196" s="12">
        <f>+'1.1.mell._ÖNK_Mérleg2018'!H196+'1.2.mell._HKÖH_Mérleg2018'!H196+'1.3.mell._HVÓBKI_Mérleg2018'!H196+'1.4.mell._HKK_Mérleg2018'!H196+'1.5._mell._MŐSZ_Mérleg2018'!H196+'1.6._mell._HVGYKCSSZ_Mérleg2018'!H196</f>
        <v>0</v>
      </c>
      <c r="I196" s="15">
        <f>+'1.1.mell._ÖNK_Mérleg2018'!I196+'1.2.mell._HKÖH_Mérleg2018'!I196+'1.3.mell._HVÓBKI_Mérleg2018'!I196+'1.4.mell._HKK_Mérleg2018'!I196+'1.5._mell._MŐSZ_Mérleg2018'!I196+'1.6._mell._HVGYKCSSZ_Mérleg2018'!I196</f>
        <v>0</v>
      </c>
      <c r="K196" s="13">
        <f>+E196-G196-H196-I196</f>
        <v>0</v>
      </c>
    </row>
    <row r="197" spans="1:11" s="13" customFormat="1">
      <c r="A197" s="86" t="s">
        <v>215</v>
      </c>
      <c r="B197" s="66" t="s">
        <v>172</v>
      </c>
      <c r="C197" s="502">
        <f>+'1.1.mell._ÖNK_Mérleg2018'!C197+'1.2.mell._HKÖH_Mérleg2018'!C197+'1.3.mell._HVÓBKI_Mérleg2018'!C197+'1.4.mell._HKK_Mérleg2018'!C197+'1.5._mell._MŐSZ_Mérleg2018'!C197+'1.6._mell._HVGYKCSSZ_Mérleg2018'!C197</f>
        <v>0</v>
      </c>
      <c r="D197" s="12">
        <f>+'1.1.mell._ÖNK_Mérleg2018'!D197+'1.2.mell._HKÖH_Mérleg2018'!D197+'1.3.mell._HVÓBKI_Mérleg2018'!D197+'1.4.mell._HKK_Mérleg2018'!D197+'1.5._mell._MŐSZ_Mérleg2018'!D197+'1.6._mell._HVGYKCSSZ_Mérleg2018'!D197</f>
        <v>0</v>
      </c>
      <c r="E197" s="12">
        <f>+'1.1.mell._ÖNK_Mérleg2018'!E197+'1.2.mell._HKÖH_Mérleg2018'!E197+'1.3.mell._HVÓBKI_Mérleg2018'!E197+'1.4.mell._HKK_Mérleg2018'!E197+'1.5._mell._MŐSZ_Mérleg2018'!E197+'1.6._mell._HVGYKCSSZ_Mérleg2018'!E197</f>
        <v>0</v>
      </c>
      <c r="F197" s="1412" t="str">
        <f t="shared" si="32"/>
        <v>-</v>
      </c>
      <c r="G197" s="19">
        <f>+'1.1.mell._ÖNK_Mérleg2018'!G197+'1.2.mell._HKÖH_Mérleg2018'!G197+'1.3.mell._HVÓBKI_Mérleg2018'!G197+'1.4.mell._HKK_Mérleg2018'!G197+'1.5._mell._MŐSZ_Mérleg2018'!G197+'1.6._mell._HVGYKCSSZ_Mérleg2018'!G197</f>
        <v>0</v>
      </c>
      <c r="H197" s="12">
        <f>+'1.1.mell._ÖNK_Mérleg2018'!H197+'1.2.mell._HKÖH_Mérleg2018'!H197+'1.3.mell._HVÓBKI_Mérleg2018'!H197+'1.4.mell._HKK_Mérleg2018'!H197+'1.5._mell._MŐSZ_Mérleg2018'!H197+'1.6._mell._HVGYKCSSZ_Mérleg2018'!H197</f>
        <v>0</v>
      </c>
      <c r="I197" s="15">
        <f>+'1.1.mell._ÖNK_Mérleg2018'!I197+'1.2.mell._HKÖH_Mérleg2018'!I197+'1.3.mell._HVÓBKI_Mérleg2018'!I197+'1.4.mell._HKK_Mérleg2018'!I197+'1.5._mell._MŐSZ_Mérleg2018'!I197+'1.6._mell._HVGYKCSSZ_Mérleg2018'!I197</f>
        <v>0</v>
      </c>
      <c r="K197" s="13">
        <f>+E197-G197-H197-I197</f>
        <v>0</v>
      </c>
    </row>
    <row r="198" spans="1:11" s="13" customFormat="1">
      <c r="A198" s="86" t="s">
        <v>216</v>
      </c>
      <c r="B198" s="66" t="s">
        <v>173</v>
      </c>
      <c r="C198" s="502">
        <f>+'1.1.mell._ÖNK_Mérleg2018'!C198+'1.2.mell._HKÖH_Mérleg2018'!C198+'1.3.mell._HVÓBKI_Mérleg2018'!C198+'1.4.mell._HKK_Mérleg2018'!C198+'1.5._mell._MŐSZ_Mérleg2018'!C198+'1.6._mell._HVGYKCSSZ_Mérleg2018'!C198</f>
        <v>0</v>
      </c>
      <c r="D198" s="12">
        <f>+'1.1.mell._ÖNK_Mérleg2018'!D198+'1.2.mell._HKÖH_Mérleg2018'!D198+'1.3.mell._HVÓBKI_Mérleg2018'!D198+'1.4.mell._HKK_Mérleg2018'!D198+'1.5._mell._MŐSZ_Mérleg2018'!D198+'1.6._mell._HVGYKCSSZ_Mérleg2018'!D198</f>
        <v>0</v>
      </c>
      <c r="E198" s="12">
        <f>+'1.1.mell._ÖNK_Mérleg2018'!E198+'1.2.mell._HKÖH_Mérleg2018'!E198+'1.3.mell._HVÓBKI_Mérleg2018'!E198+'1.4.mell._HKK_Mérleg2018'!E198+'1.5._mell._MŐSZ_Mérleg2018'!E198+'1.6._mell._HVGYKCSSZ_Mérleg2018'!E198</f>
        <v>0</v>
      </c>
      <c r="F198" s="1412" t="str">
        <f t="shared" si="32"/>
        <v>-</v>
      </c>
      <c r="G198" s="19">
        <f>+'1.1.mell._ÖNK_Mérleg2018'!G198+'1.2.mell._HKÖH_Mérleg2018'!G198+'1.3.mell._HVÓBKI_Mérleg2018'!G198+'1.4.mell._HKK_Mérleg2018'!G198+'1.5._mell._MŐSZ_Mérleg2018'!G198+'1.6._mell._HVGYKCSSZ_Mérleg2018'!G198</f>
        <v>0</v>
      </c>
      <c r="H198" s="12">
        <f>+'1.1.mell._ÖNK_Mérleg2018'!H198+'1.2.mell._HKÖH_Mérleg2018'!H198+'1.3.mell._HVÓBKI_Mérleg2018'!H198+'1.4.mell._HKK_Mérleg2018'!H198+'1.5._mell._MŐSZ_Mérleg2018'!H198+'1.6._mell._HVGYKCSSZ_Mérleg2018'!H198</f>
        <v>0</v>
      </c>
      <c r="I198" s="15">
        <f>+'1.1.mell._ÖNK_Mérleg2018'!I198+'1.2.mell._HKÖH_Mérleg2018'!I198+'1.3.mell._HVÓBKI_Mérleg2018'!I198+'1.4.mell._HKK_Mérleg2018'!I198+'1.5._mell._MŐSZ_Mérleg2018'!I198+'1.6._mell._HVGYKCSSZ_Mérleg2018'!I198</f>
        <v>0</v>
      </c>
      <c r="K198" s="13">
        <f>+E198-G198-H198-I198</f>
        <v>0</v>
      </c>
    </row>
    <row r="199" spans="1:11" s="13" customFormat="1">
      <c r="A199" s="103" t="s">
        <v>217</v>
      </c>
      <c r="B199" s="104" t="s">
        <v>174</v>
      </c>
      <c r="C199" s="1064"/>
      <c r="D199" s="106"/>
      <c r="E199" s="106"/>
      <c r="F199" s="1413" t="str">
        <f t="shared" si="32"/>
        <v>-</v>
      </c>
      <c r="G199" s="105"/>
      <c r="H199" s="106"/>
      <c r="I199" s="107"/>
      <c r="K199" s="117">
        <f>+E199-G199-H199-I199</f>
        <v>0</v>
      </c>
    </row>
    <row r="200" spans="1:11" s="13" customFormat="1">
      <c r="A200" s="86" t="s">
        <v>218</v>
      </c>
      <c r="B200" s="66" t="s">
        <v>179</v>
      </c>
      <c r="C200" s="502">
        <f>+'1.1.mell._ÖNK_Mérleg2018'!C200+'1.2.mell._HKÖH_Mérleg2018'!C200+'1.3.mell._HVÓBKI_Mérleg2018'!C200+'1.4.mell._HKK_Mérleg2018'!C200+'1.5._mell._MŐSZ_Mérleg2018'!C200+'1.6._mell._HVGYKCSSZ_Mérleg2018'!C200</f>
        <v>0</v>
      </c>
      <c r="D200" s="12">
        <f>+'1.1.mell._ÖNK_Mérleg2018'!D200+'1.2.mell._HKÖH_Mérleg2018'!D200+'1.3.mell._HVÓBKI_Mérleg2018'!D200+'1.4.mell._HKK_Mérleg2018'!D200+'1.5._mell._MŐSZ_Mérleg2018'!D200+'1.6._mell._HVGYKCSSZ_Mérleg2018'!D200</f>
        <v>0</v>
      </c>
      <c r="E200" s="12">
        <f>+'1.1.mell._ÖNK_Mérleg2018'!E200+'1.2.mell._HKÖH_Mérleg2018'!E200+'1.3.mell._HVÓBKI_Mérleg2018'!E200+'1.4.mell._HKK_Mérleg2018'!E200+'1.5._mell._MŐSZ_Mérleg2018'!E200+'1.6._mell._HVGYKCSSZ_Mérleg2018'!E200</f>
        <v>0</v>
      </c>
      <c r="F200" s="1412" t="str">
        <f t="shared" si="32"/>
        <v>-</v>
      </c>
      <c r="G200" s="19">
        <f>+'1.1.mell._ÖNK_Mérleg2018'!G200+'1.2.mell._HKÖH_Mérleg2018'!G200+'1.3.mell._HVÓBKI_Mérleg2018'!G200+'1.4.mell._HKK_Mérleg2018'!G200+'1.5._mell._MŐSZ_Mérleg2018'!G200+'1.6._mell._HVGYKCSSZ_Mérleg2018'!G200</f>
        <v>0</v>
      </c>
      <c r="H200" s="12">
        <f>+'1.1.mell._ÖNK_Mérleg2018'!H200+'1.2.mell._HKÖH_Mérleg2018'!H200+'1.3.mell._HVÓBKI_Mérleg2018'!H200+'1.4.mell._HKK_Mérleg2018'!H200+'1.5._mell._MŐSZ_Mérleg2018'!H200+'1.6._mell._HVGYKCSSZ_Mérleg2018'!H200</f>
        <v>0</v>
      </c>
      <c r="I200" s="15">
        <f>+'1.1.mell._ÖNK_Mérleg2018'!I200+'1.2.mell._HKÖH_Mérleg2018'!I200+'1.3.mell._HVÓBKI_Mérleg2018'!I200+'1.4.mell._HKK_Mérleg2018'!I200+'1.5._mell._MŐSZ_Mérleg2018'!I200+'1.6._mell._HVGYKCSSZ_Mérleg2018'!I200</f>
        <v>0</v>
      </c>
      <c r="K200" s="13">
        <f>+E200-G200-H200-I200</f>
        <v>0</v>
      </c>
    </row>
    <row r="201" spans="1:11" s="13" customFormat="1">
      <c r="A201" s="86" t="s">
        <v>219</v>
      </c>
      <c r="B201" s="66" t="s">
        <v>175</v>
      </c>
      <c r="C201" s="502">
        <f>+'1.1.mell._ÖNK_Mérleg2018'!C201+'1.2.mell._HKÖH_Mérleg2018'!C201+'1.3.mell._HVÓBKI_Mérleg2018'!C201+'1.4.mell._HKK_Mérleg2018'!C201+'1.5._mell._MŐSZ_Mérleg2018'!C201+'1.6._mell._HVGYKCSSZ_Mérleg2018'!C201</f>
        <v>0</v>
      </c>
      <c r="D201" s="12">
        <f>+'1.1.mell._ÖNK_Mérleg2018'!D201+'1.2.mell._HKÖH_Mérleg2018'!D201+'1.3.mell._HVÓBKI_Mérleg2018'!D201+'1.4.mell._HKK_Mérleg2018'!D201+'1.5._mell._MŐSZ_Mérleg2018'!D201+'1.6._mell._HVGYKCSSZ_Mérleg2018'!D201</f>
        <v>0</v>
      </c>
      <c r="E201" s="12">
        <f>+'1.1.mell._ÖNK_Mérleg2018'!E201+'1.2.mell._HKÖH_Mérleg2018'!E201+'1.3.mell._HVÓBKI_Mérleg2018'!E201+'1.4.mell._HKK_Mérleg2018'!E201+'1.5._mell._MŐSZ_Mérleg2018'!E201+'1.6._mell._HVGYKCSSZ_Mérleg2018'!E201</f>
        <v>0</v>
      </c>
      <c r="F201" s="1412" t="str">
        <f t="shared" si="32"/>
        <v>-</v>
      </c>
      <c r="G201" s="19">
        <f>+'1.1.mell._ÖNK_Mérleg2018'!G201+'1.2.mell._HKÖH_Mérleg2018'!G201+'1.3.mell._HVÓBKI_Mérleg2018'!G201+'1.4.mell._HKK_Mérleg2018'!G201+'1.5._mell._MŐSZ_Mérleg2018'!G201+'1.6._mell._HVGYKCSSZ_Mérleg2018'!G201</f>
        <v>0</v>
      </c>
      <c r="H201" s="12">
        <f>+'1.1.mell._ÖNK_Mérleg2018'!H201+'1.2.mell._HKÖH_Mérleg2018'!H201+'1.3.mell._HVÓBKI_Mérleg2018'!H201+'1.4.mell._HKK_Mérleg2018'!H201+'1.5._mell._MŐSZ_Mérleg2018'!H201+'1.6._mell._HVGYKCSSZ_Mérleg2018'!H201</f>
        <v>0</v>
      </c>
      <c r="I201" s="15">
        <f>+'1.1.mell._ÖNK_Mérleg2018'!I201+'1.2.mell._HKÖH_Mérleg2018'!I201+'1.3.mell._HVÓBKI_Mérleg2018'!I201+'1.4.mell._HKK_Mérleg2018'!I201+'1.5._mell._MŐSZ_Mérleg2018'!I201+'1.6._mell._HVGYKCSSZ_Mérleg2018'!I201</f>
        <v>0</v>
      </c>
      <c r="K201" s="13">
        <f>+E201-G201-H201-I201</f>
        <v>0</v>
      </c>
    </row>
    <row r="202" spans="1:11" s="13" customFormat="1">
      <c r="A202" s="86" t="s">
        <v>220</v>
      </c>
      <c r="B202" s="66" t="s">
        <v>176</v>
      </c>
      <c r="C202" s="502">
        <f>+'1.1.mell._ÖNK_Mérleg2018'!C202+'1.2.mell._HKÖH_Mérleg2018'!C202+'1.3.mell._HVÓBKI_Mérleg2018'!C202+'1.4.mell._HKK_Mérleg2018'!C202+'1.5._mell._MŐSZ_Mérleg2018'!C202+'1.6._mell._HVGYKCSSZ_Mérleg2018'!C202</f>
        <v>0</v>
      </c>
      <c r="D202" s="12">
        <f>+'1.1.mell._ÖNK_Mérleg2018'!D202+'1.2.mell._HKÖH_Mérleg2018'!D202+'1.3.mell._HVÓBKI_Mérleg2018'!D202+'1.4.mell._HKK_Mérleg2018'!D202+'1.5._mell._MŐSZ_Mérleg2018'!D202+'1.6._mell._HVGYKCSSZ_Mérleg2018'!D202</f>
        <v>0</v>
      </c>
      <c r="E202" s="12">
        <f>+'1.1.mell._ÖNK_Mérleg2018'!E202+'1.2.mell._HKÖH_Mérleg2018'!E202+'1.3.mell._HVÓBKI_Mérleg2018'!E202+'1.4.mell._HKK_Mérleg2018'!E202+'1.5._mell._MŐSZ_Mérleg2018'!E202+'1.6._mell._HVGYKCSSZ_Mérleg2018'!E202</f>
        <v>0</v>
      </c>
      <c r="F202" s="1412" t="str">
        <f t="shared" si="32"/>
        <v>-</v>
      </c>
      <c r="G202" s="19">
        <f>+'1.1.mell._ÖNK_Mérleg2018'!G202+'1.2.mell._HKÖH_Mérleg2018'!G202+'1.3.mell._HVÓBKI_Mérleg2018'!G202+'1.4.mell._HKK_Mérleg2018'!G202+'1.5._mell._MŐSZ_Mérleg2018'!G202+'1.6._mell._HVGYKCSSZ_Mérleg2018'!G202</f>
        <v>0</v>
      </c>
      <c r="H202" s="12">
        <f>+'1.1.mell._ÖNK_Mérleg2018'!H202+'1.2.mell._HKÖH_Mérleg2018'!H202+'1.3.mell._HVÓBKI_Mérleg2018'!H202+'1.4.mell._HKK_Mérleg2018'!H202+'1.5._mell._MŐSZ_Mérleg2018'!H202+'1.6._mell._HVGYKCSSZ_Mérleg2018'!H202</f>
        <v>0</v>
      </c>
      <c r="I202" s="15">
        <f>+'1.1.mell._ÖNK_Mérleg2018'!I202+'1.2.mell._HKÖH_Mérleg2018'!I202+'1.3.mell._HVÓBKI_Mérleg2018'!I202+'1.4.mell._HKK_Mérleg2018'!I202+'1.5._mell._MŐSZ_Mérleg2018'!I202+'1.6._mell._HVGYKCSSZ_Mérleg2018'!I202</f>
        <v>0</v>
      </c>
      <c r="K202" s="13">
        <f>+E202-G202-H202-I202</f>
        <v>0</v>
      </c>
    </row>
    <row r="203" spans="1:11" s="13" customFormat="1">
      <c r="A203" s="86" t="s">
        <v>999</v>
      </c>
      <c r="B203" s="66" t="s">
        <v>1001</v>
      </c>
      <c r="C203" s="502">
        <f>+'1.1.mell._ÖNK_Mérleg2018'!C203+'1.2.mell._HKÖH_Mérleg2018'!C203+'1.3.mell._HVÓBKI_Mérleg2018'!C203+'1.4.mell._HKK_Mérleg2018'!C203+'1.5._mell._MŐSZ_Mérleg2018'!C203+'1.6._mell._HVGYKCSSZ_Mérleg2018'!C203</f>
        <v>0</v>
      </c>
      <c r="D203" s="12">
        <f>+'1.1.mell._ÖNK_Mérleg2018'!D203+'1.2.mell._HKÖH_Mérleg2018'!D203+'1.3.mell._HVÓBKI_Mérleg2018'!D203+'1.4.mell._HKK_Mérleg2018'!D203+'1.5._mell._MŐSZ_Mérleg2018'!D203+'1.6._mell._HVGYKCSSZ_Mérleg2018'!D203</f>
        <v>0</v>
      </c>
      <c r="E203" s="12">
        <f>+'1.1.mell._ÖNK_Mérleg2018'!E203+'1.2.mell._HKÖH_Mérleg2018'!E203+'1.3.mell._HVÓBKI_Mérleg2018'!E203+'1.4.mell._HKK_Mérleg2018'!E203+'1.5._mell._MŐSZ_Mérleg2018'!E203+'1.6._mell._HVGYKCSSZ_Mérleg2018'!E203</f>
        <v>0</v>
      </c>
      <c r="F203" s="1412" t="str">
        <f t="shared" si="32"/>
        <v>-</v>
      </c>
      <c r="G203" s="19">
        <f>+'1.1.mell._ÖNK_Mérleg2018'!G203+'1.2.mell._HKÖH_Mérleg2018'!G203+'1.3.mell._HVÓBKI_Mérleg2018'!G203+'1.4.mell._HKK_Mérleg2018'!G203+'1.5._mell._MŐSZ_Mérleg2018'!G203+'1.6._mell._HVGYKCSSZ_Mérleg2018'!G203</f>
        <v>0</v>
      </c>
      <c r="H203" s="12">
        <f>+'1.1.mell._ÖNK_Mérleg2018'!H203+'1.2.mell._HKÖH_Mérleg2018'!H203+'1.3.mell._HVÓBKI_Mérleg2018'!H203+'1.4.mell._HKK_Mérleg2018'!H203+'1.5._mell._MŐSZ_Mérleg2018'!H203+'1.6._mell._HVGYKCSSZ_Mérleg2018'!H203</f>
        <v>0</v>
      </c>
      <c r="I203" s="15">
        <f>+'1.1.mell._ÖNK_Mérleg2018'!I203+'1.2.mell._HKÖH_Mérleg2018'!I203+'1.3.mell._HVÓBKI_Mérleg2018'!I203+'1.4.mell._HKK_Mérleg2018'!I203+'1.5._mell._MŐSZ_Mérleg2018'!I203+'1.6._mell._HVGYKCSSZ_Mérleg2018'!I203</f>
        <v>0</v>
      </c>
      <c r="K203" s="13">
        <f>+E203-G203-H203-I203</f>
        <v>0</v>
      </c>
    </row>
    <row r="204" spans="1:11">
      <c r="A204" s="85" t="s">
        <v>79</v>
      </c>
      <c r="B204" s="67" t="s">
        <v>177</v>
      </c>
      <c r="C204" s="501">
        <f>+'1.1.mell._ÖNK_Mérleg2018'!C204+'1.2.mell._HKÖH_Mérleg2018'!C204+'1.3.mell._HVÓBKI_Mérleg2018'!C204+'1.4.mell._HKK_Mérleg2018'!C204+'1.5._mell._MŐSZ_Mérleg2018'!C204+'1.6._mell._HVGYKCSSZ_Mérleg2018'!C204</f>
        <v>0</v>
      </c>
      <c r="D204" s="11">
        <f>+'1.1.mell._ÖNK_Mérleg2018'!D204+'1.2.mell._HKÖH_Mérleg2018'!D204+'1.3.mell._HVÓBKI_Mérleg2018'!D204+'1.4.mell._HKK_Mérleg2018'!D204+'1.5._mell._MŐSZ_Mérleg2018'!D204+'1.6._mell._HVGYKCSSZ_Mérleg2018'!D204</f>
        <v>0</v>
      </c>
      <c r="E204" s="11">
        <f>+'1.1.mell._ÖNK_Mérleg2018'!E204+'1.2.mell._HKÖH_Mérleg2018'!E204+'1.3.mell._HVÓBKI_Mérleg2018'!E204+'1.4.mell._HKK_Mérleg2018'!E204+'1.5._mell._MŐSZ_Mérleg2018'!E204+'1.6._mell._HVGYKCSSZ_Mérleg2018'!E204</f>
        <v>0</v>
      </c>
      <c r="F204" s="1412" t="str">
        <f t="shared" si="32"/>
        <v>-</v>
      </c>
      <c r="G204" s="20">
        <f>+'1.1.mell._ÖNK_Mérleg2018'!G204+'1.2.mell._HKÖH_Mérleg2018'!G204+'1.3.mell._HVÓBKI_Mérleg2018'!G204+'1.4.mell._HKK_Mérleg2018'!G204+'1.5._mell._MŐSZ_Mérleg2018'!G204+'1.6._mell._HVGYKCSSZ_Mérleg2018'!G204</f>
        <v>0</v>
      </c>
      <c r="H204" s="11">
        <f>+'1.1.mell._ÖNK_Mérleg2018'!H204+'1.2.mell._HKÖH_Mérleg2018'!H204+'1.3.mell._HVÓBKI_Mérleg2018'!H204+'1.4.mell._HKK_Mérleg2018'!H204+'1.5._mell._MŐSZ_Mérleg2018'!H204+'1.6._mell._HVGYKCSSZ_Mérleg2018'!H204</f>
        <v>0</v>
      </c>
      <c r="I204" s="16">
        <f>+'1.1.mell._ÖNK_Mérleg2018'!I204+'1.2.mell._HKÖH_Mérleg2018'!I204+'1.3.mell._HVÓBKI_Mérleg2018'!I204+'1.4.mell._HKK_Mérleg2018'!I204+'1.5._mell._MŐSZ_Mérleg2018'!I204+'1.6._mell._HVGYKCSSZ_Mérleg2018'!I204</f>
        <v>0</v>
      </c>
      <c r="K204" s="4">
        <f>+E204-G204-H204-I204</f>
        <v>0</v>
      </c>
    </row>
    <row r="205" spans="1:11">
      <c r="A205" s="78" t="s">
        <v>221</v>
      </c>
      <c r="B205" s="68" t="s">
        <v>178</v>
      </c>
      <c r="C205" s="500">
        <f>+'1.1.mell._ÖNK_Mérleg2018'!C205+'1.2.mell._HKÖH_Mérleg2018'!C205+'1.3.mell._HVÓBKI_Mérleg2018'!C205+'1.4.mell._HKK_Mérleg2018'!C205+'1.5._mell._MŐSZ_Mérleg2018'!C205+'1.6._mell._HVGYKCSSZ_Mérleg2018'!C205</f>
        <v>0</v>
      </c>
      <c r="D205" s="22">
        <f>+'1.1.mell._ÖNK_Mérleg2018'!D205+'1.2.mell._HKÖH_Mérleg2018'!D205+'1.3.mell._HVÓBKI_Mérleg2018'!D205+'1.4.mell._HKK_Mérleg2018'!D205+'1.5._mell._MŐSZ_Mérleg2018'!D205+'1.6._mell._HVGYKCSSZ_Mérleg2018'!D205</f>
        <v>0</v>
      </c>
      <c r="E205" s="22">
        <f>+'1.1.mell._ÖNK_Mérleg2018'!E205+'1.2.mell._HKÖH_Mérleg2018'!E205+'1.3.mell._HVÓBKI_Mérleg2018'!E205+'1.4.mell._HKK_Mérleg2018'!E205+'1.5._mell._MŐSZ_Mérleg2018'!E205+'1.6._mell._HVGYKCSSZ_Mérleg2018'!E205</f>
        <v>0</v>
      </c>
      <c r="F205" s="1411" t="str">
        <f t="shared" si="32"/>
        <v>-</v>
      </c>
      <c r="G205" s="21">
        <f>+'1.1.mell._ÖNK_Mérleg2018'!G205+'1.2.mell._HKÖH_Mérleg2018'!G205+'1.3.mell._HVÓBKI_Mérleg2018'!G205+'1.4.mell._HKK_Mérleg2018'!G205+'1.5._mell._MŐSZ_Mérleg2018'!G205+'1.6._mell._HVGYKCSSZ_Mérleg2018'!G205</f>
        <v>0</v>
      </c>
      <c r="H205" s="22">
        <f>+'1.1.mell._ÖNK_Mérleg2018'!H205+'1.2.mell._HKÖH_Mérleg2018'!H205+'1.3.mell._HVÓBKI_Mérleg2018'!H205+'1.4.mell._HKK_Mérleg2018'!H205+'1.5._mell._MŐSZ_Mérleg2018'!H205+'1.6._mell._HVGYKCSSZ_Mérleg2018'!H205</f>
        <v>0</v>
      </c>
      <c r="I205" s="23">
        <f>+'1.1.mell._ÖNK_Mérleg2018'!I205+'1.2.mell._HKÖH_Mérleg2018'!I205+'1.3.mell._HVÓBKI_Mérleg2018'!I205+'1.4.mell._HKK_Mérleg2018'!I205+'1.5._mell._MŐSZ_Mérleg2018'!I205+'1.6._mell._HVGYKCSSZ_Mérleg2018'!I205</f>
        <v>0</v>
      </c>
      <c r="K205" s="4">
        <f>+E205-G205-H205-I205</f>
        <v>0</v>
      </c>
    </row>
    <row r="206" spans="1:11" ht="12.75" thickBot="1">
      <c r="A206" s="78" t="s">
        <v>1003</v>
      </c>
      <c r="B206" s="68" t="s">
        <v>1002</v>
      </c>
      <c r="C206" s="500">
        <f>+'1.1.mell._ÖNK_Mérleg2018'!C206+'1.2.mell._HKÖH_Mérleg2018'!C206+'1.3.mell._HVÓBKI_Mérleg2018'!C206+'1.4.mell._HKK_Mérleg2018'!C206+'1.5._mell._MŐSZ_Mérleg2018'!C206+'1.6._mell._HVGYKCSSZ_Mérleg2018'!C206</f>
        <v>0</v>
      </c>
      <c r="D206" s="22">
        <f>+'1.1.mell._ÖNK_Mérleg2018'!D206+'1.2.mell._HKÖH_Mérleg2018'!D206+'1.3.mell._HVÓBKI_Mérleg2018'!D206+'1.4.mell._HKK_Mérleg2018'!D206+'1.5._mell._MŐSZ_Mérleg2018'!D206+'1.6._mell._HVGYKCSSZ_Mérleg2018'!D206</f>
        <v>0</v>
      </c>
      <c r="E206" s="22">
        <f>+'1.1.mell._ÖNK_Mérleg2018'!E206+'1.2.mell._HKÖH_Mérleg2018'!E206+'1.3.mell._HVÓBKI_Mérleg2018'!E206+'1.4.mell._HKK_Mérleg2018'!E206+'1.5._mell._MŐSZ_Mérleg2018'!E206+'1.6._mell._HVGYKCSSZ_Mérleg2018'!E206</f>
        <v>0</v>
      </c>
      <c r="F206" s="1411" t="str">
        <f t="shared" si="32"/>
        <v>-</v>
      </c>
      <c r="G206" s="21">
        <f>+'1.1.mell._ÖNK_Mérleg2018'!G206+'1.2.mell._HKÖH_Mérleg2018'!G206+'1.3.mell._HVÓBKI_Mérleg2018'!G206+'1.4.mell._HKK_Mérleg2018'!G206+'1.5._mell._MŐSZ_Mérleg2018'!G206+'1.6._mell._HVGYKCSSZ_Mérleg2018'!G206</f>
        <v>0</v>
      </c>
      <c r="H206" s="22">
        <f>+'1.1.mell._ÖNK_Mérleg2018'!H206+'1.2.mell._HKÖH_Mérleg2018'!H206+'1.3.mell._HVÓBKI_Mérleg2018'!H206+'1.4.mell._HKK_Mérleg2018'!H206+'1.5._mell._MŐSZ_Mérleg2018'!H206+'1.6._mell._HVGYKCSSZ_Mérleg2018'!H206</f>
        <v>0</v>
      </c>
      <c r="I206" s="23">
        <f>+'1.1.mell._ÖNK_Mérleg2018'!I206+'1.2.mell._HKÖH_Mérleg2018'!I206+'1.3.mell._HVÓBKI_Mérleg2018'!I206+'1.4.mell._HKK_Mérleg2018'!I206+'1.5._mell._MŐSZ_Mérleg2018'!I206+'1.6._mell._HVGYKCSSZ_Mérleg2018'!I206</f>
        <v>0</v>
      </c>
      <c r="K206" s="4">
        <f>+E206-G206-H206-I206</f>
        <v>0</v>
      </c>
    </row>
    <row r="207" spans="1:11" s="3" customFormat="1" ht="12.75" thickBot="1">
      <c r="A207" s="83" t="s">
        <v>40</v>
      </c>
      <c r="B207" s="69" t="s">
        <v>317</v>
      </c>
      <c r="C207" s="1049">
        <f t="shared" ref="C207:F207" si="40">+C177+C192</f>
        <v>25346</v>
      </c>
      <c r="D207" s="28">
        <f t="shared" si="40"/>
        <v>151382</v>
      </c>
      <c r="E207" s="28">
        <f t="shared" si="40"/>
        <v>110911</v>
      </c>
      <c r="F207" s="1408">
        <f t="shared" si="32"/>
        <v>0.73265645849572603</v>
      </c>
      <c r="G207" s="27">
        <f>+G177+G192</f>
        <v>110911</v>
      </c>
      <c r="H207" s="28">
        <f>+H177+H192</f>
        <v>0</v>
      </c>
      <c r="I207" s="29">
        <f>+I177+I192</f>
        <v>0</v>
      </c>
      <c r="J207" s="712">
        <f>+E207/$E$208</f>
        <v>4.2260712447231744E-2</v>
      </c>
      <c r="K207" s="3">
        <f>+E207-G207-H207-I207</f>
        <v>0</v>
      </c>
    </row>
    <row r="208" spans="1:11" s="3" customFormat="1" ht="12.75" thickBot="1">
      <c r="A208" s="87" t="s">
        <v>39</v>
      </c>
      <c r="B208" s="71" t="s">
        <v>335</v>
      </c>
      <c r="C208" s="1056">
        <f t="shared" ref="C208:F208" si="41">+C176+C207</f>
        <v>3307354</v>
      </c>
      <c r="D208" s="25">
        <f t="shared" si="41"/>
        <v>5914946</v>
      </c>
      <c r="E208" s="25">
        <f t="shared" si="41"/>
        <v>2624447</v>
      </c>
      <c r="F208" s="1414">
        <f t="shared" si="32"/>
        <v>0.44369754178651843</v>
      </c>
      <c r="G208" s="24">
        <f>+G176+G207</f>
        <v>2582095</v>
      </c>
      <c r="H208" s="25">
        <f>+H176+H207</f>
        <v>39016</v>
      </c>
      <c r="I208" s="26">
        <f>+I176+I207</f>
        <v>3336</v>
      </c>
      <c r="J208" s="712">
        <f>+E208/$E$208</f>
        <v>1</v>
      </c>
      <c r="K208" s="3">
        <f>+E208-G208-H208-I208</f>
        <v>0</v>
      </c>
    </row>
    <row r="211" spans="1:30" s="1" customFormat="1" ht="15.75">
      <c r="A211" s="1217" t="s">
        <v>89</v>
      </c>
      <c r="B211" s="1217"/>
      <c r="C211" s="1217"/>
      <c r="D211" s="1217"/>
      <c r="E211" s="1217"/>
      <c r="F211" s="1217"/>
      <c r="G211" s="1217"/>
      <c r="H211" s="1217"/>
      <c r="I211" s="1217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 s="36" customFormat="1" ht="12.75" thickBot="1">
      <c r="A212" s="38" t="s">
        <v>282</v>
      </c>
      <c r="F212" s="1397"/>
      <c r="I212" s="37" t="s">
        <v>281</v>
      </c>
    </row>
    <row r="213" spans="1:30" s="3" customFormat="1" ht="12.75" thickBot="1">
      <c r="A213" s="83" t="s">
        <v>4</v>
      </c>
      <c r="B213" s="69" t="s">
        <v>318</v>
      </c>
      <c r="C213" s="1049">
        <f t="shared" ref="C213:I213" si="42">+C214+C215</f>
        <v>-1814688</v>
      </c>
      <c r="D213" s="28">
        <f t="shared" si="42"/>
        <v>-2155966</v>
      </c>
      <c r="E213" s="28">
        <f t="shared" si="42"/>
        <v>904444</v>
      </c>
      <c r="F213" s="1408">
        <f>IF(ISERROR(E213/D213),"-",E213/D213)</f>
        <v>-0.41950754325439271</v>
      </c>
      <c r="G213" s="27">
        <f t="shared" si="42"/>
        <v>916300</v>
      </c>
      <c r="H213" s="28">
        <f t="shared" si="42"/>
        <v>-11347</v>
      </c>
      <c r="I213" s="29">
        <f t="shared" si="42"/>
        <v>-509</v>
      </c>
      <c r="K213" s="3">
        <f>+E213-G213-H213-I213</f>
        <v>0</v>
      </c>
    </row>
    <row r="214" spans="1:30">
      <c r="A214" s="84" t="s">
        <v>81</v>
      </c>
      <c r="B214" s="72" t="s">
        <v>319</v>
      </c>
      <c r="C214" s="1051">
        <f t="shared" ref="C214:I214" si="43">+C10-C109</f>
        <v>-186492</v>
      </c>
      <c r="D214" s="10">
        <f t="shared" si="43"/>
        <v>-2745233</v>
      </c>
      <c r="E214" s="10">
        <f t="shared" si="43"/>
        <v>269938</v>
      </c>
      <c r="F214" s="1410">
        <f>IF(ISERROR(E214/D214),"-",E214/D214)</f>
        <v>-9.8329722832269609E-2</v>
      </c>
      <c r="G214" s="34">
        <f t="shared" si="43"/>
        <v>282261</v>
      </c>
      <c r="H214" s="10">
        <f t="shared" si="43"/>
        <v>-11814</v>
      </c>
      <c r="I214" s="35">
        <f t="shared" si="43"/>
        <v>-509</v>
      </c>
      <c r="K214" s="4">
        <f>+E214-G214-H214-I214</f>
        <v>0</v>
      </c>
    </row>
    <row r="215" spans="1:30" ht="12.75" thickBot="1">
      <c r="A215" s="88" t="s">
        <v>82</v>
      </c>
      <c r="B215" s="73" t="s">
        <v>320</v>
      </c>
      <c r="C215" s="503">
        <f t="shared" ref="C215:I215" si="44">+C50-C149</f>
        <v>-1628196</v>
      </c>
      <c r="D215" s="17">
        <f t="shared" si="44"/>
        <v>589267</v>
      </c>
      <c r="E215" s="17">
        <f t="shared" si="44"/>
        <v>634506</v>
      </c>
      <c r="F215" s="1416">
        <f>IF(ISERROR(E215/D215),"-",E215/D215)</f>
        <v>1.0767716502027094</v>
      </c>
      <c r="G215" s="40">
        <f t="shared" si="44"/>
        <v>634039</v>
      </c>
      <c r="H215" s="17">
        <f t="shared" si="44"/>
        <v>467</v>
      </c>
      <c r="I215" s="39">
        <f t="shared" si="44"/>
        <v>0</v>
      </c>
      <c r="K215" s="4">
        <f>+E215-G215-H215-I215</f>
        <v>0</v>
      </c>
    </row>
    <row r="218" spans="1:30" s="1" customFormat="1" ht="15.75">
      <c r="A218" s="1217" t="s">
        <v>90</v>
      </c>
      <c r="B218" s="1217"/>
      <c r="C218" s="1217"/>
      <c r="D218" s="1217"/>
      <c r="E218" s="1217"/>
      <c r="F218" s="1217"/>
      <c r="G218" s="1217"/>
      <c r="H218" s="1217"/>
      <c r="I218" s="1217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s="36" customFormat="1" ht="12.75" thickBot="1">
      <c r="A219" s="38" t="s">
        <v>283</v>
      </c>
      <c r="F219" s="1397"/>
      <c r="I219" s="37" t="s">
        <v>281</v>
      </c>
    </row>
    <row r="220" spans="1:30" s="3" customFormat="1" ht="12.75" thickBot="1">
      <c r="A220" s="83" t="s">
        <v>4</v>
      </c>
      <c r="B220" s="69" t="s">
        <v>321</v>
      </c>
      <c r="C220" s="1049">
        <f t="shared" ref="C220:I220" si="45">+C221+C228</f>
        <v>1814688</v>
      </c>
      <c r="D220" s="28">
        <f t="shared" si="45"/>
        <v>2155966</v>
      </c>
      <c r="E220" s="28">
        <f t="shared" si="45"/>
        <v>2196437</v>
      </c>
      <c r="F220" s="1408">
        <f t="shared" ref="F220:F234" si="46">IF(ISERROR(E220/D220),"-",E220/D220)</f>
        <v>1.0187716318346394</v>
      </c>
      <c r="G220" s="27">
        <f t="shared" si="45"/>
        <v>2196425</v>
      </c>
      <c r="H220" s="28">
        <f t="shared" si="45"/>
        <v>12</v>
      </c>
      <c r="I220" s="29">
        <f t="shared" si="45"/>
        <v>0</v>
      </c>
      <c r="K220" s="3">
        <f>+E220-G220-H220-I220</f>
        <v>0</v>
      </c>
    </row>
    <row r="221" spans="1:30" s="3" customFormat="1" ht="12.75" thickBot="1">
      <c r="A221" s="83" t="s">
        <v>5</v>
      </c>
      <c r="B221" s="64" t="s">
        <v>322</v>
      </c>
      <c r="C221" s="1049">
        <f t="shared" ref="C221:I221" si="47">+C222-C225</f>
        <v>1806688</v>
      </c>
      <c r="D221" s="28">
        <f t="shared" si="47"/>
        <v>298178</v>
      </c>
      <c r="E221" s="28">
        <f t="shared" si="47"/>
        <v>338649</v>
      </c>
      <c r="F221" s="1408">
        <f t="shared" si="46"/>
        <v>1.1357276526101858</v>
      </c>
      <c r="G221" s="27">
        <f t="shared" si="47"/>
        <v>338637</v>
      </c>
      <c r="H221" s="28">
        <f t="shared" si="47"/>
        <v>12</v>
      </c>
      <c r="I221" s="29">
        <f t="shared" si="47"/>
        <v>0</v>
      </c>
      <c r="K221" s="3">
        <f>+E221-G221-H221-I221</f>
        <v>0</v>
      </c>
    </row>
    <row r="222" spans="1:30">
      <c r="A222" s="84" t="s">
        <v>54</v>
      </c>
      <c r="B222" s="65" t="s">
        <v>323</v>
      </c>
      <c r="C222" s="1051">
        <f t="shared" ref="C222:I222" si="48">+C223+C224</f>
        <v>1832034</v>
      </c>
      <c r="D222" s="10">
        <f t="shared" si="48"/>
        <v>449560</v>
      </c>
      <c r="E222" s="10">
        <f t="shared" si="48"/>
        <v>449560</v>
      </c>
      <c r="F222" s="1410">
        <f t="shared" si="46"/>
        <v>1</v>
      </c>
      <c r="G222" s="34">
        <f t="shared" si="48"/>
        <v>449548</v>
      </c>
      <c r="H222" s="10">
        <f t="shared" si="48"/>
        <v>12</v>
      </c>
      <c r="I222" s="35">
        <f t="shared" si="48"/>
        <v>0</v>
      </c>
      <c r="K222" s="4">
        <f>+E222-G222-H222-I222</f>
        <v>0</v>
      </c>
    </row>
    <row r="223" spans="1:30" s="13" customFormat="1">
      <c r="A223" s="86" t="s">
        <v>190</v>
      </c>
      <c r="B223" s="66" t="s">
        <v>285</v>
      </c>
      <c r="C223" s="502">
        <f t="shared" ref="C223:I223" si="49">+C76+C80</f>
        <v>1832034</v>
      </c>
      <c r="D223" s="12">
        <f t="shared" si="49"/>
        <v>337324</v>
      </c>
      <c r="E223" s="12">
        <f t="shared" si="49"/>
        <v>337324</v>
      </c>
      <c r="F223" s="1412">
        <f t="shared" si="46"/>
        <v>1</v>
      </c>
      <c r="G223" s="19">
        <f t="shared" si="49"/>
        <v>337312</v>
      </c>
      <c r="H223" s="12">
        <f t="shared" si="49"/>
        <v>12</v>
      </c>
      <c r="I223" s="15">
        <f t="shared" si="49"/>
        <v>0</v>
      </c>
      <c r="K223" s="13">
        <f>+E223-G223-H223-I223</f>
        <v>0</v>
      </c>
    </row>
    <row r="224" spans="1:30" s="13" customFormat="1">
      <c r="A224" s="86" t="s">
        <v>191</v>
      </c>
      <c r="B224" s="66" t="s">
        <v>286</v>
      </c>
      <c r="C224" s="502">
        <f t="shared" ref="C224:I224" si="50">+C74+C75+C77+C78+C79+C81</f>
        <v>0</v>
      </c>
      <c r="D224" s="12">
        <f t="shared" si="50"/>
        <v>112236</v>
      </c>
      <c r="E224" s="12">
        <f t="shared" si="50"/>
        <v>112236</v>
      </c>
      <c r="F224" s="1412">
        <f t="shared" si="46"/>
        <v>1</v>
      </c>
      <c r="G224" s="19">
        <f t="shared" si="50"/>
        <v>112236</v>
      </c>
      <c r="H224" s="12">
        <f t="shared" si="50"/>
        <v>0</v>
      </c>
      <c r="I224" s="15">
        <f t="shared" si="50"/>
        <v>0</v>
      </c>
      <c r="K224" s="13">
        <f>+E224-G224-H224-I224</f>
        <v>0</v>
      </c>
    </row>
    <row r="225" spans="1:30">
      <c r="A225" s="85" t="s">
        <v>55</v>
      </c>
      <c r="B225" s="67" t="s">
        <v>324</v>
      </c>
      <c r="C225" s="501">
        <f t="shared" ref="C225:I225" si="51">+C227</f>
        <v>25346</v>
      </c>
      <c r="D225" s="11">
        <f t="shared" si="51"/>
        <v>151382</v>
      </c>
      <c r="E225" s="11">
        <f t="shared" si="51"/>
        <v>110911</v>
      </c>
      <c r="F225" s="1412">
        <f t="shared" si="46"/>
        <v>0.73265645849572603</v>
      </c>
      <c r="G225" s="20">
        <f t="shared" si="51"/>
        <v>110911</v>
      </c>
      <c r="H225" s="11">
        <f t="shared" si="51"/>
        <v>0</v>
      </c>
      <c r="I225" s="16">
        <f t="shared" si="51"/>
        <v>0</v>
      </c>
      <c r="K225" s="4">
        <f>+E225-G225-H225-I225</f>
        <v>0</v>
      </c>
    </row>
    <row r="226" spans="1:30" s="13" customFormat="1">
      <c r="A226" s="86" t="s">
        <v>56</v>
      </c>
      <c r="B226" s="66" t="s">
        <v>287</v>
      </c>
      <c r="C226" s="502">
        <f t="shared" ref="C226:I226" si="52">+C185</f>
        <v>0</v>
      </c>
      <c r="D226" s="12">
        <f t="shared" si="52"/>
        <v>0</v>
      </c>
      <c r="E226" s="12">
        <f t="shared" si="52"/>
        <v>0</v>
      </c>
      <c r="F226" s="1412" t="str">
        <f t="shared" si="46"/>
        <v>-</v>
      </c>
      <c r="G226" s="19">
        <f t="shared" si="52"/>
        <v>0</v>
      </c>
      <c r="H226" s="12">
        <f t="shared" si="52"/>
        <v>0</v>
      </c>
      <c r="I226" s="15">
        <f t="shared" si="52"/>
        <v>0</v>
      </c>
      <c r="K226" s="13">
        <f>+E226-G226-H226-I226</f>
        <v>0</v>
      </c>
    </row>
    <row r="227" spans="1:30" s="13" customFormat="1" ht="12.75" thickBot="1">
      <c r="A227" s="89" t="s">
        <v>57</v>
      </c>
      <c r="B227" s="74" t="s">
        <v>288</v>
      </c>
      <c r="C227" s="1050">
        <f t="shared" ref="C227:I227" si="53">+C180+C181+C182+C183+C184+C186+C187</f>
        <v>25346</v>
      </c>
      <c r="D227" s="43">
        <f t="shared" si="53"/>
        <v>151382</v>
      </c>
      <c r="E227" s="43">
        <f t="shared" si="53"/>
        <v>110911</v>
      </c>
      <c r="F227" s="1411">
        <f t="shared" si="46"/>
        <v>0.73265645849572603</v>
      </c>
      <c r="G227" s="45">
        <f t="shared" si="53"/>
        <v>110911</v>
      </c>
      <c r="H227" s="43">
        <f t="shared" si="53"/>
        <v>0</v>
      </c>
      <c r="I227" s="44">
        <f t="shared" si="53"/>
        <v>0</v>
      </c>
      <c r="K227" s="13">
        <f>+E227-G227-H227-I227</f>
        <v>0</v>
      </c>
    </row>
    <row r="228" spans="1:30" s="3" customFormat="1" ht="12.75" thickBot="1">
      <c r="A228" s="83" t="s">
        <v>6</v>
      </c>
      <c r="B228" s="64" t="s">
        <v>325</v>
      </c>
      <c r="C228" s="1049">
        <f t="shared" ref="C228:I228" si="54">+C229-C232</f>
        <v>8000</v>
      </c>
      <c r="D228" s="28">
        <f t="shared" si="54"/>
        <v>1857788</v>
      </c>
      <c r="E228" s="28">
        <f t="shared" si="54"/>
        <v>1857788</v>
      </c>
      <c r="F228" s="1408">
        <f t="shared" si="46"/>
        <v>1</v>
      </c>
      <c r="G228" s="27">
        <f t="shared" si="54"/>
        <v>1857788</v>
      </c>
      <c r="H228" s="28">
        <f t="shared" si="54"/>
        <v>0</v>
      </c>
      <c r="I228" s="29">
        <f t="shared" si="54"/>
        <v>0</v>
      </c>
      <c r="K228" s="3">
        <f>+E228-G228-H228-I228</f>
        <v>0</v>
      </c>
    </row>
    <row r="229" spans="1:30">
      <c r="A229" s="84" t="s">
        <v>58</v>
      </c>
      <c r="B229" s="65" t="s">
        <v>326</v>
      </c>
      <c r="C229" s="1051">
        <f t="shared" ref="C229:I229" si="55">+C230+C231</f>
        <v>8000</v>
      </c>
      <c r="D229" s="10">
        <f t="shared" si="55"/>
        <v>1857788</v>
      </c>
      <c r="E229" s="10">
        <f t="shared" si="55"/>
        <v>1857788</v>
      </c>
      <c r="F229" s="1410">
        <f t="shared" si="46"/>
        <v>1</v>
      </c>
      <c r="G229" s="34">
        <f t="shared" si="55"/>
        <v>1857788</v>
      </c>
      <c r="H229" s="10">
        <f t="shared" si="55"/>
        <v>0</v>
      </c>
      <c r="I229" s="35">
        <f t="shared" si="55"/>
        <v>0</v>
      </c>
      <c r="K229" s="4">
        <f>+E229-G229-H229-I229</f>
        <v>0</v>
      </c>
    </row>
    <row r="230" spans="1:30" s="13" customFormat="1">
      <c r="A230" s="86" t="s">
        <v>293</v>
      </c>
      <c r="B230" s="66" t="s">
        <v>291</v>
      </c>
      <c r="C230" s="502">
        <f t="shared" ref="C230:I230" si="56">+C91+C95</f>
        <v>0</v>
      </c>
      <c r="D230" s="12">
        <f t="shared" si="56"/>
        <v>1857788</v>
      </c>
      <c r="E230" s="12">
        <f t="shared" si="56"/>
        <v>1857788</v>
      </c>
      <c r="F230" s="1412">
        <f t="shared" si="46"/>
        <v>1</v>
      </c>
      <c r="G230" s="19">
        <f t="shared" si="56"/>
        <v>1857788</v>
      </c>
      <c r="H230" s="12">
        <f t="shared" si="56"/>
        <v>0</v>
      </c>
      <c r="I230" s="15">
        <f t="shared" si="56"/>
        <v>0</v>
      </c>
      <c r="K230" s="13">
        <f>+E230-G230-H230-I230</f>
        <v>0</v>
      </c>
    </row>
    <row r="231" spans="1:30" s="13" customFormat="1">
      <c r="A231" s="86" t="s">
        <v>294</v>
      </c>
      <c r="B231" s="66" t="s">
        <v>292</v>
      </c>
      <c r="C231" s="502">
        <f t="shared" ref="C231:I231" si="57">+C89+C90+C92+C93+C94+C96</f>
        <v>8000</v>
      </c>
      <c r="D231" s="12">
        <f t="shared" si="57"/>
        <v>0</v>
      </c>
      <c r="E231" s="12">
        <f t="shared" si="57"/>
        <v>0</v>
      </c>
      <c r="F231" s="1412" t="str">
        <f t="shared" si="46"/>
        <v>-</v>
      </c>
      <c r="G231" s="19">
        <f t="shared" si="57"/>
        <v>0</v>
      </c>
      <c r="H231" s="12">
        <f t="shared" si="57"/>
        <v>0</v>
      </c>
      <c r="I231" s="15">
        <f t="shared" si="57"/>
        <v>0</v>
      </c>
      <c r="K231" s="13">
        <f>+E231-G231-H231-I231</f>
        <v>0</v>
      </c>
    </row>
    <row r="232" spans="1:30">
      <c r="A232" s="85" t="s">
        <v>59</v>
      </c>
      <c r="B232" s="67" t="s">
        <v>327</v>
      </c>
      <c r="C232" s="501">
        <f t="shared" ref="C232:I232" si="58">+C233+C234</f>
        <v>0</v>
      </c>
      <c r="D232" s="11">
        <f t="shared" si="58"/>
        <v>0</v>
      </c>
      <c r="E232" s="11">
        <f t="shared" si="58"/>
        <v>0</v>
      </c>
      <c r="F232" s="1412" t="str">
        <f t="shared" si="46"/>
        <v>-</v>
      </c>
      <c r="G232" s="20">
        <f t="shared" si="58"/>
        <v>0</v>
      </c>
      <c r="H232" s="11">
        <f t="shared" si="58"/>
        <v>0</v>
      </c>
      <c r="I232" s="16">
        <f t="shared" si="58"/>
        <v>0</v>
      </c>
      <c r="K232" s="4">
        <f>+E232-G232-H232-I232</f>
        <v>0</v>
      </c>
    </row>
    <row r="233" spans="1:30" s="13" customFormat="1">
      <c r="A233" s="86" t="s">
        <v>295</v>
      </c>
      <c r="B233" s="66" t="s">
        <v>289</v>
      </c>
      <c r="C233" s="502">
        <f t="shared" ref="C233:I233" si="59">+C200</f>
        <v>0</v>
      </c>
      <c r="D233" s="12">
        <f t="shared" si="59"/>
        <v>0</v>
      </c>
      <c r="E233" s="12">
        <f t="shared" si="59"/>
        <v>0</v>
      </c>
      <c r="F233" s="1412" t="str">
        <f t="shared" si="46"/>
        <v>-</v>
      </c>
      <c r="G233" s="19">
        <f t="shared" si="59"/>
        <v>0</v>
      </c>
      <c r="H233" s="12">
        <f t="shared" si="59"/>
        <v>0</v>
      </c>
      <c r="I233" s="15">
        <f t="shared" si="59"/>
        <v>0</v>
      </c>
      <c r="K233" s="13">
        <f>+E233-G233-H233-I233</f>
        <v>0</v>
      </c>
    </row>
    <row r="234" spans="1:30" s="13" customFormat="1" ht="12.75" thickBot="1">
      <c r="A234" s="90" t="s">
        <v>296</v>
      </c>
      <c r="B234" s="75" t="s">
        <v>290</v>
      </c>
      <c r="C234" s="1059">
        <f t="shared" ref="C234:I234" si="60">+C195+C196+C197+C198+C199+C201+C202</f>
        <v>0</v>
      </c>
      <c r="D234" s="41">
        <f t="shared" si="60"/>
        <v>0</v>
      </c>
      <c r="E234" s="41">
        <f t="shared" si="60"/>
        <v>0</v>
      </c>
      <c r="F234" s="1416" t="str">
        <f t="shared" si="46"/>
        <v>-</v>
      </c>
      <c r="G234" s="46">
        <f t="shared" si="60"/>
        <v>0</v>
      </c>
      <c r="H234" s="41">
        <f t="shared" si="60"/>
        <v>0</v>
      </c>
      <c r="I234" s="42">
        <f t="shared" si="60"/>
        <v>0</v>
      </c>
      <c r="K234" s="13">
        <f>+E234-G234-H234-I234</f>
        <v>0</v>
      </c>
    </row>
    <row r="237" spans="1:30" s="1" customFormat="1" ht="15.75">
      <c r="A237" s="1217" t="s">
        <v>1323</v>
      </c>
      <c r="B237" s="1217"/>
      <c r="C237" s="1217"/>
      <c r="D237" s="1217"/>
      <c r="E237" s="1217"/>
      <c r="F237" s="1217"/>
      <c r="G237" s="1217"/>
      <c r="H237" s="1217"/>
      <c r="I237" s="1217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s="36" customFormat="1" ht="12.75" thickBot="1">
      <c r="A238" s="38" t="s">
        <v>284</v>
      </c>
      <c r="F238" s="1397"/>
      <c r="I238" s="37"/>
    </row>
    <row r="239" spans="1:30" s="3" customFormat="1">
      <c r="A239" s="91" t="s">
        <v>4</v>
      </c>
      <c r="B239" s="76" t="s">
        <v>91</v>
      </c>
      <c r="C239" s="1060">
        <f>+'1.1.mell._ÖNK_Mérleg2018'!C239+'1.2.mell._HKÖH_Mérleg2018'!C239+'1.3.mell._HVÓBKI_Mérleg2018'!C239+'1.4.mell._HKK_Mérleg2018'!C239+'1.5._mell._MŐSZ_Mérleg2018'!C239+'1.6._mell._HVGYKCSSZ_Mérleg2018'!C239</f>
        <v>225</v>
      </c>
      <c r="D239" s="55">
        <f>+'1.1.mell._ÖNK_Mérleg2018'!D239+'1.2.mell._HKÖH_Mérleg2018'!D239+'1.3.mell._HVÓBKI_Mérleg2018'!D239+'1.4.mell._HKK_Mérleg2018'!D239+'1.5._mell._MŐSZ_Mérleg2018'!D239+'1.6._mell._HVGYKCSSZ_Mérleg2018'!D239</f>
        <v>241</v>
      </c>
      <c r="E239" s="55">
        <f>+'1.1.mell._ÖNK_Mérleg2018'!E239+'1.2.mell._HKÖH_Mérleg2018'!E239+'1.3.mell._HVÓBKI_Mérleg2018'!E239+'1.4.mell._HKK_Mérleg2018'!E239+'1.5._mell._MŐSZ_Mérleg2018'!E239+'1.6._mell._HVGYKCSSZ_Mérleg2018'!E239</f>
        <v>214</v>
      </c>
      <c r="F239" s="1409">
        <f>IF(ISERROR(E239/D239),"-",E239/D239)</f>
        <v>0.88796680497925307</v>
      </c>
      <c r="G239" s="54">
        <f>+'1.1.mell._ÖNK_Mérleg2018'!G239+'1.2.mell._HKÖH_Mérleg2018'!G239+'1.3.mell._HVÓBKI_Mérleg2018'!G239+'1.4.mell._HKK_Mérleg2018'!G239+'1.5._mell._MŐSZ_Mérleg2018'!G239+'1.6._mell._HVGYKCSSZ_Mérleg2018'!G239</f>
        <v>208</v>
      </c>
      <c r="H239" s="55">
        <f>+'1.1.mell._ÖNK_Mérleg2018'!H239+'1.2.mell._HKÖH_Mérleg2018'!H239+'1.3.mell._HVÓBKI_Mérleg2018'!H239+'1.4.mell._HKK_Mérleg2018'!H239+'1.5._mell._MŐSZ_Mérleg2018'!H239+'1.6._mell._HVGYKCSSZ_Mérleg2018'!H239</f>
        <v>6</v>
      </c>
      <c r="I239" s="56">
        <f>+'1.1.mell._ÖNK_Mérleg2018'!I239+'1.2.mell._HKÖH_Mérleg2018'!I239+'1.3.mell._HVÓBKI_Mérleg2018'!I239+'1.4.mell._HKK_Mérleg2018'!I239+'1.5._mell._MŐSZ_Mérleg2018'!I239+'1.6._mell._HVGYKCSSZ_Mérleg2018'!I239</f>
        <v>0</v>
      </c>
      <c r="K239" s="3">
        <f>+E239-G239-H239-I239</f>
        <v>0</v>
      </c>
    </row>
    <row r="240" spans="1:30" s="13" customFormat="1">
      <c r="A240" s="89" t="s">
        <v>351</v>
      </c>
      <c r="B240" s="99" t="s">
        <v>352</v>
      </c>
      <c r="C240" s="1061">
        <f>+'1.1.mell._ÖNK_Mérleg2018'!C240+'1.2.mell._HKÖH_Mérleg2018'!C240+'1.3.mell._HVÓBKI_Mérleg2018'!C240+'1.4.mell._HKK_Mérleg2018'!C240+'1.5._mell._MŐSZ_Mérleg2018'!C240+'1.6._mell._HVGYKCSSZ_Mérleg2018'!C240</f>
        <v>0</v>
      </c>
      <c r="D240" s="101">
        <f>+'1.1.mell._ÖNK_Mérleg2018'!D240+'1.2.mell._HKÖH_Mérleg2018'!D240+'1.3.mell._HVÓBKI_Mérleg2018'!D240+'1.4.mell._HKK_Mérleg2018'!D240+'1.5._mell._MŐSZ_Mérleg2018'!D240+'1.6._mell._HVGYKCSSZ_Mérleg2018'!D240</f>
        <v>19</v>
      </c>
      <c r="E240" s="101">
        <f>+'1.1.mell._ÖNK_Mérleg2018'!E240+'1.2.mell._HKÖH_Mérleg2018'!E240+'1.3.mell._HVÓBKI_Mérleg2018'!E240+'1.4.mell._HKK_Mérleg2018'!E240+'1.5._mell._MŐSZ_Mérleg2018'!E240+'1.6._mell._HVGYKCSSZ_Mérleg2018'!E240</f>
        <v>19</v>
      </c>
      <c r="F240" s="1411">
        <f>IF(ISERROR(E240/D240),"-",E240/D240)</f>
        <v>1</v>
      </c>
      <c r="G240" s="100">
        <f>+'1.1.mell._ÖNK_Mérleg2018'!G240+'1.2.mell._HKÖH_Mérleg2018'!G240+'1.3.mell._HVÓBKI_Mérleg2018'!G240+'1.4.mell._HKK_Mérleg2018'!G240+'1.5._mell._MŐSZ_Mérleg2018'!G240+'1.6._mell._HVGYKCSSZ_Mérleg2018'!G240</f>
        <v>19</v>
      </c>
      <c r="H240" s="101">
        <f>+'1.1.mell._ÖNK_Mérleg2018'!H240+'1.2.mell._HKÖH_Mérleg2018'!H240+'1.3.mell._HVÓBKI_Mérleg2018'!H240+'1.4.mell._HKK_Mérleg2018'!H240+'1.5._mell._MŐSZ_Mérleg2018'!H240+'1.6._mell._HVGYKCSSZ_Mérleg2018'!H240</f>
        <v>0</v>
      </c>
      <c r="I240" s="102">
        <f>+'1.1.mell._ÖNK_Mérleg2018'!I240+'1.2.mell._HKÖH_Mérleg2018'!I240+'1.3.mell._HVÓBKI_Mérleg2018'!I240+'1.4.mell._HKK_Mérleg2018'!I240+'1.5._mell._MŐSZ_Mérleg2018'!I240+'1.6._mell._HVGYKCSSZ_Mérleg2018'!I240</f>
        <v>0</v>
      </c>
      <c r="K240" s="13">
        <f>+E240-G240-H240-I240</f>
        <v>0</v>
      </c>
    </row>
    <row r="241" spans="1:11" s="3" customFormat="1" ht="12.75" thickBot="1">
      <c r="A241" s="92" t="s">
        <v>5</v>
      </c>
      <c r="B241" s="77" t="s">
        <v>92</v>
      </c>
      <c r="C241" s="1062">
        <f>+'1.1.mell._ÖNK_Mérleg2018'!C241+'1.2.mell._HKÖH_Mérleg2018'!C241+'1.3.mell._HVÓBKI_Mérleg2018'!C241+'1.4.mell._HKK_Mérleg2018'!C241+'1.5._mell._MŐSZ_Mérleg2018'!C241+'1.6._mell._HVGYKCSSZ_Mérleg2018'!C241</f>
        <v>164</v>
      </c>
      <c r="D241" s="58">
        <f>+'1.1.mell._ÖNK_Mérleg2018'!D241+'1.2.mell._HKÖH_Mérleg2018'!D241+'1.3.mell._HVÓBKI_Mérleg2018'!D241+'1.4.mell._HKK_Mérleg2018'!D241+'1.5._mell._MŐSZ_Mérleg2018'!D241+'1.6._mell._HVGYKCSSZ_Mérleg2018'!D241</f>
        <v>239</v>
      </c>
      <c r="E241" s="58">
        <f>+'1.1.mell._ÖNK_Mérleg2018'!E241+'1.2.mell._HKÖH_Mérleg2018'!E241+'1.3.mell._HVÓBKI_Mérleg2018'!E241+'1.4.mell._HKK_Mérleg2018'!E241+'1.5._mell._MŐSZ_Mérleg2018'!E241+'1.6._mell._HVGYKCSSZ_Mérleg2018'!E241</f>
        <v>164</v>
      </c>
      <c r="F241" s="1417">
        <f>IF(ISERROR(E241/D241),"-",E241/D241)</f>
        <v>0.68619246861924688</v>
      </c>
      <c r="G241" s="57">
        <f>+'1.1.mell._ÖNK_Mérleg2018'!G241+'1.2.mell._HKÖH_Mérleg2018'!G241+'1.3.mell._HVÓBKI_Mérleg2018'!G241+'1.4.mell._HKK_Mérleg2018'!G241+'1.5._mell._MŐSZ_Mérleg2018'!G241+'1.6._mell._HVGYKCSSZ_Mérleg2018'!G241</f>
        <v>164</v>
      </c>
      <c r="H241" s="58">
        <f>+'1.1.mell._ÖNK_Mérleg2018'!H241+'1.2.mell._HKÖH_Mérleg2018'!H241+'1.3.mell._HVÓBKI_Mérleg2018'!H241+'1.4.mell._HKK_Mérleg2018'!H241+'1.5._mell._MŐSZ_Mérleg2018'!H241+'1.6._mell._HVGYKCSSZ_Mérleg2018'!H241</f>
        <v>0</v>
      </c>
      <c r="I241" s="59">
        <f>+'1.1.mell._ÖNK_Mérleg2018'!I241+'1.2.mell._HKÖH_Mérleg2018'!I241+'1.3.mell._HVÓBKI_Mérleg2018'!I241+'1.4.mell._HKK_Mérleg2018'!I241+'1.5._mell._MŐSZ_Mérleg2018'!I241+'1.6._mell._HVGYKCSSZ_Mérleg2018'!I241</f>
        <v>0</v>
      </c>
      <c r="K241" s="3">
        <f>+E241-G241-H241-I241</f>
        <v>0</v>
      </c>
    </row>
    <row r="242" spans="1:11" s="3" customFormat="1" ht="12.75" thickBot="1">
      <c r="A242" s="83" t="s">
        <v>6</v>
      </c>
      <c r="B242" s="69" t="s">
        <v>330</v>
      </c>
      <c r="C242" s="1063">
        <f t="shared" ref="C242:F242" si="61">+C239+C241</f>
        <v>389</v>
      </c>
      <c r="D242" s="61">
        <f t="shared" si="61"/>
        <v>480</v>
      </c>
      <c r="E242" s="61">
        <f t="shared" si="61"/>
        <v>378</v>
      </c>
      <c r="F242" s="1408">
        <f>IF(ISERROR(E242/D242),"-",E242/D242)</f>
        <v>0.78749999999999998</v>
      </c>
      <c r="G242" s="60">
        <f>+G239+G241</f>
        <v>372</v>
      </c>
      <c r="H242" s="61">
        <f>+H239+H241</f>
        <v>6</v>
      </c>
      <c r="I242" s="62">
        <f>+I239+I241</f>
        <v>0</v>
      </c>
      <c r="K242" s="3">
        <f>+E242-G242-H242-I242</f>
        <v>0</v>
      </c>
    </row>
  </sheetData>
  <mergeCells count="9">
    <mergeCell ref="A3:I3"/>
    <mergeCell ref="A105:I105"/>
    <mergeCell ref="A211:I211"/>
    <mergeCell ref="A218:I218"/>
    <mergeCell ref="A237:I237"/>
    <mergeCell ref="C9:I9"/>
    <mergeCell ref="C108:I108"/>
    <mergeCell ref="A6:I6"/>
    <mergeCell ref="A4:I4"/>
  </mergeCells>
  <conditionalFormatting sqref="C74:I85 C65:I69 C59:I63 C52:I57 C45:I49 C33:I43 C13:I24 C195:I206 C180:I191 C166:I175 C160:I164 C151:I158 C147:I148 C133:I145 C124:I131 C117:I122 C111:I115 C26:I31 C89:I100">
    <cfRule type="cellIs" dxfId="0" priority="3" stopIfTrue="1" operator="equal">
      <formula>0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44" fitToHeight="2" orientation="portrait" r:id="rId1"/>
  <headerFooter>
    <oddHeader>&amp;C 1. melléklet - &amp;P. oldal</oddHeader>
  </headerFooter>
  <rowBreaks count="1" manualBreakCount="1">
    <brk id="104" max="5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 codeName="Munka25">
    <tabColor rgb="FF00B0F0"/>
    <pageSetUpPr fitToPage="1"/>
  </sheetPr>
  <dimension ref="A1:K40"/>
  <sheetViews>
    <sheetView zoomScaleNormal="100" workbookViewId="0"/>
  </sheetViews>
  <sheetFormatPr defaultRowHeight="12"/>
  <cols>
    <col min="1" max="1" width="4.85546875" style="623" bestFit="1" customWidth="1"/>
    <col min="2" max="2" width="57.5703125" style="183" bestFit="1" customWidth="1"/>
    <col min="3" max="3" width="30.85546875" style="183" bestFit="1" customWidth="1"/>
    <col min="4" max="6" width="13.140625" style="183" bestFit="1" customWidth="1"/>
    <col min="7" max="7" width="13.140625" style="1494" bestFit="1" customWidth="1"/>
    <col min="8" max="8" width="9.140625" style="183"/>
    <col min="9" max="10" width="9.140625" style="183" hidden="1" customWidth="1"/>
    <col min="11" max="16384" width="9.140625" style="183"/>
  </cols>
  <sheetData>
    <row r="1" spans="1:11" s="184" customFormat="1" ht="15.75">
      <c r="A1" s="469"/>
      <c r="B1" s="143"/>
      <c r="C1" s="143"/>
      <c r="D1" s="192"/>
      <c r="E1" s="192"/>
      <c r="F1" s="192"/>
      <c r="G1" s="192" t="s">
        <v>837</v>
      </c>
    </row>
    <row r="2" spans="1:11" s="184" customFormat="1" ht="15.75">
      <c r="A2" s="469"/>
      <c r="B2" s="143"/>
      <c r="C2" s="143"/>
      <c r="D2" s="192"/>
      <c r="E2" s="192"/>
      <c r="F2" s="192"/>
      <c r="G2" s="1496"/>
    </row>
    <row r="3" spans="1:11" s="184" customFormat="1" ht="15.75" customHeight="1">
      <c r="A3" s="1306" t="s">
        <v>354</v>
      </c>
      <c r="B3" s="1306"/>
      <c r="C3" s="1306"/>
      <c r="D3" s="1306"/>
      <c r="E3" s="1306"/>
      <c r="F3" s="1306"/>
      <c r="G3" s="1306"/>
      <c r="H3" s="455"/>
      <c r="I3" s="455"/>
      <c r="J3" s="455"/>
    </row>
    <row r="4" spans="1:11" s="185" customFormat="1" ht="15.75">
      <c r="A4" s="1308" t="s">
        <v>1340</v>
      </c>
      <c r="B4" s="1308"/>
      <c r="C4" s="1308"/>
      <c r="D4" s="1308"/>
      <c r="E4" s="1308"/>
      <c r="F4" s="1308"/>
      <c r="G4" s="1308"/>
    </row>
    <row r="5" spans="1:11" ht="12.75" thickBot="1">
      <c r="A5" s="472"/>
      <c r="B5" s="472"/>
      <c r="C5" s="472"/>
      <c r="D5" s="363"/>
      <c r="E5" s="363"/>
      <c r="F5" s="363"/>
      <c r="G5" s="363" t="s">
        <v>458</v>
      </c>
    </row>
    <row r="6" spans="1:11" ht="36.75" thickBot="1">
      <c r="A6" s="473" t="s">
        <v>8</v>
      </c>
      <c r="B6" s="482" t="s">
        <v>630</v>
      </c>
      <c r="C6" s="476" t="s">
        <v>631</v>
      </c>
      <c r="D6" s="1057" t="s">
        <v>1474</v>
      </c>
      <c r="E6" s="6" t="s">
        <v>1475</v>
      </c>
      <c r="F6" s="1482" t="s">
        <v>1529</v>
      </c>
      <c r="G6" s="1398" t="s">
        <v>1527</v>
      </c>
    </row>
    <row r="7" spans="1:11" s="622" customFormat="1">
      <c r="A7" s="475"/>
      <c r="B7" s="483" t="s">
        <v>0</v>
      </c>
      <c r="C7" s="481"/>
      <c r="D7" s="1169"/>
      <c r="E7" s="1170"/>
      <c r="F7" s="1170"/>
      <c r="G7" s="1497"/>
    </row>
    <row r="8" spans="1:11">
      <c r="A8" s="468" t="s">
        <v>4</v>
      </c>
      <c r="B8" s="484" t="s">
        <v>632</v>
      </c>
      <c r="C8" s="471" t="s">
        <v>633</v>
      </c>
      <c r="D8" s="1171">
        <f>1000-700</f>
        <v>300</v>
      </c>
      <c r="E8" s="1172">
        <f>1000-700+100</f>
        <v>400</v>
      </c>
      <c r="F8" s="1172">
        <v>400</v>
      </c>
      <c r="G8" s="1495">
        <f t="shared" ref="G8:G14" si="0">IF(ISERROR(F8/E8),"-",F8/E8)</f>
        <v>1</v>
      </c>
    </row>
    <row r="9" spans="1:11">
      <c r="A9" s="479" t="s">
        <v>5</v>
      </c>
      <c r="B9" s="485" t="s">
        <v>1157</v>
      </c>
      <c r="C9" s="471" t="s">
        <v>633</v>
      </c>
      <c r="D9" s="1173">
        <v>8787</v>
      </c>
      <c r="E9" s="1174">
        <v>15162</v>
      </c>
      <c r="F9" s="1174">
        <v>7813</v>
      </c>
      <c r="G9" s="1495">
        <f t="shared" si="0"/>
        <v>0.51530141142329511</v>
      </c>
    </row>
    <row r="10" spans="1:11">
      <c r="A10" s="479" t="s">
        <v>16</v>
      </c>
      <c r="B10" s="485" t="s">
        <v>1542</v>
      </c>
      <c r="C10" s="471" t="s">
        <v>1543</v>
      </c>
      <c r="D10" s="1501"/>
      <c r="E10" s="1502">
        <v>1279</v>
      </c>
      <c r="F10" s="1502">
        <v>1279</v>
      </c>
      <c r="G10" s="1495">
        <f t="shared" si="0"/>
        <v>1</v>
      </c>
    </row>
    <row r="11" spans="1:11">
      <c r="A11" s="479" t="s">
        <v>15</v>
      </c>
      <c r="B11" s="485" t="s">
        <v>1544</v>
      </c>
      <c r="C11" s="471" t="s">
        <v>1546</v>
      </c>
      <c r="D11" s="1501"/>
      <c r="E11" s="1502">
        <v>47</v>
      </c>
      <c r="F11" s="1502">
        <v>47</v>
      </c>
      <c r="G11" s="1495">
        <f t="shared" ref="G11" si="1">IF(ISERROR(F11/E11),"-",F11/E11)</f>
        <v>1</v>
      </c>
    </row>
    <row r="12" spans="1:11">
      <c r="A12" s="479" t="s">
        <v>15</v>
      </c>
      <c r="B12" s="485" t="s">
        <v>1544</v>
      </c>
      <c r="C12" s="471" t="s">
        <v>1545</v>
      </c>
      <c r="D12" s="1501"/>
      <c r="E12" s="1502">
        <v>62</v>
      </c>
      <c r="F12" s="1502">
        <v>62</v>
      </c>
      <c r="G12" s="1495">
        <f t="shared" si="0"/>
        <v>1</v>
      </c>
    </row>
    <row r="13" spans="1:11" ht="12.75" thickBot="1">
      <c r="A13" s="479" t="s">
        <v>3</v>
      </c>
      <c r="B13" s="485" t="s">
        <v>1540</v>
      </c>
      <c r="C13" s="471" t="s">
        <v>1541</v>
      </c>
      <c r="D13" s="1501"/>
      <c r="E13" s="1502">
        <v>925</v>
      </c>
      <c r="F13" s="1502">
        <v>925</v>
      </c>
      <c r="G13" s="1495">
        <f t="shared" si="0"/>
        <v>1</v>
      </c>
    </row>
    <row r="14" spans="1:11" s="186" customFormat="1" ht="12.75" thickBot="1">
      <c r="A14" s="487" t="s">
        <v>23</v>
      </c>
      <c r="B14" s="490" t="s">
        <v>636</v>
      </c>
      <c r="C14" s="474"/>
      <c r="D14" s="194">
        <f>SUM(D8:D13)</f>
        <v>9087</v>
      </c>
      <c r="E14" s="1098">
        <f t="shared" ref="E14:F14" si="2">SUM(E8:E13)</f>
        <v>17875</v>
      </c>
      <c r="F14" s="1098">
        <f t="shared" si="2"/>
        <v>10526</v>
      </c>
      <c r="G14" s="1441">
        <f t="shared" si="0"/>
        <v>0.58886713286713288</v>
      </c>
      <c r="I14" s="624">
        <f>+'1.mell._Össz_Mérleg2018'!E138</f>
        <v>10526</v>
      </c>
      <c r="J14" s="624">
        <f>+F14-I14</f>
        <v>0</v>
      </c>
      <c r="K14" s="183"/>
    </row>
    <row r="15" spans="1:11" s="186" customFormat="1">
      <c r="A15" s="488"/>
      <c r="B15" s="491"/>
      <c r="C15" s="477"/>
      <c r="D15" s="1175"/>
      <c r="E15" s="1176"/>
      <c r="F15" s="1176"/>
      <c r="G15" s="1498"/>
      <c r="I15" s="183"/>
      <c r="J15" s="183"/>
      <c r="K15" s="183"/>
    </row>
    <row r="16" spans="1:11">
      <c r="A16" s="493"/>
      <c r="B16" s="494" t="s">
        <v>1</v>
      </c>
      <c r="C16" s="495"/>
      <c r="D16" s="930"/>
      <c r="E16" s="931"/>
      <c r="F16" s="931"/>
      <c r="G16" s="1499"/>
    </row>
    <row r="17" spans="1:11">
      <c r="A17" s="468" t="s">
        <v>4</v>
      </c>
      <c r="B17" s="484" t="s">
        <v>634</v>
      </c>
      <c r="C17" s="471" t="s">
        <v>633</v>
      </c>
      <c r="D17" s="1171">
        <f>5400-2400+500</f>
        <v>3500</v>
      </c>
      <c r="E17" s="1172">
        <v>3500</v>
      </c>
      <c r="F17" s="1172">
        <v>2700</v>
      </c>
      <c r="G17" s="1495">
        <f t="shared" ref="G17:G29" si="3">IF(ISERROR(F17/E17),"-",F17/E17)</f>
        <v>0.77142857142857146</v>
      </c>
    </row>
    <row r="18" spans="1:11">
      <c r="A18" s="468" t="s">
        <v>5</v>
      </c>
      <c r="B18" s="484" t="s">
        <v>1553</v>
      </c>
      <c r="C18" s="471" t="s">
        <v>633</v>
      </c>
      <c r="D18" s="1171">
        <f>7100+400+2000</f>
        <v>9500</v>
      </c>
      <c r="E18" s="1172">
        <f>7100+400+2000+112</f>
        <v>9612</v>
      </c>
      <c r="F18" s="1172">
        <v>9612</v>
      </c>
      <c r="G18" s="1495">
        <f t="shared" si="3"/>
        <v>1</v>
      </c>
    </row>
    <row r="19" spans="1:11">
      <c r="A19" s="468" t="s">
        <v>6</v>
      </c>
      <c r="B19" s="486" t="s">
        <v>1285</v>
      </c>
      <c r="C19" s="471" t="s">
        <v>633</v>
      </c>
      <c r="D19" s="1171">
        <v>300</v>
      </c>
      <c r="E19" s="1172">
        <v>300</v>
      </c>
      <c r="F19" s="1172">
        <v>300</v>
      </c>
      <c r="G19" s="1495">
        <f t="shared" si="3"/>
        <v>1</v>
      </c>
    </row>
    <row r="20" spans="1:11">
      <c r="A20" s="468" t="s">
        <v>3</v>
      </c>
      <c r="B20" s="484" t="s">
        <v>1052</v>
      </c>
      <c r="C20" s="471" t="s">
        <v>633</v>
      </c>
      <c r="D20" s="1171">
        <f>15000+10000</f>
        <v>25000</v>
      </c>
      <c r="E20" s="1172">
        <f>15000+10000</f>
        <v>25000</v>
      </c>
      <c r="F20" s="1172">
        <v>25000</v>
      </c>
      <c r="G20" s="1495">
        <f t="shared" si="3"/>
        <v>1</v>
      </c>
    </row>
    <row r="21" spans="1:11">
      <c r="A21" s="468" t="s">
        <v>16</v>
      </c>
      <c r="B21" s="484" t="s">
        <v>1549</v>
      </c>
      <c r="C21" s="471" t="s">
        <v>633</v>
      </c>
      <c r="D21" s="1171">
        <f>11000-3000</f>
        <v>8000</v>
      </c>
      <c r="E21" s="1172">
        <v>3000</v>
      </c>
      <c r="F21" s="1172">
        <v>3000</v>
      </c>
      <c r="G21" s="1495">
        <f t="shared" si="3"/>
        <v>1</v>
      </c>
    </row>
    <row r="22" spans="1:11">
      <c r="A22" s="468" t="s">
        <v>15</v>
      </c>
      <c r="B22" s="484" t="s">
        <v>1550</v>
      </c>
      <c r="C22" s="471" t="s">
        <v>633</v>
      </c>
      <c r="D22" s="1171">
        <v>400</v>
      </c>
      <c r="E22" s="1172">
        <f>400-400</f>
        <v>0</v>
      </c>
      <c r="F22" s="1172"/>
      <c r="G22" s="1495" t="str">
        <f t="shared" si="3"/>
        <v>-</v>
      </c>
    </row>
    <row r="23" spans="1:11">
      <c r="A23" s="468" t="s">
        <v>14</v>
      </c>
      <c r="B23" s="484" t="s">
        <v>1303</v>
      </c>
      <c r="C23" s="471" t="s">
        <v>1304</v>
      </c>
      <c r="D23" s="1171">
        <v>100</v>
      </c>
      <c r="E23" s="1172">
        <v>100</v>
      </c>
      <c r="F23" s="1172">
        <v>100</v>
      </c>
      <c r="G23" s="1495">
        <f t="shared" si="3"/>
        <v>1</v>
      </c>
    </row>
    <row r="24" spans="1:11">
      <c r="A24" s="468" t="s">
        <v>13</v>
      </c>
      <c r="B24" s="484" t="s">
        <v>1460</v>
      </c>
      <c r="C24" s="471" t="s">
        <v>633</v>
      </c>
      <c r="D24" s="1171">
        <v>300</v>
      </c>
      <c r="E24" s="1172">
        <f>300-300</f>
        <v>0</v>
      </c>
      <c r="F24" s="1172"/>
      <c r="G24" s="1495" t="str">
        <f t="shared" si="3"/>
        <v>-</v>
      </c>
    </row>
    <row r="25" spans="1:11" ht="24">
      <c r="A25" s="468" t="s">
        <v>12</v>
      </c>
      <c r="B25" s="484" t="s">
        <v>1488</v>
      </c>
      <c r="C25" s="1192" t="s">
        <v>1487</v>
      </c>
      <c r="D25" s="1171"/>
      <c r="E25" s="1172">
        <v>450</v>
      </c>
      <c r="F25" s="1172">
        <v>450</v>
      </c>
      <c r="G25" s="1495">
        <f t="shared" si="3"/>
        <v>1</v>
      </c>
    </row>
    <row r="26" spans="1:11">
      <c r="A26" s="468" t="s">
        <v>11</v>
      </c>
      <c r="B26" s="484" t="s">
        <v>1548</v>
      </c>
      <c r="C26" s="471" t="s">
        <v>1547</v>
      </c>
      <c r="D26" s="1503"/>
      <c r="E26" s="1504">
        <f>90+35</f>
        <v>125</v>
      </c>
      <c r="F26" s="1504">
        <v>90</v>
      </c>
      <c r="G26" s="1878">
        <f t="shared" ref="G26:G27" si="4">IF(ISERROR(F26/E26),"-",F26/E26)</f>
        <v>0.72</v>
      </c>
    </row>
    <row r="27" spans="1:11">
      <c r="A27" s="468" t="s">
        <v>10</v>
      </c>
      <c r="B27" s="1506" t="s">
        <v>2771</v>
      </c>
      <c r="C27" s="471" t="s">
        <v>1555</v>
      </c>
      <c r="D27" s="1503"/>
      <c r="E27" s="1504">
        <v>120</v>
      </c>
      <c r="F27" s="1504">
        <v>120</v>
      </c>
      <c r="G27" s="1505">
        <f t="shared" si="4"/>
        <v>1</v>
      </c>
    </row>
    <row r="28" spans="1:11" ht="12.75" thickBot="1">
      <c r="A28" s="468" t="s">
        <v>9</v>
      </c>
      <c r="B28" s="1506" t="s">
        <v>1554</v>
      </c>
      <c r="C28" s="471" t="s">
        <v>1555</v>
      </c>
      <c r="D28" s="1503"/>
      <c r="E28" s="1504">
        <v>2600</v>
      </c>
      <c r="F28" s="1504">
        <v>2600</v>
      </c>
      <c r="G28" s="1505">
        <f t="shared" si="3"/>
        <v>1</v>
      </c>
    </row>
    <row r="29" spans="1:11" ht="12.75" thickBot="1">
      <c r="A29" s="489" t="s">
        <v>22</v>
      </c>
      <c r="B29" s="490" t="s">
        <v>635</v>
      </c>
      <c r="C29" s="474"/>
      <c r="D29" s="194">
        <f>SUM(D17:D28)</f>
        <v>47100</v>
      </c>
      <c r="E29" s="1507">
        <f t="shared" ref="E29:F29" si="5">SUM(E17:E28)</f>
        <v>44807</v>
      </c>
      <c r="F29" s="1098">
        <f t="shared" si="5"/>
        <v>43972</v>
      </c>
      <c r="G29" s="1441">
        <f t="shared" si="3"/>
        <v>0.98136451893677323</v>
      </c>
      <c r="I29" s="624">
        <f>+'1.mell._Össz_Mérleg2018'!E145</f>
        <v>43972</v>
      </c>
      <c r="J29" s="624">
        <f>+F29-I29</f>
        <v>0</v>
      </c>
    </row>
    <row r="30" spans="1:11" s="186" customFormat="1">
      <c r="A30" s="488"/>
      <c r="B30" s="491"/>
      <c r="C30" s="477"/>
      <c r="D30" s="1175"/>
      <c r="E30" s="1176"/>
      <c r="F30" s="1176"/>
      <c r="G30" s="1498"/>
      <c r="I30" s="183"/>
      <c r="J30" s="183"/>
      <c r="K30" s="183"/>
    </row>
    <row r="31" spans="1:11">
      <c r="A31" s="475"/>
      <c r="B31" s="483" t="s">
        <v>2</v>
      </c>
      <c r="C31" s="478"/>
      <c r="D31" s="475"/>
      <c r="E31" s="1177"/>
      <c r="F31" s="1177"/>
      <c r="G31" s="1500"/>
    </row>
    <row r="32" spans="1:11" ht="12.75" thickBot="1">
      <c r="A32" s="875" t="s">
        <v>4</v>
      </c>
      <c r="B32" s="485" t="s">
        <v>1157</v>
      </c>
      <c r="C32" s="471" t="s">
        <v>1556</v>
      </c>
      <c r="D32" s="1171"/>
      <c r="E32" s="1172">
        <v>1200</v>
      </c>
      <c r="F32" s="1172">
        <v>1200</v>
      </c>
      <c r="G32" s="1495">
        <f t="shared" ref="G32:G33" si="6">IF(ISERROR(F32/E32),"-",F32/E32)</f>
        <v>1</v>
      </c>
    </row>
    <row r="33" spans="1:10" ht="12.75" thickBot="1">
      <c r="A33" s="487" t="s">
        <v>21</v>
      </c>
      <c r="B33" s="490" t="s">
        <v>637</v>
      </c>
      <c r="C33" s="474"/>
      <c r="D33" s="194">
        <f>SUM(D32)</f>
        <v>0</v>
      </c>
      <c r="E33" s="1098">
        <f>SUM(E32)</f>
        <v>1200</v>
      </c>
      <c r="F33" s="1098">
        <f>SUM(F32)</f>
        <v>1200</v>
      </c>
      <c r="G33" s="1441">
        <f t="shared" si="6"/>
        <v>1</v>
      </c>
      <c r="I33" s="624">
        <f>+'1.mell._Össz_Mérleg2018'!E169</f>
        <v>1200</v>
      </c>
      <c r="J33" s="624">
        <f>+F33-I33</f>
        <v>0</v>
      </c>
    </row>
    <row r="34" spans="1:10">
      <c r="A34" s="497"/>
      <c r="B34" s="491"/>
      <c r="C34" s="477"/>
      <c r="D34" s="1175"/>
      <c r="E34" s="1176"/>
      <c r="F34" s="1176"/>
      <c r="G34" s="1498"/>
    </row>
    <row r="35" spans="1:10">
      <c r="A35" s="493"/>
      <c r="B35" s="494" t="s">
        <v>638</v>
      </c>
      <c r="C35" s="495"/>
      <c r="D35" s="930"/>
      <c r="E35" s="931"/>
      <c r="F35" s="931"/>
      <c r="G35" s="1499"/>
    </row>
    <row r="36" spans="1:10" ht="12.75" thickBot="1">
      <c r="A36" s="480" t="s">
        <v>4</v>
      </c>
      <c r="B36" s="470" t="s">
        <v>19</v>
      </c>
      <c r="C36" s="492"/>
      <c r="D36" s="1178"/>
      <c r="E36" s="1179"/>
      <c r="F36" s="1179"/>
      <c r="G36" s="1495" t="str">
        <f t="shared" ref="G36:G37" si="7">IF(ISERROR(F36/E36),"-",F36/E36)</f>
        <v>-</v>
      </c>
      <c r="J36" s="624"/>
    </row>
    <row r="37" spans="1:10" ht="12.75" thickBot="1">
      <c r="A37" s="489" t="s">
        <v>20</v>
      </c>
      <c r="B37" s="490" t="s">
        <v>639</v>
      </c>
      <c r="C37" s="474"/>
      <c r="D37" s="194">
        <f>SUM(D36)</f>
        <v>0</v>
      </c>
      <c r="E37" s="1098">
        <f>SUM(E36)</f>
        <v>0</v>
      </c>
      <c r="F37" s="1098">
        <f>SUM(F36)</f>
        <v>0</v>
      </c>
      <c r="G37" s="1441" t="str">
        <f t="shared" si="7"/>
        <v>-</v>
      </c>
      <c r="I37" s="624">
        <f>+'1.mell._Össz_Mérleg2018'!E175</f>
        <v>0</v>
      </c>
      <c r="J37" s="624">
        <f>+F37-I37</f>
        <v>0</v>
      </c>
    </row>
    <row r="39" spans="1:10">
      <c r="A39" s="622" t="s">
        <v>1552</v>
      </c>
    </row>
    <row r="40" spans="1:10">
      <c r="A40" s="920" t="s">
        <v>1551</v>
      </c>
    </row>
  </sheetData>
  <mergeCells count="2">
    <mergeCell ref="A4:G4"/>
    <mergeCell ref="A3:G3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66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 codeName="Munka26">
    <tabColor rgb="FF00B0F0"/>
  </sheetPr>
  <dimension ref="A1:BF329"/>
  <sheetViews>
    <sheetView zoomScaleNormal="100" workbookViewId="0"/>
  </sheetViews>
  <sheetFormatPr defaultColWidth="10.5703125" defaultRowHeight="12"/>
  <cols>
    <col min="1" max="1" width="5.42578125" style="551" bestFit="1" customWidth="1"/>
    <col min="2" max="2" width="3.7109375" style="1200" hidden="1" customWidth="1"/>
    <col min="3" max="3" width="7.85546875" style="556" customWidth="1"/>
    <col min="4" max="4" width="78.42578125" style="506" customWidth="1"/>
    <col min="5" max="5" width="10.5703125" style="302" customWidth="1"/>
    <col min="6" max="6" width="65.28515625" style="302" customWidth="1"/>
    <col min="7" max="9" width="10.85546875" style="507" customWidth="1"/>
    <col min="10" max="10" width="10.85546875" style="1867" customWidth="1"/>
    <col min="11" max="14" width="10.85546875" style="508" customWidth="1"/>
    <col min="15" max="18" width="10.85546875" style="302" customWidth="1"/>
    <col min="19" max="22" width="11.42578125" style="302" customWidth="1"/>
    <col min="23" max="26" width="10.85546875" style="302" customWidth="1"/>
    <col min="27" max="30" width="11.28515625" style="302" customWidth="1"/>
    <col min="31" max="34" width="10.85546875" style="507" customWidth="1"/>
    <col min="35" max="42" width="10.85546875" style="302" customWidth="1"/>
    <col min="43" max="46" width="11.28515625" style="302" customWidth="1"/>
    <col min="47" max="51" width="10.85546875" style="302" customWidth="1"/>
    <col min="52" max="16384" width="10.5703125" style="302"/>
  </cols>
  <sheetData>
    <row r="1" spans="1:51" s="300" customFormat="1" ht="15.75">
      <c r="A1" s="550"/>
      <c r="B1" s="301"/>
      <c r="C1" s="555"/>
      <c r="D1" s="543"/>
      <c r="G1" s="498"/>
      <c r="H1" s="498"/>
      <c r="I1" s="498"/>
      <c r="J1" s="1866"/>
      <c r="K1" s="544"/>
      <c r="L1" s="544"/>
      <c r="M1" s="544"/>
      <c r="N1" s="544"/>
      <c r="AE1" s="498"/>
      <c r="AF1" s="498"/>
      <c r="AG1" s="498"/>
      <c r="AH1" s="498"/>
      <c r="AU1" s="192"/>
      <c r="AV1" s="192"/>
      <c r="AW1" s="192"/>
      <c r="AX1" s="192" t="s">
        <v>797</v>
      </c>
      <c r="AY1" s="192"/>
    </row>
    <row r="2" spans="1:51" s="300" customFormat="1" ht="15.75">
      <c r="A2" s="550"/>
      <c r="B2" s="301"/>
      <c r="C2" s="555"/>
      <c r="D2" s="543"/>
      <c r="G2" s="498"/>
      <c r="H2" s="498"/>
      <c r="I2" s="498"/>
      <c r="J2" s="1866"/>
      <c r="K2" s="544"/>
      <c r="L2" s="544"/>
      <c r="M2" s="544"/>
      <c r="N2" s="544"/>
      <c r="AA2" s="499"/>
      <c r="AB2" s="499"/>
      <c r="AC2" s="499"/>
      <c r="AD2" s="499"/>
      <c r="AE2" s="498"/>
      <c r="AF2" s="498"/>
      <c r="AG2" s="498"/>
      <c r="AH2" s="498"/>
      <c r="AQ2" s="499"/>
      <c r="AR2" s="499"/>
      <c r="AS2" s="499"/>
      <c r="AT2" s="499"/>
      <c r="AU2" s="499"/>
      <c r="AV2" s="499"/>
      <c r="AW2" s="499"/>
      <c r="AX2" s="499"/>
      <c r="AY2" s="499"/>
    </row>
    <row r="3" spans="1:51" s="300" customFormat="1" ht="15.75">
      <c r="A3" s="1248" t="s">
        <v>825</v>
      </c>
      <c r="B3" s="1248"/>
      <c r="C3" s="1248"/>
      <c r="D3" s="1248"/>
      <c r="E3" s="1248"/>
      <c r="F3" s="1248"/>
      <c r="G3" s="1248"/>
      <c r="H3" s="1248"/>
      <c r="I3" s="1248"/>
      <c r="J3" s="1248"/>
      <c r="K3" s="1248"/>
      <c r="L3" s="1248"/>
      <c r="M3" s="1248"/>
      <c r="N3" s="1248"/>
      <c r="O3" s="1248"/>
      <c r="P3" s="1248"/>
      <c r="Q3" s="1248"/>
      <c r="R3" s="1248"/>
      <c r="S3" s="1248"/>
      <c r="T3" s="1248"/>
      <c r="U3" s="1248"/>
      <c r="V3" s="1248"/>
      <c r="W3" s="1248"/>
      <c r="X3" s="1248"/>
      <c r="Y3" s="1248"/>
      <c r="Z3" s="1248"/>
      <c r="AA3" s="1248"/>
      <c r="AB3" s="1248"/>
      <c r="AC3" s="1248"/>
      <c r="AD3" s="1248"/>
      <c r="AE3" s="1248"/>
      <c r="AF3" s="1248"/>
      <c r="AG3" s="1248"/>
      <c r="AH3" s="1248"/>
      <c r="AI3" s="1248"/>
      <c r="AJ3" s="1248"/>
      <c r="AK3" s="1248"/>
      <c r="AL3" s="1248"/>
      <c r="AM3" s="1248"/>
      <c r="AN3" s="1248"/>
      <c r="AO3" s="1248"/>
      <c r="AP3" s="1248"/>
      <c r="AQ3" s="1248"/>
      <c r="AR3" s="1248"/>
      <c r="AS3" s="1248"/>
      <c r="AT3" s="1248"/>
      <c r="AU3" s="1248"/>
      <c r="AV3" s="1248"/>
      <c r="AW3" s="1248"/>
      <c r="AX3" s="1248"/>
      <c r="AY3" s="1197"/>
    </row>
    <row r="4" spans="1:51" ht="12.75" thickBot="1">
      <c r="AA4" s="242"/>
      <c r="AB4" s="242"/>
      <c r="AC4" s="242"/>
      <c r="AD4" s="242"/>
      <c r="AQ4" s="242"/>
      <c r="AR4" s="242"/>
      <c r="AS4" s="242"/>
      <c r="AT4" s="242" t="s">
        <v>458</v>
      </c>
      <c r="AU4" s="509"/>
      <c r="AV4" s="509"/>
      <c r="AW4" s="509"/>
      <c r="AX4" s="509"/>
      <c r="AY4" s="509"/>
    </row>
    <row r="5" spans="1:51" s="511" customFormat="1" ht="13.5" customHeight="1" thickBot="1">
      <c r="A5" s="1330" t="s">
        <v>17</v>
      </c>
      <c r="B5" s="1315" t="s">
        <v>1130</v>
      </c>
      <c r="C5" s="1339" t="s">
        <v>816</v>
      </c>
      <c r="D5" s="1342" t="s">
        <v>815</v>
      </c>
      <c r="E5" s="1333" t="s">
        <v>799</v>
      </c>
      <c r="F5" s="1345" t="s">
        <v>798</v>
      </c>
      <c r="G5" s="1315" t="s">
        <v>1322</v>
      </c>
      <c r="H5" s="1316"/>
      <c r="I5" s="1316"/>
      <c r="J5" s="1317"/>
      <c r="K5" s="1315" t="s">
        <v>1341</v>
      </c>
      <c r="L5" s="1316"/>
      <c r="M5" s="1316"/>
      <c r="N5" s="1317"/>
      <c r="O5" s="1312" t="s">
        <v>800</v>
      </c>
      <c r="P5" s="1313"/>
      <c r="Q5" s="1313"/>
      <c r="R5" s="1313"/>
      <c r="S5" s="1313"/>
      <c r="T5" s="1313"/>
      <c r="U5" s="1313"/>
      <c r="V5" s="1313"/>
      <c r="W5" s="1313"/>
      <c r="X5" s="1313"/>
      <c r="Y5" s="1313"/>
      <c r="Z5" s="1313"/>
      <c r="AA5" s="1313"/>
      <c r="AB5" s="1313"/>
      <c r="AC5" s="1313"/>
      <c r="AD5" s="1314"/>
      <c r="AE5" s="1315" t="s">
        <v>1342</v>
      </c>
      <c r="AF5" s="1316"/>
      <c r="AG5" s="1316"/>
      <c r="AH5" s="1317"/>
      <c r="AI5" s="1312" t="s">
        <v>800</v>
      </c>
      <c r="AJ5" s="1313"/>
      <c r="AK5" s="1313"/>
      <c r="AL5" s="1313"/>
      <c r="AM5" s="1313"/>
      <c r="AN5" s="1313"/>
      <c r="AO5" s="1313"/>
      <c r="AP5" s="1313"/>
      <c r="AQ5" s="1313"/>
      <c r="AR5" s="1313"/>
      <c r="AS5" s="1313"/>
      <c r="AT5" s="1314"/>
      <c r="AU5" s="510"/>
      <c r="AV5" s="510"/>
      <c r="AW5" s="510"/>
      <c r="AX5" s="510"/>
      <c r="AY5" s="510"/>
    </row>
    <row r="6" spans="1:51" s="511" customFormat="1" ht="25.5" customHeight="1" thickBot="1">
      <c r="A6" s="1331"/>
      <c r="B6" s="1318"/>
      <c r="C6" s="1340"/>
      <c r="D6" s="1343"/>
      <c r="E6" s="1334"/>
      <c r="F6" s="1346"/>
      <c r="G6" s="1318"/>
      <c r="H6" s="1319"/>
      <c r="I6" s="1319"/>
      <c r="J6" s="1320"/>
      <c r="K6" s="1318"/>
      <c r="L6" s="1319"/>
      <c r="M6" s="1319"/>
      <c r="N6" s="1320"/>
      <c r="O6" s="1309" t="s">
        <v>817</v>
      </c>
      <c r="P6" s="1310"/>
      <c r="Q6" s="1310"/>
      <c r="R6" s="1311"/>
      <c r="S6" s="1309" t="s">
        <v>526</v>
      </c>
      <c r="T6" s="1310"/>
      <c r="U6" s="1310"/>
      <c r="V6" s="1311"/>
      <c r="W6" s="1309" t="s">
        <v>818</v>
      </c>
      <c r="X6" s="1310"/>
      <c r="Y6" s="1310"/>
      <c r="Z6" s="1311"/>
      <c r="AA6" s="1309" t="s">
        <v>819</v>
      </c>
      <c r="AB6" s="1310"/>
      <c r="AC6" s="1310"/>
      <c r="AD6" s="1311"/>
      <c r="AE6" s="1318"/>
      <c r="AF6" s="1319"/>
      <c r="AG6" s="1319"/>
      <c r="AH6" s="1320"/>
      <c r="AI6" s="1309" t="s">
        <v>533</v>
      </c>
      <c r="AJ6" s="1310"/>
      <c r="AK6" s="1310"/>
      <c r="AL6" s="1311"/>
      <c r="AM6" s="1309" t="s">
        <v>534</v>
      </c>
      <c r="AN6" s="1310"/>
      <c r="AO6" s="1310"/>
      <c r="AP6" s="1311"/>
      <c r="AQ6" s="1309" t="s">
        <v>535</v>
      </c>
      <c r="AR6" s="1310"/>
      <c r="AS6" s="1310"/>
      <c r="AT6" s="1311"/>
      <c r="AU6" s="512"/>
      <c r="AV6" s="512"/>
      <c r="AW6" s="512"/>
      <c r="AX6" s="512"/>
      <c r="AY6" s="512"/>
    </row>
    <row r="7" spans="1:51" s="511" customFormat="1" ht="36.75" thickBot="1">
      <c r="A7" s="1332"/>
      <c r="B7" s="1348"/>
      <c r="C7" s="1341"/>
      <c r="D7" s="1344"/>
      <c r="E7" s="1335"/>
      <c r="F7" s="1347"/>
      <c r="G7" s="1090" t="s">
        <v>1474</v>
      </c>
      <c r="H7" s="1091" t="s">
        <v>1475</v>
      </c>
      <c r="I7" s="6" t="s">
        <v>1529</v>
      </c>
      <c r="J7" s="1398" t="s">
        <v>1527</v>
      </c>
      <c r="K7" s="1090" t="s">
        <v>1474</v>
      </c>
      <c r="L7" s="1091" t="s">
        <v>1475</v>
      </c>
      <c r="M7" s="6" t="s">
        <v>1529</v>
      </c>
      <c r="N7" s="1398" t="s">
        <v>1527</v>
      </c>
      <c r="O7" s="1090" t="s">
        <v>1474</v>
      </c>
      <c r="P7" s="1091" t="s">
        <v>1475</v>
      </c>
      <c r="Q7" s="6" t="s">
        <v>1529</v>
      </c>
      <c r="R7" s="1398" t="s">
        <v>1527</v>
      </c>
      <c r="S7" s="1090" t="s">
        <v>1474</v>
      </c>
      <c r="T7" s="1091" t="s">
        <v>1475</v>
      </c>
      <c r="U7" s="6" t="s">
        <v>1529</v>
      </c>
      <c r="V7" s="1398" t="s">
        <v>1527</v>
      </c>
      <c r="W7" s="1090" t="s">
        <v>1474</v>
      </c>
      <c r="X7" s="1091" t="s">
        <v>1475</v>
      </c>
      <c r="Y7" s="6" t="s">
        <v>1529</v>
      </c>
      <c r="Z7" s="1398" t="s">
        <v>1527</v>
      </c>
      <c r="AA7" s="1090" t="s">
        <v>1474</v>
      </c>
      <c r="AB7" s="1091" t="s">
        <v>1475</v>
      </c>
      <c r="AC7" s="6" t="s">
        <v>1529</v>
      </c>
      <c r="AD7" s="1398" t="s">
        <v>1527</v>
      </c>
      <c r="AE7" s="1090" t="s">
        <v>1474</v>
      </c>
      <c r="AF7" s="1091" t="s">
        <v>1475</v>
      </c>
      <c r="AG7" s="6" t="s">
        <v>1529</v>
      </c>
      <c r="AH7" s="1398" t="s">
        <v>1527</v>
      </c>
      <c r="AI7" s="1090" t="s">
        <v>1474</v>
      </c>
      <c r="AJ7" s="1091" t="s">
        <v>1475</v>
      </c>
      <c r="AK7" s="6" t="s">
        <v>1529</v>
      </c>
      <c r="AL7" s="1398" t="s">
        <v>1527</v>
      </c>
      <c r="AM7" s="1090" t="s">
        <v>1474</v>
      </c>
      <c r="AN7" s="1091" t="s">
        <v>1475</v>
      </c>
      <c r="AO7" s="6" t="s">
        <v>1529</v>
      </c>
      <c r="AP7" s="1398" t="s">
        <v>1527</v>
      </c>
      <c r="AQ7" s="1090" t="s">
        <v>1474</v>
      </c>
      <c r="AR7" s="1091" t="s">
        <v>1475</v>
      </c>
      <c r="AS7" s="6" t="s">
        <v>1529</v>
      </c>
      <c r="AT7" s="1398" t="s">
        <v>1527</v>
      </c>
      <c r="AU7" s="512"/>
      <c r="AV7" s="512"/>
      <c r="AW7" s="512"/>
      <c r="AX7" s="512"/>
      <c r="AY7" s="512"/>
    </row>
    <row r="8" spans="1:51" s="511" customFormat="1">
      <c r="A8" s="552">
        <v>1</v>
      </c>
      <c r="B8" s="1018">
        <v>1</v>
      </c>
      <c r="C8" s="969" t="s">
        <v>712</v>
      </c>
      <c r="D8" s="970" t="s">
        <v>711</v>
      </c>
      <c r="E8" s="178" t="s">
        <v>703</v>
      </c>
      <c r="F8" s="971" t="s">
        <v>415</v>
      </c>
      <c r="G8" s="1188">
        <f t="shared" ref="G8:G44" si="0">+K8+AE8</f>
        <v>0</v>
      </c>
      <c r="H8" s="1189">
        <f t="shared" ref="H8:I44" si="1">+L8+AF8</f>
        <v>0</v>
      </c>
      <c r="I8" s="1189">
        <f t="shared" si="1"/>
        <v>0</v>
      </c>
      <c r="J8" s="1862" t="str">
        <f t="shared" ref="J8:J82" si="2">IF(ISERROR(I8/H8),"-",I8/H8)</f>
        <v>-</v>
      </c>
      <c r="K8" s="1180">
        <f t="shared" ref="K8:K44" si="3">+O8+S8+W8+AA8</f>
        <v>0</v>
      </c>
      <c r="L8" s="1181">
        <f t="shared" ref="L8:L44" si="4">+P8+T8+X8+AB8</f>
        <v>0</v>
      </c>
      <c r="M8" s="1181">
        <f t="shared" ref="M8:M44" si="5">+Q8+U8+Y8+AC8</f>
        <v>0</v>
      </c>
      <c r="N8" s="1862" t="str">
        <f t="shared" ref="N8:N82" si="6">IF(ISERROR(M8/L8),"-",M8/L8)</f>
        <v>-</v>
      </c>
      <c r="O8" s="1009"/>
      <c r="P8" s="1010"/>
      <c r="Q8" s="1010"/>
      <c r="R8" s="1464" t="str">
        <f t="shared" ref="R8:R82" si="7">IF(ISERROR(Q8/P8),"-",Q8/P8)</f>
        <v>-</v>
      </c>
      <c r="S8" s="1009"/>
      <c r="T8" s="1010"/>
      <c r="U8" s="1010"/>
      <c r="V8" s="1464" t="str">
        <f t="shared" ref="V8:V82" si="8">IF(ISERROR(U8/T8),"-",U8/T8)</f>
        <v>-</v>
      </c>
      <c r="W8" s="1009"/>
      <c r="X8" s="1010"/>
      <c r="Y8" s="1010"/>
      <c r="Z8" s="1464" t="str">
        <f t="shared" ref="Z8:Z82" si="9">IF(ISERROR(Y8/X8),"-",Y8/X8)</f>
        <v>-</v>
      </c>
      <c r="AA8" s="1009"/>
      <c r="AB8" s="1010"/>
      <c r="AC8" s="1010"/>
      <c r="AD8" s="1464" t="str">
        <f t="shared" ref="AD8:AD82" si="10">IF(ISERROR(AC8/AB8),"-",AC8/AB8)</f>
        <v>-</v>
      </c>
      <c r="AE8" s="1180">
        <f t="shared" ref="AE8:AE44" si="11">+AI8+AM8+AQ8</f>
        <v>0</v>
      </c>
      <c r="AF8" s="1181">
        <f t="shared" ref="AF8:AF44" si="12">+AJ8+AN8+AR8</f>
        <v>0</v>
      </c>
      <c r="AG8" s="1181">
        <f t="shared" ref="AG8:AG44" si="13">+AK8+AO8+AS8</f>
        <v>0</v>
      </c>
      <c r="AH8" s="1862" t="str">
        <f t="shared" ref="AH8:AH82" si="14">IF(ISERROR(AG8/AF8),"-",AG8/AF8)</f>
        <v>-</v>
      </c>
      <c r="AI8" s="1009"/>
      <c r="AJ8" s="1010"/>
      <c r="AK8" s="1010"/>
      <c r="AL8" s="1464" t="str">
        <f t="shared" ref="AL8:AL82" si="15">IF(ISERROR(AK8/AJ8),"-",AK8/AJ8)</f>
        <v>-</v>
      </c>
      <c r="AM8" s="1009"/>
      <c r="AN8" s="1010"/>
      <c r="AO8" s="1010"/>
      <c r="AP8" s="1464" t="str">
        <f t="shared" ref="AP8:AP82" si="16">IF(ISERROR(AO8/AN8),"-",AO8/AN8)</f>
        <v>-</v>
      </c>
      <c r="AQ8" s="1009"/>
      <c r="AR8" s="1010"/>
      <c r="AS8" s="1010"/>
      <c r="AT8" s="1464" t="str">
        <f t="shared" ref="AT8:AT82" si="17">IF(ISERROR(AS8/AR8),"-",AS8/AR8)</f>
        <v>-</v>
      </c>
      <c r="AU8" s="509"/>
      <c r="AV8" s="509"/>
      <c r="AW8" s="509"/>
      <c r="AX8" s="509"/>
      <c r="AY8" s="509"/>
    </row>
    <row r="9" spans="1:51" s="511" customFormat="1">
      <c r="A9" s="552">
        <f>+A8+1</f>
        <v>2</v>
      </c>
      <c r="B9" s="1019">
        <v>8</v>
      </c>
      <c r="C9" s="972" t="s">
        <v>712</v>
      </c>
      <c r="D9" s="973" t="s">
        <v>711</v>
      </c>
      <c r="E9" s="974" t="s">
        <v>704</v>
      </c>
      <c r="F9" s="975" t="s">
        <v>1072</v>
      </c>
      <c r="G9" s="1180">
        <f t="shared" si="0"/>
        <v>17893</v>
      </c>
      <c r="H9" s="1181">
        <f t="shared" si="1"/>
        <v>73705</v>
      </c>
      <c r="I9" s="1181">
        <f t="shared" si="1"/>
        <v>25619</v>
      </c>
      <c r="J9" s="1860">
        <f t="shared" si="2"/>
        <v>0.3475883589987111</v>
      </c>
      <c r="K9" s="1180">
        <f t="shared" si="3"/>
        <v>17893</v>
      </c>
      <c r="L9" s="1181">
        <f t="shared" si="4"/>
        <v>73705</v>
      </c>
      <c r="M9" s="1181">
        <f t="shared" si="5"/>
        <v>25619</v>
      </c>
      <c r="N9" s="1860">
        <f t="shared" si="6"/>
        <v>0.3475883589987111</v>
      </c>
      <c r="O9" s="1009">
        <v>7407</v>
      </c>
      <c r="P9" s="1010">
        <v>5020</v>
      </c>
      <c r="Q9" s="1010">
        <v>5020</v>
      </c>
      <c r="R9" s="1458">
        <f t="shared" si="7"/>
        <v>1</v>
      </c>
      <c r="S9" s="1009"/>
      <c r="T9" s="1010">
        <v>262</v>
      </c>
      <c r="U9" s="1010">
        <v>262</v>
      </c>
      <c r="V9" s="1458">
        <f t="shared" si="8"/>
        <v>1</v>
      </c>
      <c r="W9" s="1009">
        <v>8486</v>
      </c>
      <c r="X9" s="1010">
        <f>16858-1+11184</f>
        <v>28041</v>
      </c>
      <c r="Y9" s="1010">
        <f>16858-1</f>
        <v>16857</v>
      </c>
      <c r="Z9" s="1458">
        <f t="shared" si="9"/>
        <v>0.60115545094682787</v>
      </c>
      <c r="AA9" s="1009">
        <v>2000</v>
      </c>
      <c r="AB9" s="1010">
        <f>3480+36902</f>
        <v>40382</v>
      </c>
      <c r="AC9" s="1010">
        <v>3480</v>
      </c>
      <c r="AD9" s="1458">
        <f t="shared" si="10"/>
        <v>8.6177009558714282E-2</v>
      </c>
      <c r="AE9" s="1180">
        <f t="shared" si="11"/>
        <v>0</v>
      </c>
      <c r="AF9" s="1181">
        <f t="shared" si="12"/>
        <v>0</v>
      </c>
      <c r="AG9" s="1181">
        <f t="shared" si="13"/>
        <v>0</v>
      </c>
      <c r="AH9" s="1860" t="str">
        <f t="shared" si="14"/>
        <v>-</v>
      </c>
      <c r="AI9" s="1009"/>
      <c r="AJ9" s="1010"/>
      <c r="AK9" s="1010"/>
      <c r="AL9" s="1458" t="str">
        <f t="shared" si="15"/>
        <v>-</v>
      </c>
      <c r="AM9" s="1009"/>
      <c r="AN9" s="1010"/>
      <c r="AO9" s="1010"/>
      <c r="AP9" s="1458" t="str">
        <f t="shared" si="16"/>
        <v>-</v>
      </c>
      <c r="AQ9" s="1009"/>
      <c r="AR9" s="1010"/>
      <c r="AS9" s="1010"/>
      <c r="AT9" s="1458" t="str">
        <f t="shared" si="17"/>
        <v>-</v>
      </c>
      <c r="AU9" s="509"/>
      <c r="AV9" s="509"/>
      <c r="AW9" s="509"/>
      <c r="AX9" s="509"/>
      <c r="AY9" s="509"/>
    </row>
    <row r="10" spans="1:51" s="511" customFormat="1">
      <c r="A10" s="552">
        <f t="shared" ref="A10:A73" si="18">+A9+1</f>
        <v>3</v>
      </c>
      <c r="B10" s="1019">
        <v>7</v>
      </c>
      <c r="C10" s="972" t="s">
        <v>712</v>
      </c>
      <c r="D10" s="973" t="s">
        <v>1346</v>
      </c>
      <c r="E10" s="974" t="s">
        <v>704</v>
      </c>
      <c r="F10" s="975" t="s">
        <v>1347</v>
      </c>
      <c r="G10" s="1180">
        <f t="shared" si="0"/>
        <v>0</v>
      </c>
      <c r="H10" s="1181">
        <f t="shared" si="1"/>
        <v>0</v>
      </c>
      <c r="I10" s="1181">
        <f t="shared" ref="I10:I44" si="19">+M10+AG10</f>
        <v>0</v>
      </c>
      <c r="J10" s="1860" t="str">
        <f t="shared" si="2"/>
        <v>-</v>
      </c>
      <c r="K10" s="1180">
        <f t="shared" si="3"/>
        <v>0</v>
      </c>
      <c r="L10" s="1181">
        <f t="shared" si="4"/>
        <v>0</v>
      </c>
      <c r="M10" s="1181">
        <f t="shared" si="5"/>
        <v>0</v>
      </c>
      <c r="N10" s="1860" t="str">
        <f t="shared" si="6"/>
        <v>-</v>
      </c>
      <c r="O10" s="1009"/>
      <c r="P10" s="1010"/>
      <c r="Q10" s="1010"/>
      <c r="R10" s="1458" t="str">
        <f t="shared" si="7"/>
        <v>-</v>
      </c>
      <c r="S10" s="1009"/>
      <c r="T10" s="1010"/>
      <c r="U10" s="1010"/>
      <c r="V10" s="1458" t="str">
        <f t="shared" si="8"/>
        <v>-</v>
      </c>
      <c r="W10" s="1009"/>
      <c r="X10" s="1010"/>
      <c r="Y10" s="1010"/>
      <c r="Z10" s="1458" t="str">
        <f t="shared" si="9"/>
        <v>-</v>
      </c>
      <c r="AA10" s="1009"/>
      <c r="AB10" s="1010"/>
      <c r="AC10" s="1010"/>
      <c r="AD10" s="1458" t="str">
        <f t="shared" si="10"/>
        <v>-</v>
      </c>
      <c r="AE10" s="1180">
        <f t="shared" si="11"/>
        <v>0</v>
      </c>
      <c r="AF10" s="1181">
        <f t="shared" si="12"/>
        <v>0</v>
      </c>
      <c r="AG10" s="1181">
        <f t="shared" si="13"/>
        <v>0</v>
      </c>
      <c r="AH10" s="1860" t="str">
        <f t="shared" si="14"/>
        <v>-</v>
      </c>
      <c r="AI10" s="1009"/>
      <c r="AJ10" s="1010"/>
      <c r="AK10" s="1010"/>
      <c r="AL10" s="1458" t="str">
        <f t="shared" si="15"/>
        <v>-</v>
      </c>
      <c r="AM10" s="1009"/>
      <c r="AN10" s="1010"/>
      <c r="AO10" s="1010"/>
      <c r="AP10" s="1458" t="str">
        <f t="shared" si="16"/>
        <v>-</v>
      </c>
      <c r="AQ10" s="1009"/>
      <c r="AR10" s="1010"/>
      <c r="AS10" s="1010"/>
      <c r="AT10" s="1458" t="str">
        <f t="shared" si="17"/>
        <v>-</v>
      </c>
      <c r="AU10" s="509"/>
      <c r="AV10" s="509"/>
      <c r="AW10" s="509"/>
      <c r="AX10" s="509"/>
      <c r="AY10" s="509"/>
    </row>
    <row r="11" spans="1:51" s="513" customFormat="1">
      <c r="A11" s="552">
        <f t="shared" si="18"/>
        <v>4</v>
      </c>
      <c r="B11" s="1019">
        <v>8</v>
      </c>
      <c r="C11" s="972" t="s">
        <v>721</v>
      </c>
      <c r="D11" s="973" t="s">
        <v>921</v>
      </c>
      <c r="E11" s="974" t="s">
        <v>720</v>
      </c>
      <c r="F11" s="975" t="s">
        <v>719</v>
      </c>
      <c r="G11" s="1182">
        <f t="shared" si="0"/>
        <v>0</v>
      </c>
      <c r="H11" s="1183">
        <f t="shared" si="1"/>
        <v>0</v>
      </c>
      <c r="I11" s="1183">
        <f t="shared" si="19"/>
        <v>0</v>
      </c>
      <c r="J11" s="1860" t="str">
        <f t="shared" si="2"/>
        <v>-</v>
      </c>
      <c r="K11" s="1182">
        <f t="shared" si="3"/>
        <v>0</v>
      </c>
      <c r="L11" s="1183">
        <f t="shared" si="4"/>
        <v>0</v>
      </c>
      <c r="M11" s="1183">
        <f t="shared" si="5"/>
        <v>0</v>
      </c>
      <c r="N11" s="1860" t="str">
        <f t="shared" si="6"/>
        <v>-</v>
      </c>
      <c r="O11" s="1009"/>
      <c r="P11" s="1010"/>
      <c r="Q11" s="1010"/>
      <c r="R11" s="1458" t="str">
        <f t="shared" si="7"/>
        <v>-</v>
      </c>
      <c r="S11" s="1009"/>
      <c r="T11" s="1010"/>
      <c r="U11" s="1010"/>
      <c r="V11" s="1458" t="str">
        <f t="shared" si="8"/>
        <v>-</v>
      </c>
      <c r="W11" s="1009"/>
      <c r="X11" s="1010"/>
      <c r="Y11" s="1010"/>
      <c r="Z11" s="1458" t="str">
        <f t="shared" si="9"/>
        <v>-</v>
      </c>
      <c r="AA11" s="1009"/>
      <c r="AB11" s="1010"/>
      <c r="AC11" s="1010"/>
      <c r="AD11" s="1458" t="str">
        <f t="shared" si="10"/>
        <v>-</v>
      </c>
      <c r="AE11" s="1182">
        <f t="shared" si="11"/>
        <v>0</v>
      </c>
      <c r="AF11" s="1183">
        <f t="shared" si="12"/>
        <v>0</v>
      </c>
      <c r="AG11" s="1183">
        <f t="shared" si="13"/>
        <v>0</v>
      </c>
      <c r="AH11" s="1860" t="str">
        <f t="shared" si="14"/>
        <v>-</v>
      </c>
      <c r="AI11" s="1009"/>
      <c r="AJ11" s="1010"/>
      <c r="AK11" s="1010"/>
      <c r="AL11" s="1458" t="str">
        <f t="shared" si="15"/>
        <v>-</v>
      </c>
      <c r="AM11" s="1009"/>
      <c r="AN11" s="1010"/>
      <c r="AO11" s="1010"/>
      <c r="AP11" s="1458" t="str">
        <f t="shared" si="16"/>
        <v>-</v>
      </c>
      <c r="AQ11" s="1009"/>
      <c r="AR11" s="1010"/>
      <c r="AS11" s="1010"/>
      <c r="AT11" s="1458" t="str">
        <f t="shared" si="17"/>
        <v>-</v>
      </c>
      <c r="AU11" s="509"/>
      <c r="AV11" s="509"/>
      <c r="AW11" s="509"/>
      <c r="AX11" s="509"/>
      <c r="AY11" s="509"/>
    </row>
    <row r="12" spans="1:51" s="511" customFormat="1">
      <c r="A12" s="552">
        <f t="shared" si="18"/>
        <v>5</v>
      </c>
      <c r="B12" s="1019">
        <v>8</v>
      </c>
      <c r="C12" s="972" t="s">
        <v>714</v>
      </c>
      <c r="D12" s="973" t="s">
        <v>713</v>
      </c>
      <c r="E12" s="976" t="s">
        <v>669</v>
      </c>
      <c r="F12" s="975" t="s">
        <v>642</v>
      </c>
      <c r="G12" s="1184">
        <f t="shared" si="0"/>
        <v>318210</v>
      </c>
      <c r="H12" s="1185">
        <f t="shared" si="1"/>
        <v>484591</v>
      </c>
      <c r="I12" s="1185">
        <f t="shared" si="19"/>
        <v>352934</v>
      </c>
      <c r="J12" s="1860">
        <f t="shared" si="2"/>
        <v>0.72831315480477354</v>
      </c>
      <c r="K12" s="1184">
        <f t="shared" si="3"/>
        <v>318210</v>
      </c>
      <c r="L12" s="1185">
        <f t="shared" si="4"/>
        <v>484591</v>
      </c>
      <c r="M12" s="1185">
        <f t="shared" si="5"/>
        <v>352934</v>
      </c>
      <c r="N12" s="1860">
        <f t="shared" si="6"/>
        <v>0.72831315480477354</v>
      </c>
      <c r="O12" s="1009"/>
      <c r="P12" s="1010"/>
      <c r="Q12" s="1010"/>
      <c r="R12" s="1458" t="str">
        <f t="shared" si="7"/>
        <v>-</v>
      </c>
      <c r="S12" s="1009">
        <v>318210</v>
      </c>
      <c r="T12" s="1010">
        <f>352934+131657</f>
        <v>484591</v>
      </c>
      <c r="U12" s="1010">
        <v>352934</v>
      </c>
      <c r="V12" s="1458">
        <f t="shared" si="8"/>
        <v>0.72831315480477354</v>
      </c>
      <c r="W12" s="1009"/>
      <c r="X12" s="1010"/>
      <c r="Y12" s="1010"/>
      <c r="Z12" s="1458" t="str">
        <f t="shared" si="9"/>
        <v>-</v>
      </c>
      <c r="AA12" s="1009"/>
      <c r="AB12" s="1010"/>
      <c r="AC12" s="1010"/>
      <c r="AD12" s="1458" t="str">
        <f t="shared" si="10"/>
        <v>-</v>
      </c>
      <c r="AE12" s="1184">
        <f t="shared" si="11"/>
        <v>0</v>
      </c>
      <c r="AF12" s="1185">
        <f t="shared" si="12"/>
        <v>0</v>
      </c>
      <c r="AG12" s="1185">
        <f t="shared" si="13"/>
        <v>0</v>
      </c>
      <c r="AH12" s="1860" t="str">
        <f t="shared" si="14"/>
        <v>-</v>
      </c>
      <c r="AI12" s="1009"/>
      <c r="AJ12" s="1010"/>
      <c r="AK12" s="1010"/>
      <c r="AL12" s="1458" t="str">
        <f t="shared" si="15"/>
        <v>-</v>
      </c>
      <c r="AM12" s="1009"/>
      <c r="AN12" s="1010"/>
      <c r="AO12" s="1010"/>
      <c r="AP12" s="1458" t="str">
        <f t="shared" si="16"/>
        <v>-</v>
      </c>
      <c r="AQ12" s="1009"/>
      <c r="AR12" s="1010"/>
      <c r="AS12" s="1010"/>
      <c r="AT12" s="1458" t="str">
        <f t="shared" si="17"/>
        <v>-</v>
      </c>
      <c r="AU12" s="509"/>
      <c r="AV12" s="509"/>
      <c r="AW12" s="509"/>
      <c r="AX12" s="509"/>
      <c r="AY12" s="509"/>
    </row>
    <row r="13" spans="1:51" ht="12.75" customHeight="1">
      <c r="A13" s="552">
        <f t="shared" si="18"/>
        <v>6</v>
      </c>
      <c r="B13" s="1019">
        <v>2</v>
      </c>
      <c r="C13" s="972" t="s">
        <v>769</v>
      </c>
      <c r="D13" s="545" t="s">
        <v>768</v>
      </c>
      <c r="E13" s="974" t="s">
        <v>688</v>
      </c>
      <c r="F13" s="977" t="s">
        <v>768</v>
      </c>
      <c r="G13" s="1180">
        <f t="shared" si="0"/>
        <v>0</v>
      </c>
      <c r="H13" s="1181">
        <f t="shared" si="1"/>
        <v>1695</v>
      </c>
      <c r="I13" s="1181">
        <f t="shared" si="19"/>
        <v>1695</v>
      </c>
      <c r="J13" s="1860">
        <f t="shared" si="2"/>
        <v>1</v>
      </c>
      <c r="K13" s="1180">
        <f t="shared" si="3"/>
        <v>0</v>
      </c>
      <c r="L13" s="1181">
        <f t="shared" si="4"/>
        <v>339</v>
      </c>
      <c r="M13" s="1181">
        <f t="shared" si="5"/>
        <v>339</v>
      </c>
      <c r="N13" s="1860">
        <f t="shared" si="6"/>
        <v>1</v>
      </c>
      <c r="O13" s="1009"/>
      <c r="P13" s="1010"/>
      <c r="Q13" s="1010"/>
      <c r="R13" s="1458" t="str">
        <f t="shared" si="7"/>
        <v>-</v>
      </c>
      <c r="S13" s="1009"/>
      <c r="T13" s="1010"/>
      <c r="U13" s="1010"/>
      <c r="V13" s="1458" t="str">
        <f t="shared" si="8"/>
        <v>-</v>
      </c>
      <c r="W13" s="1009"/>
      <c r="X13" s="1010">
        <v>339</v>
      </c>
      <c r="Y13" s="1010">
        <v>339</v>
      </c>
      <c r="Z13" s="1458">
        <f t="shared" si="9"/>
        <v>1</v>
      </c>
      <c r="AA13" s="1009"/>
      <c r="AB13" s="1010"/>
      <c r="AC13" s="1010"/>
      <c r="AD13" s="1458" t="str">
        <f t="shared" si="10"/>
        <v>-</v>
      </c>
      <c r="AE13" s="1180">
        <f t="shared" si="11"/>
        <v>0</v>
      </c>
      <c r="AF13" s="1181">
        <f t="shared" si="12"/>
        <v>1356</v>
      </c>
      <c r="AG13" s="1181">
        <f t="shared" si="13"/>
        <v>1356</v>
      </c>
      <c r="AH13" s="1860">
        <f t="shared" si="14"/>
        <v>1</v>
      </c>
      <c r="AI13" s="1009"/>
      <c r="AJ13" s="1010"/>
      <c r="AK13" s="1010"/>
      <c r="AL13" s="1458" t="str">
        <f t="shared" si="15"/>
        <v>-</v>
      </c>
      <c r="AM13" s="1009"/>
      <c r="AN13" s="1010">
        <v>1356</v>
      </c>
      <c r="AO13" s="1010">
        <v>1356</v>
      </c>
      <c r="AP13" s="1458">
        <f t="shared" si="16"/>
        <v>1</v>
      </c>
      <c r="AQ13" s="1009"/>
      <c r="AR13" s="1010"/>
      <c r="AS13" s="1010"/>
      <c r="AT13" s="1458" t="str">
        <f t="shared" si="17"/>
        <v>-</v>
      </c>
      <c r="AU13" s="509"/>
      <c r="AV13" s="509"/>
      <c r="AW13" s="509"/>
      <c r="AX13" s="509"/>
      <c r="AY13" s="509"/>
    </row>
    <row r="14" spans="1:51" ht="12.75" customHeight="1">
      <c r="A14" s="552">
        <f t="shared" si="18"/>
        <v>7</v>
      </c>
      <c r="B14" s="1019">
        <v>8</v>
      </c>
      <c r="C14" s="972" t="s">
        <v>753</v>
      </c>
      <c r="D14" s="973" t="s">
        <v>1147</v>
      </c>
      <c r="E14" s="976" t="s">
        <v>752</v>
      </c>
      <c r="F14" s="978" t="s">
        <v>1149</v>
      </c>
      <c r="G14" s="1184">
        <f t="shared" si="0"/>
        <v>350</v>
      </c>
      <c r="H14" s="1185">
        <f t="shared" si="1"/>
        <v>5430</v>
      </c>
      <c r="I14" s="1185">
        <f t="shared" si="19"/>
        <v>3908</v>
      </c>
      <c r="J14" s="1860">
        <f t="shared" si="2"/>
        <v>0.71970534069981584</v>
      </c>
      <c r="K14" s="1184">
        <f t="shared" si="3"/>
        <v>0</v>
      </c>
      <c r="L14" s="1185">
        <f t="shared" si="4"/>
        <v>0</v>
      </c>
      <c r="M14" s="1185">
        <f t="shared" si="5"/>
        <v>0</v>
      </c>
      <c r="N14" s="1860" t="str">
        <f t="shared" si="6"/>
        <v>-</v>
      </c>
      <c r="O14" s="1009"/>
      <c r="P14" s="1010"/>
      <c r="Q14" s="1010"/>
      <c r="R14" s="1458" t="str">
        <f t="shared" si="7"/>
        <v>-</v>
      </c>
      <c r="S14" s="1009"/>
      <c r="T14" s="1010"/>
      <c r="U14" s="1010"/>
      <c r="V14" s="1458" t="str">
        <f t="shared" si="8"/>
        <v>-</v>
      </c>
      <c r="W14" s="1009"/>
      <c r="X14" s="1010"/>
      <c r="Y14" s="1010"/>
      <c r="Z14" s="1458" t="str">
        <f t="shared" si="9"/>
        <v>-</v>
      </c>
      <c r="AA14" s="1009"/>
      <c r="AB14" s="1010"/>
      <c r="AC14" s="1010"/>
      <c r="AD14" s="1458" t="str">
        <f t="shared" si="10"/>
        <v>-</v>
      </c>
      <c r="AE14" s="1184">
        <f t="shared" si="11"/>
        <v>350</v>
      </c>
      <c r="AF14" s="1185">
        <f t="shared" si="12"/>
        <v>5430</v>
      </c>
      <c r="AG14" s="1185">
        <f t="shared" si="13"/>
        <v>3908</v>
      </c>
      <c r="AH14" s="1860">
        <f t="shared" si="14"/>
        <v>0.71970534069981584</v>
      </c>
      <c r="AI14" s="1009"/>
      <c r="AJ14" s="1010"/>
      <c r="AK14" s="1010"/>
      <c r="AL14" s="1458" t="str">
        <f t="shared" si="15"/>
        <v>-</v>
      </c>
      <c r="AM14" s="1009">
        <v>350</v>
      </c>
      <c r="AN14" s="1010">
        <f>3908+1522</f>
        <v>5430</v>
      </c>
      <c r="AO14" s="1010">
        <v>3908</v>
      </c>
      <c r="AP14" s="1458">
        <f t="shared" si="16"/>
        <v>0.71970534069981584</v>
      </c>
      <c r="AQ14" s="1009"/>
      <c r="AR14" s="1010"/>
      <c r="AS14" s="1010"/>
      <c r="AT14" s="1458" t="str">
        <f t="shared" si="17"/>
        <v>-</v>
      </c>
      <c r="AU14" s="509"/>
      <c r="AV14" s="509"/>
      <c r="AW14" s="509"/>
      <c r="AX14" s="509"/>
      <c r="AY14" s="509"/>
    </row>
    <row r="15" spans="1:51" s="516" customFormat="1" ht="12.75" customHeight="1">
      <c r="A15" s="552">
        <f t="shared" si="18"/>
        <v>8</v>
      </c>
      <c r="B15" s="1019">
        <v>8</v>
      </c>
      <c r="C15" s="972" t="s">
        <v>753</v>
      </c>
      <c r="D15" s="979" t="s">
        <v>1147</v>
      </c>
      <c r="E15" s="976" t="s">
        <v>689</v>
      </c>
      <c r="F15" s="980" t="s">
        <v>658</v>
      </c>
      <c r="G15" s="1184">
        <f t="shared" si="0"/>
        <v>22557</v>
      </c>
      <c r="H15" s="1185">
        <f t="shared" si="1"/>
        <v>1242</v>
      </c>
      <c r="I15" s="1185">
        <f t="shared" si="19"/>
        <v>1242</v>
      </c>
      <c r="J15" s="1860">
        <f t="shared" si="2"/>
        <v>1</v>
      </c>
      <c r="K15" s="1184">
        <f t="shared" si="3"/>
        <v>22557</v>
      </c>
      <c r="L15" s="1185">
        <f t="shared" si="4"/>
        <v>1242</v>
      </c>
      <c r="M15" s="1185">
        <f t="shared" si="5"/>
        <v>1242</v>
      </c>
      <c r="N15" s="1860">
        <f t="shared" si="6"/>
        <v>1</v>
      </c>
      <c r="O15" s="1009"/>
      <c r="P15" s="1010"/>
      <c r="Q15" s="1010"/>
      <c r="R15" s="1458" t="str">
        <f t="shared" si="7"/>
        <v>-</v>
      </c>
      <c r="S15" s="1009"/>
      <c r="T15" s="1010"/>
      <c r="U15" s="1010"/>
      <c r="V15" s="1458" t="str">
        <f t="shared" si="8"/>
        <v>-</v>
      </c>
      <c r="W15" s="1009">
        <v>22557</v>
      </c>
      <c r="X15" s="1010">
        <v>1242</v>
      </c>
      <c r="Y15" s="1010">
        <v>1242</v>
      </c>
      <c r="Z15" s="1458">
        <f t="shared" si="9"/>
        <v>1</v>
      </c>
      <c r="AA15" s="1009"/>
      <c r="AB15" s="1010"/>
      <c r="AC15" s="1010"/>
      <c r="AD15" s="1458" t="str">
        <f t="shared" si="10"/>
        <v>-</v>
      </c>
      <c r="AE15" s="1184">
        <f t="shared" si="11"/>
        <v>0</v>
      </c>
      <c r="AF15" s="1185">
        <f t="shared" si="12"/>
        <v>0</v>
      </c>
      <c r="AG15" s="1185">
        <f t="shared" si="13"/>
        <v>0</v>
      </c>
      <c r="AH15" s="1860" t="str">
        <f t="shared" si="14"/>
        <v>-</v>
      </c>
      <c r="AI15" s="1009"/>
      <c r="AJ15" s="1010"/>
      <c r="AK15" s="1010"/>
      <c r="AL15" s="1458" t="str">
        <f t="shared" si="15"/>
        <v>-</v>
      </c>
      <c r="AM15" s="1009"/>
      <c r="AN15" s="1010"/>
      <c r="AO15" s="1010"/>
      <c r="AP15" s="1458" t="str">
        <f t="shared" si="16"/>
        <v>-</v>
      </c>
      <c r="AQ15" s="1009"/>
      <c r="AR15" s="1010"/>
      <c r="AS15" s="1010"/>
      <c r="AT15" s="1458" t="str">
        <f t="shared" si="17"/>
        <v>-</v>
      </c>
      <c r="AU15" s="509"/>
      <c r="AV15" s="509"/>
      <c r="AW15" s="509"/>
      <c r="AX15" s="509"/>
      <c r="AY15" s="509"/>
    </row>
    <row r="16" spans="1:51" s="516" customFormat="1" ht="24">
      <c r="A16" s="552">
        <f t="shared" si="18"/>
        <v>9</v>
      </c>
      <c r="B16" s="1019">
        <v>7</v>
      </c>
      <c r="C16" s="972" t="s">
        <v>753</v>
      </c>
      <c r="D16" s="979" t="s">
        <v>2803</v>
      </c>
      <c r="E16" s="976"/>
      <c r="F16" s="980" t="s">
        <v>2804</v>
      </c>
      <c r="G16" s="1184">
        <f t="shared" ref="G16" si="20">+K16+AE16</f>
        <v>0</v>
      </c>
      <c r="H16" s="1185">
        <f t="shared" ref="H16" si="21">+L16+AF16</f>
        <v>109516</v>
      </c>
      <c r="I16" s="1185">
        <f t="shared" ref="I16" si="22">+M16+AG16</f>
        <v>109516</v>
      </c>
      <c r="J16" s="1860">
        <f t="shared" ref="J16" si="23">IF(ISERROR(I16/H16),"-",I16/H16)</f>
        <v>1</v>
      </c>
      <c r="K16" s="1184">
        <f t="shared" ref="K16" si="24">+O16+S16+W16+AA16</f>
        <v>0</v>
      </c>
      <c r="L16" s="1185">
        <f t="shared" ref="L16" si="25">+P16+T16+X16+AB16</f>
        <v>0</v>
      </c>
      <c r="M16" s="1185">
        <f t="shared" ref="M16" si="26">+Q16+U16+Y16+AC16</f>
        <v>0</v>
      </c>
      <c r="N16" s="1860" t="str">
        <f t="shared" ref="N16" si="27">IF(ISERROR(M16/L16),"-",M16/L16)</f>
        <v>-</v>
      </c>
      <c r="O16" s="1009"/>
      <c r="P16" s="1010"/>
      <c r="Q16" s="1010"/>
      <c r="R16" s="1458" t="str">
        <f t="shared" ref="R16" si="28">IF(ISERROR(Q16/P16),"-",Q16/P16)</f>
        <v>-</v>
      </c>
      <c r="S16" s="1009"/>
      <c r="T16" s="1010"/>
      <c r="U16" s="1010"/>
      <c r="V16" s="1458" t="str">
        <f t="shared" ref="V16" si="29">IF(ISERROR(U16/T16),"-",U16/T16)</f>
        <v>-</v>
      </c>
      <c r="W16" s="1009"/>
      <c r="X16" s="1010"/>
      <c r="Y16" s="1010"/>
      <c r="Z16" s="1458" t="str">
        <f t="shared" ref="Z16" si="30">IF(ISERROR(Y16/X16),"-",Y16/X16)</f>
        <v>-</v>
      </c>
      <c r="AA16" s="1009"/>
      <c r="AB16" s="1010"/>
      <c r="AC16" s="1010"/>
      <c r="AD16" s="1458" t="str">
        <f t="shared" ref="AD16" si="31">IF(ISERROR(AC16/AB16),"-",AC16/AB16)</f>
        <v>-</v>
      </c>
      <c r="AE16" s="1184">
        <f t="shared" ref="AE16" si="32">+AI16+AM16+AQ16</f>
        <v>0</v>
      </c>
      <c r="AF16" s="1185">
        <f t="shared" ref="AF16" si="33">+AJ16+AN16+AR16</f>
        <v>109516</v>
      </c>
      <c r="AG16" s="1185">
        <f t="shared" ref="AG16" si="34">+AK16+AO16+AS16</f>
        <v>109516</v>
      </c>
      <c r="AH16" s="1860">
        <f t="shared" ref="AH16" si="35">IF(ISERROR(AG16/AF16),"-",AG16/AF16)</f>
        <v>1</v>
      </c>
      <c r="AI16" s="1009"/>
      <c r="AJ16" s="1010">
        <v>109516</v>
      </c>
      <c r="AK16" s="1010">
        <v>109516</v>
      </c>
      <c r="AL16" s="1458">
        <f t="shared" ref="AL16" si="36">IF(ISERROR(AK16/AJ16),"-",AK16/AJ16)</f>
        <v>1</v>
      </c>
      <c r="AM16" s="1009"/>
      <c r="AN16" s="1010"/>
      <c r="AO16" s="1010"/>
      <c r="AP16" s="1458" t="str">
        <f t="shared" ref="AP16" si="37">IF(ISERROR(AO16/AN16),"-",AO16/AN16)</f>
        <v>-</v>
      </c>
      <c r="AQ16" s="1009"/>
      <c r="AR16" s="1010"/>
      <c r="AS16" s="1010"/>
      <c r="AT16" s="1458" t="str">
        <f t="shared" ref="AT16" si="38">IF(ISERROR(AS16/AR16),"-",AS16/AR16)</f>
        <v>-</v>
      </c>
      <c r="AU16" s="509"/>
      <c r="AV16" s="509"/>
      <c r="AW16" s="509"/>
      <c r="AX16" s="509"/>
      <c r="AY16" s="509"/>
    </row>
    <row r="17" spans="1:51">
      <c r="A17" s="552">
        <f t="shared" si="18"/>
        <v>10</v>
      </c>
      <c r="B17" s="1019">
        <v>8</v>
      </c>
      <c r="C17" s="972" t="s">
        <v>749</v>
      </c>
      <c r="D17" s="973" t="s">
        <v>748</v>
      </c>
      <c r="E17" s="976" t="s">
        <v>794</v>
      </c>
      <c r="F17" s="978" t="s">
        <v>833</v>
      </c>
      <c r="G17" s="1184">
        <f t="shared" si="0"/>
        <v>0</v>
      </c>
      <c r="H17" s="1185">
        <f t="shared" si="1"/>
        <v>905</v>
      </c>
      <c r="I17" s="1185">
        <f t="shared" si="19"/>
        <v>905</v>
      </c>
      <c r="J17" s="1860">
        <f t="shared" si="2"/>
        <v>1</v>
      </c>
      <c r="K17" s="1184">
        <f t="shared" si="3"/>
        <v>0</v>
      </c>
      <c r="L17" s="1185">
        <f t="shared" si="4"/>
        <v>905</v>
      </c>
      <c r="M17" s="1185">
        <f t="shared" si="5"/>
        <v>905</v>
      </c>
      <c r="N17" s="1860">
        <f t="shared" si="6"/>
        <v>1</v>
      </c>
      <c r="O17" s="1009"/>
      <c r="P17" s="1010"/>
      <c r="Q17" s="1010"/>
      <c r="R17" s="1458" t="str">
        <f t="shared" si="7"/>
        <v>-</v>
      </c>
      <c r="S17" s="1009"/>
      <c r="T17" s="1010"/>
      <c r="U17" s="1010"/>
      <c r="V17" s="1458" t="str">
        <f t="shared" si="8"/>
        <v>-</v>
      </c>
      <c r="W17" s="1009"/>
      <c r="X17" s="1010">
        <v>905</v>
      </c>
      <c r="Y17" s="1010">
        <v>905</v>
      </c>
      <c r="Z17" s="1458">
        <f t="shared" si="9"/>
        <v>1</v>
      </c>
      <c r="AA17" s="1009"/>
      <c r="AB17" s="1010"/>
      <c r="AC17" s="1010"/>
      <c r="AD17" s="1458" t="str">
        <f t="shared" si="10"/>
        <v>-</v>
      </c>
      <c r="AE17" s="1184">
        <f t="shared" si="11"/>
        <v>0</v>
      </c>
      <c r="AF17" s="1185">
        <f t="shared" si="12"/>
        <v>0</v>
      </c>
      <c r="AG17" s="1185">
        <f t="shared" si="13"/>
        <v>0</v>
      </c>
      <c r="AH17" s="1860" t="str">
        <f t="shared" si="14"/>
        <v>-</v>
      </c>
      <c r="AI17" s="1009"/>
      <c r="AJ17" s="1010"/>
      <c r="AK17" s="1010"/>
      <c r="AL17" s="1458" t="str">
        <f t="shared" si="15"/>
        <v>-</v>
      </c>
      <c r="AM17" s="1009"/>
      <c r="AN17" s="1010"/>
      <c r="AO17" s="1010"/>
      <c r="AP17" s="1458" t="str">
        <f t="shared" si="16"/>
        <v>-</v>
      </c>
      <c r="AQ17" s="1009"/>
      <c r="AR17" s="1010"/>
      <c r="AS17" s="1010"/>
      <c r="AT17" s="1458" t="str">
        <f t="shared" si="17"/>
        <v>-</v>
      </c>
      <c r="AU17" s="509"/>
      <c r="AV17" s="509"/>
      <c r="AW17" s="509"/>
      <c r="AX17" s="509"/>
      <c r="AY17" s="509"/>
    </row>
    <row r="18" spans="1:51">
      <c r="A18" s="552">
        <f t="shared" si="18"/>
        <v>11</v>
      </c>
      <c r="B18" s="1019">
        <v>8</v>
      </c>
      <c r="C18" s="972" t="s">
        <v>1077</v>
      </c>
      <c r="D18" s="973" t="s">
        <v>1078</v>
      </c>
      <c r="E18" s="976" t="s">
        <v>1079</v>
      </c>
      <c r="F18" s="978" t="s">
        <v>1080</v>
      </c>
      <c r="G18" s="1184">
        <f t="shared" si="0"/>
        <v>0</v>
      </c>
      <c r="H18" s="1185">
        <f t="shared" si="1"/>
        <v>0</v>
      </c>
      <c r="I18" s="1185">
        <f t="shared" si="19"/>
        <v>0</v>
      </c>
      <c r="J18" s="1860" t="str">
        <f t="shared" si="2"/>
        <v>-</v>
      </c>
      <c r="K18" s="1184">
        <f t="shared" si="3"/>
        <v>0</v>
      </c>
      <c r="L18" s="1185">
        <f t="shared" si="4"/>
        <v>0</v>
      </c>
      <c r="M18" s="1185">
        <f t="shared" si="5"/>
        <v>0</v>
      </c>
      <c r="N18" s="1860" t="str">
        <f t="shared" si="6"/>
        <v>-</v>
      </c>
      <c r="O18" s="1009"/>
      <c r="P18" s="1010"/>
      <c r="Q18" s="1010"/>
      <c r="R18" s="1458" t="str">
        <f t="shared" si="7"/>
        <v>-</v>
      </c>
      <c r="S18" s="1009"/>
      <c r="T18" s="1010"/>
      <c r="U18" s="1010"/>
      <c r="V18" s="1458" t="str">
        <f t="shared" si="8"/>
        <v>-</v>
      </c>
      <c r="W18" s="1009"/>
      <c r="X18" s="1010"/>
      <c r="Y18" s="1010"/>
      <c r="Z18" s="1458" t="str">
        <f t="shared" si="9"/>
        <v>-</v>
      </c>
      <c r="AA18" s="1009"/>
      <c r="AB18" s="1010"/>
      <c r="AC18" s="1010"/>
      <c r="AD18" s="1458" t="str">
        <f t="shared" si="10"/>
        <v>-</v>
      </c>
      <c r="AE18" s="1184">
        <f t="shared" si="11"/>
        <v>0</v>
      </c>
      <c r="AF18" s="1185">
        <f t="shared" si="12"/>
        <v>0</v>
      </c>
      <c r="AG18" s="1185">
        <f t="shared" si="13"/>
        <v>0</v>
      </c>
      <c r="AH18" s="1860" t="str">
        <f t="shared" si="14"/>
        <v>-</v>
      </c>
      <c r="AI18" s="1009"/>
      <c r="AJ18" s="1010"/>
      <c r="AK18" s="1010"/>
      <c r="AL18" s="1458" t="str">
        <f t="shared" si="15"/>
        <v>-</v>
      </c>
      <c r="AM18" s="1009"/>
      <c r="AN18" s="1010"/>
      <c r="AO18" s="1010"/>
      <c r="AP18" s="1458" t="str">
        <f t="shared" si="16"/>
        <v>-</v>
      </c>
      <c r="AQ18" s="1009"/>
      <c r="AR18" s="1010"/>
      <c r="AS18" s="1010"/>
      <c r="AT18" s="1458" t="str">
        <f t="shared" si="17"/>
        <v>-</v>
      </c>
      <c r="AU18" s="509"/>
      <c r="AV18" s="509"/>
      <c r="AW18" s="509"/>
      <c r="AX18" s="509"/>
      <c r="AY18" s="509"/>
    </row>
    <row r="19" spans="1:51">
      <c r="A19" s="552">
        <f t="shared" si="18"/>
        <v>12</v>
      </c>
      <c r="B19" s="1019">
        <v>8</v>
      </c>
      <c r="C19" s="972" t="s">
        <v>776</v>
      </c>
      <c r="D19" s="973" t="s">
        <v>773</v>
      </c>
      <c r="E19" s="976" t="s">
        <v>690</v>
      </c>
      <c r="F19" s="978" t="s">
        <v>771</v>
      </c>
      <c r="G19" s="1184">
        <f t="shared" si="0"/>
        <v>836999</v>
      </c>
      <c r="H19" s="1185">
        <f t="shared" si="1"/>
        <v>812403</v>
      </c>
      <c r="I19" s="1185">
        <f t="shared" si="19"/>
        <v>812403</v>
      </c>
      <c r="J19" s="1860">
        <f t="shared" si="2"/>
        <v>1</v>
      </c>
      <c r="K19" s="1184">
        <f t="shared" si="3"/>
        <v>836999</v>
      </c>
      <c r="L19" s="1185">
        <f t="shared" si="4"/>
        <v>789695</v>
      </c>
      <c r="M19" s="1185">
        <f t="shared" si="5"/>
        <v>789695</v>
      </c>
      <c r="N19" s="1860">
        <f t="shared" si="6"/>
        <v>1</v>
      </c>
      <c r="O19" s="1009">
        <v>836999</v>
      </c>
      <c r="P19" s="1010">
        <v>789695</v>
      </c>
      <c r="Q19" s="1010">
        <v>789695</v>
      </c>
      <c r="R19" s="1458">
        <f t="shared" si="7"/>
        <v>1</v>
      </c>
      <c r="S19" s="1009"/>
      <c r="T19" s="1010"/>
      <c r="U19" s="1010"/>
      <c r="V19" s="1458" t="str">
        <f t="shared" si="8"/>
        <v>-</v>
      </c>
      <c r="W19" s="1009"/>
      <c r="X19" s="1010"/>
      <c r="Y19" s="1010"/>
      <c r="Z19" s="1458" t="str">
        <f t="shared" si="9"/>
        <v>-</v>
      </c>
      <c r="AA19" s="1009"/>
      <c r="AB19" s="1010"/>
      <c r="AC19" s="1010"/>
      <c r="AD19" s="1458" t="str">
        <f t="shared" si="10"/>
        <v>-</v>
      </c>
      <c r="AE19" s="1184">
        <f t="shared" si="11"/>
        <v>0</v>
      </c>
      <c r="AF19" s="1185">
        <f t="shared" si="12"/>
        <v>22708</v>
      </c>
      <c r="AG19" s="1185">
        <f t="shared" si="13"/>
        <v>22708</v>
      </c>
      <c r="AH19" s="1860">
        <f t="shared" si="14"/>
        <v>1</v>
      </c>
      <c r="AI19" s="1009"/>
      <c r="AJ19" s="1010">
        <v>22708</v>
      </c>
      <c r="AK19" s="1010">
        <v>22708</v>
      </c>
      <c r="AL19" s="1458">
        <f t="shared" si="15"/>
        <v>1</v>
      </c>
      <c r="AM19" s="1009"/>
      <c r="AN19" s="1010"/>
      <c r="AO19" s="1010"/>
      <c r="AP19" s="1458" t="str">
        <f t="shared" si="16"/>
        <v>-</v>
      </c>
      <c r="AQ19" s="1009"/>
      <c r="AR19" s="1010"/>
      <c r="AS19" s="1010"/>
      <c r="AT19" s="1458" t="str">
        <f t="shared" si="17"/>
        <v>-</v>
      </c>
      <c r="AU19" s="509"/>
      <c r="AV19" s="509"/>
      <c r="AW19" s="509"/>
      <c r="AX19" s="509"/>
      <c r="AY19" s="509"/>
    </row>
    <row r="20" spans="1:51">
      <c r="A20" s="552">
        <f t="shared" si="18"/>
        <v>13</v>
      </c>
      <c r="B20" s="1019">
        <v>8</v>
      </c>
      <c r="C20" s="972" t="s">
        <v>772</v>
      </c>
      <c r="D20" s="973" t="s">
        <v>775</v>
      </c>
      <c r="E20" s="976" t="s">
        <v>774</v>
      </c>
      <c r="F20" s="978" t="s">
        <v>659</v>
      </c>
      <c r="G20" s="1184">
        <f t="shared" si="0"/>
        <v>0</v>
      </c>
      <c r="H20" s="1185">
        <f t="shared" si="1"/>
        <v>0</v>
      </c>
      <c r="I20" s="1185">
        <f t="shared" si="19"/>
        <v>0</v>
      </c>
      <c r="J20" s="1860" t="str">
        <f t="shared" si="2"/>
        <v>-</v>
      </c>
      <c r="K20" s="1184">
        <f t="shared" si="3"/>
        <v>0</v>
      </c>
      <c r="L20" s="1185">
        <f t="shared" si="4"/>
        <v>0</v>
      </c>
      <c r="M20" s="1185">
        <f t="shared" si="5"/>
        <v>0</v>
      </c>
      <c r="N20" s="1860" t="str">
        <f t="shared" si="6"/>
        <v>-</v>
      </c>
      <c r="O20" s="1009"/>
      <c r="P20" s="1010"/>
      <c r="Q20" s="1010"/>
      <c r="R20" s="1458" t="str">
        <f t="shared" si="7"/>
        <v>-</v>
      </c>
      <c r="S20" s="1009"/>
      <c r="T20" s="1010"/>
      <c r="U20" s="1010"/>
      <c r="V20" s="1458" t="str">
        <f t="shared" si="8"/>
        <v>-</v>
      </c>
      <c r="W20" s="1009"/>
      <c r="X20" s="1010"/>
      <c r="Y20" s="1010"/>
      <c r="Z20" s="1458" t="str">
        <f t="shared" si="9"/>
        <v>-</v>
      </c>
      <c r="AA20" s="1009"/>
      <c r="AB20" s="1010"/>
      <c r="AC20" s="1010"/>
      <c r="AD20" s="1458" t="str">
        <f t="shared" si="10"/>
        <v>-</v>
      </c>
      <c r="AE20" s="1184">
        <f t="shared" si="11"/>
        <v>0</v>
      </c>
      <c r="AF20" s="1185">
        <f t="shared" si="12"/>
        <v>0</v>
      </c>
      <c r="AG20" s="1185">
        <f t="shared" si="13"/>
        <v>0</v>
      </c>
      <c r="AH20" s="1860" t="str">
        <f t="shared" si="14"/>
        <v>-</v>
      </c>
      <c r="AI20" s="1009"/>
      <c r="AJ20" s="1010"/>
      <c r="AK20" s="1010"/>
      <c r="AL20" s="1458" t="str">
        <f t="shared" si="15"/>
        <v>-</v>
      </c>
      <c r="AM20" s="1009"/>
      <c r="AN20" s="1010"/>
      <c r="AO20" s="1010"/>
      <c r="AP20" s="1458" t="str">
        <f t="shared" si="16"/>
        <v>-</v>
      </c>
      <c r="AQ20" s="1009"/>
      <c r="AR20" s="1010"/>
      <c r="AS20" s="1010"/>
      <c r="AT20" s="1458" t="str">
        <f t="shared" si="17"/>
        <v>-</v>
      </c>
      <c r="AU20" s="509"/>
      <c r="AV20" s="509"/>
      <c r="AW20" s="509"/>
      <c r="AX20" s="509"/>
      <c r="AY20" s="509"/>
    </row>
    <row r="21" spans="1:51">
      <c r="A21" s="552">
        <f t="shared" si="18"/>
        <v>14</v>
      </c>
      <c r="B21" s="1019">
        <v>8</v>
      </c>
      <c r="C21" s="972" t="s">
        <v>1081</v>
      </c>
      <c r="D21" s="973" t="s">
        <v>1082</v>
      </c>
      <c r="E21" s="976" t="s">
        <v>704</v>
      </c>
      <c r="F21" s="978" t="s">
        <v>1072</v>
      </c>
      <c r="G21" s="1184">
        <f t="shared" si="0"/>
        <v>3488</v>
      </c>
      <c r="H21" s="1185">
        <f t="shared" si="1"/>
        <v>1543</v>
      </c>
      <c r="I21" s="1185">
        <f t="shared" si="19"/>
        <v>1543</v>
      </c>
      <c r="J21" s="1860">
        <f t="shared" si="2"/>
        <v>1</v>
      </c>
      <c r="K21" s="1184">
        <f t="shared" si="3"/>
        <v>3488</v>
      </c>
      <c r="L21" s="1185">
        <f t="shared" si="4"/>
        <v>1543</v>
      </c>
      <c r="M21" s="1185">
        <f t="shared" si="5"/>
        <v>1543</v>
      </c>
      <c r="N21" s="1860">
        <f t="shared" si="6"/>
        <v>1</v>
      </c>
      <c r="O21" s="1009">
        <v>3488</v>
      </c>
      <c r="P21" s="1010">
        <v>1543</v>
      </c>
      <c r="Q21" s="1010">
        <v>1543</v>
      </c>
      <c r="R21" s="1458">
        <f t="shared" si="7"/>
        <v>1</v>
      </c>
      <c r="S21" s="1009"/>
      <c r="T21" s="1010"/>
      <c r="U21" s="1010"/>
      <c r="V21" s="1458" t="str">
        <f t="shared" si="8"/>
        <v>-</v>
      </c>
      <c r="W21" s="1009"/>
      <c r="X21" s="1010"/>
      <c r="Y21" s="1010"/>
      <c r="Z21" s="1458" t="str">
        <f t="shared" si="9"/>
        <v>-</v>
      </c>
      <c r="AA21" s="1009"/>
      <c r="AB21" s="1010"/>
      <c r="AC21" s="1010"/>
      <c r="AD21" s="1458" t="str">
        <f t="shared" si="10"/>
        <v>-</v>
      </c>
      <c r="AE21" s="1184">
        <f t="shared" si="11"/>
        <v>0</v>
      </c>
      <c r="AF21" s="1185">
        <f t="shared" si="12"/>
        <v>0</v>
      </c>
      <c r="AG21" s="1185">
        <f t="shared" si="13"/>
        <v>0</v>
      </c>
      <c r="AH21" s="1860" t="str">
        <f t="shared" si="14"/>
        <v>-</v>
      </c>
      <c r="AI21" s="1009"/>
      <c r="AJ21" s="1010"/>
      <c r="AK21" s="1010"/>
      <c r="AL21" s="1458" t="str">
        <f t="shared" si="15"/>
        <v>-</v>
      </c>
      <c r="AM21" s="1009"/>
      <c r="AN21" s="1010"/>
      <c r="AO21" s="1010"/>
      <c r="AP21" s="1458" t="str">
        <f t="shared" si="16"/>
        <v>-</v>
      </c>
      <c r="AQ21" s="1009"/>
      <c r="AR21" s="1010"/>
      <c r="AS21" s="1010"/>
      <c r="AT21" s="1458" t="str">
        <f t="shared" si="17"/>
        <v>-</v>
      </c>
      <c r="AU21" s="509"/>
      <c r="AV21" s="509"/>
      <c r="AW21" s="509"/>
      <c r="AX21" s="509"/>
      <c r="AY21" s="509"/>
    </row>
    <row r="22" spans="1:51">
      <c r="A22" s="552">
        <f t="shared" si="18"/>
        <v>15</v>
      </c>
      <c r="B22" s="1019">
        <v>8</v>
      </c>
      <c r="C22" s="972" t="s">
        <v>778</v>
      </c>
      <c r="D22" s="973" t="s">
        <v>777</v>
      </c>
      <c r="E22" s="976" t="s">
        <v>691</v>
      </c>
      <c r="F22" s="978" t="s">
        <v>660</v>
      </c>
      <c r="G22" s="1184">
        <f t="shared" si="0"/>
        <v>0</v>
      </c>
      <c r="H22" s="1185">
        <f t="shared" si="1"/>
        <v>0</v>
      </c>
      <c r="I22" s="1185">
        <f t="shared" si="19"/>
        <v>0</v>
      </c>
      <c r="J22" s="1860" t="str">
        <f t="shared" si="2"/>
        <v>-</v>
      </c>
      <c r="K22" s="1184">
        <f t="shared" si="3"/>
        <v>0</v>
      </c>
      <c r="L22" s="1185">
        <f t="shared" si="4"/>
        <v>0</v>
      </c>
      <c r="M22" s="1185">
        <f t="shared" si="5"/>
        <v>0</v>
      </c>
      <c r="N22" s="1860" t="str">
        <f t="shared" si="6"/>
        <v>-</v>
      </c>
      <c r="O22" s="1009"/>
      <c r="P22" s="1010"/>
      <c r="Q22" s="1010"/>
      <c r="R22" s="1458" t="str">
        <f t="shared" si="7"/>
        <v>-</v>
      </c>
      <c r="S22" s="1009"/>
      <c r="T22" s="1010"/>
      <c r="U22" s="1010"/>
      <c r="V22" s="1458" t="str">
        <f t="shared" si="8"/>
        <v>-</v>
      </c>
      <c r="W22" s="1009"/>
      <c r="X22" s="1010"/>
      <c r="Y22" s="1010"/>
      <c r="Z22" s="1458" t="str">
        <f t="shared" si="9"/>
        <v>-</v>
      </c>
      <c r="AA22" s="1009"/>
      <c r="AB22" s="1010"/>
      <c r="AC22" s="1010"/>
      <c r="AD22" s="1458" t="str">
        <f t="shared" si="10"/>
        <v>-</v>
      </c>
      <c r="AE22" s="1184">
        <f t="shared" si="11"/>
        <v>0</v>
      </c>
      <c r="AF22" s="1185">
        <f t="shared" si="12"/>
        <v>0</v>
      </c>
      <c r="AG22" s="1185">
        <f t="shared" si="13"/>
        <v>0</v>
      </c>
      <c r="AH22" s="1860" t="str">
        <f t="shared" si="14"/>
        <v>-</v>
      </c>
      <c r="AI22" s="1009"/>
      <c r="AJ22" s="1010"/>
      <c r="AK22" s="1010"/>
      <c r="AL22" s="1458" t="str">
        <f t="shared" si="15"/>
        <v>-</v>
      </c>
      <c r="AM22" s="1009"/>
      <c r="AN22" s="1010"/>
      <c r="AO22" s="1010"/>
      <c r="AP22" s="1458" t="str">
        <f t="shared" si="16"/>
        <v>-</v>
      </c>
      <c r="AQ22" s="1009"/>
      <c r="AR22" s="1010"/>
      <c r="AS22" s="1010"/>
      <c r="AT22" s="1458" t="str">
        <f t="shared" si="17"/>
        <v>-</v>
      </c>
      <c r="AU22" s="509"/>
      <c r="AV22" s="509"/>
      <c r="AW22" s="509"/>
      <c r="AX22" s="509"/>
      <c r="AY22" s="509"/>
    </row>
    <row r="23" spans="1:51">
      <c r="A23" s="552">
        <f t="shared" si="18"/>
        <v>16</v>
      </c>
      <c r="B23" s="1019">
        <v>6</v>
      </c>
      <c r="C23" s="972" t="s">
        <v>758</v>
      </c>
      <c r="D23" s="973" t="s">
        <v>706</v>
      </c>
      <c r="E23" s="976" t="s">
        <v>686</v>
      </c>
      <c r="F23" s="978" t="s">
        <v>757</v>
      </c>
      <c r="G23" s="1184">
        <f t="shared" si="0"/>
        <v>0</v>
      </c>
      <c r="H23" s="1185">
        <f t="shared" si="1"/>
        <v>0</v>
      </c>
      <c r="I23" s="1185">
        <f t="shared" si="19"/>
        <v>0</v>
      </c>
      <c r="J23" s="1860" t="str">
        <f t="shared" si="2"/>
        <v>-</v>
      </c>
      <c r="K23" s="1184">
        <f t="shared" si="3"/>
        <v>0</v>
      </c>
      <c r="L23" s="1185">
        <f t="shared" si="4"/>
        <v>0</v>
      </c>
      <c r="M23" s="1185">
        <f t="shared" si="5"/>
        <v>0</v>
      </c>
      <c r="N23" s="1860" t="str">
        <f t="shared" si="6"/>
        <v>-</v>
      </c>
      <c r="O23" s="1009"/>
      <c r="P23" s="1010"/>
      <c r="Q23" s="1010"/>
      <c r="R23" s="1458" t="str">
        <f t="shared" si="7"/>
        <v>-</v>
      </c>
      <c r="S23" s="1009"/>
      <c r="T23" s="1010"/>
      <c r="U23" s="1010"/>
      <c r="V23" s="1458" t="str">
        <f t="shared" si="8"/>
        <v>-</v>
      </c>
      <c r="W23" s="1009"/>
      <c r="X23" s="1010"/>
      <c r="Y23" s="1010"/>
      <c r="Z23" s="1458" t="str">
        <f t="shared" si="9"/>
        <v>-</v>
      </c>
      <c r="AA23" s="1009"/>
      <c r="AB23" s="1010"/>
      <c r="AC23" s="1010"/>
      <c r="AD23" s="1458" t="str">
        <f t="shared" si="10"/>
        <v>-</v>
      </c>
      <c r="AE23" s="1184">
        <f t="shared" si="11"/>
        <v>0</v>
      </c>
      <c r="AF23" s="1185">
        <f t="shared" si="12"/>
        <v>0</v>
      </c>
      <c r="AG23" s="1185">
        <f t="shared" si="13"/>
        <v>0</v>
      </c>
      <c r="AH23" s="1860" t="str">
        <f t="shared" si="14"/>
        <v>-</v>
      </c>
      <c r="AI23" s="1009"/>
      <c r="AJ23" s="1010"/>
      <c r="AK23" s="1010"/>
      <c r="AL23" s="1458" t="str">
        <f t="shared" si="15"/>
        <v>-</v>
      </c>
      <c r="AM23" s="1009"/>
      <c r="AN23" s="1010"/>
      <c r="AO23" s="1010"/>
      <c r="AP23" s="1458" t="str">
        <f t="shared" si="16"/>
        <v>-</v>
      </c>
      <c r="AQ23" s="1009"/>
      <c r="AR23" s="1010"/>
      <c r="AS23" s="1010"/>
      <c r="AT23" s="1458" t="str">
        <f t="shared" si="17"/>
        <v>-</v>
      </c>
      <c r="AU23" s="509"/>
      <c r="AV23" s="509"/>
      <c r="AW23" s="509"/>
      <c r="AX23" s="509"/>
      <c r="AY23" s="509"/>
    </row>
    <row r="24" spans="1:51">
      <c r="A24" s="552">
        <f t="shared" si="18"/>
        <v>17</v>
      </c>
      <c r="B24" s="1019">
        <v>6</v>
      </c>
      <c r="C24" s="972" t="s">
        <v>759</v>
      </c>
      <c r="D24" s="973" t="s">
        <v>707</v>
      </c>
      <c r="E24" s="976" t="s">
        <v>686</v>
      </c>
      <c r="F24" s="978" t="s">
        <v>757</v>
      </c>
      <c r="G24" s="1184">
        <f t="shared" si="0"/>
        <v>0</v>
      </c>
      <c r="H24" s="1185">
        <f t="shared" si="1"/>
        <v>0</v>
      </c>
      <c r="I24" s="1185">
        <f t="shared" si="19"/>
        <v>0</v>
      </c>
      <c r="J24" s="1860" t="str">
        <f t="shared" si="2"/>
        <v>-</v>
      </c>
      <c r="K24" s="1184">
        <f t="shared" si="3"/>
        <v>0</v>
      </c>
      <c r="L24" s="1185">
        <f t="shared" si="4"/>
        <v>0</v>
      </c>
      <c r="M24" s="1185">
        <f t="shared" si="5"/>
        <v>0</v>
      </c>
      <c r="N24" s="1860" t="str">
        <f t="shared" si="6"/>
        <v>-</v>
      </c>
      <c r="O24" s="1009"/>
      <c r="P24" s="1010"/>
      <c r="Q24" s="1010"/>
      <c r="R24" s="1458" t="str">
        <f t="shared" si="7"/>
        <v>-</v>
      </c>
      <c r="S24" s="1009"/>
      <c r="T24" s="1010"/>
      <c r="U24" s="1010"/>
      <c r="V24" s="1458" t="str">
        <f t="shared" si="8"/>
        <v>-</v>
      </c>
      <c r="W24" s="1009"/>
      <c r="X24" s="1010"/>
      <c r="Y24" s="1010"/>
      <c r="Z24" s="1458" t="str">
        <f t="shared" si="9"/>
        <v>-</v>
      </c>
      <c r="AA24" s="1009"/>
      <c r="AB24" s="1010"/>
      <c r="AC24" s="1010"/>
      <c r="AD24" s="1458" t="str">
        <f t="shared" si="10"/>
        <v>-</v>
      </c>
      <c r="AE24" s="1184">
        <f t="shared" si="11"/>
        <v>0</v>
      </c>
      <c r="AF24" s="1185">
        <f t="shared" si="12"/>
        <v>0</v>
      </c>
      <c r="AG24" s="1185">
        <f t="shared" si="13"/>
        <v>0</v>
      </c>
      <c r="AH24" s="1860" t="str">
        <f t="shared" si="14"/>
        <v>-</v>
      </c>
      <c r="AI24" s="1009"/>
      <c r="AJ24" s="1010"/>
      <c r="AK24" s="1010"/>
      <c r="AL24" s="1458" t="str">
        <f t="shared" si="15"/>
        <v>-</v>
      </c>
      <c r="AM24" s="1009"/>
      <c r="AN24" s="1010"/>
      <c r="AO24" s="1010"/>
      <c r="AP24" s="1458" t="str">
        <f t="shared" si="16"/>
        <v>-</v>
      </c>
      <c r="AQ24" s="1009"/>
      <c r="AR24" s="1010"/>
      <c r="AS24" s="1010"/>
      <c r="AT24" s="1458" t="str">
        <f t="shared" si="17"/>
        <v>-</v>
      </c>
      <c r="AU24" s="509"/>
      <c r="AV24" s="509"/>
      <c r="AW24" s="509"/>
      <c r="AX24" s="509"/>
      <c r="AY24" s="509"/>
    </row>
    <row r="25" spans="1:51">
      <c r="A25" s="552">
        <f t="shared" si="18"/>
        <v>18</v>
      </c>
      <c r="B25" s="1019">
        <v>6</v>
      </c>
      <c r="C25" s="972" t="s">
        <v>761</v>
      </c>
      <c r="D25" s="973" t="s">
        <v>762</v>
      </c>
      <c r="E25" s="976" t="s">
        <v>1070</v>
      </c>
      <c r="F25" s="978" t="s">
        <v>760</v>
      </c>
      <c r="G25" s="1184">
        <f t="shared" si="0"/>
        <v>35073</v>
      </c>
      <c r="H25" s="1185">
        <f t="shared" si="1"/>
        <v>143764</v>
      </c>
      <c r="I25" s="1185">
        <f t="shared" si="19"/>
        <v>143764</v>
      </c>
      <c r="J25" s="1860">
        <f t="shared" si="2"/>
        <v>1</v>
      </c>
      <c r="K25" s="1184">
        <f t="shared" si="3"/>
        <v>35073</v>
      </c>
      <c r="L25" s="1185">
        <f t="shared" si="4"/>
        <v>138323</v>
      </c>
      <c r="M25" s="1185">
        <f t="shared" si="5"/>
        <v>138323</v>
      </c>
      <c r="N25" s="1860">
        <f t="shared" si="6"/>
        <v>1</v>
      </c>
      <c r="O25" s="1009">
        <v>35073</v>
      </c>
      <c r="P25" s="1010">
        <v>138229</v>
      </c>
      <c r="Q25" s="1010">
        <v>138229</v>
      </c>
      <c r="R25" s="1458">
        <f t="shared" si="7"/>
        <v>1</v>
      </c>
      <c r="S25" s="1009"/>
      <c r="T25" s="1010"/>
      <c r="U25" s="1010"/>
      <c r="V25" s="1458" t="str">
        <f t="shared" si="8"/>
        <v>-</v>
      </c>
      <c r="W25" s="1009"/>
      <c r="X25" s="1010">
        <v>94</v>
      </c>
      <c r="Y25" s="1010">
        <v>94</v>
      </c>
      <c r="Z25" s="1458">
        <f t="shared" si="9"/>
        <v>1</v>
      </c>
      <c r="AA25" s="1009"/>
      <c r="AB25" s="1010"/>
      <c r="AC25" s="1010"/>
      <c r="AD25" s="1458" t="str">
        <f t="shared" si="10"/>
        <v>-</v>
      </c>
      <c r="AE25" s="1184">
        <f t="shared" si="11"/>
        <v>0</v>
      </c>
      <c r="AF25" s="1185">
        <f t="shared" si="12"/>
        <v>5441</v>
      </c>
      <c r="AG25" s="1185">
        <f t="shared" si="13"/>
        <v>5441</v>
      </c>
      <c r="AH25" s="1860">
        <f t="shared" si="14"/>
        <v>1</v>
      </c>
      <c r="AI25" s="1009"/>
      <c r="AJ25" s="1010">
        <v>5441</v>
      </c>
      <c r="AK25" s="1010">
        <v>5441</v>
      </c>
      <c r="AL25" s="1458">
        <f t="shared" si="15"/>
        <v>1</v>
      </c>
      <c r="AM25" s="1009"/>
      <c r="AN25" s="1010"/>
      <c r="AO25" s="1010"/>
      <c r="AP25" s="1458" t="str">
        <f t="shared" si="16"/>
        <v>-</v>
      </c>
      <c r="AQ25" s="1009"/>
      <c r="AR25" s="1010"/>
      <c r="AS25" s="1010"/>
      <c r="AT25" s="1458" t="str">
        <f t="shared" si="17"/>
        <v>-</v>
      </c>
      <c r="AU25" s="509"/>
      <c r="AV25" s="509"/>
      <c r="AW25" s="509"/>
      <c r="AX25" s="509"/>
      <c r="AY25" s="509"/>
    </row>
    <row r="26" spans="1:51">
      <c r="A26" s="552">
        <f t="shared" si="18"/>
        <v>19</v>
      </c>
      <c r="B26" s="1019">
        <v>6</v>
      </c>
      <c r="C26" s="972" t="s">
        <v>765</v>
      </c>
      <c r="D26" s="973" t="s">
        <v>766</v>
      </c>
      <c r="E26" s="976" t="s">
        <v>823</v>
      </c>
      <c r="F26" s="978" t="s">
        <v>763</v>
      </c>
      <c r="G26" s="1184">
        <f t="shared" si="0"/>
        <v>0</v>
      </c>
      <c r="H26" s="1185">
        <f t="shared" si="1"/>
        <v>8455</v>
      </c>
      <c r="I26" s="1185">
        <f t="shared" si="19"/>
        <v>8455</v>
      </c>
      <c r="J26" s="1860">
        <f t="shared" si="2"/>
        <v>1</v>
      </c>
      <c r="K26" s="1184">
        <f t="shared" si="3"/>
        <v>0</v>
      </c>
      <c r="L26" s="1185">
        <f t="shared" si="4"/>
        <v>8455</v>
      </c>
      <c r="M26" s="1185">
        <f t="shared" si="5"/>
        <v>8455</v>
      </c>
      <c r="N26" s="1860">
        <f t="shared" si="6"/>
        <v>1</v>
      </c>
      <c r="O26" s="1009"/>
      <c r="P26" s="1010"/>
      <c r="Q26" s="1010"/>
      <c r="R26" s="1458" t="str">
        <f t="shared" si="7"/>
        <v>-</v>
      </c>
      <c r="S26" s="1009"/>
      <c r="T26" s="1010"/>
      <c r="U26" s="1010"/>
      <c r="V26" s="1458" t="str">
        <f t="shared" si="8"/>
        <v>-</v>
      </c>
      <c r="W26" s="1009"/>
      <c r="X26" s="1010">
        <v>8455</v>
      </c>
      <c r="Y26" s="1010">
        <v>8455</v>
      </c>
      <c r="Z26" s="1458">
        <f t="shared" si="9"/>
        <v>1</v>
      </c>
      <c r="AA26" s="1009"/>
      <c r="AB26" s="1010"/>
      <c r="AC26" s="1010"/>
      <c r="AD26" s="1458" t="str">
        <f t="shared" si="10"/>
        <v>-</v>
      </c>
      <c r="AE26" s="1184">
        <f t="shared" si="11"/>
        <v>0</v>
      </c>
      <c r="AF26" s="1185">
        <f t="shared" si="12"/>
        <v>0</v>
      </c>
      <c r="AG26" s="1185">
        <f t="shared" si="13"/>
        <v>0</v>
      </c>
      <c r="AH26" s="1860" t="str">
        <f t="shared" si="14"/>
        <v>-</v>
      </c>
      <c r="AI26" s="1009"/>
      <c r="AJ26" s="1010"/>
      <c r="AK26" s="1010"/>
      <c r="AL26" s="1458" t="str">
        <f t="shared" si="15"/>
        <v>-</v>
      </c>
      <c r="AM26" s="1009"/>
      <c r="AN26" s="1010"/>
      <c r="AO26" s="1010"/>
      <c r="AP26" s="1458" t="str">
        <f t="shared" si="16"/>
        <v>-</v>
      </c>
      <c r="AQ26" s="1009"/>
      <c r="AR26" s="1010"/>
      <c r="AS26" s="1010"/>
      <c r="AT26" s="1458" t="str">
        <f t="shared" si="17"/>
        <v>-</v>
      </c>
      <c r="AU26" s="509"/>
      <c r="AV26" s="509"/>
      <c r="AW26" s="509"/>
      <c r="AX26" s="509"/>
      <c r="AY26" s="509"/>
    </row>
    <row r="27" spans="1:51">
      <c r="A27" s="552">
        <f t="shared" si="18"/>
        <v>20</v>
      </c>
      <c r="B27" s="1019">
        <v>6</v>
      </c>
      <c r="C27" s="360" t="s">
        <v>764</v>
      </c>
      <c r="D27" s="973" t="s">
        <v>708</v>
      </c>
      <c r="E27" s="976" t="s">
        <v>823</v>
      </c>
      <c r="F27" s="978" t="s">
        <v>763</v>
      </c>
      <c r="G27" s="1184">
        <f t="shared" si="0"/>
        <v>14562</v>
      </c>
      <c r="H27" s="1185">
        <f t="shared" si="1"/>
        <v>74649</v>
      </c>
      <c r="I27" s="1185">
        <f t="shared" si="19"/>
        <v>74649</v>
      </c>
      <c r="J27" s="1860">
        <f t="shared" si="2"/>
        <v>1</v>
      </c>
      <c r="K27" s="1184">
        <f t="shared" si="3"/>
        <v>14562</v>
      </c>
      <c r="L27" s="1185">
        <f t="shared" si="4"/>
        <v>68794</v>
      </c>
      <c r="M27" s="1185">
        <f t="shared" si="5"/>
        <v>68794</v>
      </c>
      <c r="N27" s="1860">
        <f t="shared" si="6"/>
        <v>1</v>
      </c>
      <c r="O27" s="1009">
        <v>14562</v>
      </c>
      <c r="P27" s="1010">
        <v>68794</v>
      </c>
      <c r="Q27" s="1010">
        <v>68794</v>
      </c>
      <c r="R27" s="1458">
        <f t="shared" si="7"/>
        <v>1</v>
      </c>
      <c r="S27" s="1009"/>
      <c r="T27" s="1010"/>
      <c r="U27" s="1010"/>
      <c r="V27" s="1458" t="str">
        <f t="shared" si="8"/>
        <v>-</v>
      </c>
      <c r="W27" s="1009"/>
      <c r="X27" s="1010"/>
      <c r="Y27" s="1010"/>
      <c r="Z27" s="1458" t="str">
        <f t="shared" si="9"/>
        <v>-</v>
      </c>
      <c r="AA27" s="1009"/>
      <c r="AB27" s="1010"/>
      <c r="AC27" s="1010"/>
      <c r="AD27" s="1458" t="str">
        <f t="shared" si="10"/>
        <v>-</v>
      </c>
      <c r="AE27" s="1184">
        <f t="shared" si="11"/>
        <v>0</v>
      </c>
      <c r="AF27" s="1185">
        <f t="shared" si="12"/>
        <v>5855</v>
      </c>
      <c r="AG27" s="1185">
        <f t="shared" si="13"/>
        <v>5855</v>
      </c>
      <c r="AH27" s="1860">
        <f t="shared" si="14"/>
        <v>1</v>
      </c>
      <c r="AI27" s="1009"/>
      <c r="AJ27" s="1010">
        <v>5855</v>
      </c>
      <c r="AK27" s="1010">
        <v>5855</v>
      </c>
      <c r="AL27" s="1458">
        <f t="shared" si="15"/>
        <v>1</v>
      </c>
      <c r="AM27" s="1009"/>
      <c r="AN27" s="1010"/>
      <c r="AO27" s="1010"/>
      <c r="AP27" s="1458" t="str">
        <f t="shared" si="16"/>
        <v>-</v>
      </c>
      <c r="AQ27" s="1009"/>
      <c r="AR27" s="1010"/>
      <c r="AS27" s="1010"/>
      <c r="AT27" s="1458" t="str">
        <f t="shared" si="17"/>
        <v>-</v>
      </c>
      <c r="AU27" s="509"/>
      <c r="AV27" s="509"/>
      <c r="AW27" s="509"/>
      <c r="AX27" s="509"/>
      <c r="AY27" s="509"/>
    </row>
    <row r="28" spans="1:51">
      <c r="A28" s="552">
        <f t="shared" si="18"/>
        <v>21</v>
      </c>
      <c r="B28" s="288">
        <v>8</v>
      </c>
      <c r="C28" s="357" t="s">
        <v>755</v>
      </c>
      <c r="D28" s="981" t="s">
        <v>754</v>
      </c>
      <c r="E28" s="982" t="s">
        <v>683</v>
      </c>
      <c r="F28" s="983" t="s">
        <v>1083</v>
      </c>
      <c r="G28" s="1186">
        <f t="shared" si="0"/>
        <v>0</v>
      </c>
      <c r="H28" s="1187">
        <f t="shared" si="1"/>
        <v>0</v>
      </c>
      <c r="I28" s="1187">
        <f t="shared" si="19"/>
        <v>0</v>
      </c>
      <c r="J28" s="1860" t="str">
        <f t="shared" si="2"/>
        <v>-</v>
      </c>
      <c r="K28" s="1186">
        <f t="shared" si="3"/>
        <v>0</v>
      </c>
      <c r="L28" s="1187">
        <f t="shared" si="4"/>
        <v>0</v>
      </c>
      <c r="M28" s="1187">
        <f t="shared" si="5"/>
        <v>0</v>
      </c>
      <c r="N28" s="1860" t="str">
        <f t="shared" si="6"/>
        <v>-</v>
      </c>
      <c r="O28" s="1009"/>
      <c r="P28" s="1010"/>
      <c r="Q28" s="1010"/>
      <c r="R28" s="1458" t="str">
        <f t="shared" si="7"/>
        <v>-</v>
      </c>
      <c r="S28" s="1009"/>
      <c r="T28" s="1010"/>
      <c r="U28" s="1010"/>
      <c r="V28" s="1458" t="str">
        <f t="shared" si="8"/>
        <v>-</v>
      </c>
      <c r="W28" s="1009"/>
      <c r="X28" s="1010"/>
      <c r="Y28" s="1010"/>
      <c r="Z28" s="1458" t="str">
        <f t="shared" si="9"/>
        <v>-</v>
      </c>
      <c r="AA28" s="1009"/>
      <c r="AB28" s="1010"/>
      <c r="AC28" s="1010"/>
      <c r="AD28" s="1458" t="str">
        <f t="shared" si="10"/>
        <v>-</v>
      </c>
      <c r="AE28" s="1186">
        <f t="shared" si="11"/>
        <v>0</v>
      </c>
      <c r="AF28" s="1187">
        <f t="shared" si="12"/>
        <v>0</v>
      </c>
      <c r="AG28" s="1187">
        <f t="shared" si="13"/>
        <v>0</v>
      </c>
      <c r="AH28" s="1860" t="str">
        <f t="shared" si="14"/>
        <v>-</v>
      </c>
      <c r="AI28" s="1009"/>
      <c r="AJ28" s="1010"/>
      <c r="AK28" s="1010"/>
      <c r="AL28" s="1458" t="str">
        <f t="shared" si="15"/>
        <v>-</v>
      </c>
      <c r="AM28" s="1009"/>
      <c r="AN28" s="1010"/>
      <c r="AO28" s="1010"/>
      <c r="AP28" s="1458" t="str">
        <f t="shared" si="16"/>
        <v>-</v>
      </c>
      <c r="AQ28" s="1009"/>
      <c r="AR28" s="1010"/>
      <c r="AS28" s="1010"/>
      <c r="AT28" s="1458" t="str">
        <f t="shared" si="17"/>
        <v>-</v>
      </c>
      <c r="AU28" s="509"/>
      <c r="AV28" s="509"/>
      <c r="AW28" s="509"/>
      <c r="AX28" s="509"/>
      <c r="AY28" s="509"/>
    </row>
    <row r="29" spans="1:51">
      <c r="A29" s="552">
        <f t="shared" si="18"/>
        <v>22</v>
      </c>
      <c r="B29" s="1020">
        <v>5</v>
      </c>
      <c r="C29" s="357" t="s">
        <v>740</v>
      </c>
      <c r="D29" s="981" t="s">
        <v>650</v>
      </c>
      <c r="E29" s="982" t="s">
        <v>680</v>
      </c>
      <c r="F29" s="983" t="s">
        <v>650</v>
      </c>
      <c r="G29" s="1186">
        <f t="shared" si="0"/>
        <v>0</v>
      </c>
      <c r="H29" s="1187">
        <f t="shared" si="1"/>
        <v>0</v>
      </c>
      <c r="I29" s="1187">
        <f t="shared" si="19"/>
        <v>0</v>
      </c>
      <c r="J29" s="1860" t="str">
        <f t="shared" si="2"/>
        <v>-</v>
      </c>
      <c r="K29" s="1186">
        <f t="shared" si="3"/>
        <v>0</v>
      </c>
      <c r="L29" s="1187">
        <f t="shared" si="4"/>
        <v>0</v>
      </c>
      <c r="M29" s="1187">
        <f t="shared" si="5"/>
        <v>0</v>
      </c>
      <c r="N29" s="1860" t="str">
        <f t="shared" si="6"/>
        <v>-</v>
      </c>
      <c r="O29" s="1009"/>
      <c r="P29" s="1010"/>
      <c r="Q29" s="1010"/>
      <c r="R29" s="1458" t="str">
        <f t="shared" si="7"/>
        <v>-</v>
      </c>
      <c r="S29" s="1009"/>
      <c r="T29" s="1010"/>
      <c r="U29" s="1010"/>
      <c r="V29" s="1458" t="str">
        <f t="shared" si="8"/>
        <v>-</v>
      </c>
      <c r="W29" s="1009"/>
      <c r="X29" s="1010"/>
      <c r="Y29" s="1010"/>
      <c r="Z29" s="1458" t="str">
        <f t="shared" si="9"/>
        <v>-</v>
      </c>
      <c r="AA29" s="1009"/>
      <c r="AB29" s="1010"/>
      <c r="AC29" s="1010"/>
      <c r="AD29" s="1458" t="str">
        <f t="shared" si="10"/>
        <v>-</v>
      </c>
      <c r="AE29" s="1186">
        <f t="shared" si="11"/>
        <v>0</v>
      </c>
      <c r="AF29" s="1187">
        <f t="shared" si="12"/>
        <v>0</v>
      </c>
      <c r="AG29" s="1187">
        <f t="shared" si="13"/>
        <v>0</v>
      </c>
      <c r="AH29" s="1860" t="str">
        <f t="shared" si="14"/>
        <v>-</v>
      </c>
      <c r="AI29" s="1009"/>
      <c r="AJ29" s="1010"/>
      <c r="AK29" s="1010"/>
      <c r="AL29" s="1458" t="str">
        <f t="shared" si="15"/>
        <v>-</v>
      </c>
      <c r="AM29" s="1009"/>
      <c r="AN29" s="1010"/>
      <c r="AO29" s="1010"/>
      <c r="AP29" s="1458" t="str">
        <f t="shared" si="16"/>
        <v>-</v>
      </c>
      <c r="AQ29" s="1009"/>
      <c r="AR29" s="1010"/>
      <c r="AS29" s="1010"/>
      <c r="AT29" s="1458" t="str">
        <f t="shared" si="17"/>
        <v>-</v>
      </c>
      <c r="AU29" s="509"/>
      <c r="AV29" s="509"/>
      <c r="AW29" s="509"/>
      <c r="AX29" s="509"/>
      <c r="AY29" s="509"/>
    </row>
    <row r="30" spans="1:51" s="516" customFormat="1">
      <c r="A30" s="552">
        <f t="shared" si="18"/>
        <v>23</v>
      </c>
      <c r="B30" s="1020">
        <v>8</v>
      </c>
      <c r="C30" s="360" t="s">
        <v>742</v>
      </c>
      <c r="D30" s="973" t="s">
        <v>741</v>
      </c>
      <c r="E30" s="976" t="s">
        <v>681</v>
      </c>
      <c r="F30" s="978" t="s">
        <v>741</v>
      </c>
      <c r="G30" s="1184">
        <f t="shared" si="0"/>
        <v>0</v>
      </c>
      <c r="H30" s="1185">
        <f t="shared" si="1"/>
        <v>0</v>
      </c>
      <c r="I30" s="1185">
        <f t="shared" si="19"/>
        <v>0</v>
      </c>
      <c r="J30" s="1860" t="str">
        <f t="shared" si="2"/>
        <v>-</v>
      </c>
      <c r="K30" s="1184">
        <f t="shared" si="3"/>
        <v>0</v>
      </c>
      <c r="L30" s="1185">
        <f t="shared" si="4"/>
        <v>0</v>
      </c>
      <c r="M30" s="1185">
        <f t="shared" si="5"/>
        <v>0</v>
      </c>
      <c r="N30" s="1860" t="str">
        <f t="shared" si="6"/>
        <v>-</v>
      </c>
      <c r="O30" s="1009"/>
      <c r="P30" s="1010"/>
      <c r="Q30" s="1010"/>
      <c r="R30" s="1458" t="str">
        <f t="shared" si="7"/>
        <v>-</v>
      </c>
      <c r="S30" s="1009"/>
      <c r="T30" s="1010"/>
      <c r="U30" s="1010"/>
      <c r="V30" s="1458" t="str">
        <f t="shared" si="8"/>
        <v>-</v>
      </c>
      <c r="W30" s="1009"/>
      <c r="X30" s="1010"/>
      <c r="Y30" s="1010"/>
      <c r="Z30" s="1458" t="str">
        <f t="shared" si="9"/>
        <v>-</v>
      </c>
      <c r="AA30" s="1009"/>
      <c r="AB30" s="1010"/>
      <c r="AC30" s="1010"/>
      <c r="AD30" s="1458" t="str">
        <f t="shared" si="10"/>
        <v>-</v>
      </c>
      <c r="AE30" s="1184">
        <f t="shared" si="11"/>
        <v>0</v>
      </c>
      <c r="AF30" s="1185">
        <f t="shared" si="12"/>
        <v>0</v>
      </c>
      <c r="AG30" s="1185">
        <f t="shared" si="13"/>
        <v>0</v>
      </c>
      <c r="AH30" s="1860" t="str">
        <f t="shared" si="14"/>
        <v>-</v>
      </c>
      <c r="AI30" s="1009"/>
      <c r="AJ30" s="1010"/>
      <c r="AK30" s="1010"/>
      <c r="AL30" s="1458" t="str">
        <f t="shared" si="15"/>
        <v>-</v>
      </c>
      <c r="AM30" s="1009"/>
      <c r="AN30" s="1010"/>
      <c r="AO30" s="1010"/>
      <c r="AP30" s="1458" t="str">
        <f t="shared" si="16"/>
        <v>-</v>
      </c>
      <c r="AQ30" s="1009"/>
      <c r="AR30" s="1010"/>
      <c r="AS30" s="1010"/>
      <c r="AT30" s="1458" t="str">
        <f t="shared" si="17"/>
        <v>-</v>
      </c>
      <c r="AU30" s="509"/>
      <c r="AV30" s="509"/>
      <c r="AW30" s="509"/>
      <c r="AX30" s="509"/>
      <c r="AY30" s="509"/>
    </row>
    <row r="31" spans="1:51" s="516" customFormat="1" ht="24">
      <c r="A31" s="552">
        <f t="shared" si="18"/>
        <v>24</v>
      </c>
      <c r="B31" s="1020">
        <v>7</v>
      </c>
      <c r="C31" s="360" t="s">
        <v>742</v>
      </c>
      <c r="D31" s="973" t="s">
        <v>2806</v>
      </c>
      <c r="E31" s="976"/>
      <c r="F31" s="1888" t="s">
        <v>2805</v>
      </c>
      <c r="G31" s="1184">
        <f t="shared" ref="G31" si="39">+K31+AE31</f>
        <v>0</v>
      </c>
      <c r="H31" s="1185">
        <f t="shared" ref="H31" si="40">+L31+AF31</f>
        <v>438917</v>
      </c>
      <c r="I31" s="1185">
        <f t="shared" ref="I31" si="41">+M31+AG31</f>
        <v>438917</v>
      </c>
      <c r="J31" s="1860">
        <f t="shared" ref="J31" si="42">IF(ISERROR(I31/H31),"-",I31/H31)</f>
        <v>1</v>
      </c>
      <c r="K31" s="1184">
        <f t="shared" ref="K31" si="43">+O31+S31+W31+AA31</f>
        <v>0</v>
      </c>
      <c r="L31" s="1185">
        <f t="shared" ref="L31" si="44">+P31+T31+X31+AB31</f>
        <v>0</v>
      </c>
      <c r="M31" s="1185">
        <f t="shared" ref="M31" si="45">+Q31+U31+Y31+AC31</f>
        <v>0</v>
      </c>
      <c r="N31" s="1860" t="str">
        <f t="shared" ref="N31" si="46">IF(ISERROR(M31/L31),"-",M31/L31)</f>
        <v>-</v>
      </c>
      <c r="O31" s="1009"/>
      <c r="P31" s="1010"/>
      <c r="Q31" s="1010"/>
      <c r="R31" s="1458" t="str">
        <f t="shared" ref="R31" si="47">IF(ISERROR(Q31/P31),"-",Q31/P31)</f>
        <v>-</v>
      </c>
      <c r="S31" s="1009"/>
      <c r="T31" s="1010"/>
      <c r="U31" s="1010"/>
      <c r="V31" s="1458" t="str">
        <f t="shared" ref="V31" si="48">IF(ISERROR(U31/T31),"-",U31/T31)</f>
        <v>-</v>
      </c>
      <c r="W31" s="1009"/>
      <c r="X31" s="1010"/>
      <c r="Y31" s="1010"/>
      <c r="Z31" s="1458" t="str">
        <f t="shared" ref="Z31" si="49">IF(ISERROR(Y31/X31),"-",Y31/X31)</f>
        <v>-</v>
      </c>
      <c r="AA31" s="1009"/>
      <c r="AB31" s="1010"/>
      <c r="AC31" s="1010"/>
      <c r="AD31" s="1458" t="str">
        <f t="shared" ref="AD31" si="50">IF(ISERROR(AC31/AB31),"-",AC31/AB31)</f>
        <v>-</v>
      </c>
      <c r="AE31" s="1184">
        <f t="shared" ref="AE31" si="51">+AI31+AM31+AQ31</f>
        <v>0</v>
      </c>
      <c r="AF31" s="1185">
        <f t="shared" ref="AF31" si="52">+AJ31+AN31+AR31</f>
        <v>438917</v>
      </c>
      <c r="AG31" s="1185">
        <f t="shared" ref="AG31" si="53">+AK31+AO31+AS31</f>
        <v>438917</v>
      </c>
      <c r="AH31" s="1860">
        <f t="shared" ref="AH31" si="54">IF(ISERROR(AG31/AF31),"-",AG31/AF31)</f>
        <v>1</v>
      </c>
      <c r="AI31" s="1009"/>
      <c r="AJ31" s="1010">
        <v>438917</v>
      </c>
      <c r="AK31" s="1010">
        <v>438917</v>
      </c>
      <c r="AL31" s="1458">
        <f t="shared" ref="AL31" si="55">IF(ISERROR(AK31/AJ31),"-",AK31/AJ31)</f>
        <v>1</v>
      </c>
      <c r="AM31" s="1009"/>
      <c r="AN31" s="1010"/>
      <c r="AO31" s="1010"/>
      <c r="AP31" s="1458" t="str">
        <f t="shared" ref="AP31" si="56">IF(ISERROR(AO31/AN31),"-",AO31/AN31)</f>
        <v>-</v>
      </c>
      <c r="AQ31" s="1009"/>
      <c r="AR31" s="1010"/>
      <c r="AS31" s="1010"/>
      <c r="AT31" s="1458" t="str">
        <f t="shared" ref="AT31" si="57">IF(ISERROR(AS31/AR31),"-",AS31/AR31)</f>
        <v>-</v>
      </c>
      <c r="AU31" s="509"/>
      <c r="AV31" s="509"/>
      <c r="AW31" s="509"/>
      <c r="AX31" s="509"/>
      <c r="AY31" s="509"/>
    </row>
    <row r="32" spans="1:51" s="516" customFormat="1">
      <c r="A32" s="552">
        <f t="shared" si="18"/>
        <v>25</v>
      </c>
      <c r="B32" s="288">
        <v>5</v>
      </c>
      <c r="C32" s="360" t="s">
        <v>744</v>
      </c>
      <c r="D32" s="973" t="s">
        <v>651</v>
      </c>
      <c r="E32" s="976" t="s">
        <v>743</v>
      </c>
      <c r="F32" s="978" t="s">
        <v>651</v>
      </c>
      <c r="G32" s="1184">
        <f t="shared" si="0"/>
        <v>0</v>
      </c>
      <c r="H32" s="1185">
        <f t="shared" si="1"/>
        <v>0</v>
      </c>
      <c r="I32" s="1185">
        <f t="shared" si="19"/>
        <v>0</v>
      </c>
      <c r="J32" s="1860" t="str">
        <f t="shared" si="2"/>
        <v>-</v>
      </c>
      <c r="K32" s="1184">
        <f t="shared" si="3"/>
        <v>0</v>
      </c>
      <c r="L32" s="1185">
        <f t="shared" si="4"/>
        <v>0</v>
      </c>
      <c r="M32" s="1185">
        <f t="shared" si="5"/>
        <v>0</v>
      </c>
      <c r="N32" s="1860" t="str">
        <f t="shared" si="6"/>
        <v>-</v>
      </c>
      <c r="O32" s="1009"/>
      <c r="P32" s="1010"/>
      <c r="Q32" s="1010"/>
      <c r="R32" s="1458" t="str">
        <f t="shared" si="7"/>
        <v>-</v>
      </c>
      <c r="S32" s="1009"/>
      <c r="T32" s="1010"/>
      <c r="U32" s="1010"/>
      <c r="V32" s="1458" t="str">
        <f t="shared" si="8"/>
        <v>-</v>
      </c>
      <c r="W32" s="1009"/>
      <c r="X32" s="1010"/>
      <c r="Y32" s="1010"/>
      <c r="Z32" s="1458" t="str">
        <f t="shared" si="9"/>
        <v>-</v>
      </c>
      <c r="AA32" s="1009"/>
      <c r="AB32" s="1010"/>
      <c r="AC32" s="1010"/>
      <c r="AD32" s="1458" t="str">
        <f t="shared" si="10"/>
        <v>-</v>
      </c>
      <c r="AE32" s="1184">
        <f t="shared" si="11"/>
        <v>0</v>
      </c>
      <c r="AF32" s="1185">
        <f t="shared" si="12"/>
        <v>0</v>
      </c>
      <c r="AG32" s="1185">
        <f t="shared" si="13"/>
        <v>0</v>
      </c>
      <c r="AH32" s="1860" t="str">
        <f t="shared" si="14"/>
        <v>-</v>
      </c>
      <c r="AI32" s="1009"/>
      <c r="AJ32" s="1010"/>
      <c r="AK32" s="1010"/>
      <c r="AL32" s="1458" t="str">
        <f t="shared" si="15"/>
        <v>-</v>
      </c>
      <c r="AM32" s="1009"/>
      <c r="AN32" s="1010"/>
      <c r="AO32" s="1010"/>
      <c r="AP32" s="1458" t="str">
        <f t="shared" si="16"/>
        <v>-</v>
      </c>
      <c r="AQ32" s="1009"/>
      <c r="AR32" s="1010"/>
      <c r="AS32" s="1010"/>
      <c r="AT32" s="1458" t="str">
        <f t="shared" si="17"/>
        <v>-</v>
      </c>
      <c r="AU32" s="509"/>
      <c r="AV32" s="509"/>
      <c r="AW32" s="509"/>
      <c r="AX32" s="509"/>
      <c r="AY32" s="509"/>
    </row>
    <row r="33" spans="1:51" s="516" customFormat="1" ht="24">
      <c r="A33" s="552">
        <f t="shared" si="18"/>
        <v>26</v>
      </c>
      <c r="B33" s="1019">
        <v>7</v>
      </c>
      <c r="C33" s="425" t="s">
        <v>2784</v>
      </c>
      <c r="D33" s="979" t="s">
        <v>2787</v>
      </c>
      <c r="E33" s="1889"/>
      <c r="F33" s="979" t="s">
        <v>2786</v>
      </c>
      <c r="G33" s="1184">
        <f t="shared" si="0"/>
        <v>0</v>
      </c>
      <c r="H33" s="1185">
        <f t="shared" si="1"/>
        <v>84548</v>
      </c>
      <c r="I33" s="1185">
        <f t="shared" si="19"/>
        <v>84548</v>
      </c>
      <c r="J33" s="1860">
        <f t="shared" si="2"/>
        <v>1</v>
      </c>
      <c r="K33" s="1184">
        <f t="shared" si="3"/>
        <v>0</v>
      </c>
      <c r="L33" s="1185">
        <f t="shared" si="4"/>
        <v>7256</v>
      </c>
      <c r="M33" s="1185">
        <f t="shared" si="5"/>
        <v>7256</v>
      </c>
      <c r="N33" s="1860">
        <f t="shared" si="6"/>
        <v>1</v>
      </c>
      <c r="O33" s="1009"/>
      <c r="P33" s="1010">
        <v>7256</v>
      </c>
      <c r="Q33" s="1010">
        <v>7256</v>
      </c>
      <c r="R33" s="1458">
        <f t="shared" si="7"/>
        <v>1</v>
      </c>
      <c r="S33" s="1009"/>
      <c r="T33" s="1010"/>
      <c r="U33" s="1010"/>
      <c r="V33" s="1458" t="str">
        <f t="shared" si="8"/>
        <v>-</v>
      </c>
      <c r="W33" s="1009"/>
      <c r="X33" s="1010"/>
      <c r="Y33" s="1010"/>
      <c r="Z33" s="1458" t="str">
        <f t="shared" si="9"/>
        <v>-</v>
      </c>
      <c r="AA33" s="1009"/>
      <c r="AB33" s="1010"/>
      <c r="AC33" s="1010"/>
      <c r="AD33" s="1458" t="str">
        <f t="shared" si="10"/>
        <v>-</v>
      </c>
      <c r="AE33" s="1184">
        <f t="shared" si="11"/>
        <v>0</v>
      </c>
      <c r="AF33" s="1185">
        <f t="shared" si="12"/>
        <v>77292</v>
      </c>
      <c r="AG33" s="1185">
        <f t="shared" si="13"/>
        <v>77292</v>
      </c>
      <c r="AH33" s="1860">
        <f t="shared" si="14"/>
        <v>1</v>
      </c>
      <c r="AI33" s="1009"/>
      <c r="AJ33" s="1010">
        <v>77292</v>
      </c>
      <c r="AK33" s="1010">
        <v>77292</v>
      </c>
      <c r="AL33" s="1458">
        <f t="shared" si="15"/>
        <v>1</v>
      </c>
      <c r="AM33" s="1009"/>
      <c r="AN33" s="1010"/>
      <c r="AO33" s="1010"/>
      <c r="AP33" s="1458" t="str">
        <f t="shared" si="16"/>
        <v>-</v>
      </c>
      <c r="AQ33" s="1009"/>
      <c r="AR33" s="1010"/>
      <c r="AS33" s="1010"/>
      <c r="AT33" s="1458" t="str">
        <f t="shared" si="17"/>
        <v>-</v>
      </c>
      <c r="AU33" s="509"/>
      <c r="AV33" s="509"/>
      <c r="AW33" s="509"/>
      <c r="AX33" s="509"/>
      <c r="AY33" s="509"/>
    </row>
    <row r="34" spans="1:51" s="516" customFormat="1" ht="24">
      <c r="A34" s="552">
        <f t="shared" si="18"/>
        <v>27</v>
      </c>
      <c r="B34" s="1019">
        <v>7</v>
      </c>
      <c r="C34" s="425" t="s">
        <v>2785</v>
      </c>
      <c r="D34" s="979" t="s">
        <v>2789</v>
      </c>
      <c r="E34" s="1889"/>
      <c r="F34" s="979" t="s">
        <v>2788</v>
      </c>
      <c r="G34" s="1184">
        <f t="shared" ref="G34" si="58">+K34+AE34</f>
        <v>0</v>
      </c>
      <c r="H34" s="1185">
        <f t="shared" ref="H34" si="59">+L34+AF34</f>
        <v>69269</v>
      </c>
      <c r="I34" s="1185">
        <f t="shared" ref="I34" si="60">+M34+AG34</f>
        <v>69269</v>
      </c>
      <c r="J34" s="1860">
        <f t="shared" ref="J34" si="61">IF(ISERROR(I34/H34),"-",I34/H34)</f>
        <v>1</v>
      </c>
      <c r="K34" s="1184">
        <f t="shared" ref="K34" si="62">+O34+S34+W34+AA34</f>
        <v>0</v>
      </c>
      <c r="L34" s="1185">
        <f t="shared" ref="L34" si="63">+P34+T34+X34+AB34</f>
        <v>2900</v>
      </c>
      <c r="M34" s="1185">
        <f t="shared" ref="M34" si="64">+Q34+U34+Y34+AC34</f>
        <v>2900</v>
      </c>
      <c r="N34" s="1860">
        <f t="shared" ref="N34" si="65">IF(ISERROR(M34/L34),"-",M34/L34)</f>
        <v>1</v>
      </c>
      <c r="O34" s="1009"/>
      <c r="P34" s="1010">
        <v>2900</v>
      </c>
      <c r="Q34" s="1010">
        <v>2900</v>
      </c>
      <c r="R34" s="1458">
        <f t="shared" ref="R34" si="66">IF(ISERROR(Q34/P34),"-",Q34/P34)</f>
        <v>1</v>
      </c>
      <c r="S34" s="1009"/>
      <c r="T34" s="1010"/>
      <c r="U34" s="1010"/>
      <c r="V34" s="1458" t="str">
        <f t="shared" ref="V34" si="67">IF(ISERROR(U34/T34),"-",U34/T34)</f>
        <v>-</v>
      </c>
      <c r="W34" s="1009"/>
      <c r="X34" s="1010"/>
      <c r="Y34" s="1010"/>
      <c r="Z34" s="1458" t="str">
        <f t="shared" ref="Z34" si="68">IF(ISERROR(Y34/X34),"-",Y34/X34)</f>
        <v>-</v>
      </c>
      <c r="AA34" s="1009"/>
      <c r="AB34" s="1010"/>
      <c r="AC34" s="1010"/>
      <c r="AD34" s="1458" t="str">
        <f t="shared" ref="AD34" si="69">IF(ISERROR(AC34/AB34),"-",AC34/AB34)</f>
        <v>-</v>
      </c>
      <c r="AE34" s="1184">
        <f t="shared" ref="AE34" si="70">+AI34+AM34+AQ34</f>
        <v>0</v>
      </c>
      <c r="AF34" s="1185">
        <f t="shared" ref="AF34" si="71">+AJ34+AN34+AR34</f>
        <v>66369</v>
      </c>
      <c r="AG34" s="1185">
        <f t="shared" ref="AG34" si="72">+AK34+AO34+AS34</f>
        <v>66369</v>
      </c>
      <c r="AH34" s="1860">
        <f t="shared" ref="AH34" si="73">IF(ISERROR(AG34/AF34),"-",AG34/AF34)</f>
        <v>1</v>
      </c>
      <c r="AI34" s="1009"/>
      <c r="AJ34" s="1010">
        <v>66369</v>
      </c>
      <c r="AK34" s="1010">
        <v>66369</v>
      </c>
      <c r="AL34" s="1458">
        <f t="shared" ref="AL34" si="74">IF(ISERROR(AK34/AJ34),"-",AK34/AJ34)</f>
        <v>1</v>
      </c>
      <c r="AM34" s="1009"/>
      <c r="AN34" s="1010"/>
      <c r="AO34" s="1010"/>
      <c r="AP34" s="1458" t="str">
        <f t="shared" ref="AP34" si="75">IF(ISERROR(AO34/AN34),"-",AO34/AN34)</f>
        <v>-</v>
      </c>
      <c r="AQ34" s="1009"/>
      <c r="AR34" s="1010"/>
      <c r="AS34" s="1010"/>
      <c r="AT34" s="1458" t="str">
        <f t="shared" ref="AT34" si="76">IF(ISERROR(AS34/AR34),"-",AS34/AR34)</f>
        <v>-</v>
      </c>
      <c r="AU34" s="509"/>
      <c r="AV34" s="509"/>
      <c r="AW34" s="509"/>
      <c r="AX34" s="509"/>
      <c r="AY34" s="509"/>
    </row>
    <row r="35" spans="1:51" s="516" customFormat="1">
      <c r="A35" s="552">
        <f t="shared" si="18"/>
        <v>28</v>
      </c>
      <c r="B35" s="288">
        <v>8</v>
      </c>
      <c r="C35" s="360" t="s">
        <v>767</v>
      </c>
      <c r="D35" s="973" t="s">
        <v>656</v>
      </c>
      <c r="E35" s="976" t="s">
        <v>687</v>
      </c>
      <c r="F35" s="978" t="s">
        <v>656</v>
      </c>
      <c r="G35" s="1184">
        <f t="shared" si="0"/>
        <v>0</v>
      </c>
      <c r="H35" s="1185">
        <f t="shared" si="1"/>
        <v>120</v>
      </c>
      <c r="I35" s="1185">
        <f t="shared" si="19"/>
        <v>120</v>
      </c>
      <c r="J35" s="1860">
        <f t="shared" si="2"/>
        <v>1</v>
      </c>
      <c r="K35" s="1184">
        <f t="shared" si="3"/>
        <v>0</v>
      </c>
      <c r="L35" s="1185">
        <f t="shared" si="4"/>
        <v>0</v>
      </c>
      <c r="M35" s="1185">
        <f t="shared" si="5"/>
        <v>0</v>
      </c>
      <c r="N35" s="1860" t="str">
        <f t="shared" si="6"/>
        <v>-</v>
      </c>
      <c r="O35" s="1009"/>
      <c r="P35" s="1010"/>
      <c r="Q35" s="1010"/>
      <c r="R35" s="1458" t="str">
        <f t="shared" si="7"/>
        <v>-</v>
      </c>
      <c r="S35" s="1009"/>
      <c r="T35" s="1010"/>
      <c r="U35" s="1010"/>
      <c r="V35" s="1458" t="str">
        <f t="shared" si="8"/>
        <v>-</v>
      </c>
      <c r="W35" s="1009"/>
      <c r="X35" s="1010"/>
      <c r="Y35" s="1010"/>
      <c r="Z35" s="1458" t="str">
        <f t="shared" si="9"/>
        <v>-</v>
      </c>
      <c r="AA35" s="1009"/>
      <c r="AB35" s="1010"/>
      <c r="AC35" s="1010"/>
      <c r="AD35" s="1458" t="str">
        <f t="shared" si="10"/>
        <v>-</v>
      </c>
      <c r="AE35" s="1184">
        <f t="shared" si="11"/>
        <v>0</v>
      </c>
      <c r="AF35" s="1185">
        <f t="shared" si="12"/>
        <v>120</v>
      </c>
      <c r="AG35" s="1185">
        <f t="shared" si="13"/>
        <v>120</v>
      </c>
      <c r="AH35" s="1860">
        <f t="shared" si="14"/>
        <v>1</v>
      </c>
      <c r="AI35" s="1009"/>
      <c r="AJ35" s="1010"/>
      <c r="AK35" s="1010"/>
      <c r="AL35" s="1458" t="str">
        <f t="shared" si="15"/>
        <v>-</v>
      </c>
      <c r="AM35" s="1009"/>
      <c r="AN35" s="1010"/>
      <c r="AO35" s="1010"/>
      <c r="AP35" s="1458" t="str">
        <f t="shared" si="16"/>
        <v>-</v>
      </c>
      <c r="AQ35" s="1009"/>
      <c r="AR35" s="1010">
        <v>120</v>
      </c>
      <c r="AS35" s="1010">
        <v>120</v>
      </c>
      <c r="AT35" s="1458">
        <f t="shared" si="17"/>
        <v>1</v>
      </c>
      <c r="AU35" s="509"/>
      <c r="AV35" s="509"/>
      <c r="AW35" s="509"/>
      <c r="AX35" s="509"/>
      <c r="AY35" s="509"/>
    </row>
    <row r="36" spans="1:51" s="516" customFormat="1">
      <c r="A36" s="552">
        <f t="shared" si="18"/>
        <v>29</v>
      </c>
      <c r="B36" s="288">
        <v>8</v>
      </c>
      <c r="C36" s="360" t="s">
        <v>738</v>
      </c>
      <c r="D36" s="973" t="s">
        <v>739</v>
      </c>
      <c r="E36" s="976" t="s">
        <v>679</v>
      </c>
      <c r="F36" s="978" t="s">
        <v>1086</v>
      </c>
      <c r="G36" s="1184">
        <f t="shared" ref="G36" si="77">+K36+AE36</f>
        <v>0</v>
      </c>
      <c r="H36" s="1185">
        <f t="shared" ref="H36" si="78">+L36+AF36</f>
        <v>0</v>
      </c>
      <c r="I36" s="1185">
        <f t="shared" ref="I36" si="79">+M36+AG36</f>
        <v>0</v>
      </c>
      <c r="J36" s="1860" t="str">
        <f t="shared" ref="J36" si="80">IF(ISERROR(I36/H36),"-",I36/H36)</f>
        <v>-</v>
      </c>
      <c r="K36" s="1184">
        <f t="shared" ref="K36" si="81">+O36+S36+W36+AA36</f>
        <v>0</v>
      </c>
      <c r="L36" s="1185">
        <f t="shared" ref="L36" si="82">+P36+T36+X36+AB36</f>
        <v>0</v>
      </c>
      <c r="M36" s="1185">
        <f t="shared" ref="M36" si="83">+Q36+U36+Y36+AC36</f>
        <v>0</v>
      </c>
      <c r="N36" s="1860" t="str">
        <f t="shared" ref="N36" si="84">IF(ISERROR(M36/L36),"-",M36/L36)</f>
        <v>-</v>
      </c>
      <c r="O36" s="1009"/>
      <c r="P36" s="1010"/>
      <c r="Q36" s="1010"/>
      <c r="R36" s="1458" t="str">
        <f t="shared" ref="R36" si="85">IF(ISERROR(Q36/P36),"-",Q36/P36)</f>
        <v>-</v>
      </c>
      <c r="S36" s="1009"/>
      <c r="T36" s="1010"/>
      <c r="U36" s="1010"/>
      <c r="V36" s="1458" t="str">
        <f t="shared" ref="V36" si="86">IF(ISERROR(U36/T36),"-",U36/T36)</f>
        <v>-</v>
      </c>
      <c r="W36" s="1009"/>
      <c r="X36" s="1010"/>
      <c r="Y36" s="1010"/>
      <c r="Z36" s="1458" t="str">
        <f t="shared" ref="Z36" si="87">IF(ISERROR(Y36/X36),"-",Y36/X36)</f>
        <v>-</v>
      </c>
      <c r="AA36" s="1009"/>
      <c r="AB36" s="1010"/>
      <c r="AC36" s="1010"/>
      <c r="AD36" s="1458" t="str">
        <f t="shared" ref="AD36" si="88">IF(ISERROR(AC36/AB36),"-",AC36/AB36)</f>
        <v>-</v>
      </c>
      <c r="AE36" s="1184">
        <f t="shared" ref="AE36" si="89">+AI36+AM36+AQ36</f>
        <v>0</v>
      </c>
      <c r="AF36" s="1185">
        <f t="shared" ref="AF36" si="90">+AJ36+AN36+AR36</f>
        <v>0</v>
      </c>
      <c r="AG36" s="1185">
        <f t="shared" ref="AG36" si="91">+AK36+AO36+AS36</f>
        <v>0</v>
      </c>
      <c r="AH36" s="1860" t="str">
        <f t="shared" ref="AH36" si="92">IF(ISERROR(AG36/AF36),"-",AG36/AF36)</f>
        <v>-</v>
      </c>
      <c r="AI36" s="1009"/>
      <c r="AJ36" s="1010"/>
      <c r="AK36" s="1010"/>
      <c r="AL36" s="1458" t="str">
        <f t="shared" ref="AL36" si="93">IF(ISERROR(AK36/AJ36),"-",AK36/AJ36)</f>
        <v>-</v>
      </c>
      <c r="AM36" s="1009"/>
      <c r="AN36" s="1010"/>
      <c r="AO36" s="1010"/>
      <c r="AP36" s="1458" t="str">
        <f t="shared" ref="AP36" si="94">IF(ISERROR(AO36/AN36),"-",AO36/AN36)</f>
        <v>-</v>
      </c>
      <c r="AQ36" s="1009"/>
      <c r="AR36" s="1010"/>
      <c r="AS36" s="1010"/>
      <c r="AT36" s="1458" t="str">
        <f t="shared" ref="AT36" si="95">IF(ISERROR(AS36/AR36),"-",AS36/AR36)</f>
        <v>-</v>
      </c>
      <c r="AU36" s="509"/>
      <c r="AV36" s="509"/>
      <c r="AW36" s="509"/>
      <c r="AX36" s="509"/>
      <c r="AY36" s="509"/>
    </row>
    <row r="37" spans="1:51" s="516" customFormat="1" ht="24">
      <c r="A37" s="552">
        <f t="shared" si="18"/>
        <v>30</v>
      </c>
      <c r="B37" s="1019">
        <v>7</v>
      </c>
      <c r="C37" s="425" t="s">
        <v>2790</v>
      </c>
      <c r="D37" s="979" t="s">
        <v>2810</v>
      </c>
      <c r="E37" s="1889"/>
      <c r="F37" s="979" t="s">
        <v>2791</v>
      </c>
      <c r="G37" s="1184">
        <f t="shared" si="0"/>
        <v>0</v>
      </c>
      <c r="H37" s="1185">
        <f t="shared" si="1"/>
        <v>195000</v>
      </c>
      <c r="I37" s="1185">
        <f t="shared" si="19"/>
        <v>195000</v>
      </c>
      <c r="J37" s="1860">
        <f t="shared" si="2"/>
        <v>1</v>
      </c>
      <c r="K37" s="1184">
        <f t="shared" si="3"/>
        <v>0</v>
      </c>
      <c r="L37" s="1185">
        <f t="shared" si="4"/>
        <v>16835</v>
      </c>
      <c r="M37" s="1185">
        <f t="shared" si="5"/>
        <v>16835</v>
      </c>
      <c r="N37" s="1860">
        <f t="shared" si="6"/>
        <v>1</v>
      </c>
      <c r="O37" s="1009"/>
      <c r="P37" s="1010">
        <v>16835</v>
      </c>
      <c r="Q37" s="1010">
        <v>16835</v>
      </c>
      <c r="R37" s="1458">
        <f t="shared" si="7"/>
        <v>1</v>
      </c>
      <c r="S37" s="1009"/>
      <c r="T37" s="1010"/>
      <c r="U37" s="1010"/>
      <c r="V37" s="1458" t="str">
        <f t="shared" si="8"/>
        <v>-</v>
      </c>
      <c r="W37" s="1009"/>
      <c r="X37" s="1010"/>
      <c r="Y37" s="1010"/>
      <c r="Z37" s="1458" t="str">
        <f t="shared" si="9"/>
        <v>-</v>
      </c>
      <c r="AA37" s="1009"/>
      <c r="AB37" s="1010"/>
      <c r="AC37" s="1010"/>
      <c r="AD37" s="1458" t="str">
        <f t="shared" si="10"/>
        <v>-</v>
      </c>
      <c r="AE37" s="1184">
        <f t="shared" si="11"/>
        <v>0</v>
      </c>
      <c r="AF37" s="1185">
        <f t="shared" si="12"/>
        <v>178165</v>
      </c>
      <c r="AG37" s="1185">
        <f t="shared" si="13"/>
        <v>178165</v>
      </c>
      <c r="AH37" s="1860">
        <f t="shared" si="14"/>
        <v>1</v>
      </c>
      <c r="AI37" s="1009"/>
      <c r="AJ37" s="1010">
        <v>178165</v>
      </c>
      <c r="AK37" s="1010">
        <v>178165</v>
      </c>
      <c r="AL37" s="1458">
        <f t="shared" si="15"/>
        <v>1</v>
      </c>
      <c r="AM37" s="1009"/>
      <c r="AN37" s="1010"/>
      <c r="AO37" s="1010"/>
      <c r="AP37" s="1458" t="str">
        <f t="shared" si="16"/>
        <v>-</v>
      </c>
      <c r="AQ37" s="1009"/>
      <c r="AR37" s="1010"/>
      <c r="AS37" s="1010"/>
      <c r="AT37" s="1458" t="str">
        <f t="shared" si="17"/>
        <v>-</v>
      </c>
      <c r="AU37" s="509"/>
      <c r="AV37" s="509"/>
      <c r="AW37" s="509"/>
      <c r="AX37" s="509"/>
      <c r="AY37" s="509"/>
    </row>
    <row r="38" spans="1:51" s="516" customFormat="1">
      <c r="A38" s="552">
        <f t="shared" si="18"/>
        <v>31</v>
      </c>
      <c r="B38" s="288">
        <v>8</v>
      </c>
      <c r="C38" s="360" t="s">
        <v>736</v>
      </c>
      <c r="D38" s="973" t="s">
        <v>737</v>
      </c>
      <c r="E38" s="976" t="s">
        <v>678</v>
      </c>
      <c r="F38" s="978" t="s">
        <v>649</v>
      </c>
      <c r="G38" s="1184">
        <f t="shared" si="0"/>
        <v>9164</v>
      </c>
      <c r="H38" s="1185">
        <f t="shared" si="1"/>
        <v>18796</v>
      </c>
      <c r="I38" s="1185">
        <f t="shared" si="19"/>
        <v>18796</v>
      </c>
      <c r="J38" s="1860">
        <f t="shared" si="2"/>
        <v>1</v>
      </c>
      <c r="K38" s="1184">
        <f t="shared" si="3"/>
        <v>9164</v>
      </c>
      <c r="L38" s="1185">
        <f t="shared" si="4"/>
        <v>18796</v>
      </c>
      <c r="M38" s="1185">
        <f t="shared" si="5"/>
        <v>18796</v>
      </c>
      <c r="N38" s="1860">
        <f t="shared" si="6"/>
        <v>1</v>
      </c>
      <c r="O38" s="1009"/>
      <c r="P38" s="1010"/>
      <c r="Q38" s="1010"/>
      <c r="R38" s="1458" t="str">
        <f t="shared" si="7"/>
        <v>-</v>
      </c>
      <c r="S38" s="1009"/>
      <c r="T38" s="1010"/>
      <c r="U38" s="1010"/>
      <c r="V38" s="1458" t="str">
        <f t="shared" si="8"/>
        <v>-</v>
      </c>
      <c r="W38" s="1009">
        <v>9164</v>
      </c>
      <c r="X38" s="1010">
        <v>18796</v>
      </c>
      <c r="Y38" s="1010">
        <v>18796</v>
      </c>
      <c r="Z38" s="1458">
        <f t="shared" si="9"/>
        <v>1</v>
      </c>
      <c r="AA38" s="1009"/>
      <c r="AB38" s="1010"/>
      <c r="AC38" s="1010"/>
      <c r="AD38" s="1458" t="str">
        <f t="shared" si="10"/>
        <v>-</v>
      </c>
      <c r="AE38" s="1184">
        <f t="shared" si="11"/>
        <v>0</v>
      </c>
      <c r="AF38" s="1185">
        <f t="shared" si="12"/>
        <v>0</v>
      </c>
      <c r="AG38" s="1185">
        <f t="shared" si="13"/>
        <v>0</v>
      </c>
      <c r="AH38" s="1860" t="str">
        <f t="shared" si="14"/>
        <v>-</v>
      </c>
      <c r="AI38" s="1009"/>
      <c r="AJ38" s="1010"/>
      <c r="AK38" s="1010"/>
      <c r="AL38" s="1458" t="str">
        <f t="shared" si="15"/>
        <v>-</v>
      </c>
      <c r="AM38" s="1009"/>
      <c r="AN38" s="1010"/>
      <c r="AO38" s="1010"/>
      <c r="AP38" s="1458" t="str">
        <f t="shared" si="16"/>
        <v>-</v>
      </c>
      <c r="AQ38" s="1009"/>
      <c r="AR38" s="1010"/>
      <c r="AS38" s="1010"/>
      <c r="AT38" s="1458" t="str">
        <f t="shared" si="17"/>
        <v>-</v>
      </c>
      <c r="AU38" s="509"/>
      <c r="AV38" s="509"/>
      <c r="AW38" s="509"/>
      <c r="AX38" s="509"/>
      <c r="AY38" s="509"/>
    </row>
    <row r="39" spans="1:51" s="516" customFormat="1">
      <c r="A39" s="552">
        <f t="shared" si="18"/>
        <v>32</v>
      </c>
      <c r="B39" s="288">
        <v>3</v>
      </c>
      <c r="C39" s="360" t="s">
        <v>746</v>
      </c>
      <c r="D39" s="973" t="s">
        <v>652</v>
      </c>
      <c r="E39" s="976" t="s">
        <v>745</v>
      </c>
      <c r="F39" s="978" t="s">
        <v>652</v>
      </c>
      <c r="G39" s="1184">
        <f t="shared" si="0"/>
        <v>0</v>
      </c>
      <c r="H39" s="1185">
        <f t="shared" si="1"/>
        <v>0</v>
      </c>
      <c r="I39" s="1185">
        <f t="shared" si="19"/>
        <v>0</v>
      </c>
      <c r="J39" s="1860" t="str">
        <f t="shared" si="2"/>
        <v>-</v>
      </c>
      <c r="K39" s="1184">
        <f t="shared" si="3"/>
        <v>0</v>
      </c>
      <c r="L39" s="1185">
        <f t="shared" si="4"/>
        <v>0</v>
      </c>
      <c r="M39" s="1185">
        <f t="shared" si="5"/>
        <v>0</v>
      </c>
      <c r="N39" s="1860" t="str">
        <f t="shared" si="6"/>
        <v>-</v>
      </c>
      <c r="O39" s="1009"/>
      <c r="P39" s="1010"/>
      <c r="Q39" s="1010"/>
      <c r="R39" s="1458" t="str">
        <f t="shared" si="7"/>
        <v>-</v>
      </c>
      <c r="S39" s="1009"/>
      <c r="T39" s="1010"/>
      <c r="U39" s="1010"/>
      <c r="V39" s="1458" t="str">
        <f t="shared" si="8"/>
        <v>-</v>
      </c>
      <c r="W39" s="1009"/>
      <c r="X39" s="1010"/>
      <c r="Y39" s="1010"/>
      <c r="Z39" s="1458" t="str">
        <f t="shared" si="9"/>
        <v>-</v>
      </c>
      <c r="AA39" s="1009"/>
      <c r="AB39" s="1010"/>
      <c r="AC39" s="1010"/>
      <c r="AD39" s="1458" t="str">
        <f t="shared" si="10"/>
        <v>-</v>
      </c>
      <c r="AE39" s="1184">
        <f t="shared" si="11"/>
        <v>0</v>
      </c>
      <c r="AF39" s="1185">
        <f t="shared" si="12"/>
        <v>0</v>
      </c>
      <c r="AG39" s="1185">
        <f t="shared" si="13"/>
        <v>0</v>
      </c>
      <c r="AH39" s="1860" t="str">
        <f t="shared" si="14"/>
        <v>-</v>
      </c>
      <c r="AI39" s="1009"/>
      <c r="AJ39" s="1010"/>
      <c r="AK39" s="1010"/>
      <c r="AL39" s="1458" t="str">
        <f t="shared" si="15"/>
        <v>-</v>
      </c>
      <c r="AM39" s="1009"/>
      <c r="AN39" s="1010"/>
      <c r="AO39" s="1010"/>
      <c r="AP39" s="1458" t="str">
        <f t="shared" si="16"/>
        <v>-</v>
      </c>
      <c r="AQ39" s="1009"/>
      <c r="AR39" s="1010"/>
      <c r="AS39" s="1010"/>
      <c r="AT39" s="1458" t="str">
        <f t="shared" si="17"/>
        <v>-</v>
      </c>
      <c r="AU39" s="509"/>
      <c r="AV39" s="509"/>
      <c r="AW39" s="509"/>
      <c r="AX39" s="509"/>
      <c r="AY39" s="509"/>
    </row>
    <row r="40" spans="1:51" s="516" customFormat="1">
      <c r="A40" s="552">
        <f t="shared" si="18"/>
        <v>33</v>
      </c>
      <c r="B40" s="288">
        <v>4</v>
      </c>
      <c r="C40" s="360" t="s">
        <v>756</v>
      </c>
      <c r="D40" s="973" t="s">
        <v>654</v>
      </c>
      <c r="E40" s="976" t="s">
        <v>684</v>
      </c>
      <c r="F40" s="978" t="s">
        <v>654</v>
      </c>
      <c r="G40" s="1184">
        <f t="shared" si="0"/>
        <v>0</v>
      </c>
      <c r="H40" s="1185">
        <f t="shared" si="1"/>
        <v>0</v>
      </c>
      <c r="I40" s="1185">
        <f t="shared" si="19"/>
        <v>0</v>
      </c>
      <c r="J40" s="1860" t="str">
        <f t="shared" si="2"/>
        <v>-</v>
      </c>
      <c r="K40" s="1184">
        <f t="shared" si="3"/>
        <v>0</v>
      </c>
      <c r="L40" s="1185">
        <f t="shared" si="4"/>
        <v>0</v>
      </c>
      <c r="M40" s="1185">
        <f t="shared" si="5"/>
        <v>0</v>
      </c>
      <c r="N40" s="1860" t="str">
        <f t="shared" si="6"/>
        <v>-</v>
      </c>
      <c r="O40" s="1009"/>
      <c r="P40" s="1010"/>
      <c r="Q40" s="1010"/>
      <c r="R40" s="1458" t="str">
        <f t="shared" si="7"/>
        <v>-</v>
      </c>
      <c r="S40" s="1009"/>
      <c r="T40" s="1010"/>
      <c r="U40" s="1010"/>
      <c r="V40" s="1458" t="str">
        <f t="shared" si="8"/>
        <v>-</v>
      </c>
      <c r="W40" s="1009"/>
      <c r="X40" s="1010"/>
      <c r="Y40" s="1010"/>
      <c r="Z40" s="1458" t="str">
        <f t="shared" si="9"/>
        <v>-</v>
      </c>
      <c r="AA40" s="1009"/>
      <c r="AB40" s="1010"/>
      <c r="AC40" s="1010"/>
      <c r="AD40" s="1458" t="str">
        <f t="shared" si="10"/>
        <v>-</v>
      </c>
      <c r="AE40" s="1184">
        <f t="shared" si="11"/>
        <v>0</v>
      </c>
      <c r="AF40" s="1185">
        <f t="shared" si="12"/>
        <v>0</v>
      </c>
      <c r="AG40" s="1185">
        <f t="shared" si="13"/>
        <v>0</v>
      </c>
      <c r="AH40" s="1860" t="str">
        <f t="shared" si="14"/>
        <v>-</v>
      </c>
      <c r="AI40" s="1009"/>
      <c r="AJ40" s="1010"/>
      <c r="AK40" s="1010"/>
      <c r="AL40" s="1458" t="str">
        <f t="shared" si="15"/>
        <v>-</v>
      </c>
      <c r="AM40" s="1009"/>
      <c r="AN40" s="1010"/>
      <c r="AO40" s="1010"/>
      <c r="AP40" s="1458" t="str">
        <f t="shared" si="16"/>
        <v>-</v>
      </c>
      <c r="AQ40" s="1009"/>
      <c r="AR40" s="1010"/>
      <c r="AS40" s="1010"/>
      <c r="AT40" s="1458" t="str">
        <f t="shared" si="17"/>
        <v>-</v>
      </c>
      <c r="AU40" s="509"/>
      <c r="AV40" s="509"/>
      <c r="AW40" s="509"/>
      <c r="AX40" s="509"/>
      <c r="AY40" s="509"/>
    </row>
    <row r="41" spans="1:51" s="516" customFormat="1">
      <c r="A41" s="552">
        <f t="shared" si="18"/>
        <v>34</v>
      </c>
      <c r="B41" s="288">
        <v>8</v>
      </c>
      <c r="C41" s="425" t="s">
        <v>747</v>
      </c>
      <c r="D41" s="979" t="s">
        <v>653</v>
      </c>
      <c r="E41" s="976" t="s">
        <v>682</v>
      </c>
      <c r="F41" s="980" t="s">
        <v>653</v>
      </c>
      <c r="G41" s="1184">
        <f t="shared" si="0"/>
        <v>44748</v>
      </c>
      <c r="H41" s="1185">
        <f t="shared" si="1"/>
        <v>46509</v>
      </c>
      <c r="I41" s="1185">
        <f t="shared" si="19"/>
        <v>39588</v>
      </c>
      <c r="J41" s="1860">
        <f t="shared" si="2"/>
        <v>0.85119009224021158</v>
      </c>
      <c r="K41" s="1184">
        <f t="shared" si="3"/>
        <v>29748</v>
      </c>
      <c r="L41" s="1185">
        <f t="shared" si="4"/>
        <v>30091</v>
      </c>
      <c r="M41" s="1185">
        <f t="shared" si="5"/>
        <v>30091</v>
      </c>
      <c r="N41" s="1860">
        <f t="shared" si="6"/>
        <v>1</v>
      </c>
      <c r="O41" s="1009">
        <v>6450</v>
      </c>
      <c r="P41" s="1010">
        <v>8041</v>
      </c>
      <c r="Q41" s="1010">
        <v>8041</v>
      </c>
      <c r="R41" s="1458">
        <f t="shared" si="7"/>
        <v>1</v>
      </c>
      <c r="S41" s="1009">
        <v>500</v>
      </c>
      <c r="T41" s="1010">
        <v>407</v>
      </c>
      <c r="U41" s="1010">
        <v>407</v>
      </c>
      <c r="V41" s="1458">
        <f t="shared" si="8"/>
        <v>1</v>
      </c>
      <c r="W41" s="1009">
        <v>22798</v>
      </c>
      <c r="X41" s="1010">
        <v>21643</v>
      </c>
      <c r="Y41" s="1010">
        <v>21643</v>
      </c>
      <c r="Z41" s="1458">
        <f t="shared" si="9"/>
        <v>1</v>
      </c>
      <c r="AA41" s="1009"/>
      <c r="AB41" s="1010"/>
      <c r="AC41" s="1010"/>
      <c r="AD41" s="1458" t="str">
        <f t="shared" si="10"/>
        <v>-</v>
      </c>
      <c r="AE41" s="1184">
        <f t="shared" si="11"/>
        <v>15000</v>
      </c>
      <c r="AF41" s="1185">
        <f t="shared" si="12"/>
        <v>16418</v>
      </c>
      <c r="AG41" s="1185">
        <f t="shared" si="13"/>
        <v>9497</v>
      </c>
      <c r="AH41" s="1860">
        <f t="shared" si="14"/>
        <v>0.57845048117919362</v>
      </c>
      <c r="AI41" s="1009"/>
      <c r="AJ41" s="1010">
        <v>7497</v>
      </c>
      <c r="AK41" s="1010">
        <v>7497</v>
      </c>
      <c r="AL41" s="1458">
        <f t="shared" si="15"/>
        <v>1</v>
      </c>
      <c r="AM41" s="1009">
        <v>15000</v>
      </c>
      <c r="AN41" s="1010"/>
      <c r="AO41" s="1010"/>
      <c r="AP41" s="1458" t="str">
        <f t="shared" si="16"/>
        <v>-</v>
      </c>
      <c r="AQ41" s="1009"/>
      <c r="AR41" s="1010">
        <f>2000+6921</f>
        <v>8921</v>
      </c>
      <c r="AS41" s="1010">
        <v>2000</v>
      </c>
      <c r="AT41" s="1458">
        <f t="shared" si="17"/>
        <v>0.22419011321600718</v>
      </c>
      <c r="AU41" s="509"/>
      <c r="AV41" s="509"/>
      <c r="AW41" s="509"/>
      <c r="AX41" s="509"/>
      <c r="AY41" s="509"/>
    </row>
    <row r="42" spans="1:51" s="516" customFormat="1" ht="24">
      <c r="A42" s="552">
        <f t="shared" si="18"/>
        <v>35</v>
      </c>
      <c r="B42" s="1019">
        <v>7</v>
      </c>
      <c r="C42" s="425" t="s">
        <v>747</v>
      </c>
      <c r="D42" s="979" t="s">
        <v>1348</v>
      </c>
      <c r="E42" s="976" t="s">
        <v>682</v>
      </c>
      <c r="F42" s="980" t="s">
        <v>1256</v>
      </c>
      <c r="G42" s="1184">
        <f t="shared" si="0"/>
        <v>0</v>
      </c>
      <c r="H42" s="1185">
        <f t="shared" si="1"/>
        <v>0</v>
      </c>
      <c r="I42" s="1185">
        <f t="shared" si="19"/>
        <v>0</v>
      </c>
      <c r="J42" s="1860" t="str">
        <f t="shared" si="2"/>
        <v>-</v>
      </c>
      <c r="K42" s="1184">
        <f t="shared" si="3"/>
        <v>0</v>
      </c>
      <c r="L42" s="1185">
        <f t="shared" si="4"/>
        <v>0</v>
      </c>
      <c r="M42" s="1185">
        <f t="shared" si="5"/>
        <v>0</v>
      </c>
      <c r="N42" s="1860" t="str">
        <f t="shared" si="6"/>
        <v>-</v>
      </c>
      <c r="O42" s="1009"/>
      <c r="P42" s="1010"/>
      <c r="Q42" s="1010"/>
      <c r="R42" s="1458" t="str">
        <f t="shared" si="7"/>
        <v>-</v>
      </c>
      <c r="S42" s="1009"/>
      <c r="T42" s="1010"/>
      <c r="U42" s="1010"/>
      <c r="V42" s="1458" t="str">
        <f t="shared" si="8"/>
        <v>-</v>
      </c>
      <c r="W42" s="1009"/>
      <c r="X42" s="1010"/>
      <c r="Y42" s="1010"/>
      <c r="Z42" s="1458" t="str">
        <f t="shared" si="9"/>
        <v>-</v>
      </c>
      <c r="AA42" s="1009"/>
      <c r="AB42" s="1010"/>
      <c r="AC42" s="1010"/>
      <c r="AD42" s="1458" t="str">
        <f t="shared" si="10"/>
        <v>-</v>
      </c>
      <c r="AE42" s="1184">
        <f t="shared" si="11"/>
        <v>0</v>
      </c>
      <c r="AF42" s="1185">
        <f t="shared" si="12"/>
        <v>0</v>
      </c>
      <c r="AG42" s="1185">
        <f t="shared" si="13"/>
        <v>0</v>
      </c>
      <c r="AH42" s="1860" t="str">
        <f t="shared" si="14"/>
        <v>-</v>
      </c>
      <c r="AI42" s="1009"/>
      <c r="AJ42" s="1010"/>
      <c r="AK42" s="1010"/>
      <c r="AL42" s="1458" t="str">
        <f t="shared" si="15"/>
        <v>-</v>
      </c>
      <c r="AM42" s="1009"/>
      <c r="AN42" s="1010"/>
      <c r="AO42" s="1010"/>
      <c r="AP42" s="1458" t="str">
        <f t="shared" si="16"/>
        <v>-</v>
      </c>
      <c r="AQ42" s="1009"/>
      <c r="AR42" s="1010"/>
      <c r="AS42" s="1010"/>
      <c r="AT42" s="1458" t="str">
        <f t="shared" si="17"/>
        <v>-</v>
      </c>
      <c r="AU42" s="509"/>
      <c r="AV42" s="509"/>
      <c r="AW42" s="509"/>
      <c r="AX42" s="509"/>
      <c r="AY42" s="509"/>
    </row>
    <row r="43" spans="1:51" s="516" customFormat="1" ht="24">
      <c r="A43" s="552">
        <f t="shared" si="18"/>
        <v>36</v>
      </c>
      <c r="B43" s="1019">
        <v>7</v>
      </c>
      <c r="C43" s="425" t="s">
        <v>747</v>
      </c>
      <c r="D43" s="979" t="s">
        <v>1348</v>
      </c>
      <c r="E43" s="976" t="s">
        <v>682</v>
      </c>
      <c r="F43" s="980" t="s">
        <v>1257</v>
      </c>
      <c r="G43" s="1184">
        <f t="shared" si="0"/>
        <v>0</v>
      </c>
      <c r="H43" s="1185">
        <f t="shared" si="1"/>
        <v>0</v>
      </c>
      <c r="I43" s="1185">
        <f t="shared" si="19"/>
        <v>0</v>
      </c>
      <c r="J43" s="1860" t="str">
        <f t="shared" si="2"/>
        <v>-</v>
      </c>
      <c r="K43" s="1184">
        <f t="shared" si="3"/>
        <v>0</v>
      </c>
      <c r="L43" s="1185">
        <f t="shared" si="4"/>
        <v>0</v>
      </c>
      <c r="M43" s="1185">
        <f t="shared" si="5"/>
        <v>0</v>
      </c>
      <c r="N43" s="1860" t="str">
        <f t="shared" si="6"/>
        <v>-</v>
      </c>
      <c r="O43" s="1009"/>
      <c r="P43" s="1010"/>
      <c r="Q43" s="1010"/>
      <c r="R43" s="1458" t="str">
        <f t="shared" si="7"/>
        <v>-</v>
      </c>
      <c r="S43" s="1009"/>
      <c r="T43" s="1010"/>
      <c r="U43" s="1010"/>
      <c r="V43" s="1458" t="str">
        <f t="shared" si="8"/>
        <v>-</v>
      </c>
      <c r="W43" s="1009"/>
      <c r="X43" s="1010"/>
      <c r="Y43" s="1010"/>
      <c r="Z43" s="1458" t="str">
        <f t="shared" si="9"/>
        <v>-</v>
      </c>
      <c r="AA43" s="1009"/>
      <c r="AB43" s="1010"/>
      <c r="AC43" s="1010"/>
      <c r="AD43" s="1458" t="str">
        <f t="shared" si="10"/>
        <v>-</v>
      </c>
      <c r="AE43" s="1184">
        <f t="shared" si="11"/>
        <v>0</v>
      </c>
      <c r="AF43" s="1185">
        <f t="shared" si="12"/>
        <v>0</v>
      </c>
      <c r="AG43" s="1185">
        <f t="shared" si="13"/>
        <v>0</v>
      </c>
      <c r="AH43" s="1860" t="str">
        <f t="shared" si="14"/>
        <v>-</v>
      </c>
      <c r="AI43" s="1009"/>
      <c r="AJ43" s="1010"/>
      <c r="AK43" s="1010"/>
      <c r="AL43" s="1458" t="str">
        <f t="shared" si="15"/>
        <v>-</v>
      </c>
      <c r="AM43" s="1009"/>
      <c r="AN43" s="1010"/>
      <c r="AO43" s="1010"/>
      <c r="AP43" s="1458" t="str">
        <f t="shared" si="16"/>
        <v>-</v>
      </c>
      <c r="AQ43" s="1009"/>
      <c r="AR43" s="1010"/>
      <c r="AS43" s="1010"/>
      <c r="AT43" s="1458" t="str">
        <f t="shared" si="17"/>
        <v>-</v>
      </c>
      <c r="AU43" s="509"/>
      <c r="AV43" s="509"/>
      <c r="AW43" s="509"/>
      <c r="AX43" s="509"/>
      <c r="AY43" s="509"/>
    </row>
    <row r="44" spans="1:51" s="516" customFormat="1" ht="36">
      <c r="A44" s="552">
        <f t="shared" si="18"/>
        <v>37</v>
      </c>
      <c r="B44" s="1019">
        <v>7</v>
      </c>
      <c r="C44" s="425" t="s">
        <v>747</v>
      </c>
      <c r="D44" s="979" t="s">
        <v>1349</v>
      </c>
      <c r="E44" s="976" t="s">
        <v>682</v>
      </c>
      <c r="F44" s="980" t="s">
        <v>1366</v>
      </c>
      <c r="G44" s="1184">
        <f t="shared" si="0"/>
        <v>0</v>
      </c>
      <c r="H44" s="1185">
        <f t="shared" si="1"/>
        <v>0</v>
      </c>
      <c r="I44" s="1185">
        <f t="shared" si="19"/>
        <v>0</v>
      </c>
      <c r="J44" s="1860" t="str">
        <f t="shared" si="2"/>
        <v>-</v>
      </c>
      <c r="K44" s="1184">
        <f t="shared" si="3"/>
        <v>0</v>
      </c>
      <c r="L44" s="1185">
        <f t="shared" si="4"/>
        <v>0</v>
      </c>
      <c r="M44" s="1185">
        <f t="shared" si="5"/>
        <v>0</v>
      </c>
      <c r="N44" s="1860" t="str">
        <f t="shared" si="6"/>
        <v>-</v>
      </c>
      <c r="O44" s="1009"/>
      <c r="P44" s="1010"/>
      <c r="Q44" s="1010"/>
      <c r="R44" s="1458" t="str">
        <f t="shared" si="7"/>
        <v>-</v>
      </c>
      <c r="S44" s="1009"/>
      <c r="T44" s="1010"/>
      <c r="U44" s="1010"/>
      <c r="V44" s="1458" t="str">
        <f t="shared" si="8"/>
        <v>-</v>
      </c>
      <c r="W44" s="1009"/>
      <c r="X44" s="1010"/>
      <c r="Y44" s="1010"/>
      <c r="Z44" s="1458" t="str">
        <f t="shared" si="9"/>
        <v>-</v>
      </c>
      <c r="AA44" s="1009"/>
      <c r="AB44" s="1010"/>
      <c r="AC44" s="1010"/>
      <c r="AD44" s="1458" t="str">
        <f t="shared" si="10"/>
        <v>-</v>
      </c>
      <c r="AE44" s="1184">
        <f t="shared" si="11"/>
        <v>0</v>
      </c>
      <c r="AF44" s="1185">
        <f t="shared" si="12"/>
        <v>0</v>
      </c>
      <c r="AG44" s="1185">
        <f t="shared" si="13"/>
        <v>0</v>
      </c>
      <c r="AH44" s="1860" t="str">
        <f t="shared" si="14"/>
        <v>-</v>
      </c>
      <c r="AI44" s="1009"/>
      <c r="AJ44" s="1010"/>
      <c r="AK44" s="1010"/>
      <c r="AL44" s="1458" t="str">
        <f t="shared" si="15"/>
        <v>-</v>
      </c>
      <c r="AM44" s="1009"/>
      <c r="AN44" s="1010"/>
      <c r="AO44" s="1010"/>
      <c r="AP44" s="1458" t="str">
        <f t="shared" si="16"/>
        <v>-</v>
      </c>
      <c r="AQ44" s="1009"/>
      <c r="AR44" s="1010"/>
      <c r="AS44" s="1010"/>
      <c r="AT44" s="1458" t="str">
        <f t="shared" si="17"/>
        <v>-</v>
      </c>
      <c r="AU44" s="509"/>
      <c r="AV44" s="509"/>
      <c r="AW44" s="509"/>
      <c r="AX44" s="509"/>
      <c r="AY44" s="509"/>
    </row>
    <row r="45" spans="1:51" s="516" customFormat="1" ht="24">
      <c r="A45" s="552">
        <f t="shared" si="18"/>
        <v>38</v>
      </c>
      <c r="B45" s="1019">
        <v>7</v>
      </c>
      <c r="C45" s="425" t="s">
        <v>747</v>
      </c>
      <c r="D45" s="979" t="s">
        <v>1350</v>
      </c>
      <c r="E45" s="976" t="s">
        <v>682</v>
      </c>
      <c r="F45" s="980" t="s">
        <v>1365</v>
      </c>
      <c r="G45" s="1184">
        <f t="shared" ref="G45:G80" si="96">+K45+AE45</f>
        <v>0</v>
      </c>
      <c r="H45" s="1185">
        <f t="shared" ref="H45:H80" si="97">+L45+AF45</f>
        <v>0</v>
      </c>
      <c r="I45" s="1185">
        <f t="shared" ref="I45:I80" si="98">+M45+AG45</f>
        <v>0</v>
      </c>
      <c r="J45" s="1860" t="str">
        <f t="shared" si="2"/>
        <v>-</v>
      </c>
      <c r="K45" s="1184">
        <f t="shared" ref="K45:K80" si="99">+O45+S45+W45+AA45</f>
        <v>0</v>
      </c>
      <c r="L45" s="1185">
        <f t="shared" ref="L45:L80" si="100">+P45+T45+X45+AB45</f>
        <v>0</v>
      </c>
      <c r="M45" s="1185">
        <f t="shared" ref="M45:M80" si="101">+Q45+U45+Y45+AC45</f>
        <v>0</v>
      </c>
      <c r="N45" s="1860" t="str">
        <f t="shared" si="6"/>
        <v>-</v>
      </c>
      <c r="O45" s="1009"/>
      <c r="P45" s="1010"/>
      <c r="Q45" s="1010"/>
      <c r="R45" s="1458" t="str">
        <f t="shared" si="7"/>
        <v>-</v>
      </c>
      <c r="S45" s="1009"/>
      <c r="T45" s="1010"/>
      <c r="U45" s="1010"/>
      <c r="V45" s="1458" t="str">
        <f t="shared" si="8"/>
        <v>-</v>
      </c>
      <c r="W45" s="1009"/>
      <c r="X45" s="1010"/>
      <c r="Y45" s="1010"/>
      <c r="Z45" s="1458" t="str">
        <f t="shared" si="9"/>
        <v>-</v>
      </c>
      <c r="AA45" s="1009"/>
      <c r="AB45" s="1010"/>
      <c r="AC45" s="1010"/>
      <c r="AD45" s="1458" t="str">
        <f t="shared" si="10"/>
        <v>-</v>
      </c>
      <c r="AE45" s="1184">
        <f t="shared" ref="AE45:AE80" si="102">+AI45+AM45+AQ45</f>
        <v>0</v>
      </c>
      <c r="AF45" s="1185">
        <f t="shared" ref="AF45:AF80" si="103">+AJ45+AN45+AR45</f>
        <v>0</v>
      </c>
      <c r="AG45" s="1185">
        <f t="shared" ref="AG45:AG80" si="104">+AK45+AO45+AS45</f>
        <v>0</v>
      </c>
      <c r="AH45" s="1860" t="str">
        <f t="shared" si="14"/>
        <v>-</v>
      </c>
      <c r="AI45" s="1009"/>
      <c r="AJ45" s="1010"/>
      <c r="AK45" s="1010"/>
      <c r="AL45" s="1458" t="str">
        <f t="shared" si="15"/>
        <v>-</v>
      </c>
      <c r="AM45" s="1009"/>
      <c r="AN45" s="1010"/>
      <c r="AO45" s="1010"/>
      <c r="AP45" s="1458" t="str">
        <f t="shared" si="16"/>
        <v>-</v>
      </c>
      <c r="AQ45" s="1009"/>
      <c r="AR45" s="1010"/>
      <c r="AS45" s="1010"/>
      <c r="AT45" s="1458" t="str">
        <f t="shared" si="17"/>
        <v>-</v>
      </c>
      <c r="AU45" s="509"/>
      <c r="AV45" s="509"/>
      <c r="AW45" s="509"/>
      <c r="AX45" s="509"/>
      <c r="AY45" s="509"/>
    </row>
    <row r="46" spans="1:51" s="516" customFormat="1" ht="36">
      <c r="A46" s="552">
        <f t="shared" si="18"/>
        <v>39</v>
      </c>
      <c r="B46" s="1019">
        <v>7</v>
      </c>
      <c r="C46" s="425" t="s">
        <v>747</v>
      </c>
      <c r="D46" s="979" t="s">
        <v>1351</v>
      </c>
      <c r="E46" s="976" t="s">
        <v>682</v>
      </c>
      <c r="F46" s="980" t="s">
        <v>1364</v>
      </c>
      <c r="G46" s="1184">
        <f t="shared" si="96"/>
        <v>0</v>
      </c>
      <c r="H46" s="1185">
        <f t="shared" si="97"/>
        <v>0</v>
      </c>
      <c r="I46" s="1185">
        <f t="shared" si="98"/>
        <v>0</v>
      </c>
      <c r="J46" s="1860" t="str">
        <f t="shared" si="2"/>
        <v>-</v>
      </c>
      <c r="K46" s="1184">
        <f t="shared" si="99"/>
        <v>0</v>
      </c>
      <c r="L46" s="1185">
        <f t="shared" si="100"/>
        <v>0</v>
      </c>
      <c r="M46" s="1185">
        <f t="shared" si="101"/>
        <v>0</v>
      </c>
      <c r="N46" s="1860" t="str">
        <f t="shared" si="6"/>
        <v>-</v>
      </c>
      <c r="O46" s="1009"/>
      <c r="P46" s="1010"/>
      <c r="Q46" s="1010"/>
      <c r="R46" s="1458" t="str">
        <f t="shared" si="7"/>
        <v>-</v>
      </c>
      <c r="S46" s="1009"/>
      <c r="T46" s="1010"/>
      <c r="U46" s="1010"/>
      <c r="V46" s="1458" t="str">
        <f t="shared" si="8"/>
        <v>-</v>
      </c>
      <c r="W46" s="1009"/>
      <c r="X46" s="1010"/>
      <c r="Y46" s="1010"/>
      <c r="Z46" s="1458" t="str">
        <f t="shared" si="9"/>
        <v>-</v>
      </c>
      <c r="AA46" s="1009"/>
      <c r="AB46" s="1010"/>
      <c r="AC46" s="1010"/>
      <c r="AD46" s="1458" t="str">
        <f t="shared" si="10"/>
        <v>-</v>
      </c>
      <c r="AE46" s="1184">
        <f t="shared" si="102"/>
        <v>0</v>
      </c>
      <c r="AF46" s="1185">
        <f t="shared" si="103"/>
        <v>0</v>
      </c>
      <c r="AG46" s="1185">
        <f t="shared" si="104"/>
        <v>0</v>
      </c>
      <c r="AH46" s="1860" t="str">
        <f t="shared" si="14"/>
        <v>-</v>
      </c>
      <c r="AI46" s="1009"/>
      <c r="AJ46" s="1010"/>
      <c r="AK46" s="1010"/>
      <c r="AL46" s="1458" t="str">
        <f t="shared" si="15"/>
        <v>-</v>
      </c>
      <c r="AM46" s="1009"/>
      <c r="AN46" s="1010"/>
      <c r="AO46" s="1010"/>
      <c r="AP46" s="1458" t="str">
        <f t="shared" si="16"/>
        <v>-</v>
      </c>
      <c r="AQ46" s="1009"/>
      <c r="AR46" s="1010"/>
      <c r="AS46" s="1010"/>
      <c r="AT46" s="1458" t="str">
        <f t="shared" si="17"/>
        <v>-</v>
      </c>
      <c r="AU46" s="509"/>
      <c r="AV46" s="509"/>
      <c r="AW46" s="509"/>
      <c r="AX46" s="509"/>
      <c r="AY46" s="509"/>
    </row>
    <row r="47" spans="1:51" s="516" customFormat="1" ht="24">
      <c r="A47" s="552">
        <f t="shared" si="18"/>
        <v>40</v>
      </c>
      <c r="B47" s="1019">
        <v>7</v>
      </c>
      <c r="C47" s="425" t="s">
        <v>747</v>
      </c>
      <c r="D47" s="979" t="s">
        <v>1352</v>
      </c>
      <c r="E47" s="976" t="s">
        <v>682</v>
      </c>
      <c r="F47" s="980" t="s">
        <v>1363</v>
      </c>
      <c r="G47" s="1184">
        <f t="shared" si="96"/>
        <v>0</v>
      </c>
      <c r="H47" s="1185">
        <f t="shared" si="97"/>
        <v>0</v>
      </c>
      <c r="I47" s="1185">
        <f t="shared" si="98"/>
        <v>0</v>
      </c>
      <c r="J47" s="1860" t="str">
        <f t="shared" si="2"/>
        <v>-</v>
      </c>
      <c r="K47" s="1184">
        <f t="shared" si="99"/>
        <v>0</v>
      </c>
      <c r="L47" s="1185">
        <f t="shared" si="100"/>
        <v>0</v>
      </c>
      <c r="M47" s="1185">
        <f t="shared" si="101"/>
        <v>0</v>
      </c>
      <c r="N47" s="1860" t="str">
        <f t="shared" si="6"/>
        <v>-</v>
      </c>
      <c r="O47" s="1009"/>
      <c r="P47" s="1010"/>
      <c r="Q47" s="1010"/>
      <c r="R47" s="1458" t="str">
        <f t="shared" si="7"/>
        <v>-</v>
      </c>
      <c r="S47" s="1009"/>
      <c r="T47" s="1010"/>
      <c r="U47" s="1010"/>
      <c r="V47" s="1458" t="str">
        <f t="shared" si="8"/>
        <v>-</v>
      </c>
      <c r="W47" s="1009"/>
      <c r="X47" s="1010"/>
      <c r="Y47" s="1010"/>
      <c r="Z47" s="1458" t="str">
        <f t="shared" si="9"/>
        <v>-</v>
      </c>
      <c r="AA47" s="1009"/>
      <c r="AB47" s="1010"/>
      <c r="AC47" s="1010"/>
      <c r="AD47" s="1458" t="str">
        <f t="shared" si="10"/>
        <v>-</v>
      </c>
      <c r="AE47" s="1184">
        <f t="shared" si="102"/>
        <v>0</v>
      </c>
      <c r="AF47" s="1185">
        <f t="shared" si="103"/>
        <v>0</v>
      </c>
      <c r="AG47" s="1185">
        <f t="shared" si="104"/>
        <v>0</v>
      </c>
      <c r="AH47" s="1860" t="str">
        <f t="shared" si="14"/>
        <v>-</v>
      </c>
      <c r="AI47" s="1009"/>
      <c r="AJ47" s="1010"/>
      <c r="AK47" s="1010"/>
      <c r="AL47" s="1458" t="str">
        <f t="shared" si="15"/>
        <v>-</v>
      </c>
      <c r="AM47" s="1009"/>
      <c r="AN47" s="1010"/>
      <c r="AO47" s="1010"/>
      <c r="AP47" s="1458" t="str">
        <f t="shared" si="16"/>
        <v>-</v>
      </c>
      <c r="AQ47" s="1009"/>
      <c r="AR47" s="1010"/>
      <c r="AS47" s="1010"/>
      <c r="AT47" s="1458" t="str">
        <f t="shared" si="17"/>
        <v>-</v>
      </c>
      <c r="AU47" s="509"/>
      <c r="AV47" s="509"/>
      <c r="AW47" s="509"/>
      <c r="AX47" s="509"/>
      <c r="AY47" s="509"/>
    </row>
    <row r="48" spans="1:51" s="516" customFormat="1" ht="24">
      <c r="A48" s="552">
        <f t="shared" si="18"/>
        <v>41</v>
      </c>
      <c r="B48" s="1019">
        <v>7</v>
      </c>
      <c r="C48" s="425" t="s">
        <v>747</v>
      </c>
      <c r="D48" s="979" t="s">
        <v>1353</v>
      </c>
      <c r="E48" s="976" t="s">
        <v>682</v>
      </c>
      <c r="F48" s="980" t="s">
        <v>1362</v>
      </c>
      <c r="G48" s="1184">
        <f t="shared" si="96"/>
        <v>0</v>
      </c>
      <c r="H48" s="1185">
        <f t="shared" si="97"/>
        <v>0</v>
      </c>
      <c r="I48" s="1185">
        <f t="shared" si="98"/>
        <v>0</v>
      </c>
      <c r="J48" s="1860" t="str">
        <f t="shared" si="2"/>
        <v>-</v>
      </c>
      <c r="K48" s="1184">
        <f t="shared" si="99"/>
        <v>0</v>
      </c>
      <c r="L48" s="1185">
        <f t="shared" si="100"/>
        <v>0</v>
      </c>
      <c r="M48" s="1185">
        <f t="shared" si="101"/>
        <v>0</v>
      </c>
      <c r="N48" s="1860" t="str">
        <f t="shared" si="6"/>
        <v>-</v>
      </c>
      <c r="O48" s="1009"/>
      <c r="P48" s="1010"/>
      <c r="Q48" s="1010"/>
      <c r="R48" s="1458" t="str">
        <f t="shared" si="7"/>
        <v>-</v>
      </c>
      <c r="S48" s="1009"/>
      <c r="T48" s="1010"/>
      <c r="U48" s="1010"/>
      <c r="V48" s="1458" t="str">
        <f t="shared" si="8"/>
        <v>-</v>
      </c>
      <c r="W48" s="1009"/>
      <c r="X48" s="1010"/>
      <c r="Y48" s="1010"/>
      <c r="Z48" s="1458" t="str">
        <f t="shared" si="9"/>
        <v>-</v>
      </c>
      <c r="AA48" s="1009"/>
      <c r="AB48" s="1010"/>
      <c r="AC48" s="1010"/>
      <c r="AD48" s="1458" t="str">
        <f t="shared" si="10"/>
        <v>-</v>
      </c>
      <c r="AE48" s="1184">
        <f t="shared" si="102"/>
        <v>0</v>
      </c>
      <c r="AF48" s="1185">
        <f t="shared" si="103"/>
        <v>0</v>
      </c>
      <c r="AG48" s="1185">
        <f t="shared" si="104"/>
        <v>0</v>
      </c>
      <c r="AH48" s="1860" t="str">
        <f t="shared" si="14"/>
        <v>-</v>
      </c>
      <c r="AI48" s="1009"/>
      <c r="AJ48" s="1010"/>
      <c r="AK48" s="1010"/>
      <c r="AL48" s="1458" t="str">
        <f t="shared" si="15"/>
        <v>-</v>
      </c>
      <c r="AM48" s="1009"/>
      <c r="AN48" s="1010"/>
      <c r="AO48" s="1010"/>
      <c r="AP48" s="1458" t="str">
        <f t="shared" si="16"/>
        <v>-</v>
      </c>
      <c r="AQ48" s="1009"/>
      <c r="AR48" s="1010"/>
      <c r="AS48" s="1010"/>
      <c r="AT48" s="1458" t="str">
        <f t="shared" si="17"/>
        <v>-</v>
      </c>
      <c r="AU48" s="509"/>
      <c r="AV48" s="509"/>
      <c r="AW48" s="509"/>
      <c r="AX48" s="509"/>
      <c r="AY48" s="509"/>
    </row>
    <row r="49" spans="1:51" s="516" customFormat="1">
      <c r="A49" s="552">
        <f t="shared" si="18"/>
        <v>42</v>
      </c>
      <c r="B49" s="1019">
        <v>7</v>
      </c>
      <c r="C49" s="360" t="s">
        <v>747</v>
      </c>
      <c r="D49" s="973" t="s">
        <v>1354</v>
      </c>
      <c r="E49" s="976" t="s">
        <v>682</v>
      </c>
      <c r="F49" s="978" t="s">
        <v>1361</v>
      </c>
      <c r="G49" s="1184">
        <f t="shared" si="96"/>
        <v>0</v>
      </c>
      <c r="H49" s="1185">
        <f t="shared" si="97"/>
        <v>7050</v>
      </c>
      <c r="I49" s="1185">
        <f t="shared" si="98"/>
        <v>7050</v>
      </c>
      <c r="J49" s="1860">
        <f t="shared" si="2"/>
        <v>1</v>
      </c>
      <c r="K49" s="1184">
        <f t="shared" si="99"/>
        <v>0</v>
      </c>
      <c r="L49" s="1185">
        <f t="shared" si="100"/>
        <v>7050</v>
      </c>
      <c r="M49" s="1185">
        <f t="shared" si="101"/>
        <v>7050</v>
      </c>
      <c r="N49" s="1860">
        <f t="shared" si="6"/>
        <v>1</v>
      </c>
      <c r="O49" s="1009"/>
      <c r="P49" s="1010">
        <v>7050</v>
      </c>
      <c r="Q49" s="1010">
        <v>7050</v>
      </c>
      <c r="R49" s="1458">
        <f t="shared" si="7"/>
        <v>1</v>
      </c>
      <c r="S49" s="1009"/>
      <c r="T49" s="1010"/>
      <c r="U49" s="1010"/>
      <c r="V49" s="1458" t="str">
        <f t="shared" si="8"/>
        <v>-</v>
      </c>
      <c r="W49" s="1009"/>
      <c r="X49" s="1010"/>
      <c r="Y49" s="1010"/>
      <c r="Z49" s="1458" t="str">
        <f t="shared" si="9"/>
        <v>-</v>
      </c>
      <c r="AA49" s="1009"/>
      <c r="AB49" s="1010"/>
      <c r="AC49" s="1010"/>
      <c r="AD49" s="1458" t="str">
        <f t="shared" si="10"/>
        <v>-</v>
      </c>
      <c r="AE49" s="1184">
        <f t="shared" si="102"/>
        <v>0</v>
      </c>
      <c r="AF49" s="1185">
        <f t="shared" si="103"/>
        <v>0</v>
      </c>
      <c r="AG49" s="1185">
        <f t="shared" si="104"/>
        <v>0</v>
      </c>
      <c r="AH49" s="1860" t="str">
        <f t="shared" si="14"/>
        <v>-</v>
      </c>
      <c r="AI49" s="1009"/>
      <c r="AJ49" s="1010"/>
      <c r="AK49" s="1010"/>
      <c r="AL49" s="1458" t="str">
        <f t="shared" si="15"/>
        <v>-</v>
      </c>
      <c r="AM49" s="1009"/>
      <c r="AN49" s="1010"/>
      <c r="AO49" s="1010"/>
      <c r="AP49" s="1458" t="str">
        <f t="shared" si="16"/>
        <v>-</v>
      </c>
      <c r="AQ49" s="1009"/>
      <c r="AR49" s="1010"/>
      <c r="AS49" s="1010"/>
      <c r="AT49" s="1458" t="str">
        <f t="shared" si="17"/>
        <v>-</v>
      </c>
      <c r="AU49" s="509"/>
      <c r="AV49" s="509"/>
      <c r="AW49" s="509"/>
      <c r="AX49" s="509"/>
      <c r="AY49" s="509"/>
    </row>
    <row r="50" spans="1:51" s="516" customFormat="1">
      <c r="A50" s="552">
        <f t="shared" si="18"/>
        <v>43</v>
      </c>
      <c r="B50" s="1019">
        <v>7</v>
      </c>
      <c r="C50" s="360" t="s">
        <v>747</v>
      </c>
      <c r="D50" s="973" t="s">
        <v>1355</v>
      </c>
      <c r="E50" s="976" t="s">
        <v>682</v>
      </c>
      <c r="F50" s="978" t="s">
        <v>1360</v>
      </c>
      <c r="G50" s="1184">
        <f t="shared" si="96"/>
        <v>0</v>
      </c>
      <c r="H50" s="1185">
        <f t="shared" si="97"/>
        <v>0</v>
      </c>
      <c r="I50" s="1185">
        <f t="shared" si="98"/>
        <v>0</v>
      </c>
      <c r="J50" s="1860" t="str">
        <f t="shared" si="2"/>
        <v>-</v>
      </c>
      <c r="K50" s="1184">
        <f t="shared" si="99"/>
        <v>0</v>
      </c>
      <c r="L50" s="1185">
        <f t="shared" si="100"/>
        <v>0</v>
      </c>
      <c r="M50" s="1185">
        <f t="shared" si="101"/>
        <v>0</v>
      </c>
      <c r="N50" s="1860" t="str">
        <f t="shared" si="6"/>
        <v>-</v>
      </c>
      <c r="O50" s="1009"/>
      <c r="P50" s="1010"/>
      <c r="Q50" s="1010"/>
      <c r="R50" s="1458" t="str">
        <f t="shared" si="7"/>
        <v>-</v>
      </c>
      <c r="S50" s="1009"/>
      <c r="T50" s="1010"/>
      <c r="U50" s="1010"/>
      <c r="V50" s="1458" t="str">
        <f t="shared" si="8"/>
        <v>-</v>
      </c>
      <c r="W50" s="1009"/>
      <c r="X50" s="1010"/>
      <c r="Y50" s="1010"/>
      <c r="Z50" s="1458" t="str">
        <f t="shared" si="9"/>
        <v>-</v>
      </c>
      <c r="AA50" s="1009"/>
      <c r="AB50" s="1010"/>
      <c r="AC50" s="1010"/>
      <c r="AD50" s="1458" t="str">
        <f t="shared" si="10"/>
        <v>-</v>
      </c>
      <c r="AE50" s="1184">
        <f t="shared" si="102"/>
        <v>0</v>
      </c>
      <c r="AF50" s="1185">
        <f t="shared" si="103"/>
        <v>0</v>
      </c>
      <c r="AG50" s="1185">
        <f t="shared" si="104"/>
        <v>0</v>
      </c>
      <c r="AH50" s="1860" t="str">
        <f t="shared" si="14"/>
        <v>-</v>
      </c>
      <c r="AI50" s="1009"/>
      <c r="AJ50" s="1010"/>
      <c r="AK50" s="1010"/>
      <c r="AL50" s="1458" t="str">
        <f t="shared" si="15"/>
        <v>-</v>
      </c>
      <c r="AM50" s="1009"/>
      <c r="AN50" s="1010"/>
      <c r="AO50" s="1010"/>
      <c r="AP50" s="1458" t="str">
        <f t="shared" si="16"/>
        <v>-</v>
      </c>
      <c r="AQ50" s="1009"/>
      <c r="AR50" s="1010"/>
      <c r="AS50" s="1010"/>
      <c r="AT50" s="1458" t="str">
        <f t="shared" si="17"/>
        <v>-</v>
      </c>
      <c r="AU50" s="509"/>
      <c r="AV50" s="509"/>
      <c r="AW50" s="509"/>
      <c r="AX50" s="509"/>
      <c r="AY50" s="509"/>
    </row>
    <row r="51" spans="1:51" s="516" customFormat="1">
      <c r="A51" s="552">
        <f t="shared" si="18"/>
        <v>44</v>
      </c>
      <c r="B51" s="1019">
        <v>7</v>
      </c>
      <c r="C51" s="360" t="s">
        <v>747</v>
      </c>
      <c r="D51" s="973" t="s">
        <v>1356</v>
      </c>
      <c r="E51" s="976" t="s">
        <v>682</v>
      </c>
      <c r="F51" s="978" t="s">
        <v>1359</v>
      </c>
      <c r="G51" s="1184">
        <f t="shared" si="96"/>
        <v>55832</v>
      </c>
      <c r="H51" s="1185">
        <f t="shared" si="97"/>
        <v>55832</v>
      </c>
      <c r="I51" s="1185">
        <f t="shared" si="98"/>
        <v>55832</v>
      </c>
      <c r="J51" s="1860">
        <f t="shared" si="2"/>
        <v>1</v>
      </c>
      <c r="K51" s="1184">
        <f t="shared" si="99"/>
        <v>0</v>
      </c>
      <c r="L51" s="1185">
        <f t="shared" si="100"/>
        <v>796</v>
      </c>
      <c r="M51" s="1185">
        <f t="shared" si="101"/>
        <v>796</v>
      </c>
      <c r="N51" s="1860">
        <f t="shared" si="6"/>
        <v>1</v>
      </c>
      <c r="O51" s="1009"/>
      <c r="P51" s="1010">
        <v>796</v>
      </c>
      <c r="Q51" s="1010">
        <v>796</v>
      </c>
      <c r="R51" s="1458">
        <f t="shared" si="7"/>
        <v>1</v>
      </c>
      <c r="S51" s="1009"/>
      <c r="T51" s="1010"/>
      <c r="U51" s="1010"/>
      <c r="V51" s="1458" t="str">
        <f t="shared" si="8"/>
        <v>-</v>
      </c>
      <c r="W51" s="1009"/>
      <c r="X51" s="1010"/>
      <c r="Y51" s="1010"/>
      <c r="Z51" s="1458" t="str">
        <f t="shared" si="9"/>
        <v>-</v>
      </c>
      <c r="AA51" s="1009"/>
      <c r="AB51" s="1010"/>
      <c r="AC51" s="1010"/>
      <c r="AD51" s="1458" t="str">
        <f t="shared" si="10"/>
        <v>-</v>
      </c>
      <c r="AE51" s="1184">
        <f t="shared" si="102"/>
        <v>55832</v>
      </c>
      <c r="AF51" s="1185">
        <f t="shared" si="103"/>
        <v>55036</v>
      </c>
      <c r="AG51" s="1185">
        <f t="shared" si="104"/>
        <v>55036</v>
      </c>
      <c r="AH51" s="1860">
        <f t="shared" si="14"/>
        <v>1</v>
      </c>
      <c r="AI51" s="1009">
        <v>55832</v>
      </c>
      <c r="AJ51" s="1010">
        <v>55036</v>
      </c>
      <c r="AK51" s="1010">
        <v>55036</v>
      </c>
      <c r="AL51" s="1458">
        <f t="shared" si="15"/>
        <v>1</v>
      </c>
      <c r="AM51" s="1009"/>
      <c r="AN51" s="1010"/>
      <c r="AO51" s="1010"/>
      <c r="AP51" s="1458" t="str">
        <f t="shared" si="16"/>
        <v>-</v>
      </c>
      <c r="AQ51" s="1009"/>
      <c r="AR51" s="1010"/>
      <c r="AS51" s="1010"/>
      <c r="AT51" s="1458" t="str">
        <f t="shared" si="17"/>
        <v>-</v>
      </c>
      <c r="AU51" s="509"/>
      <c r="AV51" s="509"/>
      <c r="AW51" s="509"/>
      <c r="AX51" s="509"/>
      <c r="AY51" s="509"/>
    </row>
    <row r="52" spans="1:51">
      <c r="A52" s="552">
        <f t="shared" si="18"/>
        <v>45</v>
      </c>
      <c r="B52" s="1019">
        <v>7</v>
      </c>
      <c r="C52" s="360" t="s">
        <v>747</v>
      </c>
      <c r="D52" s="973" t="s">
        <v>1357</v>
      </c>
      <c r="E52" s="984" t="s">
        <v>682</v>
      </c>
      <c r="F52" s="978" t="s">
        <v>1358</v>
      </c>
      <c r="G52" s="1184">
        <f t="shared" si="96"/>
        <v>0</v>
      </c>
      <c r="H52" s="1185">
        <f t="shared" si="97"/>
        <v>342083</v>
      </c>
      <c r="I52" s="1185">
        <f t="shared" si="98"/>
        <v>342083</v>
      </c>
      <c r="J52" s="1860">
        <f t="shared" si="2"/>
        <v>1</v>
      </c>
      <c r="K52" s="1184">
        <f t="shared" si="99"/>
        <v>0</v>
      </c>
      <c r="L52" s="1185">
        <f t="shared" si="100"/>
        <v>0</v>
      </c>
      <c r="M52" s="1185">
        <f t="shared" si="101"/>
        <v>0</v>
      </c>
      <c r="N52" s="1860" t="str">
        <f t="shared" si="6"/>
        <v>-</v>
      </c>
      <c r="O52" s="1009"/>
      <c r="P52" s="1010"/>
      <c r="Q52" s="1010"/>
      <c r="R52" s="1458" t="str">
        <f t="shared" si="7"/>
        <v>-</v>
      </c>
      <c r="S52" s="1009"/>
      <c r="T52" s="1010"/>
      <c r="U52" s="1010"/>
      <c r="V52" s="1458" t="str">
        <f t="shared" si="8"/>
        <v>-</v>
      </c>
      <c r="W52" s="1009"/>
      <c r="X52" s="1010"/>
      <c r="Y52" s="1010"/>
      <c r="Z52" s="1458" t="str">
        <f t="shared" si="9"/>
        <v>-</v>
      </c>
      <c r="AA52" s="1009"/>
      <c r="AB52" s="1010"/>
      <c r="AC52" s="1010"/>
      <c r="AD52" s="1458" t="str">
        <f t="shared" si="10"/>
        <v>-</v>
      </c>
      <c r="AE52" s="1184">
        <f t="shared" si="102"/>
        <v>0</v>
      </c>
      <c r="AF52" s="1185">
        <f t="shared" si="103"/>
        <v>342083</v>
      </c>
      <c r="AG52" s="1185">
        <f t="shared" si="104"/>
        <v>342083</v>
      </c>
      <c r="AH52" s="1860">
        <f t="shared" si="14"/>
        <v>1</v>
      </c>
      <c r="AI52" s="1009"/>
      <c r="AJ52" s="1010">
        <v>342083</v>
      </c>
      <c r="AK52" s="1010">
        <v>342083</v>
      </c>
      <c r="AL52" s="1458">
        <f t="shared" si="15"/>
        <v>1</v>
      </c>
      <c r="AM52" s="1009"/>
      <c r="AN52" s="1010"/>
      <c r="AO52" s="1010"/>
      <c r="AP52" s="1458" t="str">
        <f t="shared" si="16"/>
        <v>-</v>
      </c>
      <c r="AQ52" s="1009"/>
      <c r="AR52" s="1010"/>
      <c r="AS52" s="1010"/>
      <c r="AT52" s="1458" t="str">
        <f t="shared" si="17"/>
        <v>-</v>
      </c>
      <c r="AU52" s="509"/>
      <c r="AV52" s="509"/>
      <c r="AW52" s="509"/>
      <c r="AX52" s="509"/>
      <c r="AY52" s="509"/>
    </row>
    <row r="53" spans="1:51">
      <c r="A53" s="552">
        <f t="shared" si="18"/>
        <v>46</v>
      </c>
      <c r="B53" s="1019">
        <v>8</v>
      </c>
      <c r="C53" s="360" t="s">
        <v>1087</v>
      </c>
      <c r="D53" s="973" t="s">
        <v>1088</v>
      </c>
      <c r="E53" s="976" t="s">
        <v>1089</v>
      </c>
      <c r="F53" s="978" t="s">
        <v>1090</v>
      </c>
      <c r="G53" s="1184">
        <f t="shared" si="96"/>
        <v>0</v>
      </c>
      <c r="H53" s="1185">
        <f t="shared" si="97"/>
        <v>0</v>
      </c>
      <c r="I53" s="1185">
        <f t="shared" si="98"/>
        <v>0</v>
      </c>
      <c r="J53" s="1860" t="str">
        <f t="shared" si="2"/>
        <v>-</v>
      </c>
      <c r="K53" s="1184">
        <f t="shared" si="99"/>
        <v>0</v>
      </c>
      <c r="L53" s="1185">
        <f t="shared" si="100"/>
        <v>0</v>
      </c>
      <c r="M53" s="1185">
        <f t="shared" si="101"/>
        <v>0</v>
      </c>
      <c r="N53" s="1860" t="str">
        <f t="shared" si="6"/>
        <v>-</v>
      </c>
      <c r="O53" s="1009"/>
      <c r="P53" s="1010"/>
      <c r="Q53" s="1010"/>
      <c r="R53" s="1458" t="str">
        <f t="shared" si="7"/>
        <v>-</v>
      </c>
      <c r="S53" s="1009"/>
      <c r="T53" s="1010"/>
      <c r="U53" s="1010"/>
      <c r="V53" s="1458" t="str">
        <f t="shared" si="8"/>
        <v>-</v>
      </c>
      <c r="W53" s="1009"/>
      <c r="X53" s="1010"/>
      <c r="Y53" s="1010"/>
      <c r="Z53" s="1458" t="str">
        <f t="shared" si="9"/>
        <v>-</v>
      </c>
      <c r="AA53" s="1009"/>
      <c r="AB53" s="1010"/>
      <c r="AC53" s="1010"/>
      <c r="AD53" s="1458" t="str">
        <f t="shared" si="10"/>
        <v>-</v>
      </c>
      <c r="AE53" s="1184">
        <f t="shared" si="102"/>
        <v>0</v>
      </c>
      <c r="AF53" s="1185">
        <f t="shared" si="103"/>
        <v>0</v>
      </c>
      <c r="AG53" s="1185">
        <f t="shared" si="104"/>
        <v>0</v>
      </c>
      <c r="AH53" s="1860" t="str">
        <f t="shared" si="14"/>
        <v>-</v>
      </c>
      <c r="AI53" s="1009"/>
      <c r="AJ53" s="1010"/>
      <c r="AK53" s="1010"/>
      <c r="AL53" s="1458" t="str">
        <f t="shared" si="15"/>
        <v>-</v>
      </c>
      <c r="AM53" s="1009"/>
      <c r="AN53" s="1010"/>
      <c r="AO53" s="1010"/>
      <c r="AP53" s="1458" t="str">
        <f t="shared" si="16"/>
        <v>-</v>
      </c>
      <c r="AQ53" s="1009"/>
      <c r="AR53" s="1010"/>
      <c r="AS53" s="1010"/>
      <c r="AT53" s="1458" t="str">
        <f t="shared" si="17"/>
        <v>-</v>
      </c>
      <c r="AU53" s="509"/>
      <c r="AV53" s="509"/>
      <c r="AW53" s="509"/>
      <c r="AX53" s="509"/>
      <c r="AY53" s="509"/>
    </row>
    <row r="54" spans="1:51">
      <c r="A54" s="552">
        <f t="shared" si="18"/>
        <v>47</v>
      </c>
      <c r="B54" s="1019">
        <v>8</v>
      </c>
      <c r="C54" s="360" t="s">
        <v>1091</v>
      </c>
      <c r="D54" s="973" t="s">
        <v>1092</v>
      </c>
      <c r="E54" s="976" t="s">
        <v>1093</v>
      </c>
      <c r="F54" s="978" t="s">
        <v>1092</v>
      </c>
      <c r="G54" s="1184">
        <f t="shared" si="96"/>
        <v>0</v>
      </c>
      <c r="H54" s="1185">
        <f t="shared" si="97"/>
        <v>0</v>
      </c>
      <c r="I54" s="1185">
        <f t="shared" si="98"/>
        <v>0</v>
      </c>
      <c r="J54" s="1860" t="str">
        <f t="shared" si="2"/>
        <v>-</v>
      </c>
      <c r="K54" s="1184">
        <f t="shared" si="99"/>
        <v>0</v>
      </c>
      <c r="L54" s="1185">
        <f t="shared" si="100"/>
        <v>0</v>
      </c>
      <c r="M54" s="1185">
        <f t="shared" si="101"/>
        <v>0</v>
      </c>
      <c r="N54" s="1860" t="str">
        <f t="shared" si="6"/>
        <v>-</v>
      </c>
      <c r="O54" s="1009"/>
      <c r="P54" s="1010"/>
      <c r="Q54" s="1010"/>
      <c r="R54" s="1458" t="str">
        <f t="shared" si="7"/>
        <v>-</v>
      </c>
      <c r="S54" s="1009"/>
      <c r="T54" s="1010"/>
      <c r="U54" s="1010"/>
      <c r="V54" s="1458" t="str">
        <f t="shared" si="8"/>
        <v>-</v>
      </c>
      <c r="W54" s="1009"/>
      <c r="X54" s="1010"/>
      <c r="Y54" s="1010"/>
      <c r="Z54" s="1458" t="str">
        <f t="shared" si="9"/>
        <v>-</v>
      </c>
      <c r="AA54" s="1009"/>
      <c r="AB54" s="1010"/>
      <c r="AC54" s="1010"/>
      <c r="AD54" s="1458" t="str">
        <f t="shared" si="10"/>
        <v>-</v>
      </c>
      <c r="AE54" s="1184">
        <f t="shared" si="102"/>
        <v>0</v>
      </c>
      <c r="AF54" s="1185">
        <f t="shared" si="103"/>
        <v>0</v>
      </c>
      <c r="AG54" s="1185">
        <f t="shared" si="104"/>
        <v>0</v>
      </c>
      <c r="AH54" s="1860" t="str">
        <f t="shared" si="14"/>
        <v>-</v>
      </c>
      <c r="AI54" s="1009"/>
      <c r="AJ54" s="1010"/>
      <c r="AK54" s="1010"/>
      <c r="AL54" s="1458" t="str">
        <f t="shared" si="15"/>
        <v>-</v>
      </c>
      <c r="AM54" s="1009"/>
      <c r="AN54" s="1010"/>
      <c r="AO54" s="1010"/>
      <c r="AP54" s="1458" t="str">
        <f t="shared" si="16"/>
        <v>-</v>
      </c>
      <c r="AQ54" s="1009"/>
      <c r="AR54" s="1010"/>
      <c r="AS54" s="1010"/>
      <c r="AT54" s="1458" t="str">
        <f t="shared" si="17"/>
        <v>-</v>
      </c>
      <c r="AU54" s="509"/>
      <c r="AV54" s="509"/>
      <c r="AW54" s="509"/>
      <c r="AX54" s="509"/>
      <c r="AY54" s="509"/>
    </row>
    <row r="55" spans="1:51">
      <c r="A55" s="552">
        <f t="shared" si="18"/>
        <v>48</v>
      </c>
      <c r="B55" s="1019">
        <v>8</v>
      </c>
      <c r="C55" s="360" t="s">
        <v>750</v>
      </c>
      <c r="D55" s="973" t="s">
        <v>751</v>
      </c>
      <c r="E55" s="976" t="s">
        <v>796</v>
      </c>
      <c r="F55" s="978" t="s">
        <v>751</v>
      </c>
      <c r="G55" s="1184">
        <f t="shared" si="96"/>
        <v>32000</v>
      </c>
      <c r="H55" s="1185">
        <f t="shared" si="97"/>
        <v>0</v>
      </c>
      <c r="I55" s="1185">
        <f t="shared" si="98"/>
        <v>0</v>
      </c>
      <c r="J55" s="1860" t="str">
        <f t="shared" si="2"/>
        <v>-</v>
      </c>
      <c r="K55" s="1184">
        <f t="shared" si="99"/>
        <v>16000</v>
      </c>
      <c r="L55" s="1185">
        <f t="shared" si="100"/>
        <v>0</v>
      </c>
      <c r="M55" s="1185">
        <f t="shared" si="101"/>
        <v>0</v>
      </c>
      <c r="N55" s="1860" t="str">
        <f t="shared" si="6"/>
        <v>-</v>
      </c>
      <c r="O55" s="1009"/>
      <c r="P55" s="1010"/>
      <c r="Q55" s="1010"/>
      <c r="R55" s="1458" t="str">
        <f t="shared" si="7"/>
        <v>-</v>
      </c>
      <c r="S55" s="1009"/>
      <c r="T55" s="1010"/>
      <c r="U55" s="1010"/>
      <c r="V55" s="1458" t="str">
        <f t="shared" si="8"/>
        <v>-</v>
      </c>
      <c r="W55" s="1009">
        <v>16000</v>
      </c>
      <c r="X55" s="1010"/>
      <c r="Y55" s="1010"/>
      <c r="Z55" s="1458" t="str">
        <f t="shared" si="9"/>
        <v>-</v>
      </c>
      <c r="AA55" s="1009"/>
      <c r="AB55" s="1010"/>
      <c r="AC55" s="1010"/>
      <c r="AD55" s="1458" t="str">
        <f t="shared" si="10"/>
        <v>-</v>
      </c>
      <c r="AE55" s="1184">
        <f t="shared" si="102"/>
        <v>16000</v>
      </c>
      <c r="AF55" s="1185">
        <f t="shared" si="103"/>
        <v>0</v>
      </c>
      <c r="AG55" s="1185">
        <f t="shared" si="104"/>
        <v>0</v>
      </c>
      <c r="AH55" s="1860" t="str">
        <f t="shared" si="14"/>
        <v>-</v>
      </c>
      <c r="AI55" s="1009">
        <v>16000</v>
      </c>
      <c r="AJ55" s="1010"/>
      <c r="AK55" s="1010"/>
      <c r="AL55" s="1458" t="str">
        <f t="shared" si="15"/>
        <v>-</v>
      </c>
      <c r="AM55" s="1009"/>
      <c r="AN55" s="1010"/>
      <c r="AO55" s="1010"/>
      <c r="AP55" s="1458" t="str">
        <f t="shared" si="16"/>
        <v>-</v>
      </c>
      <c r="AQ55" s="1009"/>
      <c r="AR55" s="1010"/>
      <c r="AS55" s="1010"/>
      <c r="AT55" s="1458" t="str">
        <f t="shared" si="17"/>
        <v>-</v>
      </c>
      <c r="AU55" s="509"/>
      <c r="AV55" s="509"/>
      <c r="AW55" s="509"/>
      <c r="AX55" s="509"/>
      <c r="AY55" s="509"/>
    </row>
    <row r="56" spans="1:51">
      <c r="A56" s="552">
        <f t="shared" si="18"/>
        <v>49</v>
      </c>
      <c r="B56" s="1019">
        <v>8</v>
      </c>
      <c r="C56" s="360" t="s">
        <v>1097</v>
      </c>
      <c r="D56" s="973" t="s">
        <v>1094</v>
      </c>
      <c r="E56" s="976" t="s">
        <v>1095</v>
      </c>
      <c r="F56" s="978" t="s">
        <v>1094</v>
      </c>
      <c r="G56" s="1184">
        <f t="shared" si="96"/>
        <v>0</v>
      </c>
      <c r="H56" s="1185">
        <f t="shared" si="97"/>
        <v>0</v>
      </c>
      <c r="I56" s="1185">
        <f t="shared" si="98"/>
        <v>0</v>
      </c>
      <c r="J56" s="1860" t="str">
        <f t="shared" si="2"/>
        <v>-</v>
      </c>
      <c r="K56" s="1184">
        <f t="shared" si="99"/>
        <v>0</v>
      </c>
      <c r="L56" s="1185">
        <f t="shared" si="100"/>
        <v>0</v>
      </c>
      <c r="M56" s="1185">
        <f t="shared" si="101"/>
        <v>0</v>
      </c>
      <c r="N56" s="1860" t="str">
        <f t="shared" si="6"/>
        <v>-</v>
      </c>
      <c r="O56" s="1009"/>
      <c r="P56" s="1010"/>
      <c r="Q56" s="1010"/>
      <c r="R56" s="1458" t="str">
        <f t="shared" si="7"/>
        <v>-</v>
      </c>
      <c r="S56" s="1009"/>
      <c r="T56" s="1010"/>
      <c r="U56" s="1010"/>
      <c r="V56" s="1458" t="str">
        <f t="shared" si="8"/>
        <v>-</v>
      </c>
      <c r="W56" s="1009"/>
      <c r="X56" s="1010"/>
      <c r="Y56" s="1010"/>
      <c r="Z56" s="1458" t="str">
        <f t="shared" si="9"/>
        <v>-</v>
      </c>
      <c r="AA56" s="1009"/>
      <c r="AB56" s="1010"/>
      <c r="AC56" s="1010"/>
      <c r="AD56" s="1458" t="str">
        <f t="shared" si="10"/>
        <v>-</v>
      </c>
      <c r="AE56" s="1184">
        <f t="shared" si="102"/>
        <v>0</v>
      </c>
      <c r="AF56" s="1185">
        <f t="shared" si="103"/>
        <v>0</v>
      </c>
      <c r="AG56" s="1185">
        <f t="shared" si="104"/>
        <v>0</v>
      </c>
      <c r="AH56" s="1860" t="str">
        <f t="shared" si="14"/>
        <v>-</v>
      </c>
      <c r="AI56" s="1009"/>
      <c r="AJ56" s="1010"/>
      <c r="AK56" s="1010"/>
      <c r="AL56" s="1458" t="str">
        <f t="shared" si="15"/>
        <v>-</v>
      </c>
      <c r="AM56" s="1009"/>
      <c r="AN56" s="1010"/>
      <c r="AO56" s="1010"/>
      <c r="AP56" s="1458" t="str">
        <f t="shared" si="16"/>
        <v>-</v>
      </c>
      <c r="AQ56" s="1009"/>
      <c r="AR56" s="1010"/>
      <c r="AS56" s="1010"/>
      <c r="AT56" s="1458" t="str">
        <f t="shared" si="17"/>
        <v>-</v>
      </c>
      <c r="AU56" s="509"/>
      <c r="AV56" s="509"/>
      <c r="AW56" s="509"/>
      <c r="AX56" s="509"/>
      <c r="AY56" s="509"/>
    </row>
    <row r="57" spans="1:51">
      <c r="A57" s="552">
        <f t="shared" si="18"/>
        <v>50</v>
      </c>
      <c r="B57" s="1019">
        <v>8</v>
      </c>
      <c r="C57" s="360" t="s">
        <v>1098</v>
      </c>
      <c r="D57" s="973" t="s">
        <v>1096</v>
      </c>
      <c r="E57" s="976" t="s">
        <v>1099</v>
      </c>
      <c r="F57" s="978" t="s">
        <v>1100</v>
      </c>
      <c r="G57" s="1184">
        <f t="shared" si="96"/>
        <v>0</v>
      </c>
      <c r="H57" s="1185">
        <f t="shared" si="97"/>
        <v>0</v>
      </c>
      <c r="I57" s="1185">
        <f t="shared" si="98"/>
        <v>0</v>
      </c>
      <c r="J57" s="1860" t="str">
        <f t="shared" si="2"/>
        <v>-</v>
      </c>
      <c r="K57" s="1184">
        <f t="shared" si="99"/>
        <v>0</v>
      </c>
      <c r="L57" s="1185">
        <f t="shared" si="100"/>
        <v>0</v>
      </c>
      <c r="M57" s="1185">
        <f t="shared" si="101"/>
        <v>0</v>
      </c>
      <c r="N57" s="1860" t="str">
        <f t="shared" si="6"/>
        <v>-</v>
      </c>
      <c r="O57" s="1009"/>
      <c r="P57" s="1010"/>
      <c r="Q57" s="1010"/>
      <c r="R57" s="1458" t="str">
        <f t="shared" si="7"/>
        <v>-</v>
      </c>
      <c r="S57" s="1009"/>
      <c r="T57" s="1010"/>
      <c r="U57" s="1010"/>
      <c r="V57" s="1458" t="str">
        <f t="shared" si="8"/>
        <v>-</v>
      </c>
      <c r="W57" s="1009"/>
      <c r="X57" s="1010"/>
      <c r="Y57" s="1010"/>
      <c r="Z57" s="1458" t="str">
        <f t="shared" si="9"/>
        <v>-</v>
      </c>
      <c r="AA57" s="1009"/>
      <c r="AB57" s="1010"/>
      <c r="AC57" s="1010"/>
      <c r="AD57" s="1458" t="str">
        <f t="shared" si="10"/>
        <v>-</v>
      </c>
      <c r="AE57" s="1184">
        <f t="shared" si="102"/>
        <v>0</v>
      </c>
      <c r="AF57" s="1185">
        <f t="shared" si="103"/>
        <v>0</v>
      </c>
      <c r="AG57" s="1185">
        <f t="shared" si="104"/>
        <v>0</v>
      </c>
      <c r="AH57" s="1860" t="str">
        <f t="shared" si="14"/>
        <v>-</v>
      </c>
      <c r="AI57" s="1009"/>
      <c r="AJ57" s="1010"/>
      <c r="AK57" s="1010"/>
      <c r="AL57" s="1458" t="str">
        <f t="shared" si="15"/>
        <v>-</v>
      </c>
      <c r="AM57" s="1009"/>
      <c r="AN57" s="1010"/>
      <c r="AO57" s="1010"/>
      <c r="AP57" s="1458" t="str">
        <f t="shared" si="16"/>
        <v>-</v>
      </c>
      <c r="AQ57" s="1009"/>
      <c r="AR57" s="1010"/>
      <c r="AS57" s="1010"/>
      <c r="AT57" s="1458" t="str">
        <f t="shared" si="17"/>
        <v>-</v>
      </c>
      <c r="AU57" s="509"/>
      <c r="AV57" s="509"/>
      <c r="AW57" s="509"/>
      <c r="AX57" s="509"/>
      <c r="AY57" s="509"/>
    </row>
    <row r="58" spans="1:51">
      <c r="A58" s="552">
        <f t="shared" si="18"/>
        <v>51</v>
      </c>
      <c r="B58" s="288">
        <v>8</v>
      </c>
      <c r="C58" s="360" t="s">
        <v>1101</v>
      </c>
      <c r="D58" s="973" t="s">
        <v>1102</v>
      </c>
      <c r="E58" s="976" t="s">
        <v>1103</v>
      </c>
      <c r="F58" s="978" t="s">
        <v>1102</v>
      </c>
      <c r="G58" s="1186">
        <f t="shared" si="96"/>
        <v>0</v>
      </c>
      <c r="H58" s="1187">
        <f t="shared" si="97"/>
        <v>0</v>
      </c>
      <c r="I58" s="1187">
        <f t="shared" si="98"/>
        <v>0</v>
      </c>
      <c r="J58" s="1860" t="str">
        <f t="shared" si="2"/>
        <v>-</v>
      </c>
      <c r="K58" s="1186">
        <f t="shared" si="99"/>
        <v>0</v>
      </c>
      <c r="L58" s="1187">
        <f t="shared" si="100"/>
        <v>0</v>
      </c>
      <c r="M58" s="1187">
        <f t="shared" si="101"/>
        <v>0</v>
      </c>
      <c r="N58" s="1860" t="str">
        <f t="shared" si="6"/>
        <v>-</v>
      </c>
      <c r="O58" s="1009"/>
      <c r="P58" s="1010"/>
      <c r="Q58" s="1010"/>
      <c r="R58" s="1458" t="str">
        <f t="shared" si="7"/>
        <v>-</v>
      </c>
      <c r="S58" s="1009"/>
      <c r="T58" s="1010"/>
      <c r="U58" s="1010"/>
      <c r="V58" s="1458" t="str">
        <f t="shared" si="8"/>
        <v>-</v>
      </c>
      <c r="W58" s="1009"/>
      <c r="X58" s="1010"/>
      <c r="Y58" s="1010"/>
      <c r="Z58" s="1458" t="str">
        <f t="shared" si="9"/>
        <v>-</v>
      </c>
      <c r="AA58" s="1009"/>
      <c r="AB58" s="1010"/>
      <c r="AC58" s="1010"/>
      <c r="AD58" s="1458" t="str">
        <f t="shared" si="10"/>
        <v>-</v>
      </c>
      <c r="AE58" s="1186">
        <f t="shared" si="102"/>
        <v>0</v>
      </c>
      <c r="AF58" s="1187">
        <f t="shared" si="103"/>
        <v>0</v>
      </c>
      <c r="AG58" s="1187">
        <f t="shared" si="104"/>
        <v>0</v>
      </c>
      <c r="AH58" s="1860" t="str">
        <f t="shared" si="14"/>
        <v>-</v>
      </c>
      <c r="AI58" s="1009"/>
      <c r="AJ58" s="1010"/>
      <c r="AK58" s="1010"/>
      <c r="AL58" s="1458" t="str">
        <f t="shared" si="15"/>
        <v>-</v>
      </c>
      <c r="AM58" s="1009"/>
      <c r="AN58" s="1010"/>
      <c r="AO58" s="1010"/>
      <c r="AP58" s="1458" t="str">
        <f t="shared" si="16"/>
        <v>-</v>
      </c>
      <c r="AQ58" s="1009"/>
      <c r="AR58" s="1010"/>
      <c r="AS58" s="1010"/>
      <c r="AT58" s="1458" t="str">
        <f t="shared" si="17"/>
        <v>-</v>
      </c>
      <c r="AU58" s="509"/>
      <c r="AV58" s="509"/>
      <c r="AW58" s="509"/>
      <c r="AX58" s="509"/>
      <c r="AY58" s="509"/>
    </row>
    <row r="59" spans="1:51" s="516" customFormat="1" ht="24">
      <c r="A59" s="552">
        <f t="shared" si="18"/>
        <v>52</v>
      </c>
      <c r="B59" s="1019">
        <v>7</v>
      </c>
      <c r="C59" s="425" t="s">
        <v>2792</v>
      </c>
      <c r="D59" s="979" t="s">
        <v>2794</v>
      </c>
      <c r="E59" s="1890"/>
      <c r="F59" s="979" t="s">
        <v>2793</v>
      </c>
      <c r="G59" s="1184">
        <f t="shared" si="96"/>
        <v>0</v>
      </c>
      <c r="H59" s="1185">
        <f t="shared" si="97"/>
        <v>59791</v>
      </c>
      <c r="I59" s="1185">
        <f t="shared" si="98"/>
        <v>59791</v>
      </c>
      <c r="J59" s="1860">
        <f t="shared" si="2"/>
        <v>1</v>
      </c>
      <c r="K59" s="1184">
        <f t="shared" si="99"/>
        <v>0</v>
      </c>
      <c r="L59" s="1185">
        <f t="shared" si="100"/>
        <v>53981</v>
      </c>
      <c r="M59" s="1185">
        <f t="shared" si="101"/>
        <v>53981</v>
      </c>
      <c r="N59" s="1860">
        <f t="shared" si="6"/>
        <v>1</v>
      </c>
      <c r="O59" s="1009"/>
      <c r="P59" s="1010">
        <v>53981</v>
      </c>
      <c r="Q59" s="1010">
        <v>53981</v>
      </c>
      <c r="R59" s="1458">
        <f t="shared" si="7"/>
        <v>1</v>
      </c>
      <c r="S59" s="1009"/>
      <c r="T59" s="1010"/>
      <c r="U59" s="1010"/>
      <c r="V59" s="1458" t="str">
        <f t="shared" si="8"/>
        <v>-</v>
      </c>
      <c r="W59" s="1009"/>
      <c r="X59" s="1010"/>
      <c r="Y59" s="1010"/>
      <c r="Z59" s="1458" t="str">
        <f t="shared" si="9"/>
        <v>-</v>
      </c>
      <c r="AA59" s="1009"/>
      <c r="AB59" s="1010"/>
      <c r="AC59" s="1010"/>
      <c r="AD59" s="1458" t="str">
        <f t="shared" si="10"/>
        <v>-</v>
      </c>
      <c r="AE59" s="1184">
        <f t="shared" si="102"/>
        <v>0</v>
      </c>
      <c r="AF59" s="1185">
        <f t="shared" si="103"/>
        <v>5810</v>
      </c>
      <c r="AG59" s="1185">
        <f t="shared" si="104"/>
        <v>5810</v>
      </c>
      <c r="AH59" s="1860">
        <f t="shared" si="14"/>
        <v>1</v>
      </c>
      <c r="AI59" s="1009"/>
      <c r="AJ59" s="1010">
        <v>5810</v>
      </c>
      <c r="AK59" s="1010">
        <v>5810</v>
      </c>
      <c r="AL59" s="1458">
        <f t="shared" si="15"/>
        <v>1</v>
      </c>
      <c r="AM59" s="1009"/>
      <c r="AN59" s="1010"/>
      <c r="AO59" s="1010"/>
      <c r="AP59" s="1458" t="str">
        <f t="shared" si="16"/>
        <v>-</v>
      </c>
      <c r="AQ59" s="1009"/>
      <c r="AR59" s="1010"/>
      <c r="AS59" s="1010"/>
      <c r="AT59" s="1458" t="str">
        <f t="shared" si="17"/>
        <v>-</v>
      </c>
      <c r="AU59" s="509"/>
      <c r="AV59" s="509"/>
      <c r="AW59" s="509"/>
      <c r="AX59" s="509"/>
      <c r="AY59" s="509"/>
    </row>
    <row r="60" spans="1:51">
      <c r="A60" s="552">
        <f t="shared" si="18"/>
        <v>53</v>
      </c>
      <c r="B60" s="288">
        <v>8</v>
      </c>
      <c r="C60" s="357" t="s">
        <v>781</v>
      </c>
      <c r="D60" s="981" t="s">
        <v>779</v>
      </c>
      <c r="E60" s="982" t="s">
        <v>698</v>
      </c>
      <c r="F60" s="983" t="s">
        <v>665</v>
      </c>
      <c r="G60" s="1186">
        <f t="shared" si="96"/>
        <v>2500</v>
      </c>
      <c r="H60" s="1187">
        <f t="shared" si="97"/>
        <v>0</v>
      </c>
      <c r="I60" s="1187">
        <f t="shared" si="98"/>
        <v>0</v>
      </c>
      <c r="J60" s="1860" t="str">
        <f t="shared" si="2"/>
        <v>-</v>
      </c>
      <c r="K60" s="1186">
        <f t="shared" si="99"/>
        <v>2500</v>
      </c>
      <c r="L60" s="1187">
        <f t="shared" si="100"/>
        <v>0</v>
      </c>
      <c r="M60" s="1187">
        <f t="shared" si="101"/>
        <v>0</v>
      </c>
      <c r="N60" s="1860" t="str">
        <f t="shared" si="6"/>
        <v>-</v>
      </c>
      <c r="O60" s="1009"/>
      <c r="P60" s="1010"/>
      <c r="Q60" s="1010"/>
      <c r="R60" s="1458" t="str">
        <f t="shared" si="7"/>
        <v>-</v>
      </c>
      <c r="S60" s="1009"/>
      <c r="T60" s="1010"/>
      <c r="U60" s="1010"/>
      <c r="V60" s="1458" t="str">
        <f t="shared" si="8"/>
        <v>-</v>
      </c>
      <c r="W60" s="1009">
        <v>2500</v>
      </c>
      <c r="X60" s="1010"/>
      <c r="Y60" s="1010"/>
      <c r="Z60" s="1458" t="str">
        <f t="shared" si="9"/>
        <v>-</v>
      </c>
      <c r="AA60" s="1009"/>
      <c r="AB60" s="1010"/>
      <c r="AC60" s="1010"/>
      <c r="AD60" s="1458" t="str">
        <f t="shared" si="10"/>
        <v>-</v>
      </c>
      <c r="AE60" s="1186">
        <f t="shared" si="102"/>
        <v>0</v>
      </c>
      <c r="AF60" s="1187">
        <f t="shared" si="103"/>
        <v>0</v>
      </c>
      <c r="AG60" s="1187">
        <f t="shared" si="104"/>
        <v>0</v>
      </c>
      <c r="AH60" s="1860" t="str">
        <f t="shared" si="14"/>
        <v>-</v>
      </c>
      <c r="AI60" s="1009"/>
      <c r="AJ60" s="1010"/>
      <c r="AK60" s="1010"/>
      <c r="AL60" s="1458" t="str">
        <f t="shared" si="15"/>
        <v>-</v>
      </c>
      <c r="AM60" s="1009"/>
      <c r="AN60" s="1010"/>
      <c r="AO60" s="1010"/>
      <c r="AP60" s="1458" t="str">
        <f t="shared" si="16"/>
        <v>-</v>
      </c>
      <c r="AQ60" s="1009"/>
      <c r="AR60" s="1010"/>
      <c r="AS60" s="1010"/>
      <c r="AT60" s="1458" t="str">
        <f t="shared" si="17"/>
        <v>-</v>
      </c>
      <c r="AU60" s="509"/>
      <c r="AV60" s="509"/>
      <c r="AW60" s="509"/>
      <c r="AX60" s="509"/>
      <c r="AY60" s="509"/>
    </row>
    <row r="61" spans="1:51">
      <c r="A61" s="552">
        <f t="shared" si="18"/>
        <v>54</v>
      </c>
      <c r="B61" s="288">
        <v>8</v>
      </c>
      <c r="C61" s="357" t="s">
        <v>782</v>
      </c>
      <c r="D61" s="981" t="s">
        <v>780</v>
      </c>
      <c r="E61" s="982" t="s">
        <v>692</v>
      </c>
      <c r="F61" s="983" t="s">
        <v>661</v>
      </c>
      <c r="G61" s="1186">
        <f t="shared" si="96"/>
        <v>0</v>
      </c>
      <c r="H61" s="1187">
        <f t="shared" si="97"/>
        <v>0</v>
      </c>
      <c r="I61" s="1187">
        <f t="shared" si="98"/>
        <v>0</v>
      </c>
      <c r="J61" s="1860" t="str">
        <f t="shared" si="2"/>
        <v>-</v>
      </c>
      <c r="K61" s="1186">
        <f t="shared" si="99"/>
        <v>0</v>
      </c>
      <c r="L61" s="1187">
        <f t="shared" si="100"/>
        <v>0</v>
      </c>
      <c r="M61" s="1187">
        <f t="shared" si="101"/>
        <v>0</v>
      </c>
      <c r="N61" s="1860" t="str">
        <f t="shared" si="6"/>
        <v>-</v>
      </c>
      <c r="O61" s="1009"/>
      <c r="P61" s="1010"/>
      <c r="Q61" s="1010"/>
      <c r="R61" s="1458" t="str">
        <f t="shared" si="7"/>
        <v>-</v>
      </c>
      <c r="S61" s="1009"/>
      <c r="T61" s="1010"/>
      <c r="U61" s="1010"/>
      <c r="V61" s="1458" t="str">
        <f t="shared" si="8"/>
        <v>-</v>
      </c>
      <c r="W61" s="1009"/>
      <c r="X61" s="1010"/>
      <c r="Y61" s="1010"/>
      <c r="Z61" s="1458" t="str">
        <f t="shared" si="9"/>
        <v>-</v>
      </c>
      <c r="AA61" s="1009"/>
      <c r="AB61" s="1010"/>
      <c r="AC61" s="1010"/>
      <c r="AD61" s="1458" t="str">
        <f t="shared" si="10"/>
        <v>-</v>
      </c>
      <c r="AE61" s="1186">
        <f t="shared" si="102"/>
        <v>0</v>
      </c>
      <c r="AF61" s="1187">
        <f t="shared" si="103"/>
        <v>0</v>
      </c>
      <c r="AG61" s="1187">
        <f t="shared" si="104"/>
        <v>0</v>
      </c>
      <c r="AH61" s="1860" t="str">
        <f t="shared" si="14"/>
        <v>-</v>
      </c>
      <c r="AI61" s="1009"/>
      <c r="AJ61" s="1010"/>
      <c r="AK61" s="1010"/>
      <c r="AL61" s="1458" t="str">
        <f t="shared" si="15"/>
        <v>-</v>
      </c>
      <c r="AM61" s="1009"/>
      <c r="AN61" s="1010"/>
      <c r="AO61" s="1010"/>
      <c r="AP61" s="1458" t="str">
        <f t="shared" si="16"/>
        <v>-</v>
      </c>
      <c r="AQ61" s="1009"/>
      <c r="AR61" s="1010"/>
      <c r="AS61" s="1010"/>
      <c r="AT61" s="1458" t="str">
        <f t="shared" si="17"/>
        <v>-</v>
      </c>
      <c r="AU61" s="509"/>
      <c r="AV61" s="509"/>
      <c r="AW61" s="509"/>
      <c r="AX61" s="509"/>
      <c r="AY61" s="509"/>
    </row>
    <row r="62" spans="1:51">
      <c r="A62" s="552">
        <f t="shared" si="18"/>
        <v>55</v>
      </c>
      <c r="B62" s="288">
        <v>8</v>
      </c>
      <c r="C62" s="360" t="s">
        <v>1104</v>
      </c>
      <c r="D62" s="973" t="s">
        <v>1105</v>
      </c>
      <c r="E62" s="976" t="s">
        <v>1106</v>
      </c>
      <c r="F62" s="978" t="s">
        <v>1105</v>
      </c>
      <c r="G62" s="1184">
        <f t="shared" si="96"/>
        <v>0</v>
      </c>
      <c r="H62" s="1185">
        <f t="shared" si="97"/>
        <v>0</v>
      </c>
      <c r="I62" s="1185">
        <f t="shared" si="98"/>
        <v>0</v>
      </c>
      <c r="J62" s="1880" t="str">
        <f t="shared" si="2"/>
        <v>-</v>
      </c>
      <c r="K62" s="1184">
        <f t="shared" si="99"/>
        <v>0</v>
      </c>
      <c r="L62" s="1185">
        <f t="shared" si="100"/>
        <v>0</v>
      </c>
      <c r="M62" s="1185">
        <f t="shared" si="101"/>
        <v>0</v>
      </c>
      <c r="N62" s="1860" t="str">
        <f t="shared" si="6"/>
        <v>-</v>
      </c>
      <c r="O62" s="1009"/>
      <c r="P62" s="1010"/>
      <c r="Q62" s="1010"/>
      <c r="R62" s="1458" t="str">
        <f t="shared" si="7"/>
        <v>-</v>
      </c>
      <c r="S62" s="1009"/>
      <c r="T62" s="1010"/>
      <c r="U62" s="1010"/>
      <c r="V62" s="1458" t="str">
        <f t="shared" si="8"/>
        <v>-</v>
      </c>
      <c r="W62" s="1009"/>
      <c r="X62" s="1010"/>
      <c r="Y62" s="1010"/>
      <c r="Z62" s="1458" t="str">
        <f t="shared" si="9"/>
        <v>-</v>
      </c>
      <c r="AA62" s="1009"/>
      <c r="AB62" s="1010"/>
      <c r="AC62" s="1010"/>
      <c r="AD62" s="1458" t="str">
        <f t="shared" si="10"/>
        <v>-</v>
      </c>
      <c r="AE62" s="1184">
        <f t="shared" si="102"/>
        <v>0</v>
      </c>
      <c r="AF62" s="1185">
        <f t="shared" si="103"/>
        <v>0</v>
      </c>
      <c r="AG62" s="1185">
        <f t="shared" si="104"/>
        <v>0</v>
      </c>
      <c r="AH62" s="1860" t="str">
        <f t="shared" si="14"/>
        <v>-</v>
      </c>
      <c r="AI62" s="1009"/>
      <c r="AJ62" s="1010"/>
      <c r="AK62" s="1010"/>
      <c r="AL62" s="1458" t="str">
        <f t="shared" si="15"/>
        <v>-</v>
      </c>
      <c r="AM62" s="1009"/>
      <c r="AN62" s="1010"/>
      <c r="AO62" s="1010"/>
      <c r="AP62" s="1458" t="str">
        <f t="shared" si="16"/>
        <v>-</v>
      </c>
      <c r="AQ62" s="1009"/>
      <c r="AR62" s="1010"/>
      <c r="AS62" s="1010"/>
      <c r="AT62" s="1458" t="str">
        <f t="shared" si="17"/>
        <v>-</v>
      </c>
      <c r="AU62" s="509"/>
      <c r="AV62" s="509"/>
      <c r="AW62" s="509"/>
      <c r="AX62" s="509"/>
      <c r="AY62" s="509"/>
    </row>
    <row r="63" spans="1:51">
      <c r="A63" s="552">
        <f t="shared" si="18"/>
        <v>56</v>
      </c>
      <c r="B63" s="1019">
        <v>8</v>
      </c>
      <c r="C63" s="425" t="s">
        <v>1195</v>
      </c>
      <c r="D63" s="979" t="s">
        <v>1196</v>
      </c>
      <c r="E63" s="974"/>
      <c r="F63" s="1005" t="s">
        <v>1201</v>
      </c>
      <c r="G63" s="1180">
        <f t="shared" si="96"/>
        <v>0</v>
      </c>
      <c r="H63" s="1181">
        <f t="shared" si="97"/>
        <v>0</v>
      </c>
      <c r="I63" s="1181">
        <f t="shared" si="98"/>
        <v>0</v>
      </c>
      <c r="J63" s="1860" t="str">
        <f t="shared" si="2"/>
        <v>-</v>
      </c>
      <c r="K63" s="1180">
        <f t="shared" si="99"/>
        <v>0</v>
      </c>
      <c r="L63" s="1181">
        <f t="shared" si="100"/>
        <v>0</v>
      </c>
      <c r="M63" s="1181">
        <f t="shared" si="101"/>
        <v>0</v>
      </c>
      <c r="N63" s="1860" t="str">
        <f t="shared" si="6"/>
        <v>-</v>
      </c>
      <c r="O63" s="1009"/>
      <c r="P63" s="1010"/>
      <c r="Q63" s="1010"/>
      <c r="R63" s="1458" t="str">
        <f t="shared" si="7"/>
        <v>-</v>
      </c>
      <c r="S63" s="1009"/>
      <c r="T63" s="1010"/>
      <c r="U63" s="1010"/>
      <c r="V63" s="1458" t="str">
        <f t="shared" si="8"/>
        <v>-</v>
      </c>
      <c r="W63" s="1009"/>
      <c r="X63" s="1010"/>
      <c r="Y63" s="1010"/>
      <c r="Z63" s="1458" t="str">
        <f t="shared" si="9"/>
        <v>-</v>
      </c>
      <c r="AA63" s="1009"/>
      <c r="AB63" s="1010"/>
      <c r="AC63" s="1010"/>
      <c r="AD63" s="1458" t="str">
        <f t="shared" si="10"/>
        <v>-</v>
      </c>
      <c r="AE63" s="1180">
        <f t="shared" si="102"/>
        <v>0</v>
      </c>
      <c r="AF63" s="1181">
        <f t="shared" si="103"/>
        <v>0</v>
      </c>
      <c r="AG63" s="1181">
        <f t="shared" si="104"/>
        <v>0</v>
      </c>
      <c r="AH63" s="1860" t="str">
        <f t="shared" si="14"/>
        <v>-</v>
      </c>
      <c r="AI63" s="1009"/>
      <c r="AJ63" s="1010"/>
      <c r="AK63" s="1010"/>
      <c r="AL63" s="1458" t="str">
        <f t="shared" si="15"/>
        <v>-</v>
      </c>
      <c r="AM63" s="1009"/>
      <c r="AN63" s="1010"/>
      <c r="AO63" s="1010"/>
      <c r="AP63" s="1458" t="str">
        <f t="shared" si="16"/>
        <v>-</v>
      </c>
      <c r="AQ63" s="1009"/>
      <c r="AR63" s="1010"/>
      <c r="AS63" s="1010"/>
      <c r="AT63" s="1458" t="str">
        <f t="shared" si="17"/>
        <v>-</v>
      </c>
      <c r="AU63" s="509"/>
      <c r="AV63" s="509"/>
      <c r="AW63" s="509"/>
      <c r="AX63" s="509"/>
      <c r="AY63" s="509"/>
    </row>
    <row r="64" spans="1:51" s="516" customFormat="1" ht="24">
      <c r="A64" s="552">
        <f t="shared" si="18"/>
        <v>57</v>
      </c>
      <c r="B64" s="1019">
        <v>7</v>
      </c>
      <c r="C64" s="425" t="s">
        <v>2795</v>
      </c>
      <c r="D64" s="979" t="s">
        <v>2797</v>
      </c>
      <c r="E64" s="1890"/>
      <c r="F64" s="979" t="s">
        <v>2796</v>
      </c>
      <c r="G64" s="1184">
        <f t="shared" ref="G64" si="105">+K64+AE64</f>
        <v>0</v>
      </c>
      <c r="H64" s="1185">
        <f t="shared" ref="H64" si="106">+L64+AF64</f>
        <v>138388</v>
      </c>
      <c r="I64" s="1185">
        <f t="shared" ref="I64" si="107">+M64+AG64</f>
        <v>138388</v>
      </c>
      <c r="J64" s="1860">
        <f t="shared" ref="J64" si="108">IF(ISERROR(I64/H64),"-",I64/H64)</f>
        <v>1</v>
      </c>
      <c r="K64" s="1184">
        <f t="shared" ref="K64" si="109">+O64+S64+W64+AA64</f>
        <v>0</v>
      </c>
      <c r="L64" s="1185">
        <f t="shared" ref="L64" si="110">+P64+T64+X64+AB64</f>
        <v>138388</v>
      </c>
      <c r="M64" s="1185">
        <f t="shared" ref="M64" si="111">+Q64+U64+Y64+AC64</f>
        <v>138388</v>
      </c>
      <c r="N64" s="1860">
        <f t="shared" ref="N64" si="112">IF(ISERROR(M64/L64),"-",M64/L64)</f>
        <v>1</v>
      </c>
      <c r="O64" s="1009"/>
      <c r="P64" s="1010">
        <v>138388</v>
      </c>
      <c r="Q64" s="1010">
        <v>138388</v>
      </c>
      <c r="R64" s="1458">
        <f t="shared" ref="R64" si="113">IF(ISERROR(Q64/P64),"-",Q64/P64)</f>
        <v>1</v>
      </c>
      <c r="S64" s="1009"/>
      <c r="T64" s="1010"/>
      <c r="U64" s="1010"/>
      <c r="V64" s="1458" t="str">
        <f t="shared" ref="V64" si="114">IF(ISERROR(U64/T64),"-",U64/T64)</f>
        <v>-</v>
      </c>
      <c r="W64" s="1009"/>
      <c r="X64" s="1010"/>
      <c r="Y64" s="1010"/>
      <c r="Z64" s="1458" t="str">
        <f t="shared" ref="Z64" si="115">IF(ISERROR(Y64/X64),"-",Y64/X64)</f>
        <v>-</v>
      </c>
      <c r="AA64" s="1009"/>
      <c r="AB64" s="1010"/>
      <c r="AC64" s="1010"/>
      <c r="AD64" s="1458" t="str">
        <f t="shared" ref="AD64" si="116">IF(ISERROR(AC64/AB64),"-",AC64/AB64)</f>
        <v>-</v>
      </c>
      <c r="AE64" s="1184">
        <f t="shared" ref="AE64" si="117">+AI64+AM64+AQ64</f>
        <v>0</v>
      </c>
      <c r="AF64" s="1185">
        <f t="shared" ref="AF64" si="118">+AJ64+AN64+AR64</f>
        <v>0</v>
      </c>
      <c r="AG64" s="1185">
        <f t="shared" ref="AG64" si="119">+AK64+AO64+AS64</f>
        <v>0</v>
      </c>
      <c r="AH64" s="1860" t="str">
        <f t="shared" ref="AH64" si="120">IF(ISERROR(AG64/AF64),"-",AG64/AF64)</f>
        <v>-</v>
      </c>
      <c r="AI64" s="1009"/>
      <c r="AJ64" s="1010"/>
      <c r="AK64" s="1010"/>
      <c r="AL64" s="1458" t="str">
        <f t="shared" ref="AL64" si="121">IF(ISERROR(AK64/AJ64),"-",AK64/AJ64)</f>
        <v>-</v>
      </c>
      <c r="AM64" s="1009"/>
      <c r="AN64" s="1010"/>
      <c r="AO64" s="1010"/>
      <c r="AP64" s="1458" t="str">
        <f t="shared" ref="AP64" si="122">IF(ISERROR(AO64/AN64),"-",AO64/AN64)</f>
        <v>-</v>
      </c>
      <c r="AQ64" s="1009"/>
      <c r="AR64" s="1010"/>
      <c r="AS64" s="1010"/>
      <c r="AT64" s="1458" t="str">
        <f t="shared" ref="AT64" si="123">IF(ISERROR(AS64/AR64),"-",AS64/AR64)</f>
        <v>-</v>
      </c>
      <c r="AU64" s="509"/>
      <c r="AV64" s="509"/>
      <c r="AW64" s="509"/>
      <c r="AX64" s="509"/>
      <c r="AY64" s="509"/>
    </row>
    <row r="65" spans="1:51">
      <c r="A65" s="552">
        <f t="shared" si="18"/>
        <v>58</v>
      </c>
      <c r="B65" s="288">
        <v>6</v>
      </c>
      <c r="C65" s="357" t="s">
        <v>725</v>
      </c>
      <c r="D65" s="981" t="s">
        <v>724</v>
      </c>
      <c r="E65" s="982" t="s">
        <v>676</v>
      </c>
      <c r="F65" s="983" t="s">
        <v>1119</v>
      </c>
      <c r="G65" s="1186">
        <f t="shared" si="96"/>
        <v>0</v>
      </c>
      <c r="H65" s="1187">
        <f t="shared" si="97"/>
        <v>0</v>
      </c>
      <c r="I65" s="1187">
        <f t="shared" si="98"/>
        <v>0</v>
      </c>
      <c r="J65" s="1860" t="str">
        <f t="shared" si="2"/>
        <v>-</v>
      </c>
      <c r="K65" s="1186">
        <f t="shared" si="99"/>
        <v>0</v>
      </c>
      <c r="L65" s="1187">
        <f t="shared" si="100"/>
        <v>0</v>
      </c>
      <c r="M65" s="1187">
        <f t="shared" si="101"/>
        <v>0</v>
      </c>
      <c r="N65" s="1860" t="str">
        <f t="shared" si="6"/>
        <v>-</v>
      </c>
      <c r="O65" s="1009"/>
      <c r="P65" s="1010"/>
      <c r="Q65" s="1010"/>
      <c r="R65" s="1458" t="str">
        <f t="shared" si="7"/>
        <v>-</v>
      </c>
      <c r="S65" s="1009"/>
      <c r="T65" s="1010"/>
      <c r="U65" s="1010"/>
      <c r="V65" s="1458" t="str">
        <f t="shared" si="8"/>
        <v>-</v>
      </c>
      <c r="W65" s="1009"/>
      <c r="X65" s="1010"/>
      <c r="Y65" s="1010"/>
      <c r="Z65" s="1458" t="str">
        <f t="shared" si="9"/>
        <v>-</v>
      </c>
      <c r="AA65" s="1009"/>
      <c r="AB65" s="1010"/>
      <c r="AC65" s="1010"/>
      <c r="AD65" s="1458" t="str">
        <f t="shared" si="10"/>
        <v>-</v>
      </c>
      <c r="AE65" s="1186">
        <f t="shared" si="102"/>
        <v>0</v>
      </c>
      <c r="AF65" s="1187">
        <f t="shared" si="103"/>
        <v>0</v>
      </c>
      <c r="AG65" s="1187">
        <f t="shared" si="104"/>
        <v>0</v>
      </c>
      <c r="AH65" s="1860" t="str">
        <f t="shared" si="14"/>
        <v>-</v>
      </c>
      <c r="AI65" s="1009"/>
      <c r="AJ65" s="1010"/>
      <c r="AK65" s="1010"/>
      <c r="AL65" s="1458" t="str">
        <f t="shared" si="15"/>
        <v>-</v>
      </c>
      <c r="AM65" s="1009"/>
      <c r="AN65" s="1010"/>
      <c r="AO65" s="1010"/>
      <c r="AP65" s="1458" t="str">
        <f t="shared" si="16"/>
        <v>-</v>
      </c>
      <c r="AQ65" s="1009"/>
      <c r="AR65" s="1010"/>
      <c r="AS65" s="1010"/>
      <c r="AT65" s="1458" t="str">
        <f t="shared" si="17"/>
        <v>-</v>
      </c>
      <c r="AU65" s="509"/>
      <c r="AV65" s="509"/>
      <c r="AW65" s="509"/>
      <c r="AX65" s="509"/>
      <c r="AY65" s="509"/>
    </row>
    <row r="66" spans="1:51">
      <c r="A66" s="552">
        <f t="shared" si="18"/>
        <v>59</v>
      </c>
      <c r="B66" s="288">
        <v>6</v>
      </c>
      <c r="C66" s="357" t="s">
        <v>731</v>
      </c>
      <c r="D66" s="981" t="s">
        <v>730</v>
      </c>
      <c r="E66" s="982" t="s">
        <v>693</v>
      </c>
      <c r="F66" s="983" t="s">
        <v>1121</v>
      </c>
      <c r="G66" s="1186">
        <f t="shared" si="96"/>
        <v>0</v>
      </c>
      <c r="H66" s="1187">
        <f t="shared" si="97"/>
        <v>0</v>
      </c>
      <c r="I66" s="1187">
        <f t="shared" si="98"/>
        <v>0</v>
      </c>
      <c r="J66" s="1860" t="str">
        <f t="shared" si="2"/>
        <v>-</v>
      </c>
      <c r="K66" s="1186">
        <f t="shared" si="99"/>
        <v>0</v>
      </c>
      <c r="L66" s="1187">
        <f t="shared" si="100"/>
        <v>0</v>
      </c>
      <c r="M66" s="1187">
        <f t="shared" si="101"/>
        <v>0</v>
      </c>
      <c r="N66" s="1860" t="str">
        <f t="shared" si="6"/>
        <v>-</v>
      </c>
      <c r="O66" s="1009"/>
      <c r="P66" s="1010"/>
      <c r="Q66" s="1010"/>
      <c r="R66" s="1458" t="str">
        <f t="shared" si="7"/>
        <v>-</v>
      </c>
      <c r="S66" s="1009"/>
      <c r="T66" s="1010"/>
      <c r="U66" s="1010"/>
      <c r="V66" s="1458" t="str">
        <f t="shared" si="8"/>
        <v>-</v>
      </c>
      <c r="W66" s="1009"/>
      <c r="X66" s="1010"/>
      <c r="Y66" s="1010"/>
      <c r="Z66" s="1458" t="str">
        <f t="shared" si="9"/>
        <v>-</v>
      </c>
      <c r="AA66" s="1009"/>
      <c r="AB66" s="1010"/>
      <c r="AC66" s="1010"/>
      <c r="AD66" s="1458" t="str">
        <f t="shared" si="10"/>
        <v>-</v>
      </c>
      <c r="AE66" s="1186">
        <f t="shared" si="102"/>
        <v>0</v>
      </c>
      <c r="AF66" s="1187">
        <f t="shared" si="103"/>
        <v>0</v>
      </c>
      <c r="AG66" s="1187">
        <f t="shared" si="104"/>
        <v>0</v>
      </c>
      <c r="AH66" s="1860" t="str">
        <f t="shared" si="14"/>
        <v>-</v>
      </c>
      <c r="AI66" s="1009"/>
      <c r="AJ66" s="1010"/>
      <c r="AK66" s="1010"/>
      <c r="AL66" s="1458" t="str">
        <f t="shared" si="15"/>
        <v>-</v>
      </c>
      <c r="AM66" s="1009"/>
      <c r="AN66" s="1010"/>
      <c r="AO66" s="1010"/>
      <c r="AP66" s="1458" t="str">
        <f t="shared" si="16"/>
        <v>-</v>
      </c>
      <c r="AQ66" s="1009"/>
      <c r="AR66" s="1010"/>
      <c r="AS66" s="1010"/>
      <c r="AT66" s="1458" t="str">
        <f t="shared" si="17"/>
        <v>-</v>
      </c>
      <c r="AU66" s="509"/>
      <c r="AV66" s="509"/>
      <c r="AW66" s="509"/>
      <c r="AX66" s="509"/>
      <c r="AY66" s="509"/>
    </row>
    <row r="67" spans="1:51">
      <c r="A67" s="552">
        <f t="shared" si="18"/>
        <v>60</v>
      </c>
      <c r="B67" s="288">
        <v>6</v>
      </c>
      <c r="C67" s="357" t="s">
        <v>1117</v>
      </c>
      <c r="D67" s="981" t="s">
        <v>1116</v>
      </c>
      <c r="E67" s="982" t="s">
        <v>1118</v>
      </c>
      <c r="F67" s="983" t="s">
        <v>1116</v>
      </c>
      <c r="G67" s="1186">
        <f t="shared" si="96"/>
        <v>0</v>
      </c>
      <c r="H67" s="1187">
        <f t="shared" si="97"/>
        <v>0</v>
      </c>
      <c r="I67" s="1187">
        <f t="shared" si="98"/>
        <v>0</v>
      </c>
      <c r="J67" s="1860" t="str">
        <f t="shared" si="2"/>
        <v>-</v>
      </c>
      <c r="K67" s="1186">
        <f t="shared" si="99"/>
        <v>0</v>
      </c>
      <c r="L67" s="1187">
        <f t="shared" si="100"/>
        <v>0</v>
      </c>
      <c r="M67" s="1187">
        <f t="shared" si="101"/>
        <v>0</v>
      </c>
      <c r="N67" s="1860" t="str">
        <f t="shared" si="6"/>
        <v>-</v>
      </c>
      <c r="O67" s="1009"/>
      <c r="P67" s="1010"/>
      <c r="Q67" s="1010"/>
      <c r="R67" s="1458" t="str">
        <f t="shared" si="7"/>
        <v>-</v>
      </c>
      <c r="S67" s="1009"/>
      <c r="T67" s="1010"/>
      <c r="U67" s="1010"/>
      <c r="V67" s="1458" t="str">
        <f t="shared" si="8"/>
        <v>-</v>
      </c>
      <c r="W67" s="1009"/>
      <c r="X67" s="1010"/>
      <c r="Y67" s="1010"/>
      <c r="Z67" s="1458" t="str">
        <f t="shared" si="9"/>
        <v>-</v>
      </c>
      <c r="AA67" s="1009"/>
      <c r="AB67" s="1010"/>
      <c r="AC67" s="1010"/>
      <c r="AD67" s="1458" t="str">
        <f t="shared" si="10"/>
        <v>-</v>
      </c>
      <c r="AE67" s="1186">
        <f t="shared" si="102"/>
        <v>0</v>
      </c>
      <c r="AF67" s="1187">
        <f t="shared" si="103"/>
        <v>0</v>
      </c>
      <c r="AG67" s="1187">
        <f t="shared" si="104"/>
        <v>0</v>
      </c>
      <c r="AH67" s="1860" t="str">
        <f t="shared" si="14"/>
        <v>-</v>
      </c>
      <c r="AI67" s="1009"/>
      <c r="AJ67" s="1010"/>
      <c r="AK67" s="1010"/>
      <c r="AL67" s="1458" t="str">
        <f t="shared" si="15"/>
        <v>-</v>
      </c>
      <c r="AM67" s="1009"/>
      <c r="AN67" s="1010"/>
      <c r="AO67" s="1010"/>
      <c r="AP67" s="1458" t="str">
        <f t="shared" si="16"/>
        <v>-</v>
      </c>
      <c r="AQ67" s="1009"/>
      <c r="AR67" s="1010"/>
      <c r="AS67" s="1010"/>
      <c r="AT67" s="1458" t="str">
        <f t="shared" si="17"/>
        <v>-</v>
      </c>
      <c r="AU67" s="509"/>
      <c r="AV67" s="509"/>
      <c r="AW67" s="509"/>
      <c r="AX67" s="509"/>
      <c r="AY67" s="509"/>
    </row>
    <row r="68" spans="1:51">
      <c r="A68" s="552">
        <f t="shared" si="18"/>
        <v>61</v>
      </c>
      <c r="B68" s="288">
        <v>6</v>
      </c>
      <c r="C68" s="357" t="s">
        <v>727</v>
      </c>
      <c r="D68" s="981" t="s">
        <v>726</v>
      </c>
      <c r="E68" s="982" t="s">
        <v>672</v>
      </c>
      <c r="F68" s="983" t="s">
        <v>645</v>
      </c>
      <c r="G68" s="1186">
        <f t="shared" si="96"/>
        <v>0</v>
      </c>
      <c r="H68" s="1187">
        <f t="shared" si="97"/>
        <v>0</v>
      </c>
      <c r="I68" s="1187">
        <f t="shared" si="98"/>
        <v>0</v>
      </c>
      <c r="J68" s="1860" t="str">
        <f t="shared" si="2"/>
        <v>-</v>
      </c>
      <c r="K68" s="1186">
        <f t="shared" si="99"/>
        <v>0</v>
      </c>
      <c r="L68" s="1187">
        <f t="shared" si="100"/>
        <v>0</v>
      </c>
      <c r="M68" s="1187">
        <f t="shared" si="101"/>
        <v>0</v>
      </c>
      <c r="N68" s="1860" t="str">
        <f t="shared" si="6"/>
        <v>-</v>
      </c>
      <c r="O68" s="1009"/>
      <c r="P68" s="1010"/>
      <c r="Q68" s="1010"/>
      <c r="R68" s="1458" t="str">
        <f t="shared" si="7"/>
        <v>-</v>
      </c>
      <c r="S68" s="1009"/>
      <c r="T68" s="1010"/>
      <c r="U68" s="1010"/>
      <c r="V68" s="1458" t="str">
        <f t="shared" si="8"/>
        <v>-</v>
      </c>
      <c r="W68" s="1009"/>
      <c r="X68" s="1010"/>
      <c r="Y68" s="1010"/>
      <c r="Z68" s="1458" t="str">
        <f t="shared" si="9"/>
        <v>-</v>
      </c>
      <c r="AA68" s="1009"/>
      <c r="AB68" s="1010"/>
      <c r="AC68" s="1010"/>
      <c r="AD68" s="1458" t="str">
        <f t="shared" si="10"/>
        <v>-</v>
      </c>
      <c r="AE68" s="1186">
        <f t="shared" si="102"/>
        <v>0</v>
      </c>
      <c r="AF68" s="1187">
        <f t="shared" si="103"/>
        <v>0</v>
      </c>
      <c r="AG68" s="1187">
        <f t="shared" si="104"/>
        <v>0</v>
      </c>
      <c r="AH68" s="1860" t="str">
        <f t="shared" si="14"/>
        <v>-</v>
      </c>
      <c r="AI68" s="1009"/>
      <c r="AJ68" s="1010"/>
      <c r="AK68" s="1010"/>
      <c r="AL68" s="1458" t="str">
        <f t="shared" si="15"/>
        <v>-</v>
      </c>
      <c r="AM68" s="1009"/>
      <c r="AN68" s="1010"/>
      <c r="AO68" s="1010"/>
      <c r="AP68" s="1458" t="str">
        <f t="shared" si="16"/>
        <v>-</v>
      </c>
      <c r="AQ68" s="1009"/>
      <c r="AR68" s="1010"/>
      <c r="AS68" s="1010"/>
      <c r="AT68" s="1458" t="str">
        <f t="shared" si="17"/>
        <v>-</v>
      </c>
      <c r="AU68" s="509"/>
      <c r="AV68" s="509"/>
      <c r="AW68" s="509"/>
      <c r="AX68" s="509"/>
      <c r="AY68" s="509"/>
    </row>
    <row r="69" spans="1:51">
      <c r="A69" s="552">
        <f t="shared" si="18"/>
        <v>62</v>
      </c>
      <c r="B69" s="288">
        <v>6</v>
      </c>
      <c r="C69" s="357" t="s">
        <v>727</v>
      </c>
      <c r="D69" s="981" t="s">
        <v>726</v>
      </c>
      <c r="E69" s="982" t="s">
        <v>673</v>
      </c>
      <c r="F69" s="983" t="s">
        <v>646</v>
      </c>
      <c r="G69" s="1186">
        <f t="shared" si="96"/>
        <v>0</v>
      </c>
      <c r="H69" s="1187">
        <f t="shared" si="97"/>
        <v>0</v>
      </c>
      <c r="I69" s="1187">
        <f t="shared" si="98"/>
        <v>0</v>
      </c>
      <c r="J69" s="1860" t="str">
        <f t="shared" si="2"/>
        <v>-</v>
      </c>
      <c r="K69" s="1186">
        <f t="shared" si="99"/>
        <v>0</v>
      </c>
      <c r="L69" s="1187">
        <f t="shared" si="100"/>
        <v>0</v>
      </c>
      <c r="M69" s="1187">
        <f t="shared" si="101"/>
        <v>0</v>
      </c>
      <c r="N69" s="1860" t="str">
        <f t="shared" si="6"/>
        <v>-</v>
      </c>
      <c r="O69" s="1009"/>
      <c r="P69" s="1010"/>
      <c r="Q69" s="1010"/>
      <c r="R69" s="1458" t="str">
        <f t="shared" si="7"/>
        <v>-</v>
      </c>
      <c r="S69" s="1009"/>
      <c r="T69" s="1010"/>
      <c r="U69" s="1010"/>
      <c r="V69" s="1458" t="str">
        <f t="shared" si="8"/>
        <v>-</v>
      </c>
      <c r="W69" s="1009"/>
      <c r="X69" s="1010"/>
      <c r="Y69" s="1010"/>
      <c r="Z69" s="1458" t="str">
        <f t="shared" si="9"/>
        <v>-</v>
      </c>
      <c r="AA69" s="1009"/>
      <c r="AB69" s="1010"/>
      <c r="AC69" s="1010"/>
      <c r="AD69" s="1458" t="str">
        <f t="shared" si="10"/>
        <v>-</v>
      </c>
      <c r="AE69" s="1186">
        <f t="shared" si="102"/>
        <v>0</v>
      </c>
      <c r="AF69" s="1187">
        <f t="shared" si="103"/>
        <v>0</v>
      </c>
      <c r="AG69" s="1187">
        <f t="shared" si="104"/>
        <v>0</v>
      </c>
      <c r="AH69" s="1860" t="str">
        <f t="shared" si="14"/>
        <v>-</v>
      </c>
      <c r="AI69" s="1009"/>
      <c r="AJ69" s="1010"/>
      <c r="AK69" s="1010"/>
      <c r="AL69" s="1458" t="str">
        <f t="shared" si="15"/>
        <v>-</v>
      </c>
      <c r="AM69" s="1009"/>
      <c r="AN69" s="1010"/>
      <c r="AO69" s="1010"/>
      <c r="AP69" s="1458" t="str">
        <f t="shared" si="16"/>
        <v>-</v>
      </c>
      <c r="AQ69" s="1009"/>
      <c r="AR69" s="1010"/>
      <c r="AS69" s="1010"/>
      <c r="AT69" s="1458" t="str">
        <f t="shared" si="17"/>
        <v>-</v>
      </c>
      <c r="AU69" s="509"/>
      <c r="AV69" s="509"/>
      <c r="AW69" s="509"/>
      <c r="AX69" s="509"/>
      <c r="AY69" s="509"/>
    </row>
    <row r="70" spans="1:51">
      <c r="A70" s="552">
        <f t="shared" si="18"/>
        <v>63</v>
      </c>
      <c r="B70" s="1020">
        <v>6</v>
      </c>
      <c r="C70" s="357" t="s">
        <v>727</v>
      </c>
      <c r="D70" s="981" t="s">
        <v>726</v>
      </c>
      <c r="E70" s="982" t="s">
        <v>675</v>
      </c>
      <c r="F70" s="983" t="s">
        <v>647</v>
      </c>
      <c r="G70" s="1186">
        <f t="shared" si="96"/>
        <v>0</v>
      </c>
      <c r="H70" s="1187">
        <f t="shared" si="97"/>
        <v>12951</v>
      </c>
      <c r="I70" s="1187">
        <f t="shared" si="98"/>
        <v>12951</v>
      </c>
      <c r="J70" s="1860">
        <f t="shared" si="2"/>
        <v>1</v>
      </c>
      <c r="K70" s="1186">
        <f t="shared" si="99"/>
        <v>0</v>
      </c>
      <c r="L70" s="1187">
        <f t="shared" si="100"/>
        <v>12951</v>
      </c>
      <c r="M70" s="1187">
        <f t="shared" si="101"/>
        <v>12951</v>
      </c>
      <c r="N70" s="1860">
        <f t="shared" si="6"/>
        <v>1</v>
      </c>
      <c r="O70" s="1009"/>
      <c r="P70" s="1010">
        <v>12951</v>
      </c>
      <c r="Q70" s="1010">
        <v>12951</v>
      </c>
      <c r="R70" s="1458">
        <f t="shared" si="7"/>
        <v>1</v>
      </c>
      <c r="S70" s="1009"/>
      <c r="T70" s="1010"/>
      <c r="U70" s="1010"/>
      <c r="V70" s="1458" t="str">
        <f t="shared" si="8"/>
        <v>-</v>
      </c>
      <c r="W70" s="1009"/>
      <c r="X70" s="1010"/>
      <c r="Y70" s="1010"/>
      <c r="Z70" s="1458" t="str">
        <f t="shared" si="9"/>
        <v>-</v>
      </c>
      <c r="AA70" s="1009"/>
      <c r="AB70" s="1010"/>
      <c r="AC70" s="1010"/>
      <c r="AD70" s="1458" t="str">
        <f t="shared" si="10"/>
        <v>-</v>
      </c>
      <c r="AE70" s="1186">
        <f t="shared" si="102"/>
        <v>0</v>
      </c>
      <c r="AF70" s="1187">
        <f t="shared" si="103"/>
        <v>0</v>
      </c>
      <c r="AG70" s="1187">
        <f t="shared" si="104"/>
        <v>0</v>
      </c>
      <c r="AH70" s="1860" t="str">
        <f t="shared" si="14"/>
        <v>-</v>
      </c>
      <c r="AI70" s="1009"/>
      <c r="AJ70" s="1010"/>
      <c r="AK70" s="1010"/>
      <c r="AL70" s="1458" t="str">
        <f t="shared" si="15"/>
        <v>-</v>
      </c>
      <c r="AM70" s="1009"/>
      <c r="AN70" s="1010"/>
      <c r="AO70" s="1010"/>
      <c r="AP70" s="1458" t="str">
        <f t="shared" si="16"/>
        <v>-</v>
      </c>
      <c r="AQ70" s="1009"/>
      <c r="AR70" s="1010"/>
      <c r="AS70" s="1010"/>
      <c r="AT70" s="1458" t="str">
        <f t="shared" si="17"/>
        <v>-</v>
      </c>
      <c r="AU70" s="509"/>
      <c r="AV70" s="509"/>
      <c r="AW70" s="509"/>
      <c r="AX70" s="509"/>
      <c r="AY70" s="509"/>
    </row>
    <row r="71" spans="1:51">
      <c r="A71" s="552">
        <f t="shared" si="18"/>
        <v>64</v>
      </c>
      <c r="B71" s="1020">
        <v>7</v>
      </c>
      <c r="C71" s="357" t="s">
        <v>1126</v>
      </c>
      <c r="D71" s="981" t="s">
        <v>1128</v>
      </c>
      <c r="E71" s="982" t="s">
        <v>770</v>
      </c>
      <c r="F71" s="983" t="s">
        <v>1367</v>
      </c>
      <c r="G71" s="1186">
        <f t="shared" si="96"/>
        <v>0</v>
      </c>
      <c r="H71" s="1187">
        <f t="shared" si="97"/>
        <v>130650</v>
      </c>
      <c r="I71" s="1187">
        <f t="shared" si="98"/>
        <v>130650</v>
      </c>
      <c r="J71" s="1860">
        <f t="shared" si="2"/>
        <v>1</v>
      </c>
      <c r="K71" s="1186">
        <f t="shared" si="99"/>
        <v>0</v>
      </c>
      <c r="L71" s="1187">
        <f t="shared" si="100"/>
        <v>130650</v>
      </c>
      <c r="M71" s="1187">
        <f t="shared" si="101"/>
        <v>130650</v>
      </c>
      <c r="N71" s="1860">
        <f t="shared" si="6"/>
        <v>1</v>
      </c>
      <c r="O71" s="1009"/>
      <c r="P71" s="1010">
        <v>130650</v>
      </c>
      <c r="Q71" s="1010">
        <v>130650</v>
      </c>
      <c r="R71" s="1458">
        <f t="shared" si="7"/>
        <v>1</v>
      </c>
      <c r="S71" s="1009"/>
      <c r="T71" s="1010"/>
      <c r="U71" s="1010"/>
      <c r="V71" s="1458" t="str">
        <f t="shared" si="8"/>
        <v>-</v>
      </c>
      <c r="W71" s="1009"/>
      <c r="X71" s="1010"/>
      <c r="Y71" s="1010"/>
      <c r="Z71" s="1458" t="str">
        <f t="shared" si="9"/>
        <v>-</v>
      </c>
      <c r="AA71" s="1009"/>
      <c r="AB71" s="1010"/>
      <c r="AC71" s="1010"/>
      <c r="AD71" s="1458" t="str">
        <f t="shared" si="10"/>
        <v>-</v>
      </c>
      <c r="AE71" s="1186">
        <f t="shared" si="102"/>
        <v>0</v>
      </c>
      <c r="AF71" s="1187">
        <f t="shared" si="103"/>
        <v>0</v>
      </c>
      <c r="AG71" s="1187">
        <f t="shared" si="104"/>
        <v>0</v>
      </c>
      <c r="AH71" s="1860" t="str">
        <f t="shared" si="14"/>
        <v>-</v>
      </c>
      <c r="AI71" s="1009"/>
      <c r="AJ71" s="1010"/>
      <c r="AK71" s="1010"/>
      <c r="AL71" s="1458" t="str">
        <f t="shared" si="15"/>
        <v>-</v>
      </c>
      <c r="AM71" s="1009"/>
      <c r="AN71" s="1010"/>
      <c r="AO71" s="1010"/>
      <c r="AP71" s="1458" t="str">
        <f t="shared" si="16"/>
        <v>-</v>
      </c>
      <c r="AQ71" s="1009"/>
      <c r="AR71" s="1010"/>
      <c r="AS71" s="1010"/>
      <c r="AT71" s="1458" t="str">
        <f t="shared" si="17"/>
        <v>-</v>
      </c>
      <c r="AU71" s="509"/>
      <c r="AV71" s="509"/>
      <c r="AW71" s="509"/>
      <c r="AX71" s="509"/>
      <c r="AY71" s="509"/>
    </row>
    <row r="72" spans="1:51">
      <c r="A72" s="552">
        <f t="shared" si="18"/>
        <v>65</v>
      </c>
      <c r="B72" s="1020">
        <v>8</v>
      </c>
      <c r="C72" s="357" t="s">
        <v>1126</v>
      </c>
      <c r="D72" s="981" t="s">
        <v>1128</v>
      </c>
      <c r="E72" s="982" t="s">
        <v>770</v>
      </c>
      <c r="F72" s="983" t="s">
        <v>1127</v>
      </c>
      <c r="G72" s="1186">
        <f t="shared" si="96"/>
        <v>0</v>
      </c>
      <c r="H72" s="1187">
        <f t="shared" si="97"/>
        <v>0</v>
      </c>
      <c r="I72" s="1187">
        <f t="shared" si="98"/>
        <v>0</v>
      </c>
      <c r="J72" s="1860" t="str">
        <f t="shared" si="2"/>
        <v>-</v>
      </c>
      <c r="K72" s="1186">
        <f t="shared" si="99"/>
        <v>0</v>
      </c>
      <c r="L72" s="1187">
        <f t="shared" si="100"/>
        <v>0</v>
      </c>
      <c r="M72" s="1187">
        <f t="shared" si="101"/>
        <v>0</v>
      </c>
      <c r="N72" s="1860" t="str">
        <f t="shared" si="6"/>
        <v>-</v>
      </c>
      <c r="O72" s="1009"/>
      <c r="P72" s="1010"/>
      <c r="Q72" s="1010"/>
      <c r="R72" s="1458" t="str">
        <f t="shared" si="7"/>
        <v>-</v>
      </c>
      <c r="S72" s="1009"/>
      <c r="T72" s="1010"/>
      <c r="U72" s="1010"/>
      <c r="V72" s="1458" t="str">
        <f t="shared" si="8"/>
        <v>-</v>
      </c>
      <c r="W72" s="1009"/>
      <c r="X72" s="1010"/>
      <c r="Y72" s="1010"/>
      <c r="Z72" s="1458" t="str">
        <f t="shared" si="9"/>
        <v>-</v>
      </c>
      <c r="AA72" s="1009"/>
      <c r="AB72" s="1010"/>
      <c r="AC72" s="1010"/>
      <c r="AD72" s="1458" t="str">
        <f t="shared" si="10"/>
        <v>-</v>
      </c>
      <c r="AE72" s="1186">
        <f t="shared" si="102"/>
        <v>0</v>
      </c>
      <c r="AF72" s="1187">
        <f t="shared" si="103"/>
        <v>0</v>
      </c>
      <c r="AG72" s="1187">
        <f t="shared" si="104"/>
        <v>0</v>
      </c>
      <c r="AH72" s="1860" t="str">
        <f t="shared" si="14"/>
        <v>-</v>
      </c>
      <c r="AI72" s="1009"/>
      <c r="AJ72" s="1010"/>
      <c r="AK72" s="1010"/>
      <c r="AL72" s="1458" t="str">
        <f t="shared" si="15"/>
        <v>-</v>
      </c>
      <c r="AM72" s="1009"/>
      <c r="AN72" s="1010"/>
      <c r="AO72" s="1010"/>
      <c r="AP72" s="1458" t="str">
        <f t="shared" si="16"/>
        <v>-</v>
      </c>
      <c r="AQ72" s="1009"/>
      <c r="AR72" s="1010"/>
      <c r="AS72" s="1010"/>
      <c r="AT72" s="1458" t="str">
        <f t="shared" si="17"/>
        <v>-</v>
      </c>
      <c r="AU72" s="509"/>
      <c r="AV72" s="509"/>
      <c r="AW72" s="509"/>
      <c r="AX72" s="509"/>
      <c r="AY72" s="509"/>
    </row>
    <row r="73" spans="1:51">
      <c r="A73" s="552">
        <f t="shared" si="18"/>
        <v>66</v>
      </c>
      <c r="B73" s="1020">
        <v>7</v>
      </c>
      <c r="C73" s="357" t="s">
        <v>1126</v>
      </c>
      <c r="D73" s="981" t="s">
        <v>2808</v>
      </c>
      <c r="E73" s="982"/>
      <c r="F73" s="983" t="s">
        <v>2809</v>
      </c>
      <c r="G73" s="1186">
        <f t="shared" si="96"/>
        <v>0</v>
      </c>
      <c r="H73" s="1187">
        <f t="shared" si="97"/>
        <v>0</v>
      </c>
      <c r="I73" s="1187">
        <f t="shared" si="98"/>
        <v>0</v>
      </c>
      <c r="J73" s="1860" t="str">
        <f t="shared" si="2"/>
        <v>-</v>
      </c>
      <c r="K73" s="1186">
        <f t="shared" si="99"/>
        <v>0</v>
      </c>
      <c r="L73" s="1187">
        <f t="shared" si="100"/>
        <v>0</v>
      </c>
      <c r="M73" s="1187">
        <f t="shared" si="101"/>
        <v>0</v>
      </c>
      <c r="N73" s="1860" t="str">
        <f t="shared" si="6"/>
        <v>-</v>
      </c>
      <c r="O73" s="1009"/>
      <c r="P73" s="1010"/>
      <c r="Q73" s="1010"/>
      <c r="R73" s="1458" t="str">
        <f t="shared" si="7"/>
        <v>-</v>
      </c>
      <c r="S73" s="1009"/>
      <c r="T73" s="1010"/>
      <c r="U73" s="1010"/>
      <c r="V73" s="1458" t="str">
        <f t="shared" si="8"/>
        <v>-</v>
      </c>
      <c r="W73" s="1009"/>
      <c r="X73" s="1010"/>
      <c r="Y73" s="1010"/>
      <c r="Z73" s="1458" t="str">
        <f t="shared" si="9"/>
        <v>-</v>
      </c>
      <c r="AA73" s="1009"/>
      <c r="AB73" s="1010"/>
      <c r="AC73" s="1010"/>
      <c r="AD73" s="1458" t="str">
        <f t="shared" si="10"/>
        <v>-</v>
      </c>
      <c r="AE73" s="1186">
        <f t="shared" si="102"/>
        <v>0</v>
      </c>
      <c r="AF73" s="1187">
        <f t="shared" si="103"/>
        <v>0</v>
      </c>
      <c r="AG73" s="1187">
        <f t="shared" si="104"/>
        <v>0</v>
      </c>
      <c r="AH73" s="1860" t="str">
        <f t="shared" si="14"/>
        <v>-</v>
      </c>
      <c r="AI73" s="1009"/>
      <c r="AJ73" s="1010"/>
      <c r="AK73" s="1010"/>
      <c r="AL73" s="1458" t="str">
        <f t="shared" si="15"/>
        <v>-</v>
      </c>
      <c r="AM73" s="1009"/>
      <c r="AN73" s="1010"/>
      <c r="AO73" s="1010"/>
      <c r="AP73" s="1458" t="str">
        <f t="shared" si="16"/>
        <v>-</v>
      </c>
      <c r="AQ73" s="1009"/>
      <c r="AR73" s="1010"/>
      <c r="AS73" s="1010"/>
      <c r="AT73" s="1458" t="str">
        <f t="shared" si="17"/>
        <v>-</v>
      </c>
      <c r="AU73" s="509"/>
      <c r="AV73" s="509"/>
      <c r="AW73" s="509"/>
      <c r="AX73" s="509"/>
      <c r="AY73" s="509"/>
    </row>
    <row r="74" spans="1:51">
      <c r="A74" s="552">
        <f t="shared" ref="A74" si="124">+A73+1</f>
        <v>67</v>
      </c>
      <c r="B74" s="1020">
        <v>6</v>
      </c>
      <c r="C74" s="357" t="s">
        <v>1148</v>
      </c>
      <c r="D74" s="981" t="s">
        <v>1151</v>
      </c>
      <c r="E74" s="982" t="s">
        <v>1150</v>
      </c>
      <c r="F74" s="983" t="s">
        <v>1151</v>
      </c>
      <c r="G74" s="1186">
        <f t="shared" ref="G74" si="125">+K74+AE74</f>
        <v>0</v>
      </c>
      <c r="H74" s="1187">
        <f t="shared" ref="H74" si="126">+L74+AF74</f>
        <v>0</v>
      </c>
      <c r="I74" s="1187">
        <f t="shared" ref="I74" si="127">+M74+AG74</f>
        <v>0</v>
      </c>
      <c r="J74" s="1860" t="str">
        <f t="shared" ref="J74" si="128">IF(ISERROR(I74/H74),"-",I74/H74)</f>
        <v>-</v>
      </c>
      <c r="K74" s="1186">
        <f t="shared" ref="K74" si="129">+O74+S74+W74+AA74</f>
        <v>0</v>
      </c>
      <c r="L74" s="1187">
        <f t="shared" ref="L74" si="130">+P74+T74+X74+AB74</f>
        <v>0</v>
      </c>
      <c r="M74" s="1187">
        <f t="shared" ref="M74" si="131">+Q74+U74+Y74+AC74</f>
        <v>0</v>
      </c>
      <c r="N74" s="1860" t="str">
        <f t="shared" ref="N74" si="132">IF(ISERROR(M74/L74),"-",M74/L74)</f>
        <v>-</v>
      </c>
      <c r="O74" s="1009"/>
      <c r="P74" s="1010"/>
      <c r="Q74" s="1010"/>
      <c r="R74" s="1458" t="str">
        <f t="shared" ref="R74" si="133">IF(ISERROR(Q74/P74),"-",Q74/P74)</f>
        <v>-</v>
      </c>
      <c r="S74" s="1009"/>
      <c r="T74" s="1010"/>
      <c r="U74" s="1010"/>
      <c r="V74" s="1458" t="str">
        <f t="shared" ref="V74" si="134">IF(ISERROR(U74/T74),"-",U74/T74)</f>
        <v>-</v>
      </c>
      <c r="W74" s="1009"/>
      <c r="X74" s="1010"/>
      <c r="Y74" s="1010"/>
      <c r="Z74" s="1458" t="str">
        <f t="shared" ref="Z74" si="135">IF(ISERROR(Y74/X74),"-",Y74/X74)</f>
        <v>-</v>
      </c>
      <c r="AA74" s="1009"/>
      <c r="AB74" s="1010"/>
      <c r="AC74" s="1010"/>
      <c r="AD74" s="1458" t="str">
        <f t="shared" ref="AD74" si="136">IF(ISERROR(AC74/AB74),"-",AC74/AB74)</f>
        <v>-</v>
      </c>
      <c r="AE74" s="1186">
        <f t="shared" ref="AE74" si="137">+AI74+AM74+AQ74</f>
        <v>0</v>
      </c>
      <c r="AF74" s="1187">
        <f t="shared" ref="AF74" si="138">+AJ74+AN74+AR74</f>
        <v>0</v>
      </c>
      <c r="AG74" s="1187">
        <f t="shared" ref="AG74" si="139">+AK74+AO74+AS74</f>
        <v>0</v>
      </c>
      <c r="AH74" s="1860" t="str">
        <f t="shared" ref="AH74" si="140">IF(ISERROR(AG74/AF74),"-",AG74/AF74)</f>
        <v>-</v>
      </c>
      <c r="AI74" s="1009"/>
      <c r="AJ74" s="1010"/>
      <c r="AK74" s="1010"/>
      <c r="AL74" s="1458" t="str">
        <f t="shared" ref="AL74" si="141">IF(ISERROR(AK74/AJ74),"-",AK74/AJ74)</f>
        <v>-</v>
      </c>
      <c r="AM74" s="1009"/>
      <c r="AN74" s="1010"/>
      <c r="AO74" s="1010"/>
      <c r="AP74" s="1458" t="str">
        <f t="shared" ref="AP74" si="142">IF(ISERROR(AO74/AN74),"-",AO74/AN74)</f>
        <v>-</v>
      </c>
      <c r="AQ74" s="1009"/>
      <c r="AR74" s="1010"/>
      <c r="AS74" s="1010"/>
      <c r="AT74" s="1458" t="str">
        <f t="shared" ref="AT74" si="143">IF(ISERROR(AS74/AR74),"-",AS74/AR74)</f>
        <v>-</v>
      </c>
      <c r="AU74" s="509"/>
      <c r="AV74" s="509"/>
      <c r="AW74" s="509"/>
      <c r="AX74" s="509"/>
      <c r="AY74" s="509"/>
    </row>
    <row r="75" spans="1:51">
      <c r="A75" s="552">
        <f>+A73+1</f>
        <v>67</v>
      </c>
      <c r="B75" s="1020">
        <v>6</v>
      </c>
      <c r="C75" s="357" t="s">
        <v>722</v>
      </c>
      <c r="D75" s="981" t="s">
        <v>723</v>
      </c>
      <c r="E75" s="982" t="s">
        <v>1071</v>
      </c>
      <c r="F75" s="983" t="s">
        <v>1120</v>
      </c>
      <c r="G75" s="1186">
        <f t="shared" si="96"/>
        <v>0</v>
      </c>
      <c r="H75" s="1187">
        <f t="shared" si="97"/>
        <v>0</v>
      </c>
      <c r="I75" s="1187">
        <f t="shared" si="98"/>
        <v>0</v>
      </c>
      <c r="J75" s="1860" t="str">
        <f t="shared" si="2"/>
        <v>-</v>
      </c>
      <c r="K75" s="1186">
        <f t="shared" si="99"/>
        <v>0</v>
      </c>
      <c r="L75" s="1187">
        <f t="shared" si="100"/>
        <v>0</v>
      </c>
      <c r="M75" s="1187">
        <f t="shared" si="101"/>
        <v>0</v>
      </c>
      <c r="N75" s="1860" t="str">
        <f t="shared" si="6"/>
        <v>-</v>
      </c>
      <c r="O75" s="1009"/>
      <c r="P75" s="1010"/>
      <c r="Q75" s="1010"/>
      <c r="R75" s="1458" t="str">
        <f t="shared" si="7"/>
        <v>-</v>
      </c>
      <c r="S75" s="1009"/>
      <c r="T75" s="1010"/>
      <c r="U75" s="1010"/>
      <c r="V75" s="1458" t="str">
        <f t="shared" si="8"/>
        <v>-</v>
      </c>
      <c r="W75" s="1009"/>
      <c r="X75" s="1010"/>
      <c r="Y75" s="1010"/>
      <c r="Z75" s="1458" t="str">
        <f t="shared" si="9"/>
        <v>-</v>
      </c>
      <c r="AA75" s="1009"/>
      <c r="AB75" s="1010"/>
      <c r="AC75" s="1010"/>
      <c r="AD75" s="1458" t="str">
        <f t="shared" si="10"/>
        <v>-</v>
      </c>
      <c r="AE75" s="1186">
        <f t="shared" si="102"/>
        <v>0</v>
      </c>
      <c r="AF75" s="1187">
        <f t="shared" si="103"/>
        <v>0</v>
      </c>
      <c r="AG75" s="1187">
        <f t="shared" si="104"/>
        <v>0</v>
      </c>
      <c r="AH75" s="1860" t="str">
        <f t="shared" si="14"/>
        <v>-</v>
      </c>
      <c r="AI75" s="1009"/>
      <c r="AJ75" s="1010"/>
      <c r="AK75" s="1010"/>
      <c r="AL75" s="1458" t="str">
        <f t="shared" si="15"/>
        <v>-</v>
      </c>
      <c r="AM75" s="1009"/>
      <c r="AN75" s="1010"/>
      <c r="AO75" s="1010"/>
      <c r="AP75" s="1458" t="str">
        <f t="shared" si="16"/>
        <v>-</v>
      </c>
      <c r="AQ75" s="1009"/>
      <c r="AR75" s="1010"/>
      <c r="AS75" s="1010"/>
      <c r="AT75" s="1458" t="str">
        <f t="shared" si="17"/>
        <v>-</v>
      </c>
      <c r="AU75" s="509"/>
      <c r="AV75" s="509"/>
      <c r="AW75" s="509"/>
      <c r="AX75" s="509"/>
      <c r="AY75" s="509"/>
    </row>
    <row r="76" spans="1:51">
      <c r="A76" s="552">
        <f t="shared" ref="A76:A80" si="144">+A75+1</f>
        <v>68</v>
      </c>
      <c r="B76" s="1020">
        <v>6</v>
      </c>
      <c r="C76" s="357" t="s">
        <v>728</v>
      </c>
      <c r="D76" s="981" t="s">
        <v>729</v>
      </c>
      <c r="E76" s="982" t="s">
        <v>674</v>
      </c>
      <c r="F76" s="983" t="s">
        <v>1122</v>
      </c>
      <c r="G76" s="1186">
        <f t="shared" si="96"/>
        <v>0</v>
      </c>
      <c r="H76" s="1187">
        <f t="shared" si="97"/>
        <v>150</v>
      </c>
      <c r="I76" s="1187">
        <f t="shared" si="98"/>
        <v>150</v>
      </c>
      <c r="J76" s="1860">
        <f t="shared" si="2"/>
        <v>1</v>
      </c>
      <c r="K76" s="1186">
        <f t="shared" si="99"/>
        <v>0</v>
      </c>
      <c r="L76" s="1187">
        <f t="shared" si="100"/>
        <v>150</v>
      </c>
      <c r="M76" s="1187">
        <f t="shared" si="101"/>
        <v>150</v>
      </c>
      <c r="N76" s="1860">
        <f t="shared" si="6"/>
        <v>1</v>
      </c>
      <c r="O76" s="1009"/>
      <c r="P76" s="1010">
        <f>13101-12951</f>
        <v>150</v>
      </c>
      <c r="Q76" s="1010">
        <f>13101-12951</f>
        <v>150</v>
      </c>
      <c r="R76" s="1458">
        <f t="shared" si="7"/>
        <v>1</v>
      </c>
      <c r="S76" s="1009"/>
      <c r="T76" s="1010"/>
      <c r="U76" s="1010"/>
      <c r="V76" s="1458" t="str">
        <f t="shared" si="8"/>
        <v>-</v>
      </c>
      <c r="W76" s="1009"/>
      <c r="X76" s="1010"/>
      <c r="Y76" s="1010"/>
      <c r="Z76" s="1458" t="str">
        <f t="shared" si="9"/>
        <v>-</v>
      </c>
      <c r="AA76" s="1009"/>
      <c r="AB76" s="1010"/>
      <c r="AC76" s="1010"/>
      <c r="AD76" s="1458" t="str">
        <f t="shared" si="10"/>
        <v>-</v>
      </c>
      <c r="AE76" s="1186">
        <f t="shared" si="102"/>
        <v>0</v>
      </c>
      <c r="AF76" s="1187">
        <f t="shared" si="103"/>
        <v>0</v>
      </c>
      <c r="AG76" s="1187">
        <f t="shared" si="104"/>
        <v>0</v>
      </c>
      <c r="AH76" s="1860" t="str">
        <f t="shared" si="14"/>
        <v>-</v>
      </c>
      <c r="AI76" s="1009"/>
      <c r="AJ76" s="1010"/>
      <c r="AK76" s="1010"/>
      <c r="AL76" s="1458" t="str">
        <f t="shared" si="15"/>
        <v>-</v>
      </c>
      <c r="AM76" s="1009"/>
      <c r="AN76" s="1010"/>
      <c r="AO76" s="1010"/>
      <c r="AP76" s="1458" t="str">
        <f t="shared" si="16"/>
        <v>-</v>
      </c>
      <c r="AQ76" s="1009"/>
      <c r="AR76" s="1010"/>
      <c r="AS76" s="1010"/>
      <c r="AT76" s="1458" t="str">
        <f t="shared" si="17"/>
        <v>-</v>
      </c>
      <c r="AU76" s="509"/>
      <c r="AV76" s="509"/>
      <c r="AW76" s="509"/>
      <c r="AX76" s="509"/>
      <c r="AY76" s="509"/>
    </row>
    <row r="77" spans="1:51">
      <c r="A77" s="552">
        <f t="shared" si="144"/>
        <v>69</v>
      </c>
      <c r="B77" s="288">
        <v>6</v>
      </c>
      <c r="C77" s="360" t="s">
        <v>728</v>
      </c>
      <c r="D77" s="973" t="s">
        <v>735</v>
      </c>
      <c r="E77" s="976" t="s">
        <v>677</v>
      </c>
      <c r="F77" s="978" t="s">
        <v>648</v>
      </c>
      <c r="G77" s="1186">
        <f t="shared" si="96"/>
        <v>0</v>
      </c>
      <c r="H77" s="1187">
        <f t="shared" si="97"/>
        <v>0</v>
      </c>
      <c r="I77" s="1187">
        <f t="shared" si="98"/>
        <v>0</v>
      </c>
      <c r="J77" s="1860" t="str">
        <f t="shared" si="2"/>
        <v>-</v>
      </c>
      <c r="K77" s="1186">
        <f t="shared" si="99"/>
        <v>0</v>
      </c>
      <c r="L77" s="1187">
        <f t="shared" si="100"/>
        <v>0</v>
      </c>
      <c r="M77" s="1187">
        <f t="shared" si="101"/>
        <v>0</v>
      </c>
      <c r="N77" s="1860" t="str">
        <f t="shared" si="6"/>
        <v>-</v>
      </c>
      <c r="O77" s="1009"/>
      <c r="P77" s="1010"/>
      <c r="Q77" s="1010"/>
      <c r="R77" s="1458" t="str">
        <f t="shared" si="7"/>
        <v>-</v>
      </c>
      <c r="S77" s="1009"/>
      <c r="T77" s="1010"/>
      <c r="U77" s="1010"/>
      <c r="V77" s="1458" t="str">
        <f t="shared" si="8"/>
        <v>-</v>
      </c>
      <c r="W77" s="1009"/>
      <c r="X77" s="1010"/>
      <c r="Y77" s="1010"/>
      <c r="Z77" s="1458" t="str">
        <f t="shared" si="9"/>
        <v>-</v>
      </c>
      <c r="AA77" s="1009"/>
      <c r="AB77" s="1010"/>
      <c r="AC77" s="1010"/>
      <c r="AD77" s="1458" t="str">
        <f t="shared" si="10"/>
        <v>-</v>
      </c>
      <c r="AE77" s="1186">
        <f t="shared" si="102"/>
        <v>0</v>
      </c>
      <c r="AF77" s="1187">
        <f t="shared" si="103"/>
        <v>0</v>
      </c>
      <c r="AG77" s="1187">
        <f t="shared" si="104"/>
        <v>0</v>
      </c>
      <c r="AH77" s="1860" t="str">
        <f t="shared" si="14"/>
        <v>-</v>
      </c>
      <c r="AI77" s="1009"/>
      <c r="AJ77" s="1010"/>
      <c r="AK77" s="1010"/>
      <c r="AL77" s="1458" t="str">
        <f t="shared" si="15"/>
        <v>-</v>
      </c>
      <c r="AM77" s="1009"/>
      <c r="AN77" s="1010"/>
      <c r="AO77" s="1010"/>
      <c r="AP77" s="1458" t="str">
        <f t="shared" si="16"/>
        <v>-</v>
      </c>
      <c r="AQ77" s="1009"/>
      <c r="AR77" s="1010"/>
      <c r="AS77" s="1010"/>
      <c r="AT77" s="1458" t="str">
        <f t="shared" si="17"/>
        <v>-</v>
      </c>
      <c r="AU77" s="509"/>
      <c r="AV77" s="509"/>
      <c r="AW77" s="509"/>
      <c r="AX77" s="509"/>
      <c r="AY77" s="509"/>
    </row>
    <row r="78" spans="1:51" s="516" customFormat="1" ht="24">
      <c r="A78" s="552">
        <f t="shared" si="144"/>
        <v>70</v>
      </c>
      <c r="B78" s="1019">
        <v>7</v>
      </c>
      <c r="C78" s="425" t="s">
        <v>2798</v>
      </c>
      <c r="D78" s="979" t="s">
        <v>2800</v>
      </c>
      <c r="E78" s="1890"/>
      <c r="F78" s="979" t="s">
        <v>2799</v>
      </c>
      <c r="G78" s="1184">
        <f t="shared" ref="G78" si="145">+K78+AE78</f>
        <v>0</v>
      </c>
      <c r="H78" s="1185">
        <f t="shared" ref="H78" si="146">+L78+AF78</f>
        <v>114709</v>
      </c>
      <c r="I78" s="1185">
        <f t="shared" ref="I78" si="147">+M78+AG78</f>
        <v>114709</v>
      </c>
      <c r="J78" s="1860">
        <f t="shared" ref="J78" si="148">IF(ISERROR(I78/H78),"-",I78/H78)</f>
        <v>1</v>
      </c>
      <c r="K78" s="1184">
        <f t="shared" ref="K78" si="149">+O78+S78+W78+AA78</f>
        <v>0</v>
      </c>
      <c r="L78" s="1185">
        <f t="shared" ref="L78" si="150">+P78+T78+X78+AB78</f>
        <v>114709</v>
      </c>
      <c r="M78" s="1185">
        <f t="shared" ref="M78" si="151">+Q78+U78+Y78+AC78</f>
        <v>114709</v>
      </c>
      <c r="N78" s="1860">
        <f t="shared" ref="N78" si="152">IF(ISERROR(M78/L78),"-",M78/L78)</f>
        <v>1</v>
      </c>
      <c r="O78" s="1009"/>
      <c r="P78" s="1010">
        <f>126519-11810</f>
        <v>114709</v>
      </c>
      <c r="Q78" s="1010">
        <f>126519-11810</f>
        <v>114709</v>
      </c>
      <c r="R78" s="1458">
        <f t="shared" ref="R78" si="153">IF(ISERROR(Q78/P78),"-",Q78/P78)</f>
        <v>1</v>
      </c>
      <c r="S78" s="1009"/>
      <c r="T78" s="1010"/>
      <c r="U78" s="1010"/>
      <c r="V78" s="1458" t="str">
        <f t="shared" ref="V78" si="154">IF(ISERROR(U78/T78),"-",U78/T78)</f>
        <v>-</v>
      </c>
      <c r="W78" s="1009"/>
      <c r="X78" s="1010"/>
      <c r="Y78" s="1010"/>
      <c r="Z78" s="1458" t="str">
        <f t="shared" ref="Z78" si="155">IF(ISERROR(Y78/X78),"-",Y78/X78)</f>
        <v>-</v>
      </c>
      <c r="AA78" s="1009"/>
      <c r="AB78" s="1010"/>
      <c r="AC78" s="1010"/>
      <c r="AD78" s="1458" t="str">
        <f t="shared" ref="AD78" si="156">IF(ISERROR(AC78/AB78),"-",AC78/AB78)</f>
        <v>-</v>
      </c>
      <c r="AE78" s="1184">
        <f t="shared" ref="AE78" si="157">+AI78+AM78+AQ78</f>
        <v>0</v>
      </c>
      <c r="AF78" s="1185">
        <f t="shared" ref="AF78" si="158">+AJ78+AN78+AR78</f>
        <v>0</v>
      </c>
      <c r="AG78" s="1185">
        <f t="shared" ref="AG78" si="159">+AK78+AO78+AS78</f>
        <v>0</v>
      </c>
      <c r="AH78" s="1860" t="str">
        <f t="shared" ref="AH78" si="160">IF(ISERROR(AG78/AF78),"-",AG78/AF78)</f>
        <v>-</v>
      </c>
      <c r="AI78" s="1009"/>
      <c r="AJ78" s="1010"/>
      <c r="AK78" s="1010"/>
      <c r="AL78" s="1458" t="str">
        <f t="shared" ref="AL78" si="161">IF(ISERROR(AK78/AJ78),"-",AK78/AJ78)</f>
        <v>-</v>
      </c>
      <c r="AM78" s="1009"/>
      <c r="AN78" s="1010"/>
      <c r="AO78" s="1010"/>
      <c r="AP78" s="1458" t="str">
        <f t="shared" ref="AP78" si="162">IF(ISERROR(AO78/AN78),"-",AO78/AN78)</f>
        <v>-</v>
      </c>
      <c r="AQ78" s="1009"/>
      <c r="AR78" s="1010"/>
      <c r="AS78" s="1010"/>
      <c r="AT78" s="1458" t="str">
        <f t="shared" ref="AT78" si="163">IF(ISERROR(AS78/AR78),"-",AS78/AR78)</f>
        <v>-</v>
      </c>
      <c r="AU78" s="509"/>
      <c r="AV78" s="509"/>
      <c r="AW78" s="509"/>
      <c r="AX78" s="509"/>
      <c r="AY78" s="509"/>
    </row>
    <row r="79" spans="1:51" s="516" customFormat="1" ht="24">
      <c r="A79" s="552">
        <f t="shared" si="144"/>
        <v>71</v>
      </c>
      <c r="B79" s="1019">
        <v>7</v>
      </c>
      <c r="C79" s="425" t="s">
        <v>2798</v>
      </c>
      <c r="D79" s="979" t="s">
        <v>2802</v>
      </c>
      <c r="E79" s="1890"/>
      <c r="F79" s="979" t="s">
        <v>2801</v>
      </c>
      <c r="G79" s="1184">
        <f t="shared" si="96"/>
        <v>0</v>
      </c>
      <c r="H79" s="1185">
        <f t="shared" si="97"/>
        <v>28285</v>
      </c>
      <c r="I79" s="1185">
        <f t="shared" si="98"/>
        <v>28285</v>
      </c>
      <c r="J79" s="1860">
        <f t="shared" si="2"/>
        <v>1</v>
      </c>
      <c r="K79" s="1184">
        <f t="shared" si="99"/>
        <v>0</v>
      </c>
      <c r="L79" s="1185">
        <f t="shared" si="100"/>
        <v>11810</v>
      </c>
      <c r="M79" s="1185">
        <f t="shared" si="101"/>
        <v>11810</v>
      </c>
      <c r="N79" s="1860">
        <f t="shared" si="6"/>
        <v>1</v>
      </c>
      <c r="O79" s="1009"/>
      <c r="P79" s="1010">
        <v>11810</v>
      </c>
      <c r="Q79" s="1010">
        <v>11810</v>
      </c>
      <c r="R79" s="1458">
        <f t="shared" si="7"/>
        <v>1</v>
      </c>
      <c r="S79" s="1009"/>
      <c r="T79" s="1010"/>
      <c r="U79" s="1010"/>
      <c r="V79" s="1458" t="str">
        <f t="shared" si="8"/>
        <v>-</v>
      </c>
      <c r="W79" s="1009"/>
      <c r="X79" s="1010"/>
      <c r="Y79" s="1010"/>
      <c r="Z79" s="1458" t="str">
        <f t="shared" si="9"/>
        <v>-</v>
      </c>
      <c r="AA79" s="1009"/>
      <c r="AB79" s="1010"/>
      <c r="AC79" s="1010"/>
      <c r="AD79" s="1458" t="str">
        <f t="shared" si="10"/>
        <v>-</v>
      </c>
      <c r="AE79" s="1184">
        <f t="shared" si="102"/>
        <v>0</v>
      </c>
      <c r="AF79" s="1185">
        <f t="shared" si="103"/>
        <v>16475</v>
      </c>
      <c r="AG79" s="1185">
        <f t="shared" si="104"/>
        <v>16475</v>
      </c>
      <c r="AH79" s="1860">
        <f t="shared" si="14"/>
        <v>1</v>
      </c>
      <c r="AI79" s="1009"/>
      <c r="AJ79" s="1010">
        <v>16475</v>
      </c>
      <c r="AK79" s="1010">
        <v>16475</v>
      </c>
      <c r="AL79" s="1458">
        <f t="shared" si="15"/>
        <v>1</v>
      </c>
      <c r="AM79" s="1009"/>
      <c r="AN79" s="1010"/>
      <c r="AO79" s="1010"/>
      <c r="AP79" s="1458" t="str">
        <f t="shared" si="16"/>
        <v>-</v>
      </c>
      <c r="AQ79" s="1009"/>
      <c r="AR79" s="1010"/>
      <c r="AS79" s="1010"/>
      <c r="AT79" s="1458" t="str">
        <f t="shared" si="17"/>
        <v>-</v>
      </c>
      <c r="AU79" s="509"/>
      <c r="AV79" s="509"/>
      <c r="AW79" s="509"/>
      <c r="AX79" s="509"/>
      <c r="AY79" s="509"/>
    </row>
    <row r="80" spans="1:51" ht="12.75" thickBot="1">
      <c r="A80" s="552">
        <f t="shared" si="144"/>
        <v>72</v>
      </c>
      <c r="B80" s="1020">
        <v>8</v>
      </c>
      <c r="C80" s="357" t="s">
        <v>716</v>
      </c>
      <c r="D80" s="981" t="s">
        <v>715</v>
      </c>
      <c r="E80" s="982" t="s">
        <v>670</v>
      </c>
      <c r="F80" s="983" t="s">
        <v>643</v>
      </c>
      <c r="G80" s="1863">
        <f t="shared" si="96"/>
        <v>0</v>
      </c>
      <c r="H80" s="1864">
        <f t="shared" si="97"/>
        <v>0</v>
      </c>
      <c r="I80" s="1864">
        <f t="shared" si="98"/>
        <v>0</v>
      </c>
      <c r="J80" s="1865" t="str">
        <f t="shared" si="2"/>
        <v>-</v>
      </c>
      <c r="K80" s="1186">
        <f t="shared" si="99"/>
        <v>0</v>
      </c>
      <c r="L80" s="1187">
        <f t="shared" si="100"/>
        <v>0</v>
      </c>
      <c r="M80" s="1187">
        <f t="shared" si="101"/>
        <v>0</v>
      </c>
      <c r="N80" s="1865" t="str">
        <f t="shared" si="6"/>
        <v>-</v>
      </c>
      <c r="O80" s="1009"/>
      <c r="P80" s="1010"/>
      <c r="Q80" s="1010"/>
      <c r="R80" s="1870" t="str">
        <f t="shared" si="7"/>
        <v>-</v>
      </c>
      <c r="S80" s="1009"/>
      <c r="T80" s="1010"/>
      <c r="U80" s="1010"/>
      <c r="V80" s="1870" t="str">
        <f t="shared" si="8"/>
        <v>-</v>
      </c>
      <c r="W80" s="1009"/>
      <c r="X80" s="1010"/>
      <c r="Y80" s="1010"/>
      <c r="Z80" s="1870" t="str">
        <f t="shared" si="9"/>
        <v>-</v>
      </c>
      <c r="AA80" s="1009"/>
      <c r="AB80" s="1010"/>
      <c r="AC80" s="1010"/>
      <c r="AD80" s="1870" t="str">
        <f t="shared" si="10"/>
        <v>-</v>
      </c>
      <c r="AE80" s="1186">
        <f t="shared" si="102"/>
        <v>0</v>
      </c>
      <c r="AF80" s="1187">
        <f t="shared" si="103"/>
        <v>0</v>
      </c>
      <c r="AG80" s="1187">
        <f t="shared" si="104"/>
        <v>0</v>
      </c>
      <c r="AH80" s="1865" t="str">
        <f t="shared" si="14"/>
        <v>-</v>
      </c>
      <c r="AI80" s="1009"/>
      <c r="AJ80" s="1010"/>
      <c r="AK80" s="1010"/>
      <c r="AL80" s="1870" t="str">
        <f t="shared" si="15"/>
        <v>-</v>
      </c>
      <c r="AM80" s="1009"/>
      <c r="AN80" s="1010"/>
      <c r="AO80" s="1010"/>
      <c r="AP80" s="1870" t="str">
        <f t="shared" si="16"/>
        <v>-</v>
      </c>
      <c r="AQ80" s="1009"/>
      <c r="AR80" s="1010"/>
      <c r="AS80" s="1010"/>
      <c r="AT80" s="1870" t="str">
        <f t="shared" si="17"/>
        <v>-</v>
      </c>
      <c r="AU80" s="509"/>
      <c r="AV80" s="509"/>
      <c r="AW80" s="509"/>
      <c r="AX80" s="509"/>
      <c r="AY80" s="509"/>
    </row>
    <row r="81" spans="1:51" s="507" customFormat="1" ht="12.75" thickBot="1">
      <c r="A81" s="548" t="s">
        <v>596</v>
      </c>
      <c r="B81" s="1204"/>
      <c r="C81" s="1327" t="s">
        <v>411</v>
      </c>
      <c r="D81" s="1328"/>
      <c r="E81" s="1328"/>
      <c r="F81" s="1329"/>
      <c r="G81" s="538">
        <f t="shared" ref="G81" si="164">SUM(G8:G80)</f>
        <v>1393376</v>
      </c>
      <c r="H81" s="539">
        <f t="shared" ref="H81:I81" si="165">SUM(H8:H80)</f>
        <v>3460946</v>
      </c>
      <c r="I81" s="539">
        <f t="shared" si="165"/>
        <v>3272760</v>
      </c>
      <c r="J81" s="1459">
        <f t="shared" si="2"/>
        <v>0.94562584911755343</v>
      </c>
      <c r="K81" s="538">
        <f t="shared" ref="J81:AR81" si="166">SUM(K8:K80)</f>
        <v>1306194</v>
      </c>
      <c r="L81" s="539">
        <f t="shared" ref="L81:M81" si="167">SUM(L8:L80)</f>
        <v>2113955</v>
      </c>
      <c r="M81" s="539">
        <f t="shared" si="167"/>
        <v>1934212</v>
      </c>
      <c r="N81" s="1459">
        <f t="shared" si="6"/>
        <v>0.91497311910613044</v>
      </c>
      <c r="O81" s="519">
        <f t="shared" si="166"/>
        <v>903979</v>
      </c>
      <c r="P81" s="368">
        <f t="shared" si="166"/>
        <v>1508798</v>
      </c>
      <c r="Q81" s="368">
        <f t="shared" ref="P81:Q81" si="168">SUM(Q8:Q80)</f>
        <v>1508798</v>
      </c>
      <c r="R81" s="1459">
        <f t="shared" si="7"/>
        <v>1</v>
      </c>
      <c r="S81" s="519">
        <f t="shared" si="166"/>
        <v>318710</v>
      </c>
      <c r="T81" s="368">
        <f t="shared" si="166"/>
        <v>485260</v>
      </c>
      <c r="U81" s="368">
        <f t="shared" ref="T81:V81" si="169">SUM(U8:U80)</f>
        <v>353603</v>
      </c>
      <c r="V81" s="1459">
        <f t="shared" si="8"/>
        <v>0.72868771380290975</v>
      </c>
      <c r="W81" s="519">
        <f t="shared" si="166"/>
        <v>81505</v>
      </c>
      <c r="X81" s="368">
        <f t="shared" si="166"/>
        <v>79515</v>
      </c>
      <c r="Y81" s="368">
        <f t="shared" ref="X81:Z81" si="170">SUM(Y8:Y80)</f>
        <v>68331</v>
      </c>
      <c r="Z81" s="1459">
        <f t="shared" si="9"/>
        <v>0.8593472929635918</v>
      </c>
      <c r="AA81" s="519">
        <f t="shared" si="166"/>
        <v>2000</v>
      </c>
      <c r="AB81" s="368">
        <f t="shared" si="166"/>
        <v>40382</v>
      </c>
      <c r="AC81" s="368">
        <f t="shared" ref="AB81:AD81" si="171">SUM(AC8:AC80)</f>
        <v>3480</v>
      </c>
      <c r="AD81" s="1459">
        <f t="shared" si="10"/>
        <v>8.6177009558714282E-2</v>
      </c>
      <c r="AE81" s="538">
        <f t="shared" si="166"/>
        <v>87182</v>
      </c>
      <c r="AF81" s="539">
        <f t="shared" ref="AF81:AG81" si="172">SUM(AF8:AF80)</f>
        <v>1346991</v>
      </c>
      <c r="AG81" s="539">
        <f t="shared" si="172"/>
        <v>1338548</v>
      </c>
      <c r="AH81" s="1459">
        <f t="shared" si="14"/>
        <v>0.99373195515040558</v>
      </c>
      <c r="AI81" s="519">
        <f t="shared" si="166"/>
        <v>71832</v>
      </c>
      <c r="AJ81" s="368">
        <f t="shared" si="166"/>
        <v>1331164</v>
      </c>
      <c r="AK81" s="368">
        <f t="shared" ref="AJ81:AL81" si="173">SUM(AK8:AK80)</f>
        <v>1331164</v>
      </c>
      <c r="AL81" s="1459">
        <f t="shared" si="15"/>
        <v>1</v>
      </c>
      <c r="AM81" s="519">
        <f t="shared" si="166"/>
        <v>15350</v>
      </c>
      <c r="AN81" s="368">
        <f t="shared" si="166"/>
        <v>6786</v>
      </c>
      <c r="AO81" s="368">
        <f t="shared" ref="AN81:AP81" si="174">SUM(AO8:AO80)</f>
        <v>5264</v>
      </c>
      <c r="AP81" s="1459">
        <f t="shared" si="16"/>
        <v>0.77571470674918952</v>
      </c>
      <c r="AQ81" s="519">
        <f t="shared" si="166"/>
        <v>0</v>
      </c>
      <c r="AR81" s="368">
        <f t="shared" si="166"/>
        <v>9041</v>
      </c>
      <c r="AS81" s="368">
        <f t="shared" ref="AR81:AT81" si="175">SUM(AS8:AS80)</f>
        <v>2120</v>
      </c>
      <c r="AT81" s="1459">
        <f t="shared" si="17"/>
        <v>0.23448733547173986</v>
      </c>
      <c r="AU81" s="509"/>
      <c r="AV81" s="509"/>
      <c r="AW81" s="509"/>
      <c r="AX81" s="509"/>
      <c r="AY81" s="509"/>
    </row>
    <row r="82" spans="1:51">
      <c r="A82" s="552">
        <f>A80+1</f>
        <v>73</v>
      </c>
      <c r="B82" s="1019">
        <v>9</v>
      </c>
      <c r="C82" s="425" t="s">
        <v>1117</v>
      </c>
      <c r="D82" s="979" t="s">
        <v>1116</v>
      </c>
      <c r="E82" s="974" t="s">
        <v>1118</v>
      </c>
      <c r="F82" s="1000" t="s">
        <v>1202</v>
      </c>
      <c r="G82" s="1180">
        <f t="shared" ref="G82:J88" si="176">+K82+AE82</f>
        <v>0</v>
      </c>
      <c r="H82" s="1181">
        <f t="shared" si="176"/>
        <v>0</v>
      </c>
      <c r="I82" s="1181">
        <f t="shared" si="176"/>
        <v>0</v>
      </c>
      <c r="J82" s="1860" t="str">
        <f t="shared" si="2"/>
        <v>-</v>
      </c>
      <c r="K82" s="1180">
        <f t="shared" ref="K82:N88" si="177">+O82+S82+W82+AA82</f>
        <v>0</v>
      </c>
      <c r="L82" s="1181">
        <f t="shared" si="177"/>
        <v>0</v>
      </c>
      <c r="M82" s="1181">
        <f t="shared" si="177"/>
        <v>0</v>
      </c>
      <c r="N82" s="1860" t="str">
        <f t="shared" si="6"/>
        <v>-</v>
      </c>
      <c r="O82" s="1009"/>
      <c r="P82" s="1010"/>
      <c r="Q82" s="1010"/>
      <c r="R82" s="1458" t="str">
        <f t="shared" si="7"/>
        <v>-</v>
      </c>
      <c r="S82" s="1009"/>
      <c r="T82" s="1010"/>
      <c r="U82" s="1010"/>
      <c r="V82" s="1458" t="str">
        <f t="shared" si="8"/>
        <v>-</v>
      </c>
      <c r="W82" s="1009"/>
      <c r="X82" s="1010"/>
      <c r="Y82" s="1010"/>
      <c r="Z82" s="1458" t="str">
        <f t="shared" si="9"/>
        <v>-</v>
      </c>
      <c r="AA82" s="1009"/>
      <c r="AB82" s="1010"/>
      <c r="AC82" s="1010"/>
      <c r="AD82" s="1458" t="str">
        <f t="shared" si="10"/>
        <v>-</v>
      </c>
      <c r="AE82" s="1180">
        <f t="shared" ref="AE82:AH88" si="178">+AI82+AM82+AQ82</f>
        <v>0</v>
      </c>
      <c r="AF82" s="1181">
        <f t="shared" si="178"/>
        <v>0</v>
      </c>
      <c r="AG82" s="1181">
        <f t="shared" si="178"/>
        <v>0</v>
      </c>
      <c r="AH82" s="1860" t="str">
        <f t="shared" si="14"/>
        <v>-</v>
      </c>
      <c r="AI82" s="1009"/>
      <c r="AJ82" s="1010"/>
      <c r="AK82" s="1010"/>
      <c r="AL82" s="1458" t="str">
        <f t="shared" si="15"/>
        <v>-</v>
      </c>
      <c r="AM82" s="1009"/>
      <c r="AN82" s="1010"/>
      <c r="AO82" s="1010"/>
      <c r="AP82" s="1458" t="str">
        <f t="shared" si="16"/>
        <v>-</v>
      </c>
      <c r="AQ82" s="1009"/>
      <c r="AR82" s="1010"/>
      <c r="AS82" s="1010"/>
      <c r="AT82" s="1458" t="str">
        <f t="shared" si="17"/>
        <v>-</v>
      </c>
      <c r="AU82" s="509"/>
      <c r="AV82" s="509"/>
      <c r="AW82" s="509"/>
      <c r="AX82" s="509"/>
      <c r="AY82" s="509"/>
    </row>
    <row r="83" spans="1:51">
      <c r="A83" s="552">
        <f t="shared" ref="A83:A88" si="179">+A82+1</f>
        <v>74</v>
      </c>
      <c r="B83" s="288">
        <v>10</v>
      </c>
      <c r="C83" s="360" t="s">
        <v>1170</v>
      </c>
      <c r="D83" s="973" t="s">
        <v>1171</v>
      </c>
      <c r="E83" s="976"/>
      <c r="F83" s="1888" t="s">
        <v>2807</v>
      </c>
      <c r="G83" s="1184">
        <f t="shared" ref="G83" si="180">+K83+AE83</f>
        <v>0</v>
      </c>
      <c r="H83" s="1185">
        <f t="shared" ref="H83" si="181">+L83+AF83</f>
        <v>3065</v>
      </c>
      <c r="I83" s="1185">
        <f t="shared" ref="I83" si="182">+M83+AG83</f>
        <v>3065</v>
      </c>
      <c r="J83" s="1860">
        <f t="shared" ref="J83" si="183">IF(ISERROR(I83/H83),"-",I83/H83)</f>
        <v>1</v>
      </c>
      <c r="K83" s="1184">
        <f t="shared" ref="K83" si="184">+O83+S83+W83+AA83</f>
        <v>0</v>
      </c>
      <c r="L83" s="1185">
        <f t="shared" ref="L83" si="185">+P83+T83+X83+AB83</f>
        <v>3065</v>
      </c>
      <c r="M83" s="1185">
        <f t="shared" ref="M83" si="186">+Q83+U83+Y83+AC83</f>
        <v>3065</v>
      </c>
      <c r="N83" s="1860">
        <f t="shared" ref="N83" si="187">IF(ISERROR(M83/L83),"-",M83/L83)</f>
        <v>1</v>
      </c>
      <c r="O83" s="1009"/>
      <c r="P83" s="1010"/>
      <c r="Q83" s="1010"/>
      <c r="R83" s="1458" t="str">
        <f t="shared" ref="R83" si="188">IF(ISERROR(Q83/P83),"-",Q83/P83)</f>
        <v>-</v>
      </c>
      <c r="S83" s="1013"/>
      <c r="T83" s="1010">
        <v>3065</v>
      </c>
      <c r="U83" s="1010">
        <v>3065</v>
      </c>
      <c r="V83" s="1458">
        <f t="shared" ref="V83" si="189">IF(ISERROR(U83/T83),"-",U83/T83)</f>
        <v>1</v>
      </c>
      <c r="W83" s="1013"/>
      <c r="X83" s="1010"/>
      <c r="Y83" s="1010"/>
      <c r="Z83" s="1458" t="str">
        <f t="shared" ref="Z83" si="190">IF(ISERROR(Y83/X83),"-",Y83/X83)</f>
        <v>-</v>
      </c>
      <c r="AA83" s="1013"/>
      <c r="AB83" s="1010"/>
      <c r="AC83" s="1010"/>
      <c r="AD83" s="1458" t="str">
        <f t="shared" ref="AD83" si="191">IF(ISERROR(AC83/AB83),"-",AC83/AB83)</f>
        <v>-</v>
      </c>
      <c r="AE83" s="1184">
        <f t="shared" ref="AE83" si="192">+AI83+AM83+AQ83</f>
        <v>0</v>
      </c>
      <c r="AF83" s="1185">
        <f t="shared" ref="AF83" si="193">+AJ83+AN83+AR83</f>
        <v>0</v>
      </c>
      <c r="AG83" s="1185">
        <f t="shared" ref="AG83" si="194">+AK83+AO83+AS83</f>
        <v>0</v>
      </c>
      <c r="AH83" s="1860" t="str">
        <f t="shared" ref="AH83" si="195">IF(ISERROR(AG83/AF83),"-",AG83/AF83)</f>
        <v>-</v>
      </c>
      <c r="AI83" s="1013"/>
      <c r="AJ83" s="1010"/>
      <c r="AK83" s="1010"/>
      <c r="AL83" s="1458" t="str">
        <f t="shared" ref="AL83" si="196">IF(ISERROR(AK83/AJ83),"-",AK83/AJ83)</f>
        <v>-</v>
      </c>
      <c r="AM83" s="1013"/>
      <c r="AN83" s="1010"/>
      <c r="AO83" s="1010"/>
      <c r="AP83" s="1458" t="str">
        <f t="shared" ref="AP83" si="197">IF(ISERROR(AO83/AN83),"-",AO83/AN83)</f>
        <v>-</v>
      </c>
      <c r="AQ83" s="1013"/>
      <c r="AR83" s="1010"/>
      <c r="AS83" s="1010"/>
      <c r="AT83" s="1458" t="str">
        <f t="shared" ref="AT83" si="198">IF(ISERROR(AS83/AR83),"-",AS83/AR83)</f>
        <v>-</v>
      </c>
      <c r="AU83" s="509"/>
      <c r="AV83" s="509"/>
      <c r="AW83" s="509"/>
      <c r="AX83" s="509"/>
      <c r="AY83" s="509"/>
    </row>
    <row r="84" spans="1:51">
      <c r="A84" s="552">
        <f t="shared" si="179"/>
        <v>75</v>
      </c>
      <c r="B84" s="288">
        <v>10</v>
      </c>
      <c r="C84" s="360" t="s">
        <v>786</v>
      </c>
      <c r="D84" s="973" t="s">
        <v>787</v>
      </c>
      <c r="E84" s="976" t="s">
        <v>696</v>
      </c>
      <c r="F84" s="1001" t="s">
        <v>664</v>
      </c>
      <c r="G84" s="1184">
        <f t="shared" si="176"/>
        <v>1500</v>
      </c>
      <c r="H84" s="1185">
        <f t="shared" si="176"/>
        <v>889</v>
      </c>
      <c r="I84" s="1185">
        <f t="shared" si="176"/>
        <v>889</v>
      </c>
      <c r="J84" s="1860">
        <f t="shared" ref="J84:J89" si="199">IF(ISERROR(I84/H84),"-",I84/H84)</f>
        <v>1</v>
      </c>
      <c r="K84" s="1184">
        <f t="shared" si="177"/>
        <v>0</v>
      </c>
      <c r="L84" s="1185">
        <f t="shared" si="177"/>
        <v>0</v>
      </c>
      <c r="M84" s="1185">
        <f t="shared" si="177"/>
        <v>0</v>
      </c>
      <c r="N84" s="1860" t="str">
        <f t="shared" ref="N84:N92" si="200">IF(ISERROR(M84/L84),"-",M84/L84)</f>
        <v>-</v>
      </c>
      <c r="O84" s="1009"/>
      <c r="P84" s="1010"/>
      <c r="Q84" s="1010"/>
      <c r="R84" s="1458" t="str">
        <f t="shared" ref="R84:R92" si="201">IF(ISERROR(Q84/P84),"-",Q84/P84)</f>
        <v>-</v>
      </c>
      <c r="S84" s="1013"/>
      <c r="T84" s="1010"/>
      <c r="U84" s="1010"/>
      <c r="V84" s="1458" t="str">
        <f t="shared" ref="V84:V92" si="202">IF(ISERROR(U84/T84),"-",U84/T84)</f>
        <v>-</v>
      </c>
      <c r="W84" s="1013"/>
      <c r="X84" s="1010"/>
      <c r="Y84" s="1010"/>
      <c r="Z84" s="1458" t="str">
        <f t="shared" ref="Z84:Z92" si="203">IF(ISERROR(Y84/X84),"-",Y84/X84)</f>
        <v>-</v>
      </c>
      <c r="AA84" s="1013"/>
      <c r="AB84" s="1010"/>
      <c r="AC84" s="1010"/>
      <c r="AD84" s="1458" t="str">
        <f t="shared" ref="AD84:AD92" si="204">IF(ISERROR(AC84/AB84),"-",AC84/AB84)</f>
        <v>-</v>
      </c>
      <c r="AE84" s="1184">
        <f t="shared" si="178"/>
        <v>1500</v>
      </c>
      <c r="AF84" s="1185">
        <f t="shared" si="178"/>
        <v>889</v>
      </c>
      <c r="AG84" s="1185">
        <f t="shared" si="178"/>
        <v>889</v>
      </c>
      <c r="AH84" s="1860">
        <f t="shared" ref="AH84:AH92" si="205">IF(ISERROR(AG84/AF84),"-",AG84/AF84)</f>
        <v>1</v>
      </c>
      <c r="AI84" s="1013"/>
      <c r="AJ84" s="1010"/>
      <c r="AK84" s="1010"/>
      <c r="AL84" s="1458" t="str">
        <f t="shared" ref="AL84:AL92" si="206">IF(ISERROR(AK84/AJ84),"-",AK84/AJ84)</f>
        <v>-</v>
      </c>
      <c r="AM84" s="1013"/>
      <c r="AN84" s="1010"/>
      <c r="AO84" s="1010"/>
      <c r="AP84" s="1458" t="str">
        <f t="shared" ref="AP84:AP92" si="207">IF(ISERROR(AO84/AN84),"-",AO84/AN84)</f>
        <v>-</v>
      </c>
      <c r="AQ84" s="1013">
        <v>1500</v>
      </c>
      <c r="AR84" s="1010">
        <v>889</v>
      </c>
      <c r="AS84" s="1010">
        <v>889</v>
      </c>
      <c r="AT84" s="1458">
        <f t="shared" ref="AT84:AT92" si="208">IF(ISERROR(AS84/AR84),"-",AS84/AR84)</f>
        <v>1</v>
      </c>
      <c r="AU84" s="509"/>
      <c r="AV84" s="509"/>
      <c r="AW84" s="509"/>
      <c r="AX84" s="509"/>
      <c r="AY84" s="509"/>
    </row>
    <row r="85" spans="1:51">
      <c r="A85" s="552">
        <f t="shared" si="179"/>
        <v>76</v>
      </c>
      <c r="B85" s="1019">
        <v>10</v>
      </c>
      <c r="C85" s="425" t="s">
        <v>785</v>
      </c>
      <c r="D85" s="979" t="s">
        <v>1107</v>
      </c>
      <c r="E85" s="976" t="s">
        <v>695</v>
      </c>
      <c r="F85" s="1002" t="s">
        <v>663</v>
      </c>
      <c r="G85" s="1184">
        <f t="shared" si="176"/>
        <v>0</v>
      </c>
      <c r="H85" s="1185">
        <f t="shared" si="176"/>
        <v>0</v>
      </c>
      <c r="I85" s="1185">
        <f t="shared" si="176"/>
        <v>0</v>
      </c>
      <c r="J85" s="1860" t="str">
        <f t="shared" si="199"/>
        <v>-</v>
      </c>
      <c r="K85" s="1184">
        <f t="shared" si="177"/>
        <v>0</v>
      </c>
      <c r="L85" s="1185">
        <f t="shared" si="177"/>
        <v>0</v>
      </c>
      <c r="M85" s="1185">
        <f t="shared" si="177"/>
        <v>0</v>
      </c>
      <c r="N85" s="1860" t="str">
        <f t="shared" si="200"/>
        <v>-</v>
      </c>
      <c r="O85" s="1009"/>
      <c r="P85" s="1010"/>
      <c r="Q85" s="1010"/>
      <c r="R85" s="1458" t="str">
        <f t="shared" si="201"/>
        <v>-</v>
      </c>
      <c r="S85" s="1013"/>
      <c r="T85" s="1010"/>
      <c r="U85" s="1010"/>
      <c r="V85" s="1458" t="str">
        <f t="shared" si="202"/>
        <v>-</v>
      </c>
      <c r="W85" s="1013"/>
      <c r="X85" s="1010"/>
      <c r="Y85" s="1010"/>
      <c r="Z85" s="1458" t="str">
        <f t="shared" si="203"/>
        <v>-</v>
      </c>
      <c r="AA85" s="1013"/>
      <c r="AB85" s="1010"/>
      <c r="AC85" s="1010"/>
      <c r="AD85" s="1458" t="str">
        <f t="shared" si="204"/>
        <v>-</v>
      </c>
      <c r="AE85" s="1184">
        <f t="shared" si="178"/>
        <v>0</v>
      </c>
      <c r="AF85" s="1185">
        <f t="shared" si="178"/>
        <v>0</v>
      </c>
      <c r="AG85" s="1185">
        <f t="shared" si="178"/>
        <v>0</v>
      </c>
      <c r="AH85" s="1860" t="str">
        <f t="shared" si="205"/>
        <v>-</v>
      </c>
      <c r="AI85" s="1013"/>
      <c r="AJ85" s="1010"/>
      <c r="AK85" s="1010"/>
      <c r="AL85" s="1458" t="str">
        <f t="shared" si="206"/>
        <v>-</v>
      </c>
      <c r="AM85" s="1013"/>
      <c r="AN85" s="1010"/>
      <c r="AO85" s="1010"/>
      <c r="AP85" s="1458" t="str">
        <f t="shared" si="207"/>
        <v>-</v>
      </c>
      <c r="AQ85" s="1013"/>
      <c r="AR85" s="1010"/>
      <c r="AS85" s="1010"/>
      <c r="AT85" s="1458" t="str">
        <f t="shared" si="208"/>
        <v>-</v>
      </c>
      <c r="AU85" s="509"/>
      <c r="AV85" s="509"/>
      <c r="AW85" s="509"/>
      <c r="AX85" s="509"/>
      <c r="AY85" s="509"/>
    </row>
    <row r="86" spans="1:51">
      <c r="A86" s="552">
        <f t="shared" si="179"/>
        <v>77</v>
      </c>
      <c r="B86" s="288">
        <v>10</v>
      </c>
      <c r="C86" s="360" t="s">
        <v>789</v>
      </c>
      <c r="D86" s="973" t="s">
        <v>788</v>
      </c>
      <c r="E86" s="976" t="s">
        <v>697</v>
      </c>
      <c r="F86" s="1002" t="s">
        <v>709</v>
      </c>
      <c r="G86" s="1184">
        <f t="shared" si="176"/>
        <v>0</v>
      </c>
      <c r="H86" s="1185">
        <f t="shared" si="176"/>
        <v>0</v>
      </c>
      <c r="I86" s="1185">
        <f t="shared" si="176"/>
        <v>0</v>
      </c>
      <c r="J86" s="1860" t="str">
        <f t="shared" si="199"/>
        <v>-</v>
      </c>
      <c r="K86" s="1184">
        <f t="shared" si="177"/>
        <v>0</v>
      </c>
      <c r="L86" s="1185">
        <f t="shared" si="177"/>
        <v>0</v>
      </c>
      <c r="M86" s="1185">
        <f t="shared" si="177"/>
        <v>0</v>
      </c>
      <c r="N86" s="1860" t="str">
        <f t="shared" si="200"/>
        <v>-</v>
      </c>
      <c r="O86" s="1009"/>
      <c r="P86" s="1010"/>
      <c r="Q86" s="1010"/>
      <c r="R86" s="1458" t="str">
        <f t="shared" si="201"/>
        <v>-</v>
      </c>
      <c r="S86" s="1013"/>
      <c r="T86" s="1010"/>
      <c r="U86" s="1010"/>
      <c r="V86" s="1458" t="str">
        <f t="shared" si="202"/>
        <v>-</v>
      </c>
      <c r="W86" s="1013"/>
      <c r="X86" s="1010"/>
      <c r="Y86" s="1010"/>
      <c r="Z86" s="1458" t="str">
        <f t="shared" si="203"/>
        <v>-</v>
      </c>
      <c r="AA86" s="1013"/>
      <c r="AB86" s="1010"/>
      <c r="AC86" s="1010"/>
      <c r="AD86" s="1458" t="str">
        <f t="shared" si="204"/>
        <v>-</v>
      </c>
      <c r="AE86" s="1184">
        <f t="shared" si="178"/>
        <v>0</v>
      </c>
      <c r="AF86" s="1185">
        <f t="shared" si="178"/>
        <v>0</v>
      </c>
      <c r="AG86" s="1185">
        <f t="shared" si="178"/>
        <v>0</v>
      </c>
      <c r="AH86" s="1860" t="str">
        <f t="shared" si="205"/>
        <v>-</v>
      </c>
      <c r="AI86" s="1013"/>
      <c r="AJ86" s="1010"/>
      <c r="AK86" s="1010"/>
      <c r="AL86" s="1458" t="str">
        <f t="shared" si="206"/>
        <v>-</v>
      </c>
      <c r="AM86" s="1013"/>
      <c r="AN86" s="1010"/>
      <c r="AO86" s="1010"/>
      <c r="AP86" s="1458" t="str">
        <f t="shared" si="207"/>
        <v>-</v>
      </c>
      <c r="AQ86" s="1013"/>
      <c r="AR86" s="1010"/>
      <c r="AS86" s="1010"/>
      <c r="AT86" s="1458" t="str">
        <f t="shared" si="208"/>
        <v>-</v>
      </c>
      <c r="AU86" s="509"/>
      <c r="AV86" s="509"/>
      <c r="AW86" s="509"/>
      <c r="AX86" s="509"/>
      <c r="AY86" s="509"/>
    </row>
    <row r="87" spans="1:51">
      <c r="A87" s="552">
        <f t="shared" si="179"/>
        <v>78</v>
      </c>
      <c r="B87" s="1019">
        <v>10</v>
      </c>
      <c r="C87" s="425" t="s">
        <v>1124</v>
      </c>
      <c r="D87" s="979" t="s">
        <v>1125</v>
      </c>
      <c r="E87" s="976" t="s">
        <v>1123</v>
      </c>
      <c r="F87" s="1002" t="s">
        <v>662</v>
      </c>
      <c r="G87" s="1184">
        <f t="shared" si="176"/>
        <v>0</v>
      </c>
      <c r="H87" s="1185">
        <f t="shared" si="176"/>
        <v>0</v>
      </c>
      <c r="I87" s="1185">
        <f t="shared" si="176"/>
        <v>0</v>
      </c>
      <c r="J87" s="1860" t="str">
        <f t="shared" si="199"/>
        <v>-</v>
      </c>
      <c r="K87" s="1184">
        <f t="shared" si="177"/>
        <v>0</v>
      </c>
      <c r="L87" s="1185">
        <f t="shared" si="177"/>
        <v>0</v>
      </c>
      <c r="M87" s="1185">
        <f t="shared" si="177"/>
        <v>0</v>
      </c>
      <c r="N87" s="1860" t="str">
        <f t="shared" si="200"/>
        <v>-</v>
      </c>
      <c r="O87" s="1009"/>
      <c r="P87" s="1010"/>
      <c r="Q87" s="1010"/>
      <c r="R87" s="1458" t="str">
        <f t="shared" si="201"/>
        <v>-</v>
      </c>
      <c r="S87" s="1013"/>
      <c r="T87" s="1010"/>
      <c r="U87" s="1010"/>
      <c r="V87" s="1458" t="str">
        <f t="shared" si="202"/>
        <v>-</v>
      </c>
      <c r="W87" s="1009"/>
      <c r="X87" s="1010"/>
      <c r="Y87" s="1010"/>
      <c r="Z87" s="1458" t="str">
        <f t="shared" si="203"/>
        <v>-</v>
      </c>
      <c r="AA87" s="1013"/>
      <c r="AB87" s="1010"/>
      <c r="AC87" s="1010"/>
      <c r="AD87" s="1458" t="str">
        <f t="shared" si="204"/>
        <v>-</v>
      </c>
      <c r="AE87" s="1184">
        <f t="shared" si="178"/>
        <v>0</v>
      </c>
      <c r="AF87" s="1185">
        <f t="shared" si="178"/>
        <v>0</v>
      </c>
      <c r="AG87" s="1185">
        <f t="shared" si="178"/>
        <v>0</v>
      </c>
      <c r="AH87" s="1860" t="str">
        <f t="shared" si="205"/>
        <v>-</v>
      </c>
      <c r="AI87" s="1013"/>
      <c r="AJ87" s="1010"/>
      <c r="AK87" s="1010"/>
      <c r="AL87" s="1458" t="str">
        <f t="shared" si="206"/>
        <v>-</v>
      </c>
      <c r="AM87" s="1009"/>
      <c r="AN87" s="1010"/>
      <c r="AO87" s="1010"/>
      <c r="AP87" s="1458" t="str">
        <f t="shared" si="207"/>
        <v>-</v>
      </c>
      <c r="AQ87" s="1013"/>
      <c r="AR87" s="1010"/>
      <c r="AS87" s="1010"/>
      <c r="AT87" s="1458" t="str">
        <f t="shared" si="208"/>
        <v>-</v>
      </c>
      <c r="AU87" s="509"/>
      <c r="AV87" s="509"/>
      <c r="AW87" s="509"/>
      <c r="AX87" s="509"/>
      <c r="AY87" s="509"/>
    </row>
    <row r="88" spans="1:51" ht="12.75" thickBot="1">
      <c r="A88" s="552">
        <f t="shared" si="179"/>
        <v>79</v>
      </c>
      <c r="B88" s="288">
        <v>9</v>
      </c>
      <c r="C88" s="360" t="s">
        <v>733</v>
      </c>
      <c r="D88" s="973" t="s">
        <v>734</v>
      </c>
      <c r="E88" s="976" t="s">
        <v>694</v>
      </c>
      <c r="F88" s="1002" t="s">
        <v>732</v>
      </c>
      <c r="G88" s="1184">
        <f t="shared" si="176"/>
        <v>0</v>
      </c>
      <c r="H88" s="1185">
        <f t="shared" si="176"/>
        <v>0</v>
      </c>
      <c r="I88" s="1185">
        <f t="shared" si="176"/>
        <v>0</v>
      </c>
      <c r="J88" s="1860" t="str">
        <f t="shared" si="199"/>
        <v>-</v>
      </c>
      <c r="K88" s="1184">
        <f t="shared" si="177"/>
        <v>0</v>
      </c>
      <c r="L88" s="1185">
        <f t="shared" si="177"/>
        <v>0</v>
      </c>
      <c r="M88" s="1185">
        <f t="shared" si="177"/>
        <v>0</v>
      </c>
      <c r="N88" s="1860" t="str">
        <f t="shared" si="200"/>
        <v>-</v>
      </c>
      <c r="O88" s="1009"/>
      <c r="P88" s="1010"/>
      <c r="Q88" s="1010"/>
      <c r="R88" s="1458" t="str">
        <f t="shared" si="201"/>
        <v>-</v>
      </c>
      <c r="S88" s="1013"/>
      <c r="T88" s="1010"/>
      <c r="U88" s="1010"/>
      <c r="V88" s="1458" t="str">
        <f t="shared" si="202"/>
        <v>-</v>
      </c>
      <c r="W88" s="1013"/>
      <c r="X88" s="1010"/>
      <c r="Y88" s="1010"/>
      <c r="Z88" s="1458" t="str">
        <f t="shared" si="203"/>
        <v>-</v>
      </c>
      <c r="AA88" s="1013"/>
      <c r="AB88" s="1010"/>
      <c r="AC88" s="1010"/>
      <c r="AD88" s="1458" t="str">
        <f t="shared" si="204"/>
        <v>-</v>
      </c>
      <c r="AE88" s="1184">
        <f t="shared" si="178"/>
        <v>0</v>
      </c>
      <c r="AF88" s="1185">
        <f t="shared" si="178"/>
        <v>0</v>
      </c>
      <c r="AG88" s="1185">
        <f t="shared" si="178"/>
        <v>0</v>
      </c>
      <c r="AH88" s="1860" t="str">
        <f t="shared" si="205"/>
        <v>-</v>
      </c>
      <c r="AI88" s="1013"/>
      <c r="AJ88" s="1010"/>
      <c r="AK88" s="1010"/>
      <c r="AL88" s="1458" t="str">
        <f t="shared" si="206"/>
        <v>-</v>
      </c>
      <c r="AM88" s="1013"/>
      <c r="AN88" s="1010"/>
      <c r="AO88" s="1010"/>
      <c r="AP88" s="1458" t="str">
        <f t="shared" si="207"/>
        <v>-</v>
      </c>
      <c r="AQ88" s="1013"/>
      <c r="AR88" s="1010"/>
      <c r="AS88" s="1010"/>
      <c r="AT88" s="1458" t="str">
        <f t="shared" si="208"/>
        <v>-</v>
      </c>
      <c r="AU88" s="509"/>
      <c r="AV88" s="509"/>
      <c r="AW88" s="509"/>
      <c r="AX88" s="509"/>
      <c r="AY88" s="509"/>
    </row>
    <row r="89" spans="1:51" s="507" customFormat="1" ht="12.75" thickBot="1">
      <c r="A89" s="548" t="s">
        <v>597</v>
      </c>
      <c r="B89" s="1204"/>
      <c r="C89" s="1327" t="s">
        <v>412</v>
      </c>
      <c r="D89" s="1328"/>
      <c r="E89" s="1328"/>
      <c r="F89" s="1329"/>
      <c r="G89" s="538">
        <f>SUM(G82:G88)</f>
        <v>1500</v>
      </c>
      <c r="H89" s="539">
        <f>SUM(H82:H88)</f>
        <v>3954</v>
      </c>
      <c r="I89" s="539">
        <f>SUM(I82:I88)</f>
        <v>3954</v>
      </c>
      <c r="J89" s="1459">
        <f t="shared" si="199"/>
        <v>1</v>
      </c>
      <c r="K89" s="538">
        <f t="shared" ref="K89" si="209">SUM(K82:K88)</f>
        <v>0</v>
      </c>
      <c r="L89" s="539">
        <f t="shared" ref="L89:M89" si="210">SUM(L82:L88)</f>
        <v>3065</v>
      </c>
      <c r="M89" s="539">
        <f t="shared" si="210"/>
        <v>3065</v>
      </c>
      <c r="N89" s="1459">
        <f t="shared" si="200"/>
        <v>1</v>
      </c>
      <c r="O89" s="519">
        <f t="shared" ref="N89:AR89" si="211">SUM(O82:O88)</f>
        <v>0</v>
      </c>
      <c r="P89" s="368">
        <f t="shared" si="211"/>
        <v>0</v>
      </c>
      <c r="Q89" s="368">
        <f t="shared" ref="P89:Q89" si="212">SUM(Q82:Q88)</f>
        <v>0</v>
      </c>
      <c r="R89" s="1459" t="str">
        <f t="shared" si="201"/>
        <v>-</v>
      </c>
      <c r="S89" s="519">
        <f t="shared" si="211"/>
        <v>0</v>
      </c>
      <c r="T89" s="368">
        <f t="shared" si="211"/>
        <v>3065</v>
      </c>
      <c r="U89" s="368">
        <f t="shared" ref="T89:V89" si="213">SUM(U82:U88)</f>
        <v>3065</v>
      </c>
      <c r="V89" s="1459">
        <f t="shared" si="202"/>
        <v>1</v>
      </c>
      <c r="W89" s="519">
        <f t="shared" si="211"/>
        <v>0</v>
      </c>
      <c r="X89" s="368">
        <f t="shared" si="211"/>
        <v>0</v>
      </c>
      <c r="Y89" s="368">
        <f t="shared" ref="X89:Z89" si="214">SUM(Y82:Y88)</f>
        <v>0</v>
      </c>
      <c r="Z89" s="1459" t="str">
        <f t="shared" si="203"/>
        <v>-</v>
      </c>
      <c r="AA89" s="519">
        <f t="shared" si="211"/>
        <v>0</v>
      </c>
      <c r="AB89" s="368">
        <f t="shared" si="211"/>
        <v>0</v>
      </c>
      <c r="AC89" s="368">
        <f t="shared" ref="AB89:AD89" si="215">SUM(AC82:AC88)</f>
        <v>0</v>
      </c>
      <c r="AD89" s="1459" t="str">
        <f t="shared" si="204"/>
        <v>-</v>
      </c>
      <c r="AE89" s="538">
        <f t="shared" si="211"/>
        <v>1500</v>
      </c>
      <c r="AF89" s="539">
        <f t="shared" ref="AF89:AG89" si="216">SUM(AF82:AF88)</f>
        <v>889</v>
      </c>
      <c r="AG89" s="539">
        <f t="shared" si="216"/>
        <v>889</v>
      </c>
      <c r="AH89" s="1459">
        <f t="shared" si="205"/>
        <v>1</v>
      </c>
      <c r="AI89" s="519">
        <f t="shared" si="211"/>
        <v>0</v>
      </c>
      <c r="AJ89" s="368">
        <f t="shared" si="211"/>
        <v>0</v>
      </c>
      <c r="AK89" s="368">
        <f t="shared" ref="AJ89:AL89" si="217">SUM(AK82:AK88)</f>
        <v>0</v>
      </c>
      <c r="AL89" s="1459" t="str">
        <f t="shared" si="206"/>
        <v>-</v>
      </c>
      <c r="AM89" s="519">
        <f t="shared" si="211"/>
        <v>0</v>
      </c>
      <c r="AN89" s="368">
        <f t="shared" si="211"/>
        <v>0</v>
      </c>
      <c r="AO89" s="368">
        <f t="shared" ref="AN89:AP89" si="218">SUM(AO82:AO88)</f>
        <v>0</v>
      </c>
      <c r="AP89" s="1459" t="str">
        <f t="shared" si="207"/>
        <v>-</v>
      </c>
      <c r="AQ89" s="519">
        <f t="shared" si="211"/>
        <v>1500</v>
      </c>
      <c r="AR89" s="368">
        <f t="shared" si="211"/>
        <v>889</v>
      </c>
      <c r="AS89" s="368">
        <f t="shared" ref="AR89:AT89" si="219">SUM(AS82:AS88)</f>
        <v>889</v>
      </c>
      <c r="AT89" s="1459">
        <f t="shared" si="208"/>
        <v>1</v>
      </c>
      <c r="AU89" s="509"/>
      <c r="AV89" s="509"/>
      <c r="AW89" s="509"/>
      <c r="AX89" s="509"/>
      <c r="AY89" s="509"/>
    </row>
    <row r="90" spans="1:51" s="511" customFormat="1" ht="12.75" customHeight="1" thickBot="1">
      <c r="A90" s="552">
        <f>+A88+1</f>
        <v>80</v>
      </c>
      <c r="B90" s="288">
        <v>11</v>
      </c>
      <c r="C90" s="360" t="s">
        <v>19</v>
      </c>
      <c r="D90" s="1003" t="s">
        <v>19</v>
      </c>
      <c r="E90" s="974" t="s">
        <v>19</v>
      </c>
      <c r="F90" s="1003" t="s">
        <v>19</v>
      </c>
      <c r="G90" s="1180">
        <f>+K90+AE90</f>
        <v>0</v>
      </c>
      <c r="H90" s="1181">
        <f>+L90+AF90</f>
        <v>0</v>
      </c>
      <c r="I90" s="1181">
        <f>+M90+AG90</f>
        <v>0</v>
      </c>
      <c r="J90" s="1860" t="str">
        <f t="shared" ref="J90:J92" si="220">IF(ISERROR(I90/H90),"-",I90/H90)</f>
        <v>-</v>
      </c>
      <c r="K90" s="1180">
        <f>+O90+S90+W90+AA90</f>
        <v>0</v>
      </c>
      <c r="L90" s="1181">
        <f>+P90+T90+X90+AB90</f>
        <v>0</v>
      </c>
      <c r="M90" s="1181">
        <f>+Q90+U90+Y90+AC90</f>
        <v>0</v>
      </c>
      <c r="N90" s="1860" t="str">
        <f t="shared" si="200"/>
        <v>-</v>
      </c>
      <c r="O90" s="1009"/>
      <c r="P90" s="1010"/>
      <c r="Q90" s="1010"/>
      <c r="R90" s="1458" t="str">
        <f t="shared" si="201"/>
        <v>-</v>
      </c>
      <c r="S90" s="1013"/>
      <c r="T90" s="1010"/>
      <c r="U90" s="1010"/>
      <c r="V90" s="1458" t="str">
        <f t="shared" si="202"/>
        <v>-</v>
      </c>
      <c r="W90" s="1013"/>
      <c r="X90" s="1010"/>
      <c r="Y90" s="1010"/>
      <c r="Z90" s="1458" t="str">
        <f t="shared" si="203"/>
        <v>-</v>
      </c>
      <c r="AA90" s="1013"/>
      <c r="AB90" s="1010"/>
      <c r="AC90" s="1010"/>
      <c r="AD90" s="1458" t="str">
        <f t="shared" si="204"/>
        <v>-</v>
      </c>
      <c r="AE90" s="1180">
        <f>+AI90+AM90+AQ90</f>
        <v>0</v>
      </c>
      <c r="AF90" s="1181">
        <f>+AJ90+AN90+AR90</f>
        <v>0</v>
      </c>
      <c r="AG90" s="1181">
        <f>+AK90+AO90+AS90</f>
        <v>0</v>
      </c>
      <c r="AH90" s="1860" t="str">
        <f t="shared" si="205"/>
        <v>-</v>
      </c>
      <c r="AI90" s="1013"/>
      <c r="AJ90" s="1010"/>
      <c r="AK90" s="1010"/>
      <c r="AL90" s="1458" t="str">
        <f t="shared" si="206"/>
        <v>-</v>
      </c>
      <c r="AM90" s="1013"/>
      <c r="AN90" s="1010"/>
      <c r="AO90" s="1010"/>
      <c r="AP90" s="1458" t="str">
        <f t="shared" si="207"/>
        <v>-</v>
      </c>
      <c r="AQ90" s="1013"/>
      <c r="AR90" s="1010"/>
      <c r="AS90" s="1010"/>
      <c r="AT90" s="1458" t="str">
        <f t="shared" si="208"/>
        <v>-</v>
      </c>
      <c r="AU90" s="509"/>
      <c r="AV90" s="509"/>
      <c r="AW90" s="509"/>
      <c r="AX90" s="509"/>
      <c r="AY90" s="509"/>
    </row>
    <row r="91" spans="1:51" s="507" customFormat="1" ht="12.75" thickBot="1">
      <c r="A91" s="548" t="s">
        <v>598</v>
      </c>
      <c r="B91" s="1204"/>
      <c r="C91" s="1327" t="s">
        <v>413</v>
      </c>
      <c r="D91" s="1328"/>
      <c r="E91" s="1328"/>
      <c r="F91" s="1329"/>
      <c r="G91" s="538">
        <f t="shared" ref="G91" si="221">SUM(G90:G90)</f>
        <v>0</v>
      </c>
      <c r="H91" s="539">
        <f t="shared" ref="H91:I91" si="222">SUM(H90:H90)</f>
        <v>0</v>
      </c>
      <c r="I91" s="539">
        <f t="shared" si="222"/>
        <v>0</v>
      </c>
      <c r="J91" s="1459" t="str">
        <f t="shared" si="220"/>
        <v>-</v>
      </c>
      <c r="K91" s="538">
        <f t="shared" ref="J91:AR91" si="223">SUM(K90:K90)</f>
        <v>0</v>
      </c>
      <c r="L91" s="539">
        <f t="shared" ref="L91:M91" si="224">SUM(L90:L90)</f>
        <v>0</v>
      </c>
      <c r="M91" s="539">
        <f t="shared" si="224"/>
        <v>0</v>
      </c>
      <c r="N91" s="1459" t="str">
        <f t="shared" si="200"/>
        <v>-</v>
      </c>
      <c r="O91" s="519">
        <f t="shared" si="223"/>
        <v>0</v>
      </c>
      <c r="P91" s="368">
        <f t="shared" si="223"/>
        <v>0</v>
      </c>
      <c r="Q91" s="368">
        <f t="shared" ref="P91:Q91" si="225">SUM(Q90:Q90)</f>
        <v>0</v>
      </c>
      <c r="R91" s="1459" t="str">
        <f t="shared" si="201"/>
        <v>-</v>
      </c>
      <c r="S91" s="519">
        <f t="shared" si="223"/>
        <v>0</v>
      </c>
      <c r="T91" s="368">
        <f t="shared" si="223"/>
        <v>0</v>
      </c>
      <c r="U91" s="368">
        <f t="shared" ref="T91:V91" si="226">SUM(U90:U90)</f>
        <v>0</v>
      </c>
      <c r="V91" s="1459" t="str">
        <f t="shared" si="202"/>
        <v>-</v>
      </c>
      <c r="W91" s="519">
        <f t="shared" si="223"/>
        <v>0</v>
      </c>
      <c r="X91" s="368">
        <f t="shared" si="223"/>
        <v>0</v>
      </c>
      <c r="Y91" s="368">
        <f t="shared" ref="X91:Z91" si="227">SUM(Y90:Y90)</f>
        <v>0</v>
      </c>
      <c r="Z91" s="1459" t="str">
        <f t="shared" si="203"/>
        <v>-</v>
      </c>
      <c r="AA91" s="519">
        <f t="shared" si="223"/>
        <v>0</v>
      </c>
      <c r="AB91" s="368">
        <f t="shared" si="223"/>
        <v>0</v>
      </c>
      <c r="AC91" s="368">
        <f t="shared" ref="AB91:AD91" si="228">SUM(AC90:AC90)</f>
        <v>0</v>
      </c>
      <c r="AD91" s="1459" t="str">
        <f t="shared" si="204"/>
        <v>-</v>
      </c>
      <c r="AE91" s="538">
        <f t="shared" si="223"/>
        <v>0</v>
      </c>
      <c r="AF91" s="539">
        <f t="shared" ref="AF91:AG91" si="229">SUM(AF90:AF90)</f>
        <v>0</v>
      </c>
      <c r="AG91" s="539">
        <f t="shared" si="229"/>
        <v>0</v>
      </c>
      <c r="AH91" s="1459" t="str">
        <f t="shared" si="205"/>
        <v>-</v>
      </c>
      <c r="AI91" s="519">
        <f t="shared" si="223"/>
        <v>0</v>
      </c>
      <c r="AJ91" s="368">
        <f t="shared" si="223"/>
        <v>0</v>
      </c>
      <c r="AK91" s="368">
        <f t="shared" ref="AJ91:AL91" si="230">SUM(AK90:AK90)</f>
        <v>0</v>
      </c>
      <c r="AL91" s="1459" t="str">
        <f t="shared" si="206"/>
        <v>-</v>
      </c>
      <c r="AM91" s="519">
        <f t="shared" si="223"/>
        <v>0</v>
      </c>
      <c r="AN91" s="368">
        <f t="shared" si="223"/>
        <v>0</v>
      </c>
      <c r="AO91" s="368">
        <f t="shared" ref="AN91:AP91" si="231">SUM(AO90:AO90)</f>
        <v>0</v>
      </c>
      <c r="AP91" s="1459" t="str">
        <f t="shared" si="207"/>
        <v>-</v>
      </c>
      <c r="AQ91" s="519">
        <f t="shared" si="223"/>
        <v>0</v>
      </c>
      <c r="AR91" s="368">
        <f t="shared" si="223"/>
        <v>0</v>
      </c>
      <c r="AS91" s="368">
        <f t="shared" ref="AR91:AT91" si="232">SUM(AS90:AS90)</f>
        <v>0</v>
      </c>
      <c r="AT91" s="1459" t="str">
        <f t="shared" si="208"/>
        <v>-</v>
      </c>
      <c r="AU91" s="509"/>
      <c r="AV91" s="509"/>
      <c r="AW91" s="509"/>
      <c r="AX91" s="509"/>
      <c r="AY91" s="509"/>
    </row>
    <row r="92" spans="1:51" s="507" customFormat="1" ht="12.75" thickBot="1">
      <c r="A92" s="549" t="s">
        <v>23</v>
      </c>
      <c r="B92" s="1021"/>
      <c r="C92" s="1336" t="s">
        <v>414</v>
      </c>
      <c r="D92" s="1337"/>
      <c r="E92" s="1337"/>
      <c r="F92" s="1338"/>
      <c r="G92" s="521">
        <f t="shared" ref="G92" si="233">+G81+G89+G91</f>
        <v>1394876</v>
      </c>
      <c r="H92" s="522">
        <f t="shared" ref="H92:I92" si="234">+H81+H89+H91</f>
        <v>3464900</v>
      </c>
      <c r="I92" s="522">
        <f t="shared" si="234"/>
        <v>3276714</v>
      </c>
      <c r="J92" s="1869">
        <f t="shared" si="220"/>
        <v>0.94568789864065339</v>
      </c>
      <c r="K92" s="521">
        <f t="shared" ref="J92:AR92" si="235">+K81+K89+K91</f>
        <v>1306194</v>
      </c>
      <c r="L92" s="522">
        <f t="shared" ref="L92:M92" si="236">+L81+L89+L91</f>
        <v>2117020</v>
      </c>
      <c r="M92" s="522">
        <f t="shared" si="236"/>
        <v>1937277</v>
      </c>
      <c r="N92" s="1869">
        <f t="shared" si="200"/>
        <v>0.91509622015852476</v>
      </c>
      <c r="O92" s="521">
        <f t="shared" si="235"/>
        <v>903979</v>
      </c>
      <c r="P92" s="522">
        <f t="shared" si="235"/>
        <v>1508798</v>
      </c>
      <c r="Q92" s="522">
        <f t="shared" ref="P92:Q92" si="237">+Q81+Q89+Q91</f>
        <v>1508798</v>
      </c>
      <c r="R92" s="1869">
        <f t="shared" si="201"/>
        <v>1</v>
      </c>
      <c r="S92" s="521">
        <f t="shared" si="235"/>
        <v>318710</v>
      </c>
      <c r="T92" s="522">
        <f t="shared" si="235"/>
        <v>488325</v>
      </c>
      <c r="U92" s="522">
        <f t="shared" ref="T92:V92" si="238">+U81+U89+U91</f>
        <v>356668</v>
      </c>
      <c r="V92" s="1869">
        <f t="shared" si="202"/>
        <v>0.73039062100035834</v>
      </c>
      <c r="W92" s="521">
        <f t="shared" si="235"/>
        <v>81505</v>
      </c>
      <c r="X92" s="522">
        <f t="shared" si="235"/>
        <v>79515</v>
      </c>
      <c r="Y92" s="522">
        <f t="shared" ref="X92:Z92" si="239">+Y81+Y89+Y91</f>
        <v>68331</v>
      </c>
      <c r="Z92" s="1869">
        <f t="shared" si="203"/>
        <v>0.8593472929635918</v>
      </c>
      <c r="AA92" s="521">
        <f t="shared" si="235"/>
        <v>2000</v>
      </c>
      <c r="AB92" s="522">
        <f t="shared" si="235"/>
        <v>40382</v>
      </c>
      <c r="AC92" s="522">
        <f t="shared" ref="AB92:AD92" si="240">+AC81+AC89+AC91</f>
        <v>3480</v>
      </c>
      <c r="AD92" s="1869">
        <f t="shared" si="204"/>
        <v>8.6177009558714282E-2</v>
      </c>
      <c r="AE92" s="521">
        <f t="shared" si="235"/>
        <v>88682</v>
      </c>
      <c r="AF92" s="522">
        <f t="shared" ref="AF92:AG92" si="241">+AF81+AF89+AF91</f>
        <v>1347880</v>
      </c>
      <c r="AG92" s="522">
        <f t="shared" si="241"/>
        <v>1339437</v>
      </c>
      <c r="AH92" s="1869">
        <f t="shared" si="205"/>
        <v>0.99373608926610679</v>
      </c>
      <c r="AI92" s="521">
        <f t="shared" si="235"/>
        <v>71832</v>
      </c>
      <c r="AJ92" s="522">
        <f t="shared" si="235"/>
        <v>1331164</v>
      </c>
      <c r="AK92" s="522">
        <f t="shared" ref="AJ92:AL92" si="242">+AK81+AK89+AK91</f>
        <v>1331164</v>
      </c>
      <c r="AL92" s="1869">
        <f t="shared" si="206"/>
        <v>1</v>
      </c>
      <c r="AM92" s="521">
        <f t="shared" si="235"/>
        <v>15350</v>
      </c>
      <c r="AN92" s="522">
        <f t="shared" si="235"/>
        <v>6786</v>
      </c>
      <c r="AO92" s="522">
        <f t="shared" ref="AN92:AP92" si="243">+AO81+AO89+AO91</f>
        <v>5264</v>
      </c>
      <c r="AP92" s="1869">
        <f t="shared" si="207"/>
        <v>0.77571470674918952</v>
      </c>
      <c r="AQ92" s="521">
        <f t="shared" si="235"/>
        <v>1500</v>
      </c>
      <c r="AR92" s="522">
        <f t="shared" si="235"/>
        <v>9930</v>
      </c>
      <c r="AS92" s="522">
        <f t="shared" ref="AR92:AT92" si="244">+AS81+AS89+AS91</f>
        <v>3009</v>
      </c>
      <c r="AT92" s="1869">
        <f t="shared" si="208"/>
        <v>0.3030211480362538</v>
      </c>
      <c r="AU92" s="509"/>
      <c r="AV92" s="509"/>
      <c r="AW92" s="509"/>
      <c r="AX92" s="509"/>
      <c r="AY92" s="509"/>
    </row>
    <row r="93" spans="1:51" ht="12.75" thickBot="1">
      <c r="A93" s="852"/>
      <c r="B93" s="1022"/>
      <c r="C93" s="557"/>
      <c r="D93" s="546"/>
      <c r="E93" s="524"/>
      <c r="F93" s="523"/>
      <c r="G93" s="538"/>
      <c r="H93" s="539"/>
      <c r="I93" s="539"/>
      <c r="J93" s="437"/>
      <c r="K93" s="525"/>
      <c r="L93" s="526"/>
      <c r="M93" s="526"/>
      <c r="N93" s="437"/>
      <c r="O93" s="525"/>
      <c r="P93" s="526"/>
      <c r="Q93" s="526"/>
      <c r="R93" s="437"/>
      <c r="S93" s="525"/>
      <c r="T93" s="526"/>
      <c r="U93" s="526"/>
      <c r="V93" s="437"/>
      <c r="W93" s="525"/>
      <c r="X93" s="526"/>
      <c r="Y93" s="526"/>
      <c r="Z93" s="437"/>
      <c r="AA93" s="525"/>
      <c r="AB93" s="526"/>
      <c r="AC93" s="526"/>
      <c r="AD93" s="437"/>
      <c r="AE93" s="525"/>
      <c r="AF93" s="526"/>
      <c r="AG93" s="526"/>
      <c r="AH93" s="437"/>
      <c r="AI93" s="525"/>
      <c r="AJ93" s="526"/>
      <c r="AK93" s="526"/>
      <c r="AL93" s="437"/>
      <c r="AM93" s="525"/>
      <c r="AN93" s="526"/>
      <c r="AO93" s="526"/>
      <c r="AP93" s="437"/>
      <c r="AQ93" s="525"/>
      <c r="AR93" s="526"/>
      <c r="AS93" s="526"/>
      <c r="AT93" s="437"/>
      <c r="AU93" s="509"/>
      <c r="AV93" s="509"/>
      <c r="AW93" s="509"/>
      <c r="AX93" s="509"/>
      <c r="AY93" s="509"/>
    </row>
    <row r="94" spans="1:51" s="516" customFormat="1">
      <c r="A94" s="553">
        <f>A90+1</f>
        <v>81</v>
      </c>
      <c r="B94" s="1023">
        <v>12</v>
      </c>
      <c r="C94" s="362" t="s">
        <v>712</v>
      </c>
      <c r="D94" s="985" t="s">
        <v>711</v>
      </c>
      <c r="E94" s="986" t="s">
        <v>704</v>
      </c>
      <c r="F94" s="1004" t="s">
        <v>1072</v>
      </c>
      <c r="G94" s="1180">
        <f t="shared" ref="G94:J98" si="245">+K94+AE94</f>
        <v>0</v>
      </c>
      <c r="H94" s="1181">
        <f t="shared" si="245"/>
        <v>13265</v>
      </c>
      <c r="I94" s="1181">
        <f t="shared" si="245"/>
        <v>11869</v>
      </c>
      <c r="J94" s="1860">
        <f t="shared" ref="J94:J99" si="246">IF(ISERROR(I94/H94),"-",I94/H94)</f>
        <v>0.89476064832265356</v>
      </c>
      <c r="K94" s="1188">
        <f t="shared" ref="K94:N98" si="247">+O94+S94+W94+AA94</f>
        <v>0</v>
      </c>
      <c r="L94" s="1189">
        <f t="shared" si="247"/>
        <v>13265</v>
      </c>
      <c r="M94" s="1189">
        <f t="shared" si="247"/>
        <v>11869</v>
      </c>
      <c r="N94" s="1860">
        <f t="shared" ref="N94:N112" si="248">IF(ISERROR(M94/L94),"-",M94/L94)</f>
        <v>0.89476064832265356</v>
      </c>
      <c r="O94" s="1011"/>
      <c r="P94" s="1012">
        <v>430</v>
      </c>
      <c r="Q94" s="1012">
        <v>430</v>
      </c>
      <c r="R94" s="1458">
        <f t="shared" ref="R94:R112" si="249">IF(ISERROR(Q94/P94),"-",Q94/P94)</f>
        <v>1</v>
      </c>
      <c r="S94" s="1011"/>
      <c r="T94" s="1012">
        <v>10</v>
      </c>
      <c r="U94" s="1012"/>
      <c r="V94" s="1458">
        <f t="shared" ref="V94:V112" si="250">IF(ISERROR(U94/T94),"-",U94/T94)</f>
        <v>0</v>
      </c>
      <c r="W94" s="1011"/>
      <c r="X94" s="1012">
        <f>11439+1386</f>
        <v>12825</v>
      </c>
      <c r="Y94" s="1012">
        <v>11439</v>
      </c>
      <c r="Z94" s="1458">
        <f t="shared" ref="Z94:Z112" si="251">IF(ISERROR(Y94/X94),"-",Y94/X94)</f>
        <v>0.89192982456140346</v>
      </c>
      <c r="AA94" s="1011"/>
      <c r="AB94" s="1012"/>
      <c r="AC94" s="1012"/>
      <c r="AD94" s="1458" t="str">
        <f t="shared" ref="AD94:AD112" si="252">IF(ISERROR(AC94/AB94),"-",AC94/AB94)</f>
        <v>-</v>
      </c>
      <c r="AE94" s="1188">
        <f t="shared" ref="AE94:AH98" si="253">+AI94+AM94+AQ94</f>
        <v>0</v>
      </c>
      <c r="AF94" s="1189">
        <f t="shared" si="253"/>
        <v>0</v>
      </c>
      <c r="AG94" s="1189">
        <f t="shared" si="253"/>
        <v>0</v>
      </c>
      <c r="AH94" s="1860" t="str">
        <f t="shared" ref="AH94:AH112" si="254">IF(ISERROR(AG94/AF94),"-",AG94/AF94)</f>
        <v>-</v>
      </c>
      <c r="AI94" s="1011"/>
      <c r="AJ94" s="1012"/>
      <c r="AK94" s="1012"/>
      <c r="AL94" s="1458" t="str">
        <f t="shared" ref="AL94:AL112" si="255">IF(ISERROR(AK94/AJ94),"-",AK94/AJ94)</f>
        <v>-</v>
      </c>
      <c r="AM94" s="1011"/>
      <c r="AN94" s="1012"/>
      <c r="AO94" s="1012"/>
      <c r="AP94" s="1458" t="str">
        <f t="shared" ref="AP94:AP112" si="256">IF(ISERROR(AO94/AN94),"-",AO94/AN94)</f>
        <v>-</v>
      </c>
      <c r="AQ94" s="1011"/>
      <c r="AR94" s="1012"/>
      <c r="AS94" s="1012"/>
      <c r="AT94" s="1458" t="str">
        <f t="shared" ref="AT94:AT112" si="257">IF(ISERROR(AS94/AR94),"-",AS94/AR94)</f>
        <v>-</v>
      </c>
      <c r="AU94" s="509"/>
      <c r="AV94" s="509"/>
      <c r="AW94" s="509"/>
      <c r="AX94" s="509"/>
      <c r="AY94" s="509"/>
    </row>
    <row r="95" spans="1:51" s="511" customFormat="1" ht="24">
      <c r="A95" s="552">
        <f>+A94+1</f>
        <v>82</v>
      </c>
      <c r="B95" s="288">
        <v>12</v>
      </c>
      <c r="C95" s="360" t="s">
        <v>712</v>
      </c>
      <c r="D95" s="973" t="s">
        <v>1369</v>
      </c>
      <c r="E95" s="974" t="s">
        <v>704</v>
      </c>
      <c r="F95" s="1003" t="s">
        <v>1368</v>
      </c>
      <c r="G95" s="1180">
        <f t="shared" si="245"/>
        <v>0</v>
      </c>
      <c r="H95" s="1181">
        <f t="shared" si="245"/>
        <v>80174</v>
      </c>
      <c r="I95" s="1181">
        <f t="shared" si="245"/>
        <v>80174</v>
      </c>
      <c r="J95" s="1860">
        <f t="shared" si="246"/>
        <v>1</v>
      </c>
      <c r="K95" s="1180">
        <f t="shared" si="247"/>
        <v>0</v>
      </c>
      <c r="L95" s="1181">
        <f t="shared" si="247"/>
        <v>80174</v>
      </c>
      <c r="M95" s="1181">
        <f t="shared" si="247"/>
        <v>80174</v>
      </c>
      <c r="N95" s="1860">
        <f t="shared" si="248"/>
        <v>1</v>
      </c>
      <c r="O95" s="1013"/>
      <c r="P95" s="1014">
        <f>26942+53662-430</f>
        <v>80174</v>
      </c>
      <c r="Q95" s="1014">
        <f>26942+53662-430</f>
        <v>80174</v>
      </c>
      <c r="R95" s="1458">
        <f t="shared" si="249"/>
        <v>1</v>
      </c>
      <c r="S95" s="1013"/>
      <c r="T95" s="1014"/>
      <c r="U95" s="1014"/>
      <c r="V95" s="1458" t="str">
        <f t="shared" si="250"/>
        <v>-</v>
      </c>
      <c r="W95" s="1013"/>
      <c r="X95" s="1014"/>
      <c r="Y95" s="1014"/>
      <c r="Z95" s="1458" t="str">
        <f t="shared" si="251"/>
        <v>-</v>
      </c>
      <c r="AA95" s="1013"/>
      <c r="AB95" s="1014"/>
      <c r="AC95" s="1014"/>
      <c r="AD95" s="1458" t="str">
        <f t="shared" si="252"/>
        <v>-</v>
      </c>
      <c r="AE95" s="1180">
        <f t="shared" si="253"/>
        <v>0</v>
      </c>
      <c r="AF95" s="1181">
        <f t="shared" si="253"/>
        <v>0</v>
      </c>
      <c r="AG95" s="1181">
        <f t="shared" si="253"/>
        <v>0</v>
      </c>
      <c r="AH95" s="1860" t="str">
        <f t="shared" si="254"/>
        <v>-</v>
      </c>
      <c r="AI95" s="1013"/>
      <c r="AJ95" s="1014"/>
      <c r="AK95" s="1014"/>
      <c r="AL95" s="1458" t="str">
        <f t="shared" si="255"/>
        <v>-</v>
      </c>
      <c r="AM95" s="1013"/>
      <c r="AN95" s="1014"/>
      <c r="AO95" s="1014"/>
      <c r="AP95" s="1458" t="str">
        <f t="shared" si="256"/>
        <v>-</v>
      </c>
      <c r="AQ95" s="1013"/>
      <c r="AR95" s="1014"/>
      <c r="AS95" s="1014"/>
      <c r="AT95" s="1458" t="str">
        <f t="shared" si="257"/>
        <v>-</v>
      </c>
      <c r="AU95" s="509"/>
      <c r="AV95" s="509"/>
      <c r="AW95" s="509"/>
      <c r="AX95" s="509"/>
      <c r="AY95" s="509"/>
    </row>
    <row r="96" spans="1:51">
      <c r="A96" s="552">
        <f>+A95+1</f>
        <v>83</v>
      </c>
      <c r="B96" s="288">
        <v>14</v>
      </c>
      <c r="C96" s="360" t="s">
        <v>749</v>
      </c>
      <c r="D96" s="973" t="s">
        <v>748</v>
      </c>
      <c r="E96" s="976" t="s">
        <v>794</v>
      </c>
      <c r="F96" s="1001" t="s">
        <v>833</v>
      </c>
      <c r="G96" s="1184">
        <f t="shared" si="245"/>
        <v>7091</v>
      </c>
      <c r="H96" s="1185">
        <f t="shared" si="245"/>
        <v>733</v>
      </c>
      <c r="I96" s="1185">
        <f t="shared" si="245"/>
        <v>733</v>
      </c>
      <c r="J96" s="1860">
        <f t="shared" si="246"/>
        <v>1</v>
      </c>
      <c r="K96" s="1184">
        <f t="shared" si="247"/>
        <v>7091</v>
      </c>
      <c r="L96" s="1185">
        <f t="shared" si="247"/>
        <v>733</v>
      </c>
      <c r="M96" s="1185">
        <f t="shared" si="247"/>
        <v>733</v>
      </c>
      <c r="N96" s="1860">
        <f t="shared" si="248"/>
        <v>1</v>
      </c>
      <c r="O96" s="1013"/>
      <c r="P96" s="1014"/>
      <c r="Q96" s="1014"/>
      <c r="R96" s="1458" t="str">
        <f t="shared" si="249"/>
        <v>-</v>
      </c>
      <c r="S96" s="1013"/>
      <c r="T96" s="1014"/>
      <c r="U96" s="1014"/>
      <c r="V96" s="1458" t="str">
        <f t="shared" si="250"/>
        <v>-</v>
      </c>
      <c r="W96" s="1013">
        <v>7091</v>
      </c>
      <c r="X96" s="1014">
        <v>733</v>
      </c>
      <c r="Y96" s="1014">
        <v>733</v>
      </c>
      <c r="Z96" s="1458">
        <f t="shared" si="251"/>
        <v>1</v>
      </c>
      <c r="AA96" s="1013"/>
      <c r="AB96" s="1014"/>
      <c r="AC96" s="1014"/>
      <c r="AD96" s="1458" t="str">
        <f t="shared" si="252"/>
        <v>-</v>
      </c>
      <c r="AE96" s="1184">
        <f t="shared" si="253"/>
        <v>0</v>
      </c>
      <c r="AF96" s="1185">
        <f t="shared" si="253"/>
        <v>0</v>
      </c>
      <c r="AG96" s="1185">
        <f t="shared" si="253"/>
        <v>0</v>
      </c>
      <c r="AH96" s="1860" t="str">
        <f t="shared" si="254"/>
        <v>-</v>
      </c>
      <c r="AI96" s="1013"/>
      <c r="AJ96" s="1014"/>
      <c r="AK96" s="1014"/>
      <c r="AL96" s="1458" t="str">
        <f t="shared" si="255"/>
        <v>-</v>
      </c>
      <c r="AM96" s="1013"/>
      <c r="AN96" s="1014"/>
      <c r="AO96" s="1014"/>
      <c r="AP96" s="1458" t="str">
        <f t="shared" si="256"/>
        <v>-</v>
      </c>
      <c r="AQ96" s="1013"/>
      <c r="AR96" s="1014"/>
      <c r="AS96" s="1014"/>
      <c r="AT96" s="1458" t="str">
        <f t="shared" si="257"/>
        <v>-</v>
      </c>
      <c r="AU96" s="509"/>
      <c r="AV96" s="509"/>
      <c r="AW96" s="509"/>
      <c r="AX96" s="509"/>
      <c r="AY96" s="509"/>
    </row>
    <row r="97" spans="1:51">
      <c r="A97" s="552">
        <f>+A96+1</f>
        <v>84</v>
      </c>
      <c r="B97" s="288">
        <v>14</v>
      </c>
      <c r="C97" s="360" t="s">
        <v>749</v>
      </c>
      <c r="D97" s="973" t="s">
        <v>748</v>
      </c>
      <c r="E97" s="976" t="s">
        <v>794</v>
      </c>
      <c r="F97" s="1001" t="s">
        <v>1129</v>
      </c>
      <c r="G97" s="1184">
        <f t="shared" si="245"/>
        <v>1000</v>
      </c>
      <c r="H97" s="1185">
        <f t="shared" si="245"/>
        <v>0</v>
      </c>
      <c r="I97" s="1185">
        <f t="shared" si="245"/>
        <v>0</v>
      </c>
      <c r="J97" s="1860" t="str">
        <f t="shared" si="246"/>
        <v>-</v>
      </c>
      <c r="K97" s="1184">
        <f t="shared" si="247"/>
        <v>1000</v>
      </c>
      <c r="L97" s="1185">
        <f t="shared" si="247"/>
        <v>0</v>
      </c>
      <c r="M97" s="1185">
        <f t="shared" si="247"/>
        <v>0</v>
      </c>
      <c r="N97" s="1860" t="str">
        <f t="shared" si="248"/>
        <v>-</v>
      </c>
      <c r="O97" s="1013"/>
      <c r="P97" s="1014"/>
      <c r="Q97" s="1014"/>
      <c r="R97" s="1458" t="str">
        <f t="shared" si="249"/>
        <v>-</v>
      </c>
      <c r="S97" s="1013"/>
      <c r="T97" s="1014"/>
      <c r="U97" s="1014"/>
      <c r="V97" s="1458" t="str">
        <f t="shared" si="250"/>
        <v>-</v>
      </c>
      <c r="W97" s="1013">
        <v>1000</v>
      </c>
      <c r="X97" s="1014"/>
      <c r="Y97" s="1014"/>
      <c r="Z97" s="1458" t="str">
        <f t="shared" si="251"/>
        <v>-</v>
      </c>
      <c r="AA97" s="1013"/>
      <c r="AB97" s="1014"/>
      <c r="AC97" s="1014"/>
      <c r="AD97" s="1458" t="str">
        <f t="shared" si="252"/>
        <v>-</v>
      </c>
      <c r="AE97" s="1184">
        <f t="shared" si="253"/>
        <v>0</v>
      </c>
      <c r="AF97" s="1185">
        <f t="shared" si="253"/>
        <v>0</v>
      </c>
      <c r="AG97" s="1185">
        <f t="shared" si="253"/>
        <v>0</v>
      </c>
      <c r="AH97" s="1860" t="str">
        <f t="shared" si="254"/>
        <v>-</v>
      </c>
      <c r="AI97" s="1013"/>
      <c r="AJ97" s="1014"/>
      <c r="AK97" s="1014"/>
      <c r="AL97" s="1458" t="str">
        <f t="shared" si="255"/>
        <v>-</v>
      </c>
      <c r="AM97" s="1013"/>
      <c r="AN97" s="1014"/>
      <c r="AO97" s="1014"/>
      <c r="AP97" s="1458" t="str">
        <f t="shared" si="256"/>
        <v>-</v>
      </c>
      <c r="AQ97" s="1013"/>
      <c r="AR97" s="1014"/>
      <c r="AS97" s="1014"/>
      <c r="AT97" s="1458" t="str">
        <f t="shared" si="257"/>
        <v>-</v>
      </c>
      <c r="AU97" s="509"/>
      <c r="AV97" s="509"/>
      <c r="AW97" s="509"/>
      <c r="AX97" s="509"/>
      <c r="AY97" s="509"/>
    </row>
    <row r="98" spans="1:51" ht="12.75" thickBot="1">
      <c r="A98" s="552">
        <f>+A97+1</f>
        <v>85</v>
      </c>
      <c r="B98" s="288">
        <v>14</v>
      </c>
      <c r="C98" s="360" t="s">
        <v>1081</v>
      </c>
      <c r="D98" s="973" t="s">
        <v>1082</v>
      </c>
      <c r="E98" s="976" t="s">
        <v>704</v>
      </c>
      <c r="F98" s="1001" t="s">
        <v>1072</v>
      </c>
      <c r="G98" s="1184">
        <f t="shared" si="245"/>
        <v>0</v>
      </c>
      <c r="H98" s="1185">
        <f t="shared" si="245"/>
        <v>0</v>
      </c>
      <c r="I98" s="1185">
        <f t="shared" si="245"/>
        <v>0</v>
      </c>
      <c r="J98" s="1860" t="str">
        <f t="shared" si="246"/>
        <v>-</v>
      </c>
      <c r="K98" s="1184">
        <f t="shared" si="247"/>
        <v>0</v>
      </c>
      <c r="L98" s="1185">
        <f t="shared" si="247"/>
        <v>0</v>
      </c>
      <c r="M98" s="1185">
        <f t="shared" si="247"/>
        <v>0</v>
      </c>
      <c r="N98" s="1860" t="str">
        <f t="shared" si="248"/>
        <v>-</v>
      </c>
      <c r="O98" s="1013"/>
      <c r="P98" s="1014"/>
      <c r="Q98" s="1014"/>
      <c r="R98" s="1458" t="str">
        <f t="shared" si="249"/>
        <v>-</v>
      </c>
      <c r="S98" s="1013"/>
      <c r="T98" s="1014"/>
      <c r="U98" s="1014"/>
      <c r="V98" s="1458" t="str">
        <f t="shared" si="250"/>
        <v>-</v>
      </c>
      <c r="W98" s="1013"/>
      <c r="X98" s="1014"/>
      <c r="Y98" s="1014"/>
      <c r="Z98" s="1458" t="str">
        <f t="shared" si="251"/>
        <v>-</v>
      </c>
      <c r="AA98" s="1013"/>
      <c r="AB98" s="1014"/>
      <c r="AC98" s="1014"/>
      <c r="AD98" s="1458" t="str">
        <f t="shared" si="252"/>
        <v>-</v>
      </c>
      <c r="AE98" s="1184">
        <f t="shared" si="253"/>
        <v>0</v>
      </c>
      <c r="AF98" s="1185">
        <f t="shared" si="253"/>
        <v>0</v>
      </c>
      <c r="AG98" s="1185">
        <f t="shared" si="253"/>
        <v>0</v>
      </c>
      <c r="AH98" s="1860" t="str">
        <f t="shared" si="254"/>
        <v>-</v>
      </c>
      <c r="AI98" s="1013"/>
      <c r="AJ98" s="1014"/>
      <c r="AK98" s="1014"/>
      <c r="AL98" s="1458" t="str">
        <f t="shared" si="255"/>
        <v>-</v>
      </c>
      <c r="AM98" s="1013"/>
      <c r="AN98" s="1014"/>
      <c r="AO98" s="1014"/>
      <c r="AP98" s="1458" t="str">
        <f t="shared" si="256"/>
        <v>-</v>
      </c>
      <c r="AQ98" s="1013"/>
      <c r="AR98" s="1014"/>
      <c r="AS98" s="1014"/>
      <c r="AT98" s="1458" t="str">
        <f t="shared" si="257"/>
        <v>-</v>
      </c>
      <c r="AU98" s="509"/>
      <c r="AV98" s="509"/>
      <c r="AW98" s="509"/>
      <c r="AX98" s="509"/>
      <c r="AY98" s="509"/>
    </row>
    <row r="99" spans="1:51" s="507" customFormat="1" ht="12.75" thickBot="1">
      <c r="A99" s="548" t="s">
        <v>599</v>
      </c>
      <c r="B99" s="1204"/>
      <c r="C99" s="1327" t="s">
        <v>932</v>
      </c>
      <c r="D99" s="1328"/>
      <c r="E99" s="1328"/>
      <c r="F99" s="1329"/>
      <c r="G99" s="538">
        <f t="shared" ref="G99" si="258">SUM(G94:G98)</f>
        <v>8091</v>
      </c>
      <c r="H99" s="539">
        <f t="shared" ref="H99:I99" si="259">SUM(H94:H98)</f>
        <v>94172</v>
      </c>
      <c r="I99" s="539">
        <f t="shared" si="259"/>
        <v>92776</v>
      </c>
      <c r="J99" s="1459">
        <f t="shared" si="246"/>
        <v>0.98517606082487363</v>
      </c>
      <c r="K99" s="538">
        <f t="shared" ref="J99:AR99" si="260">SUM(K94:K98)</f>
        <v>8091</v>
      </c>
      <c r="L99" s="539">
        <f t="shared" ref="L99:M99" si="261">SUM(L94:L98)</f>
        <v>94172</v>
      </c>
      <c r="M99" s="539">
        <f t="shared" si="261"/>
        <v>92776</v>
      </c>
      <c r="N99" s="1459">
        <f t="shared" si="248"/>
        <v>0.98517606082487363</v>
      </c>
      <c r="O99" s="519">
        <f t="shared" si="260"/>
        <v>0</v>
      </c>
      <c r="P99" s="368">
        <f t="shared" si="260"/>
        <v>80604</v>
      </c>
      <c r="Q99" s="368">
        <f t="shared" ref="P99:Q99" si="262">SUM(Q94:Q98)</f>
        <v>80604</v>
      </c>
      <c r="R99" s="1459">
        <f t="shared" si="249"/>
        <v>1</v>
      </c>
      <c r="S99" s="519">
        <f t="shared" si="260"/>
        <v>0</v>
      </c>
      <c r="T99" s="368">
        <f t="shared" si="260"/>
        <v>10</v>
      </c>
      <c r="U99" s="368">
        <f t="shared" ref="T99:V99" si="263">SUM(U94:U98)</f>
        <v>0</v>
      </c>
      <c r="V99" s="1459">
        <f t="shared" si="250"/>
        <v>0</v>
      </c>
      <c r="W99" s="519">
        <f t="shared" si="260"/>
        <v>8091</v>
      </c>
      <c r="X99" s="368">
        <f t="shared" si="260"/>
        <v>13558</v>
      </c>
      <c r="Y99" s="368">
        <f t="shared" ref="X99:Z99" si="264">SUM(Y94:Y98)</f>
        <v>12172</v>
      </c>
      <c r="Z99" s="1459">
        <f t="shared" si="251"/>
        <v>0.89777253282195013</v>
      </c>
      <c r="AA99" s="519">
        <f t="shared" si="260"/>
        <v>0</v>
      </c>
      <c r="AB99" s="368">
        <f t="shared" si="260"/>
        <v>0</v>
      </c>
      <c r="AC99" s="368">
        <f t="shared" ref="AB99:AD99" si="265">SUM(AC94:AC98)</f>
        <v>0</v>
      </c>
      <c r="AD99" s="1459" t="str">
        <f t="shared" si="252"/>
        <v>-</v>
      </c>
      <c r="AE99" s="538">
        <f t="shared" si="260"/>
        <v>0</v>
      </c>
      <c r="AF99" s="539">
        <f t="shared" ref="AF99:AG99" si="266">SUM(AF94:AF98)</f>
        <v>0</v>
      </c>
      <c r="AG99" s="539">
        <f t="shared" si="266"/>
        <v>0</v>
      </c>
      <c r="AH99" s="1459" t="str">
        <f t="shared" si="254"/>
        <v>-</v>
      </c>
      <c r="AI99" s="519">
        <f t="shared" si="260"/>
        <v>0</v>
      </c>
      <c r="AJ99" s="368">
        <f t="shared" si="260"/>
        <v>0</v>
      </c>
      <c r="AK99" s="368">
        <f t="shared" ref="AJ99:AL99" si="267">SUM(AK94:AK98)</f>
        <v>0</v>
      </c>
      <c r="AL99" s="1459" t="str">
        <f t="shared" si="255"/>
        <v>-</v>
      </c>
      <c r="AM99" s="519">
        <f t="shared" si="260"/>
        <v>0</v>
      </c>
      <c r="AN99" s="368">
        <f t="shared" si="260"/>
        <v>0</v>
      </c>
      <c r="AO99" s="368">
        <f t="shared" ref="AN99:AP99" si="268">SUM(AO94:AO98)</f>
        <v>0</v>
      </c>
      <c r="AP99" s="1459" t="str">
        <f t="shared" si="256"/>
        <v>-</v>
      </c>
      <c r="AQ99" s="519">
        <f t="shared" si="260"/>
        <v>0</v>
      </c>
      <c r="AR99" s="368">
        <f t="shared" si="260"/>
        <v>0</v>
      </c>
      <c r="AS99" s="368">
        <f t="shared" ref="AR99:AT99" si="269">SUM(AS94:AS98)</f>
        <v>0</v>
      </c>
      <c r="AT99" s="1459" t="str">
        <f t="shared" si="257"/>
        <v>-</v>
      </c>
      <c r="AU99" s="509"/>
      <c r="AV99" s="509"/>
      <c r="AW99" s="509"/>
      <c r="AX99" s="509"/>
      <c r="AY99" s="509"/>
    </row>
    <row r="100" spans="1:51" s="516" customFormat="1">
      <c r="A100" s="552">
        <f>+A98+1</f>
        <v>86</v>
      </c>
      <c r="B100" s="288">
        <v>15</v>
      </c>
      <c r="C100" s="360" t="s">
        <v>2683</v>
      </c>
      <c r="D100" s="973" t="s">
        <v>2682</v>
      </c>
      <c r="E100" s="976" t="s">
        <v>795</v>
      </c>
      <c r="F100" s="1001" t="s">
        <v>417</v>
      </c>
      <c r="G100" s="1184">
        <f t="shared" ref="G100:J102" si="270">+K100+AE100</f>
        <v>28850</v>
      </c>
      <c r="H100" s="1185">
        <f t="shared" si="270"/>
        <v>23715</v>
      </c>
      <c r="I100" s="1185">
        <f t="shared" si="270"/>
        <v>23715</v>
      </c>
      <c r="J100" s="1860">
        <f t="shared" ref="J100:J103" si="271">IF(ISERROR(I100/H100),"-",I100/H100)</f>
        <v>1</v>
      </c>
      <c r="K100" s="1184">
        <f t="shared" ref="K100:N102" si="272">+O100+S100+W100+AA100</f>
        <v>28850</v>
      </c>
      <c r="L100" s="1185">
        <f t="shared" si="272"/>
        <v>23715</v>
      </c>
      <c r="M100" s="1185">
        <f t="shared" si="272"/>
        <v>23715</v>
      </c>
      <c r="N100" s="1860">
        <f t="shared" si="248"/>
        <v>1</v>
      </c>
      <c r="O100" s="1013"/>
      <c r="P100" s="1014"/>
      <c r="Q100" s="1014"/>
      <c r="R100" s="1458" t="str">
        <f t="shared" si="249"/>
        <v>-</v>
      </c>
      <c r="S100" s="1013"/>
      <c r="T100" s="1014"/>
      <c r="U100" s="1014"/>
      <c r="V100" s="1458" t="str">
        <f t="shared" si="250"/>
        <v>-</v>
      </c>
      <c r="W100" s="1013">
        <v>28850</v>
      </c>
      <c r="X100" s="1014">
        <v>23715</v>
      </c>
      <c r="Y100" s="1014">
        <v>23715</v>
      </c>
      <c r="Z100" s="1458">
        <f t="shared" si="251"/>
        <v>1</v>
      </c>
      <c r="AA100" s="1013"/>
      <c r="AB100" s="1014"/>
      <c r="AC100" s="1014"/>
      <c r="AD100" s="1458" t="str">
        <f t="shared" si="252"/>
        <v>-</v>
      </c>
      <c r="AE100" s="1184">
        <f t="shared" ref="AE100:AH102" si="273">+AI100+AM100+AQ100</f>
        <v>0</v>
      </c>
      <c r="AF100" s="1185">
        <f t="shared" si="273"/>
        <v>0</v>
      </c>
      <c r="AG100" s="1185">
        <f t="shared" si="273"/>
        <v>0</v>
      </c>
      <c r="AH100" s="1860" t="str">
        <f t="shared" si="254"/>
        <v>-</v>
      </c>
      <c r="AI100" s="1013"/>
      <c r="AJ100" s="1014"/>
      <c r="AK100" s="1014"/>
      <c r="AL100" s="1458" t="str">
        <f t="shared" si="255"/>
        <v>-</v>
      </c>
      <c r="AM100" s="1013"/>
      <c r="AN100" s="1014"/>
      <c r="AO100" s="1014"/>
      <c r="AP100" s="1458" t="str">
        <f t="shared" si="256"/>
        <v>-</v>
      </c>
      <c r="AQ100" s="1013"/>
      <c r="AR100" s="1014"/>
      <c r="AS100" s="1014"/>
      <c r="AT100" s="1458" t="str">
        <f t="shared" si="257"/>
        <v>-</v>
      </c>
      <c r="AU100" s="509"/>
      <c r="AV100" s="509"/>
      <c r="AW100" s="509"/>
      <c r="AX100" s="509"/>
      <c r="AY100" s="509"/>
    </row>
    <row r="101" spans="1:51" s="516" customFormat="1">
      <c r="A101" s="552">
        <f>+A100+1</f>
        <v>87</v>
      </c>
      <c r="B101" s="288">
        <v>16</v>
      </c>
      <c r="C101" s="360" t="s">
        <v>783</v>
      </c>
      <c r="D101" s="973" t="s">
        <v>784</v>
      </c>
      <c r="E101" s="976" t="s">
        <v>685</v>
      </c>
      <c r="F101" s="1001" t="s">
        <v>655</v>
      </c>
      <c r="G101" s="1184">
        <f t="shared" si="270"/>
        <v>0</v>
      </c>
      <c r="H101" s="1185">
        <f t="shared" si="270"/>
        <v>0</v>
      </c>
      <c r="I101" s="1185">
        <f t="shared" si="270"/>
        <v>0</v>
      </c>
      <c r="J101" s="1860" t="str">
        <f t="shared" si="271"/>
        <v>-</v>
      </c>
      <c r="K101" s="1184">
        <f t="shared" si="272"/>
        <v>0</v>
      </c>
      <c r="L101" s="1185">
        <f t="shared" si="272"/>
        <v>0</v>
      </c>
      <c r="M101" s="1185">
        <f t="shared" si="272"/>
        <v>0</v>
      </c>
      <c r="N101" s="1860" t="str">
        <f t="shared" si="248"/>
        <v>-</v>
      </c>
      <c r="O101" s="1013"/>
      <c r="P101" s="1014"/>
      <c r="Q101" s="1014"/>
      <c r="R101" s="1458" t="str">
        <f t="shared" si="249"/>
        <v>-</v>
      </c>
      <c r="S101" s="1013"/>
      <c r="T101" s="1014"/>
      <c r="U101" s="1014"/>
      <c r="V101" s="1458" t="str">
        <f t="shared" si="250"/>
        <v>-</v>
      </c>
      <c r="W101" s="1013"/>
      <c r="X101" s="1014"/>
      <c r="Y101" s="1014"/>
      <c r="Z101" s="1458" t="str">
        <f t="shared" si="251"/>
        <v>-</v>
      </c>
      <c r="AA101" s="1013"/>
      <c r="AB101" s="1014"/>
      <c r="AC101" s="1014"/>
      <c r="AD101" s="1458" t="str">
        <f t="shared" si="252"/>
        <v>-</v>
      </c>
      <c r="AE101" s="1184">
        <f t="shared" si="273"/>
        <v>0</v>
      </c>
      <c r="AF101" s="1185">
        <f t="shared" si="273"/>
        <v>0</v>
      </c>
      <c r="AG101" s="1185">
        <f t="shared" si="273"/>
        <v>0</v>
      </c>
      <c r="AH101" s="1860" t="str">
        <f t="shared" si="254"/>
        <v>-</v>
      </c>
      <c r="AI101" s="1013"/>
      <c r="AJ101" s="1014"/>
      <c r="AK101" s="1014"/>
      <c r="AL101" s="1458" t="str">
        <f t="shared" si="255"/>
        <v>-</v>
      </c>
      <c r="AM101" s="1013"/>
      <c r="AN101" s="1014"/>
      <c r="AO101" s="1014"/>
      <c r="AP101" s="1458" t="str">
        <f t="shared" si="256"/>
        <v>-</v>
      </c>
      <c r="AQ101" s="1013"/>
      <c r="AR101" s="1014"/>
      <c r="AS101" s="1014"/>
      <c r="AT101" s="1458" t="str">
        <f t="shared" si="257"/>
        <v>-</v>
      </c>
      <c r="AU101" s="509"/>
      <c r="AV101" s="509"/>
      <c r="AW101" s="509"/>
      <c r="AX101" s="509"/>
      <c r="AY101" s="509"/>
    </row>
    <row r="102" spans="1:51" s="516" customFormat="1" ht="12.75" thickBot="1">
      <c r="A102" s="552">
        <f>+A101+1</f>
        <v>88</v>
      </c>
      <c r="B102" s="288">
        <v>17</v>
      </c>
      <c r="C102" s="360" t="s">
        <v>786</v>
      </c>
      <c r="D102" s="973" t="s">
        <v>787</v>
      </c>
      <c r="E102" s="976" t="s">
        <v>705</v>
      </c>
      <c r="F102" s="1001" t="s">
        <v>668</v>
      </c>
      <c r="G102" s="1184">
        <f t="shared" si="270"/>
        <v>0</v>
      </c>
      <c r="H102" s="1185">
        <f t="shared" si="270"/>
        <v>0</v>
      </c>
      <c r="I102" s="1185">
        <f t="shared" si="270"/>
        <v>0</v>
      </c>
      <c r="J102" s="1860" t="str">
        <f t="shared" si="271"/>
        <v>-</v>
      </c>
      <c r="K102" s="1184">
        <f t="shared" si="272"/>
        <v>0</v>
      </c>
      <c r="L102" s="1185">
        <f t="shared" si="272"/>
        <v>0</v>
      </c>
      <c r="M102" s="1185">
        <f t="shared" si="272"/>
        <v>0</v>
      </c>
      <c r="N102" s="1860" t="str">
        <f t="shared" si="248"/>
        <v>-</v>
      </c>
      <c r="O102" s="1013"/>
      <c r="P102" s="1014"/>
      <c r="Q102" s="1014"/>
      <c r="R102" s="1458" t="str">
        <f t="shared" si="249"/>
        <v>-</v>
      </c>
      <c r="S102" s="1013"/>
      <c r="T102" s="1014"/>
      <c r="U102" s="1014"/>
      <c r="V102" s="1458" t="str">
        <f t="shared" si="250"/>
        <v>-</v>
      </c>
      <c r="W102" s="1013"/>
      <c r="X102" s="1014"/>
      <c r="Y102" s="1014"/>
      <c r="Z102" s="1458" t="str">
        <f t="shared" si="251"/>
        <v>-</v>
      </c>
      <c r="AA102" s="1013"/>
      <c r="AB102" s="1014"/>
      <c r="AC102" s="1014"/>
      <c r="AD102" s="1458" t="str">
        <f t="shared" si="252"/>
        <v>-</v>
      </c>
      <c r="AE102" s="1184">
        <f t="shared" si="273"/>
        <v>0</v>
      </c>
      <c r="AF102" s="1185">
        <f t="shared" si="273"/>
        <v>0</v>
      </c>
      <c r="AG102" s="1185">
        <f t="shared" si="273"/>
        <v>0</v>
      </c>
      <c r="AH102" s="1860" t="str">
        <f t="shared" si="254"/>
        <v>-</v>
      </c>
      <c r="AI102" s="1013"/>
      <c r="AJ102" s="1014"/>
      <c r="AK102" s="1014"/>
      <c r="AL102" s="1458" t="str">
        <f t="shared" si="255"/>
        <v>-</v>
      </c>
      <c r="AM102" s="1013"/>
      <c r="AN102" s="1014"/>
      <c r="AO102" s="1014"/>
      <c r="AP102" s="1458" t="str">
        <f t="shared" si="256"/>
        <v>-</v>
      </c>
      <c r="AQ102" s="1013"/>
      <c r="AR102" s="1014"/>
      <c r="AS102" s="1014"/>
      <c r="AT102" s="1458" t="str">
        <f t="shared" si="257"/>
        <v>-</v>
      </c>
      <c r="AU102" s="509"/>
      <c r="AV102" s="509"/>
      <c r="AW102" s="509"/>
      <c r="AX102" s="509"/>
      <c r="AY102" s="509"/>
    </row>
    <row r="103" spans="1:51" s="507" customFormat="1" ht="12.75" thickBot="1">
      <c r="A103" s="548" t="s">
        <v>640</v>
      </c>
      <c r="B103" s="1204"/>
      <c r="C103" s="1327" t="s">
        <v>933</v>
      </c>
      <c r="D103" s="1328"/>
      <c r="E103" s="1328"/>
      <c r="F103" s="1329"/>
      <c r="G103" s="538">
        <f>SUM(G100:G102)</f>
        <v>28850</v>
      </c>
      <c r="H103" s="539">
        <f>SUM(H100:H102)</f>
        <v>23715</v>
      </c>
      <c r="I103" s="539">
        <f>SUM(I100:I102)</f>
        <v>23715</v>
      </c>
      <c r="J103" s="1459">
        <f t="shared" si="271"/>
        <v>1</v>
      </c>
      <c r="K103" s="538">
        <f t="shared" ref="K103" si="274">SUM(K100:K102)</f>
        <v>28850</v>
      </c>
      <c r="L103" s="539">
        <f t="shared" ref="L103:M103" si="275">SUM(L100:L102)</f>
        <v>23715</v>
      </c>
      <c r="M103" s="539">
        <f t="shared" si="275"/>
        <v>23715</v>
      </c>
      <c r="N103" s="1459">
        <f t="shared" si="248"/>
        <v>1</v>
      </c>
      <c r="O103" s="519">
        <f t="shared" ref="N103:AR103" si="276">SUM(O100:O102)</f>
        <v>0</v>
      </c>
      <c r="P103" s="368">
        <f t="shared" si="276"/>
        <v>0</v>
      </c>
      <c r="Q103" s="368">
        <f t="shared" ref="P103:Q103" si="277">SUM(Q100:Q102)</f>
        <v>0</v>
      </c>
      <c r="R103" s="1459" t="str">
        <f t="shared" si="249"/>
        <v>-</v>
      </c>
      <c r="S103" s="519">
        <f t="shared" si="276"/>
        <v>0</v>
      </c>
      <c r="T103" s="368">
        <f t="shared" si="276"/>
        <v>0</v>
      </c>
      <c r="U103" s="368">
        <f t="shared" ref="T103:V103" si="278">SUM(U100:U102)</f>
        <v>0</v>
      </c>
      <c r="V103" s="1459" t="str">
        <f t="shared" si="250"/>
        <v>-</v>
      </c>
      <c r="W103" s="519">
        <f t="shared" si="276"/>
        <v>28850</v>
      </c>
      <c r="X103" s="368">
        <f t="shared" si="276"/>
        <v>23715</v>
      </c>
      <c r="Y103" s="368">
        <f t="shared" ref="X103:Z103" si="279">SUM(Y100:Y102)</f>
        <v>23715</v>
      </c>
      <c r="Z103" s="1459">
        <f t="shared" si="251"/>
        <v>1</v>
      </c>
      <c r="AA103" s="519">
        <f t="shared" si="276"/>
        <v>0</v>
      </c>
      <c r="AB103" s="368">
        <f t="shared" si="276"/>
        <v>0</v>
      </c>
      <c r="AC103" s="368">
        <f t="shared" ref="AB103:AD103" si="280">SUM(AC100:AC102)</f>
        <v>0</v>
      </c>
      <c r="AD103" s="1459" t="str">
        <f t="shared" si="252"/>
        <v>-</v>
      </c>
      <c r="AE103" s="538">
        <f t="shared" si="276"/>
        <v>0</v>
      </c>
      <c r="AF103" s="539">
        <f t="shared" ref="AF103:AG103" si="281">SUM(AF100:AF102)</f>
        <v>0</v>
      </c>
      <c r="AG103" s="539">
        <f t="shared" si="281"/>
        <v>0</v>
      </c>
      <c r="AH103" s="1459" t="str">
        <f t="shared" si="254"/>
        <v>-</v>
      </c>
      <c r="AI103" s="519">
        <f t="shared" si="276"/>
        <v>0</v>
      </c>
      <c r="AJ103" s="368">
        <f t="shared" si="276"/>
        <v>0</v>
      </c>
      <c r="AK103" s="368">
        <f t="shared" ref="AJ103:AL103" si="282">SUM(AK100:AK102)</f>
        <v>0</v>
      </c>
      <c r="AL103" s="1459" t="str">
        <f t="shared" si="255"/>
        <v>-</v>
      </c>
      <c r="AM103" s="519">
        <f t="shared" si="276"/>
        <v>0</v>
      </c>
      <c r="AN103" s="368">
        <f t="shared" si="276"/>
        <v>0</v>
      </c>
      <c r="AO103" s="368">
        <f t="shared" ref="AN103:AP103" si="283">SUM(AO100:AO102)</f>
        <v>0</v>
      </c>
      <c r="AP103" s="1459" t="str">
        <f t="shared" si="256"/>
        <v>-</v>
      </c>
      <c r="AQ103" s="519">
        <f t="shared" si="276"/>
        <v>0</v>
      </c>
      <c r="AR103" s="368">
        <f t="shared" si="276"/>
        <v>0</v>
      </c>
      <c r="AS103" s="368">
        <f t="shared" ref="AR103:AT103" si="284">SUM(AS100:AS102)</f>
        <v>0</v>
      </c>
      <c r="AT103" s="1459" t="str">
        <f t="shared" si="257"/>
        <v>-</v>
      </c>
      <c r="AU103" s="509"/>
      <c r="AV103" s="509"/>
      <c r="AW103" s="509"/>
      <c r="AX103" s="509"/>
      <c r="AY103" s="509"/>
    </row>
    <row r="104" spans="1:51">
      <c r="A104" s="552">
        <f>+A102+1</f>
        <v>89</v>
      </c>
      <c r="B104" s="1019">
        <v>18</v>
      </c>
      <c r="C104" s="425" t="s">
        <v>793</v>
      </c>
      <c r="D104" s="979" t="s">
        <v>792</v>
      </c>
      <c r="E104" s="974" t="s">
        <v>699</v>
      </c>
      <c r="F104" s="1005" t="s">
        <v>666</v>
      </c>
      <c r="G104" s="1180">
        <f t="shared" ref="G104:J110" si="285">+K104+AE104</f>
        <v>0</v>
      </c>
      <c r="H104" s="1181">
        <f t="shared" si="285"/>
        <v>2827</v>
      </c>
      <c r="I104" s="1181">
        <f t="shared" si="285"/>
        <v>2827</v>
      </c>
      <c r="J104" s="1860">
        <f t="shared" ref="J104:J112" si="286">IF(ISERROR(I104/H104),"-",I104/H104)</f>
        <v>1</v>
      </c>
      <c r="K104" s="1180">
        <f t="shared" ref="K104:N110" si="287">+O104+S104+W104+AA104</f>
        <v>0</v>
      </c>
      <c r="L104" s="1181">
        <f t="shared" si="287"/>
        <v>2827</v>
      </c>
      <c r="M104" s="1181">
        <f t="shared" si="287"/>
        <v>2827</v>
      </c>
      <c r="N104" s="1860">
        <f t="shared" si="248"/>
        <v>1</v>
      </c>
      <c r="O104" s="1009"/>
      <c r="P104" s="1010">
        <v>2827</v>
      </c>
      <c r="Q104" s="1010">
        <v>2827</v>
      </c>
      <c r="R104" s="1458">
        <f t="shared" si="249"/>
        <v>1</v>
      </c>
      <c r="S104" s="1009"/>
      <c r="T104" s="1010"/>
      <c r="U104" s="1010"/>
      <c r="V104" s="1458" t="str">
        <f t="shared" si="250"/>
        <v>-</v>
      </c>
      <c r="W104" s="1009"/>
      <c r="X104" s="1010"/>
      <c r="Y104" s="1010"/>
      <c r="Z104" s="1458" t="str">
        <f t="shared" si="251"/>
        <v>-</v>
      </c>
      <c r="AA104" s="1009"/>
      <c r="AB104" s="1010"/>
      <c r="AC104" s="1010"/>
      <c r="AD104" s="1458" t="str">
        <f t="shared" si="252"/>
        <v>-</v>
      </c>
      <c r="AE104" s="1180">
        <f t="shared" ref="AE104:AH110" si="288">+AI104+AM104+AQ104</f>
        <v>0</v>
      </c>
      <c r="AF104" s="1181">
        <f t="shared" si="288"/>
        <v>0</v>
      </c>
      <c r="AG104" s="1181">
        <f t="shared" si="288"/>
        <v>0</v>
      </c>
      <c r="AH104" s="1860" t="str">
        <f t="shared" si="254"/>
        <v>-</v>
      </c>
      <c r="AI104" s="1009"/>
      <c r="AJ104" s="1010"/>
      <c r="AK104" s="1010"/>
      <c r="AL104" s="1458" t="str">
        <f t="shared" si="255"/>
        <v>-</v>
      </c>
      <c r="AM104" s="1009"/>
      <c r="AN104" s="1010"/>
      <c r="AO104" s="1010"/>
      <c r="AP104" s="1458" t="str">
        <f t="shared" si="256"/>
        <v>-</v>
      </c>
      <c r="AQ104" s="1009"/>
      <c r="AR104" s="1010"/>
      <c r="AS104" s="1010"/>
      <c r="AT104" s="1458" t="str">
        <f t="shared" si="257"/>
        <v>-</v>
      </c>
      <c r="AU104" s="509"/>
      <c r="AV104" s="509"/>
      <c r="AW104" s="509"/>
      <c r="AX104" s="509"/>
      <c r="AY104" s="509"/>
    </row>
    <row r="105" spans="1:51">
      <c r="A105" s="552">
        <f t="shared" ref="A105:A110" si="289">+A104+1</f>
        <v>90</v>
      </c>
      <c r="B105" s="1019">
        <v>18</v>
      </c>
      <c r="C105" s="425" t="s">
        <v>793</v>
      </c>
      <c r="D105" s="979" t="s">
        <v>792</v>
      </c>
      <c r="E105" s="974" t="s">
        <v>700</v>
      </c>
      <c r="F105" s="1005" t="s">
        <v>667</v>
      </c>
      <c r="G105" s="1180">
        <f t="shared" si="285"/>
        <v>0</v>
      </c>
      <c r="H105" s="1181">
        <f t="shared" si="285"/>
        <v>0</v>
      </c>
      <c r="I105" s="1181">
        <f t="shared" si="285"/>
        <v>0</v>
      </c>
      <c r="J105" s="1860" t="str">
        <f t="shared" si="286"/>
        <v>-</v>
      </c>
      <c r="K105" s="1180">
        <f t="shared" si="287"/>
        <v>0</v>
      </c>
      <c r="L105" s="1181">
        <f t="shared" si="287"/>
        <v>0</v>
      </c>
      <c r="M105" s="1181">
        <f t="shared" si="287"/>
        <v>0</v>
      </c>
      <c r="N105" s="1860" t="str">
        <f t="shared" si="248"/>
        <v>-</v>
      </c>
      <c r="O105" s="1009"/>
      <c r="P105" s="1010"/>
      <c r="Q105" s="1010"/>
      <c r="R105" s="1458" t="str">
        <f t="shared" si="249"/>
        <v>-</v>
      </c>
      <c r="S105" s="1009"/>
      <c r="T105" s="1010"/>
      <c r="U105" s="1010"/>
      <c r="V105" s="1458" t="str">
        <f t="shared" si="250"/>
        <v>-</v>
      </c>
      <c r="W105" s="1009"/>
      <c r="X105" s="1010"/>
      <c r="Y105" s="1010"/>
      <c r="Z105" s="1458" t="str">
        <f t="shared" si="251"/>
        <v>-</v>
      </c>
      <c r="AA105" s="1009"/>
      <c r="AB105" s="1010"/>
      <c r="AC105" s="1010"/>
      <c r="AD105" s="1458" t="str">
        <f t="shared" si="252"/>
        <v>-</v>
      </c>
      <c r="AE105" s="1180">
        <f t="shared" si="288"/>
        <v>0</v>
      </c>
      <c r="AF105" s="1181">
        <f t="shared" si="288"/>
        <v>0</v>
      </c>
      <c r="AG105" s="1181">
        <f t="shared" si="288"/>
        <v>0</v>
      </c>
      <c r="AH105" s="1860" t="str">
        <f t="shared" si="254"/>
        <v>-</v>
      </c>
      <c r="AI105" s="1009"/>
      <c r="AJ105" s="1010"/>
      <c r="AK105" s="1010"/>
      <c r="AL105" s="1458" t="str">
        <f t="shared" si="255"/>
        <v>-</v>
      </c>
      <c r="AM105" s="1009"/>
      <c r="AN105" s="1010"/>
      <c r="AO105" s="1010"/>
      <c r="AP105" s="1458" t="str">
        <f t="shared" si="256"/>
        <v>-</v>
      </c>
      <c r="AQ105" s="1009"/>
      <c r="AR105" s="1010"/>
      <c r="AS105" s="1010"/>
      <c r="AT105" s="1458" t="str">
        <f t="shared" si="257"/>
        <v>-</v>
      </c>
      <c r="AU105" s="509"/>
      <c r="AV105" s="509"/>
      <c r="AW105" s="509"/>
      <c r="AX105" s="509"/>
      <c r="AY105" s="509"/>
    </row>
    <row r="106" spans="1:51">
      <c r="A106" s="552">
        <f t="shared" si="289"/>
        <v>91</v>
      </c>
      <c r="B106" s="1019">
        <v>18</v>
      </c>
      <c r="C106" s="425" t="s">
        <v>793</v>
      </c>
      <c r="D106" s="979" t="s">
        <v>792</v>
      </c>
      <c r="E106" s="974" t="s">
        <v>701</v>
      </c>
      <c r="F106" s="1005" t="s">
        <v>790</v>
      </c>
      <c r="G106" s="1180">
        <f t="shared" si="285"/>
        <v>0</v>
      </c>
      <c r="H106" s="1181">
        <f t="shared" si="285"/>
        <v>0</v>
      </c>
      <c r="I106" s="1181">
        <f t="shared" si="285"/>
        <v>0</v>
      </c>
      <c r="J106" s="1860" t="str">
        <f t="shared" si="286"/>
        <v>-</v>
      </c>
      <c r="K106" s="1180">
        <f t="shared" si="287"/>
        <v>0</v>
      </c>
      <c r="L106" s="1181">
        <f t="shared" si="287"/>
        <v>0</v>
      </c>
      <c r="M106" s="1181">
        <f t="shared" si="287"/>
        <v>0</v>
      </c>
      <c r="N106" s="1860" t="str">
        <f t="shared" si="248"/>
        <v>-</v>
      </c>
      <c r="O106" s="1009"/>
      <c r="P106" s="1010"/>
      <c r="Q106" s="1010"/>
      <c r="R106" s="1458" t="str">
        <f t="shared" si="249"/>
        <v>-</v>
      </c>
      <c r="S106" s="1009"/>
      <c r="T106" s="1010"/>
      <c r="U106" s="1010"/>
      <c r="V106" s="1458" t="str">
        <f t="shared" si="250"/>
        <v>-</v>
      </c>
      <c r="W106" s="1009"/>
      <c r="X106" s="1010"/>
      <c r="Y106" s="1010"/>
      <c r="Z106" s="1458" t="str">
        <f t="shared" si="251"/>
        <v>-</v>
      </c>
      <c r="AA106" s="1009"/>
      <c r="AB106" s="1010"/>
      <c r="AC106" s="1010"/>
      <c r="AD106" s="1458" t="str">
        <f t="shared" si="252"/>
        <v>-</v>
      </c>
      <c r="AE106" s="1180">
        <f t="shared" si="288"/>
        <v>0</v>
      </c>
      <c r="AF106" s="1181">
        <f t="shared" si="288"/>
        <v>0</v>
      </c>
      <c r="AG106" s="1181">
        <f t="shared" si="288"/>
        <v>0</v>
      </c>
      <c r="AH106" s="1860" t="str">
        <f t="shared" si="254"/>
        <v>-</v>
      </c>
      <c r="AI106" s="1009"/>
      <c r="AJ106" s="1010"/>
      <c r="AK106" s="1010"/>
      <c r="AL106" s="1458" t="str">
        <f t="shared" si="255"/>
        <v>-</v>
      </c>
      <c r="AM106" s="1009"/>
      <c r="AN106" s="1010"/>
      <c r="AO106" s="1010"/>
      <c r="AP106" s="1458" t="str">
        <f t="shared" si="256"/>
        <v>-</v>
      </c>
      <c r="AQ106" s="1009"/>
      <c r="AR106" s="1010"/>
      <c r="AS106" s="1010"/>
      <c r="AT106" s="1458" t="str">
        <f t="shared" si="257"/>
        <v>-</v>
      </c>
      <c r="AU106" s="509"/>
      <c r="AV106" s="509"/>
      <c r="AW106" s="509"/>
      <c r="AX106" s="509"/>
      <c r="AY106" s="509"/>
    </row>
    <row r="107" spans="1:51">
      <c r="A107" s="552">
        <f t="shared" si="289"/>
        <v>92</v>
      </c>
      <c r="B107" s="1019">
        <v>18</v>
      </c>
      <c r="C107" s="425" t="s">
        <v>793</v>
      </c>
      <c r="D107" s="979" t="s">
        <v>792</v>
      </c>
      <c r="E107" s="974" t="s">
        <v>702</v>
      </c>
      <c r="F107" s="1005" t="s">
        <v>791</v>
      </c>
      <c r="G107" s="1180">
        <f t="shared" si="285"/>
        <v>0</v>
      </c>
      <c r="H107" s="1181">
        <f t="shared" si="285"/>
        <v>0</v>
      </c>
      <c r="I107" s="1181">
        <f t="shared" si="285"/>
        <v>0</v>
      </c>
      <c r="J107" s="1860" t="str">
        <f t="shared" si="286"/>
        <v>-</v>
      </c>
      <c r="K107" s="1180">
        <f t="shared" si="287"/>
        <v>0</v>
      </c>
      <c r="L107" s="1181">
        <f t="shared" si="287"/>
        <v>0</v>
      </c>
      <c r="M107" s="1181">
        <f t="shared" si="287"/>
        <v>0</v>
      </c>
      <c r="N107" s="1860" t="str">
        <f t="shared" si="248"/>
        <v>-</v>
      </c>
      <c r="O107" s="1009"/>
      <c r="P107" s="1010"/>
      <c r="Q107" s="1010"/>
      <c r="R107" s="1458" t="str">
        <f t="shared" si="249"/>
        <v>-</v>
      </c>
      <c r="S107" s="1009"/>
      <c r="T107" s="1010"/>
      <c r="U107" s="1010"/>
      <c r="V107" s="1458" t="str">
        <f t="shared" si="250"/>
        <v>-</v>
      </c>
      <c r="W107" s="1009"/>
      <c r="X107" s="1010"/>
      <c r="Y107" s="1010"/>
      <c r="Z107" s="1458" t="str">
        <f t="shared" si="251"/>
        <v>-</v>
      </c>
      <c r="AA107" s="1009"/>
      <c r="AB107" s="1010"/>
      <c r="AC107" s="1010"/>
      <c r="AD107" s="1458" t="str">
        <f t="shared" si="252"/>
        <v>-</v>
      </c>
      <c r="AE107" s="1180">
        <f t="shared" si="288"/>
        <v>0</v>
      </c>
      <c r="AF107" s="1181">
        <f t="shared" si="288"/>
        <v>0</v>
      </c>
      <c r="AG107" s="1181">
        <f t="shared" si="288"/>
        <v>0</v>
      </c>
      <c r="AH107" s="1860" t="str">
        <f t="shared" si="254"/>
        <v>-</v>
      </c>
      <c r="AI107" s="1009"/>
      <c r="AJ107" s="1010"/>
      <c r="AK107" s="1010"/>
      <c r="AL107" s="1458" t="str">
        <f t="shared" si="255"/>
        <v>-</v>
      </c>
      <c r="AM107" s="1009"/>
      <c r="AN107" s="1010"/>
      <c r="AO107" s="1010"/>
      <c r="AP107" s="1458" t="str">
        <f t="shared" si="256"/>
        <v>-</v>
      </c>
      <c r="AQ107" s="1009"/>
      <c r="AR107" s="1010"/>
      <c r="AS107" s="1010"/>
      <c r="AT107" s="1458" t="str">
        <f t="shared" si="257"/>
        <v>-</v>
      </c>
      <c r="AU107" s="509"/>
      <c r="AV107" s="509"/>
      <c r="AW107" s="509"/>
      <c r="AX107" s="509"/>
      <c r="AY107" s="509"/>
    </row>
    <row r="108" spans="1:51">
      <c r="A108" s="552">
        <f t="shared" si="289"/>
        <v>93</v>
      </c>
      <c r="B108" s="1019">
        <v>18</v>
      </c>
      <c r="C108" s="425" t="s">
        <v>718</v>
      </c>
      <c r="D108" s="979" t="s">
        <v>717</v>
      </c>
      <c r="E108" s="974" t="s">
        <v>671</v>
      </c>
      <c r="F108" s="1005" t="s">
        <v>644</v>
      </c>
      <c r="G108" s="1180">
        <f t="shared" si="285"/>
        <v>0</v>
      </c>
      <c r="H108" s="1181">
        <f t="shared" si="285"/>
        <v>0</v>
      </c>
      <c r="I108" s="1181">
        <f t="shared" si="285"/>
        <v>0</v>
      </c>
      <c r="J108" s="1860" t="str">
        <f t="shared" si="286"/>
        <v>-</v>
      </c>
      <c r="K108" s="1180">
        <f t="shared" si="287"/>
        <v>0</v>
      </c>
      <c r="L108" s="1181">
        <f t="shared" si="287"/>
        <v>0</v>
      </c>
      <c r="M108" s="1181">
        <f t="shared" si="287"/>
        <v>0</v>
      </c>
      <c r="N108" s="1860" t="str">
        <f t="shared" si="248"/>
        <v>-</v>
      </c>
      <c r="O108" s="1009"/>
      <c r="P108" s="1010"/>
      <c r="Q108" s="1010"/>
      <c r="R108" s="1458" t="str">
        <f t="shared" si="249"/>
        <v>-</v>
      </c>
      <c r="S108" s="1009"/>
      <c r="T108" s="1010"/>
      <c r="U108" s="1010"/>
      <c r="V108" s="1458" t="str">
        <f t="shared" si="250"/>
        <v>-</v>
      </c>
      <c r="W108" s="1009"/>
      <c r="X108" s="1010"/>
      <c r="Y108" s="1010"/>
      <c r="Z108" s="1458" t="str">
        <f t="shared" si="251"/>
        <v>-</v>
      </c>
      <c r="AA108" s="1009"/>
      <c r="AB108" s="1010"/>
      <c r="AC108" s="1010"/>
      <c r="AD108" s="1458" t="str">
        <f t="shared" si="252"/>
        <v>-</v>
      </c>
      <c r="AE108" s="1180">
        <f t="shared" si="288"/>
        <v>0</v>
      </c>
      <c r="AF108" s="1181">
        <f t="shared" si="288"/>
        <v>0</v>
      </c>
      <c r="AG108" s="1181">
        <f t="shared" si="288"/>
        <v>0</v>
      </c>
      <c r="AH108" s="1860" t="str">
        <f t="shared" si="254"/>
        <v>-</v>
      </c>
      <c r="AI108" s="1009"/>
      <c r="AJ108" s="1010"/>
      <c r="AK108" s="1010"/>
      <c r="AL108" s="1458" t="str">
        <f t="shared" si="255"/>
        <v>-</v>
      </c>
      <c r="AM108" s="1009"/>
      <c r="AN108" s="1010"/>
      <c r="AO108" s="1010"/>
      <c r="AP108" s="1458" t="str">
        <f t="shared" si="256"/>
        <v>-</v>
      </c>
      <c r="AQ108" s="1009"/>
      <c r="AR108" s="1010"/>
      <c r="AS108" s="1010"/>
      <c r="AT108" s="1458" t="str">
        <f t="shared" si="257"/>
        <v>-</v>
      </c>
      <c r="AU108" s="509"/>
      <c r="AV108" s="509"/>
      <c r="AW108" s="509"/>
      <c r="AX108" s="509"/>
      <c r="AY108" s="509"/>
    </row>
    <row r="109" spans="1:51">
      <c r="A109" s="552">
        <f t="shared" si="289"/>
        <v>94</v>
      </c>
      <c r="B109" s="1019">
        <v>18</v>
      </c>
      <c r="C109" s="425" t="s">
        <v>1073</v>
      </c>
      <c r="D109" s="979" t="s">
        <v>1074</v>
      </c>
      <c r="E109" s="974" t="s">
        <v>1075</v>
      </c>
      <c r="F109" s="1005" t="s">
        <v>1076</v>
      </c>
      <c r="G109" s="1180">
        <f t="shared" si="285"/>
        <v>0</v>
      </c>
      <c r="H109" s="1181">
        <f t="shared" si="285"/>
        <v>0</v>
      </c>
      <c r="I109" s="1181">
        <f t="shared" si="285"/>
        <v>0</v>
      </c>
      <c r="J109" s="1860" t="str">
        <f t="shared" si="286"/>
        <v>-</v>
      </c>
      <c r="K109" s="1180">
        <f t="shared" si="287"/>
        <v>0</v>
      </c>
      <c r="L109" s="1181">
        <f t="shared" si="287"/>
        <v>0</v>
      </c>
      <c r="M109" s="1181">
        <f t="shared" si="287"/>
        <v>0</v>
      </c>
      <c r="N109" s="1860" t="str">
        <f t="shared" si="248"/>
        <v>-</v>
      </c>
      <c r="O109" s="1009"/>
      <c r="P109" s="1010"/>
      <c r="Q109" s="1010"/>
      <c r="R109" s="1458" t="str">
        <f t="shared" si="249"/>
        <v>-</v>
      </c>
      <c r="S109" s="1009"/>
      <c r="T109" s="1010"/>
      <c r="U109" s="1010"/>
      <c r="V109" s="1458" t="str">
        <f t="shared" si="250"/>
        <v>-</v>
      </c>
      <c r="W109" s="1009"/>
      <c r="X109" s="1010"/>
      <c r="Y109" s="1010"/>
      <c r="Z109" s="1458" t="str">
        <f t="shared" si="251"/>
        <v>-</v>
      </c>
      <c r="AA109" s="1009"/>
      <c r="AB109" s="1010"/>
      <c r="AC109" s="1010"/>
      <c r="AD109" s="1458" t="str">
        <f t="shared" si="252"/>
        <v>-</v>
      </c>
      <c r="AE109" s="1180">
        <f t="shared" si="288"/>
        <v>0</v>
      </c>
      <c r="AF109" s="1181">
        <f t="shared" si="288"/>
        <v>0</v>
      </c>
      <c r="AG109" s="1181">
        <f t="shared" si="288"/>
        <v>0</v>
      </c>
      <c r="AH109" s="1860" t="str">
        <f t="shared" si="254"/>
        <v>-</v>
      </c>
      <c r="AI109" s="1009"/>
      <c r="AJ109" s="1010"/>
      <c r="AK109" s="1010"/>
      <c r="AL109" s="1458" t="str">
        <f t="shared" si="255"/>
        <v>-</v>
      </c>
      <c r="AM109" s="1009"/>
      <c r="AN109" s="1010"/>
      <c r="AO109" s="1010"/>
      <c r="AP109" s="1458" t="str">
        <f t="shared" si="256"/>
        <v>-</v>
      </c>
      <c r="AQ109" s="1009"/>
      <c r="AR109" s="1010"/>
      <c r="AS109" s="1010"/>
      <c r="AT109" s="1458" t="str">
        <f t="shared" si="257"/>
        <v>-</v>
      </c>
      <c r="AU109" s="509"/>
      <c r="AV109" s="509"/>
      <c r="AW109" s="509"/>
      <c r="AX109" s="509"/>
      <c r="AY109" s="509"/>
    </row>
    <row r="110" spans="1:51" ht="12.75" thickBot="1">
      <c r="A110" s="552">
        <f t="shared" si="289"/>
        <v>95</v>
      </c>
      <c r="B110" s="1019">
        <v>18</v>
      </c>
      <c r="C110" s="425" t="s">
        <v>1085</v>
      </c>
      <c r="D110" s="979" t="s">
        <v>1084</v>
      </c>
      <c r="E110" s="974" t="s">
        <v>1075</v>
      </c>
      <c r="F110" s="1005" t="s">
        <v>1076</v>
      </c>
      <c r="G110" s="1180">
        <f t="shared" si="285"/>
        <v>0</v>
      </c>
      <c r="H110" s="1181">
        <f t="shared" si="285"/>
        <v>0</v>
      </c>
      <c r="I110" s="1181">
        <f t="shared" si="285"/>
        <v>0</v>
      </c>
      <c r="J110" s="1860" t="str">
        <f t="shared" si="286"/>
        <v>-</v>
      </c>
      <c r="K110" s="1180">
        <f t="shared" si="287"/>
        <v>0</v>
      </c>
      <c r="L110" s="1181">
        <f t="shared" si="287"/>
        <v>0</v>
      </c>
      <c r="M110" s="1181">
        <f t="shared" si="287"/>
        <v>0</v>
      </c>
      <c r="N110" s="1860" t="str">
        <f t="shared" si="248"/>
        <v>-</v>
      </c>
      <c r="O110" s="1009"/>
      <c r="P110" s="1010"/>
      <c r="Q110" s="1010"/>
      <c r="R110" s="1458" t="str">
        <f t="shared" si="249"/>
        <v>-</v>
      </c>
      <c r="S110" s="1009"/>
      <c r="T110" s="1010"/>
      <c r="U110" s="1010"/>
      <c r="V110" s="1458" t="str">
        <f t="shared" si="250"/>
        <v>-</v>
      </c>
      <c r="W110" s="1009"/>
      <c r="X110" s="1010"/>
      <c r="Y110" s="1010"/>
      <c r="Z110" s="1458" t="str">
        <f t="shared" si="251"/>
        <v>-</v>
      </c>
      <c r="AA110" s="1009"/>
      <c r="AB110" s="1010"/>
      <c r="AC110" s="1010"/>
      <c r="AD110" s="1458" t="str">
        <f t="shared" si="252"/>
        <v>-</v>
      </c>
      <c r="AE110" s="1180">
        <f t="shared" si="288"/>
        <v>0</v>
      </c>
      <c r="AF110" s="1181">
        <f t="shared" si="288"/>
        <v>0</v>
      </c>
      <c r="AG110" s="1181">
        <f t="shared" si="288"/>
        <v>0</v>
      </c>
      <c r="AH110" s="1860" t="str">
        <f t="shared" si="254"/>
        <v>-</v>
      </c>
      <c r="AI110" s="1009"/>
      <c r="AJ110" s="1010"/>
      <c r="AK110" s="1010"/>
      <c r="AL110" s="1458" t="str">
        <f t="shared" si="255"/>
        <v>-</v>
      </c>
      <c r="AM110" s="1009"/>
      <c r="AN110" s="1010"/>
      <c r="AO110" s="1010"/>
      <c r="AP110" s="1458" t="str">
        <f t="shared" si="256"/>
        <v>-</v>
      </c>
      <c r="AQ110" s="1009"/>
      <c r="AR110" s="1010"/>
      <c r="AS110" s="1010"/>
      <c r="AT110" s="1458" t="str">
        <f t="shared" si="257"/>
        <v>-</v>
      </c>
      <c r="AU110" s="509"/>
      <c r="AV110" s="509"/>
      <c r="AW110" s="509"/>
      <c r="AX110" s="509"/>
      <c r="AY110" s="509"/>
    </row>
    <row r="111" spans="1:51" s="507" customFormat="1" ht="12.75" thickBot="1">
      <c r="A111" s="548" t="s">
        <v>801</v>
      </c>
      <c r="B111" s="1204"/>
      <c r="C111" s="1327" t="s">
        <v>934</v>
      </c>
      <c r="D111" s="1328"/>
      <c r="E111" s="1328"/>
      <c r="F111" s="1329"/>
      <c r="G111" s="538">
        <f>SUM(G104:G110)</f>
        <v>0</v>
      </c>
      <c r="H111" s="539">
        <f>SUM(H104:H110)</f>
        <v>2827</v>
      </c>
      <c r="I111" s="539">
        <f>SUM(I104:I110)</f>
        <v>2827</v>
      </c>
      <c r="J111" s="1459">
        <f t="shared" si="286"/>
        <v>1</v>
      </c>
      <c r="K111" s="538">
        <f t="shared" ref="K111" si="290">SUM(K104:K110)</f>
        <v>0</v>
      </c>
      <c r="L111" s="539">
        <f t="shared" ref="L111:M111" si="291">SUM(L104:L110)</f>
        <v>2827</v>
      </c>
      <c r="M111" s="539">
        <f t="shared" si="291"/>
        <v>2827</v>
      </c>
      <c r="N111" s="1459">
        <f t="shared" si="248"/>
        <v>1</v>
      </c>
      <c r="O111" s="519">
        <f t="shared" ref="N111:AR111" si="292">SUM(O104:O110)</f>
        <v>0</v>
      </c>
      <c r="P111" s="368">
        <f t="shared" si="292"/>
        <v>2827</v>
      </c>
      <c r="Q111" s="368">
        <f t="shared" ref="P111:Q111" si="293">SUM(Q104:Q110)</f>
        <v>2827</v>
      </c>
      <c r="R111" s="1459">
        <f t="shared" si="249"/>
        <v>1</v>
      </c>
      <c r="S111" s="519">
        <f t="shared" si="292"/>
        <v>0</v>
      </c>
      <c r="T111" s="368">
        <f t="shared" si="292"/>
        <v>0</v>
      </c>
      <c r="U111" s="368">
        <f t="shared" ref="T111:V111" si="294">SUM(U104:U110)</f>
        <v>0</v>
      </c>
      <c r="V111" s="1459" t="str">
        <f t="shared" si="250"/>
        <v>-</v>
      </c>
      <c r="W111" s="519">
        <f t="shared" si="292"/>
        <v>0</v>
      </c>
      <c r="X111" s="368">
        <f t="shared" si="292"/>
        <v>0</v>
      </c>
      <c r="Y111" s="368">
        <f t="shared" ref="X111:Z111" si="295">SUM(Y104:Y110)</f>
        <v>0</v>
      </c>
      <c r="Z111" s="1459" t="str">
        <f t="shared" si="251"/>
        <v>-</v>
      </c>
      <c r="AA111" s="519">
        <f t="shared" si="292"/>
        <v>0</v>
      </c>
      <c r="AB111" s="368">
        <f t="shared" si="292"/>
        <v>0</v>
      </c>
      <c r="AC111" s="368">
        <f t="shared" ref="AB111:AD111" si="296">SUM(AC104:AC110)</f>
        <v>0</v>
      </c>
      <c r="AD111" s="1459" t="str">
        <f t="shared" si="252"/>
        <v>-</v>
      </c>
      <c r="AE111" s="538">
        <f t="shared" si="292"/>
        <v>0</v>
      </c>
      <c r="AF111" s="539">
        <f t="shared" ref="AF111:AG111" si="297">SUM(AF104:AF110)</f>
        <v>0</v>
      </c>
      <c r="AG111" s="539">
        <f t="shared" si="297"/>
        <v>0</v>
      </c>
      <c r="AH111" s="1459" t="str">
        <f t="shared" si="254"/>
        <v>-</v>
      </c>
      <c r="AI111" s="519">
        <f t="shared" si="292"/>
        <v>0</v>
      </c>
      <c r="AJ111" s="368">
        <f t="shared" si="292"/>
        <v>0</v>
      </c>
      <c r="AK111" s="368">
        <f t="shared" ref="AJ111:AL111" si="298">SUM(AK104:AK110)</f>
        <v>0</v>
      </c>
      <c r="AL111" s="1459" t="str">
        <f t="shared" si="255"/>
        <v>-</v>
      </c>
      <c r="AM111" s="519">
        <f t="shared" si="292"/>
        <v>0</v>
      </c>
      <c r="AN111" s="368">
        <f t="shared" si="292"/>
        <v>0</v>
      </c>
      <c r="AO111" s="368">
        <f t="shared" ref="AN111:AP111" si="299">SUM(AO104:AO110)</f>
        <v>0</v>
      </c>
      <c r="AP111" s="1459" t="str">
        <f t="shared" si="256"/>
        <v>-</v>
      </c>
      <c r="AQ111" s="519">
        <f t="shared" si="292"/>
        <v>0</v>
      </c>
      <c r="AR111" s="368">
        <f t="shared" si="292"/>
        <v>0</v>
      </c>
      <c r="AS111" s="368">
        <f t="shared" ref="AR111:AT111" si="300">SUM(AS104:AS110)</f>
        <v>0</v>
      </c>
      <c r="AT111" s="1459" t="str">
        <f t="shared" si="257"/>
        <v>-</v>
      </c>
      <c r="AU111" s="509"/>
      <c r="AV111" s="509"/>
      <c r="AW111" s="509"/>
      <c r="AX111" s="509"/>
      <c r="AY111" s="509"/>
    </row>
    <row r="112" spans="1:51" s="507" customFormat="1" ht="12.75" thickBot="1">
      <c r="A112" s="549" t="s">
        <v>22</v>
      </c>
      <c r="B112" s="1021"/>
      <c r="C112" s="1336" t="s">
        <v>935</v>
      </c>
      <c r="D112" s="1337"/>
      <c r="E112" s="1337"/>
      <c r="F112" s="1338"/>
      <c r="G112" s="521">
        <f t="shared" ref="G112" si="301">+G99+G103+G111</f>
        <v>36941</v>
      </c>
      <c r="H112" s="522">
        <f t="shared" ref="H112:I112" si="302">+H99+H103+H111</f>
        <v>120714</v>
      </c>
      <c r="I112" s="522">
        <f t="shared" si="302"/>
        <v>119318</v>
      </c>
      <c r="J112" s="1869">
        <f t="shared" si="286"/>
        <v>0.98843547558692446</v>
      </c>
      <c r="K112" s="521">
        <f t="shared" ref="J112:AR112" si="303">+K99+K103+K111</f>
        <v>36941</v>
      </c>
      <c r="L112" s="522">
        <f t="shared" ref="L112:M112" si="304">+L99+L103+L111</f>
        <v>120714</v>
      </c>
      <c r="M112" s="522">
        <f t="shared" si="304"/>
        <v>119318</v>
      </c>
      <c r="N112" s="1869">
        <f t="shared" si="248"/>
        <v>0.98843547558692446</v>
      </c>
      <c r="O112" s="521">
        <f t="shared" si="303"/>
        <v>0</v>
      </c>
      <c r="P112" s="522">
        <f t="shared" si="303"/>
        <v>83431</v>
      </c>
      <c r="Q112" s="522">
        <f t="shared" ref="P112:Q112" si="305">+Q99+Q103+Q111</f>
        <v>83431</v>
      </c>
      <c r="R112" s="1869">
        <f t="shared" si="249"/>
        <v>1</v>
      </c>
      <c r="S112" s="521">
        <f t="shared" si="303"/>
        <v>0</v>
      </c>
      <c r="T112" s="522">
        <f t="shared" si="303"/>
        <v>10</v>
      </c>
      <c r="U112" s="522">
        <f t="shared" ref="T112:V112" si="306">+U99+U103+U111</f>
        <v>0</v>
      </c>
      <c r="V112" s="1869">
        <f t="shared" si="250"/>
        <v>0</v>
      </c>
      <c r="W112" s="521">
        <f t="shared" si="303"/>
        <v>36941</v>
      </c>
      <c r="X112" s="522">
        <f t="shared" si="303"/>
        <v>37273</v>
      </c>
      <c r="Y112" s="522">
        <f t="shared" ref="X112:Z112" si="307">+Y99+Y103+Y111</f>
        <v>35887</v>
      </c>
      <c r="Z112" s="1869">
        <f t="shared" si="251"/>
        <v>0.96281490623239341</v>
      </c>
      <c r="AA112" s="521">
        <f t="shared" si="303"/>
        <v>0</v>
      </c>
      <c r="AB112" s="522">
        <f t="shared" si="303"/>
        <v>0</v>
      </c>
      <c r="AC112" s="522">
        <f t="shared" ref="AB112:AD112" si="308">+AC99+AC103+AC111</f>
        <v>0</v>
      </c>
      <c r="AD112" s="1869" t="str">
        <f t="shared" si="252"/>
        <v>-</v>
      </c>
      <c r="AE112" s="521">
        <f t="shared" si="303"/>
        <v>0</v>
      </c>
      <c r="AF112" s="522">
        <f t="shared" ref="AF112:AG112" si="309">+AF99+AF103+AF111</f>
        <v>0</v>
      </c>
      <c r="AG112" s="522">
        <f t="shared" si="309"/>
        <v>0</v>
      </c>
      <c r="AH112" s="1869" t="str">
        <f t="shared" si="254"/>
        <v>-</v>
      </c>
      <c r="AI112" s="521">
        <f t="shared" si="303"/>
        <v>0</v>
      </c>
      <c r="AJ112" s="522">
        <f t="shared" si="303"/>
        <v>0</v>
      </c>
      <c r="AK112" s="522">
        <f t="shared" ref="AJ112:AL112" si="310">+AK99+AK103+AK111</f>
        <v>0</v>
      </c>
      <c r="AL112" s="1869" t="str">
        <f t="shared" si="255"/>
        <v>-</v>
      </c>
      <c r="AM112" s="521">
        <f t="shared" si="303"/>
        <v>0</v>
      </c>
      <c r="AN112" s="522">
        <f t="shared" si="303"/>
        <v>0</v>
      </c>
      <c r="AO112" s="522">
        <f t="shared" ref="AN112:AP112" si="311">+AO99+AO103+AO111</f>
        <v>0</v>
      </c>
      <c r="AP112" s="1869" t="str">
        <f t="shared" si="256"/>
        <v>-</v>
      </c>
      <c r="AQ112" s="521">
        <f t="shared" si="303"/>
        <v>0</v>
      </c>
      <c r="AR112" s="522">
        <f t="shared" si="303"/>
        <v>0</v>
      </c>
      <c r="AS112" s="522">
        <f t="shared" ref="AR112:AT112" si="312">+AS99+AS103+AS111</f>
        <v>0</v>
      </c>
      <c r="AT112" s="1869" t="str">
        <f t="shared" si="257"/>
        <v>-</v>
      </c>
      <c r="AU112" s="509"/>
      <c r="AV112" s="509"/>
      <c r="AW112" s="509"/>
      <c r="AX112" s="509"/>
      <c r="AY112" s="509"/>
    </row>
    <row r="113" spans="1:51" s="507" customFormat="1" ht="12.75" thickBot="1">
      <c r="A113" s="548"/>
      <c r="B113" s="1211"/>
      <c r="C113" s="356"/>
      <c r="D113" s="547"/>
      <c r="E113" s="518"/>
      <c r="F113" s="517"/>
      <c r="G113" s="538"/>
      <c r="H113" s="539"/>
      <c r="I113" s="539"/>
      <c r="J113" s="437"/>
      <c r="K113" s="538"/>
      <c r="L113" s="539"/>
      <c r="M113" s="539"/>
      <c r="N113" s="437"/>
      <c r="O113" s="519"/>
      <c r="P113" s="368"/>
      <c r="Q113" s="368"/>
      <c r="R113" s="437"/>
      <c r="S113" s="519"/>
      <c r="T113" s="368"/>
      <c r="U113" s="368"/>
      <c r="V113" s="437"/>
      <c r="W113" s="519"/>
      <c r="X113" s="368"/>
      <c r="Y113" s="368"/>
      <c r="Z113" s="437"/>
      <c r="AA113" s="519"/>
      <c r="AB113" s="368"/>
      <c r="AC113" s="368"/>
      <c r="AD113" s="437"/>
      <c r="AE113" s="538"/>
      <c r="AF113" s="539"/>
      <c r="AG113" s="539"/>
      <c r="AH113" s="437"/>
      <c r="AI113" s="519"/>
      <c r="AJ113" s="368"/>
      <c r="AK113" s="368"/>
      <c r="AL113" s="437"/>
      <c r="AM113" s="519"/>
      <c r="AN113" s="368"/>
      <c r="AO113" s="368"/>
      <c r="AP113" s="437"/>
      <c r="AQ113" s="519"/>
      <c r="AR113" s="368"/>
      <c r="AS113" s="368"/>
      <c r="AT113" s="437"/>
      <c r="AU113" s="509"/>
      <c r="AV113" s="509"/>
      <c r="AW113" s="509"/>
      <c r="AX113" s="509"/>
      <c r="AY113" s="509"/>
    </row>
    <row r="114" spans="1:51">
      <c r="A114" s="552">
        <f>+A110+1</f>
        <v>96</v>
      </c>
      <c r="B114" s="1019">
        <v>19</v>
      </c>
      <c r="C114" s="425" t="s">
        <v>1173</v>
      </c>
      <c r="D114" s="979" t="s">
        <v>1174</v>
      </c>
      <c r="E114" s="974" t="s">
        <v>1188</v>
      </c>
      <c r="F114" s="1005" t="s">
        <v>1175</v>
      </c>
      <c r="G114" s="1180">
        <f t="shared" ref="G114:J119" si="313">+K114+AE114</f>
        <v>0</v>
      </c>
      <c r="H114" s="1181">
        <f t="shared" si="313"/>
        <v>8654</v>
      </c>
      <c r="I114" s="1181">
        <f t="shared" si="313"/>
        <v>8618</v>
      </c>
      <c r="J114" s="1860">
        <f t="shared" ref="J114:J120" si="314">IF(ISERROR(I114/H114),"-",I114/H114)</f>
        <v>0.99584007395424079</v>
      </c>
      <c r="K114" s="1180">
        <f t="shared" ref="K114:N119" si="315">+O114+S114+W114+AA114</f>
        <v>0</v>
      </c>
      <c r="L114" s="1181">
        <f t="shared" si="315"/>
        <v>8654</v>
      </c>
      <c r="M114" s="1181">
        <f t="shared" si="315"/>
        <v>8618</v>
      </c>
      <c r="N114" s="1860">
        <f t="shared" ref="N114:N125" si="316">IF(ISERROR(M114/L114),"-",M114/L114)</f>
        <v>0.99584007395424079</v>
      </c>
      <c r="O114" s="1009"/>
      <c r="P114" s="1010"/>
      <c r="Q114" s="1010"/>
      <c r="R114" s="1458" t="str">
        <f t="shared" ref="R114:R125" si="317">IF(ISERROR(Q114/P114),"-",Q114/P114)</f>
        <v>-</v>
      </c>
      <c r="S114" s="1009"/>
      <c r="T114" s="1010"/>
      <c r="U114" s="1010"/>
      <c r="V114" s="1458" t="str">
        <f t="shared" ref="V114:V125" si="318">IF(ISERROR(U114/T114),"-",U114/T114)</f>
        <v>-</v>
      </c>
      <c r="W114" s="1009"/>
      <c r="X114" s="1010">
        <f>8618+36</f>
        <v>8654</v>
      </c>
      <c r="Y114" s="1010">
        <v>8618</v>
      </c>
      <c r="Z114" s="1458">
        <f t="shared" ref="Z114:Z125" si="319">IF(ISERROR(Y114/X114),"-",Y114/X114)</f>
        <v>0.99584007395424079</v>
      </c>
      <c r="AA114" s="1009"/>
      <c r="AB114" s="1010"/>
      <c r="AC114" s="1010"/>
      <c r="AD114" s="1458" t="str">
        <f t="shared" ref="AD114:AD125" si="320">IF(ISERROR(AC114/AB114),"-",AC114/AB114)</f>
        <v>-</v>
      </c>
      <c r="AE114" s="1180">
        <f t="shared" ref="AE114:AH119" si="321">+AI114+AM114+AQ114</f>
        <v>0</v>
      </c>
      <c r="AF114" s="1181">
        <f t="shared" si="321"/>
        <v>0</v>
      </c>
      <c r="AG114" s="1181">
        <f t="shared" si="321"/>
        <v>0</v>
      </c>
      <c r="AH114" s="1860" t="str">
        <f t="shared" ref="AH114:AH125" si="322">IF(ISERROR(AG114/AF114),"-",AG114/AF114)</f>
        <v>-</v>
      </c>
      <c r="AI114" s="1009"/>
      <c r="AJ114" s="1010"/>
      <c r="AK114" s="1010"/>
      <c r="AL114" s="1458" t="str">
        <f t="shared" ref="AL114:AL125" si="323">IF(ISERROR(AK114/AJ114),"-",AK114/AJ114)</f>
        <v>-</v>
      </c>
      <c r="AM114" s="1009"/>
      <c r="AN114" s="1010"/>
      <c r="AO114" s="1010"/>
      <c r="AP114" s="1458" t="str">
        <f t="shared" ref="AP114:AP125" si="324">IF(ISERROR(AO114/AN114),"-",AO114/AN114)</f>
        <v>-</v>
      </c>
      <c r="AQ114" s="1009"/>
      <c r="AR114" s="1010"/>
      <c r="AS114" s="1010"/>
      <c r="AT114" s="1458" t="str">
        <f t="shared" ref="AT114:AT125" si="325">IF(ISERROR(AS114/AR114),"-",AS114/AR114)</f>
        <v>-</v>
      </c>
      <c r="AU114" s="509"/>
      <c r="AV114" s="509"/>
      <c r="AW114" s="509"/>
      <c r="AX114" s="509"/>
      <c r="AY114" s="509"/>
    </row>
    <row r="115" spans="1:51">
      <c r="A115" s="552">
        <f>+A114+1</f>
        <v>97</v>
      </c>
      <c r="B115" s="1019">
        <v>20</v>
      </c>
      <c r="C115" s="425" t="s">
        <v>1176</v>
      </c>
      <c r="D115" s="979" t="s">
        <v>1177</v>
      </c>
      <c r="E115" s="974" t="s">
        <v>1184</v>
      </c>
      <c r="F115" s="1005" t="s">
        <v>1186</v>
      </c>
      <c r="G115" s="1180">
        <f t="shared" si="313"/>
        <v>10295</v>
      </c>
      <c r="H115" s="1181">
        <f t="shared" si="313"/>
        <v>10422</v>
      </c>
      <c r="I115" s="1181">
        <f t="shared" si="313"/>
        <v>10422</v>
      </c>
      <c r="J115" s="1860">
        <f t="shared" si="314"/>
        <v>1</v>
      </c>
      <c r="K115" s="1180">
        <f t="shared" si="315"/>
        <v>10295</v>
      </c>
      <c r="L115" s="1181">
        <f t="shared" si="315"/>
        <v>10422</v>
      </c>
      <c r="M115" s="1181">
        <f t="shared" si="315"/>
        <v>10422</v>
      </c>
      <c r="N115" s="1860">
        <f t="shared" si="316"/>
        <v>1</v>
      </c>
      <c r="O115" s="1009"/>
      <c r="P115" s="1010"/>
      <c r="Q115" s="1010"/>
      <c r="R115" s="1458" t="str">
        <f t="shared" si="317"/>
        <v>-</v>
      </c>
      <c r="S115" s="1009"/>
      <c r="T115" s="1010"/>
      <c r="U115" s="1010"/>
      <c r="V115" s="1458" t="str">
        <f t="shared" si="318"/>
        <v>-</v>
      </c>
      <c r="W115" s="1009">
        <v>10295</v>
      </c>
      <c r="X115" s="1010">
        <v>10422</v>
      </c>
      <c r="Y115" s="1010">
        <v>10422</v>
      </c>
      <c r="Z115" s="1458">
        <f t="shared" si="319"/>
        <v>1</v>
      </c>
      <c r="AA115" s="1009"/>
      <c r="AB115" s="1010"/>
      <c r="AC115" s="1010"/>
      <c r="AD115" s="1458" t="str">
        <f t="shared" si="320"/>
        <v>-</v>
      </c>
      <c r="AE115" s="1180">
        <f t="shared" si="321"/>
        <v>0</v>
      </c>
      <c r="AF115" s="1181">
        <f t="shared" si="321"/>
        <v>0</v>
      </c>
      <c r="AG115" s="1181">
        <f t="shared" si="321"/>
        <v>0</v>
      </c>
      <c r="AH115" s="1860" t="str">
        <f t="shared" si="322"/>
        <v>-</v>
      </c>
      <c r="AI115" s="1009"/>
      <c r="AJ115" s="1010"/>
      <c r="AK115" s="1010"/>
      <c r="AL115" s="1458" t="str">
        <f t="shared" si="323"/>
        <v>-</v>
      </c>
      <c r="AM115" s="1009"/>
      <c r="AN115" s="1010"/>
      <c r="AO115" s="1010"/>
      <c r="AP115" s="1458" t="str">
        <f t="shared" si="324"/>
        <v>-</v>
      </c>
      <c r="AQ115" s="1009"/>
      <c r="AR115" s="1010"/>
      <c r="AS115" s="1010"/>
      <c r="AT115" s="1458" t="str">
        <f t="shared" si="325"/>
        <v>-</v>
      </c>
      <c r="AU115" s="509"/>
      <c r="AV115" s="509"/>
      <c r="AW115" s="509"/>
      <c r="AX115" s="509"/>
      <c r="AY115" s="509"/>
    </row>
    <row r="116" spans="1:51">
      <c r="A116" s="552">
        <f>+A115+1</f>
        <v>98</v>
      </c>
      <c r="B116" s="1019">
        <v>20</v>
      </c>
      <c r="C116" s="425" t="s">
        <v>1176</v>
      </c>
      <c r="D116" s="979" t="s">
        <v>1177</v>
      </c>
      <c r="E116" s="974" t="s">
        <v>1185</v>
      </c>
      <c r="F116" s="1005" t="s">
        <v>1187</v>
      </c>
      <c r="G116" s="1180">
        <f t="shared" si="313"/>
        <v>10282</v>
      </c>
      <c r="H116" s="1181">
        <f t="shared" si="313"/>
        <v>0</v>
      </c>
      <c r="I116" s="1181">
        <f t="shared" si="313"/>
        <v>0</v>
      </c>
      <c r="J116" s="1860" t="str">
        <f t="shared" si="314"/>
        <v>-</v>
      </c>
      <c r="K116" s="1180">
        <f t="shared" si="315"/>
        <v>10282</v>
      </c>
      <c r="L116" s="1181">
        <f t="shared" si="315"/>
        <v>0</v>
      </c>
      <c r="M116" s="1181">
        <f t="shared" si="315"/>
        <v>0</v>
      </c>
      <c r="N116" s="1860" t="str">
        <f t="shared" si="316"/>
        <v>-</v>
      </c>
      <c r="O116" s="1009"/>
      <c r="P116" s="1010"/>
      <c r="Q116" s="1010"/>
      <c r="R116" s="1458" t="str">
        <f t="shared" si="317"/>
        <v>-</v>
      </c>
      <c r="S116" s="1009"/>
      <c r="T116" s="1010"/>
      <c r="U116" s="1010"/>
      <c r="V116" s="1458" t="str">
        <f t="shared" si="318"/>
        <v>-</v>
      </c>
      <c r="W116" s="1009">
        <v>10282</v>
      </c>
      <c r="X116" s="1010"/>
      <c r="Y116" s="1010"/>
      <c r="Z116" s="1458" t="str">
        <f t="shared" si="319"/>
        <v>-</v>
      </c>
      <c r="AA116" s="1009"/>
      <c r="AB116" s="1010"/>
      <c r="AC116" s="1010"/>
      <c r="AD116" s="1458" t="str">
        <f t="shared" si="320"/>
        <v>-</v>
      </c>
      <c r="AE116" s="1180">
        <f t="shared" si="321"/>
        <v>0</v>
      </c>
      <c r="AF116" s="1181">
        <f t="shared" si="321"/>
        <v>0</v>
      </c>
      <c r="AG116" s="1181">
        <f t="shared" si="321"/>
        <v>0</v>
      </c>
      <c r="AH116" s="1860" t="str">
        <f t="shared" si="322"/>
        <v>-</v>
      </c>
      <c r="AI116" s="1009"/>
      <c r="AJ116" s="1010"/>
      <c r="AK116" s="1010"/>
      <c r="AL116" s="1458" t="str">
        <f t="shared" si="323"/>
        <v>-</v>
      </c>
      <c r="AM116" s="1009"/>
      <c r="AN116" s="1010"/>
      <c r="AO116" s="1010"/>
      <c r="AP116" s="1458" t="str">
        <f t="shared" si="324"/>
        <v>-</v>
      </c>
      <c r="AQ116" s="1009"/>
      <c r="AR116" s="1010"/>
      <c r="AS116" s="1010"/>
      <c r="AT116" s="1458" t="str">
        <f t="shared" si="325"/>
        <v>-</v>
      </c>
      <c r="AU116" s="509"/>
      <c r="AV116" s="509"/>
      <c r="AW116" s="509"/>
      <c r="AX116" s="509"/>
      <c r="AY116" s="509"/>
    </row>
    <row r="117" spans="1:51">
      <c r="A117" s="552">
        <f>+A116+1</f>
        <v>99</v>
      </c>
      <c r="B117" s="1019">
        <v>21</v>
      </c>
      <c r="C117" s="425" t="s">
        <v>1178</v>
      </c>
      <c r="D117" s="979" t="s">
        <v>1345</v>
      </c>
      <c r="E117" s="974" t="s">
        <v>1181</v>
      </c>
      <c r="F117" s="1005" t="s">
        <v>581</v>
      </c>
      <c r="G117" s="1180">
        <f t="shared" si="313"/>
        <v>0</v>
      </c>
      <c r="H117" s="1181">
        <f t="shared" si="313"/>
        <v>0</v>
      </c>
      <c r="I117" s="1181">
        <f t="shared" si="313"/>
        <v>0</v>
      </c>
      <c r="J117" s="1860" t="str">
        <f t="shared" si="314"/>
        <v>-</v>
      </c>
      <c r="K117" s="1180">
        <f t="shared" si="315"/>
        <v>0</v>
      </c>
      <c r="L117" s="1181">
        <f t="shared" si="315"/>
        <v>0</v>
      </c>
      <c r="M117" s="1181">
        <f t="shared" si="315"/>
        <v>0</v>
      </c>
      <c r="N117" s="1860" t="str">
        <f t="shared" si="316"/>
        <v>-</v>
      </c>
      <c r="O117" s="1009"/>
      <c r="P117" s="1010"/>
      <c r="Q117" s="1010"/>
      <c r="R117" s="1458" t="str">
        <f t="shared" si="317"/>
        <v>-</v>
      </c>
      <c r="S117" s="1009"/>
      <c r="T117" s="1010"/>
      <c r="U117" s="1010"/>
      <c r="V117" s="1458" t="str">
        <f t="shared" si="318"/>
        <v>-</v>
      </c>
      <c r="W117" s="1009"/>
      <c r="X117" s="1010"/>
      <c r="Y117" s="1010"/>
      <c r="Z117" s="1458" t="str">
        <f t="shared" si="319"/>
        <v>-</v>
      </c>
      <c r="AA117" s="1009"/>
      <c r="AB117" s="1010"/>
      <c r="AC117" s="1010"/>
      <c r="AD117" s="1458" t="str">
        <f t="shared" si="320"/>
        <v>-</v>
      </c>
      <c r="AE117" s="1180">
        <f t="shared" si="321"/>
        <v>0</v>
      </c>
      <c r="AF117" s="1181">
        <f t="shared" si="321"/>
        <v>0</v>
      </c>
      <c r="AG117" s="1181">
        <f t="shared" si="321"/>
        <v>0</v>
      </c>
      <c r="AH117" s="1860" t="str">
        <f t="shared" si="322"/>
        <v>-</v>
      </c>
      <c r="AI117" s="1009"/>
      <c r="AJ117" s="1010"/>
      <c r="AK117" s="1010"/>
      <c r="AL117" s="1458" t="str">
        <f t="shared" si="323"/>
        <v>-</v>
      </c>
      <c r="AM117" s="1009"/>
      <c r="AN117" s="1010"/>
      <c r="AO117" s="1010"/>
      <c r="AP117" s="1458" t="str">
        <f t="shared" si="324"/>
        <v>-</v>
      </c>
      <c r="AQ117" s="1009"/>
      <c r="AR117" s="1010"/>
      <c r="AS117" s="1010"/>
      <c r="AT117" s="1458" t="str">
        <f t="shared" si="325"/>
        <v>-</v>
      </c>
      <c r="AU117" s="509"/>
      <c r="AV117" s="509"/>
      <c r="AW117" s="509"/>
      <c r="AX117" s="509"/>
      <c r="AY117" s="509"/>
    </row>
    <row r="118" spans="1:51">
      <c r="A118" s="552">
        <f>+A117+1</f>
        <v>100</v>
      </c>
      <c r="B118" s="1019">
        <v>20</v>
      </c>
      <c r="C118" s="425" t="s">
        <v>1179</v>
      </c>
      <c r="D118" s="979" t="s">
        <v>1180</v>
      </c>
      <c r="E118" s="974" t="s">
        <v>1182</v>
      </c>
      <c r="F118" s="1005" t="s">
        <v>1183</v>
      </c>
      <c r="G118" s="1180">
        <f t="shared" si="313"/>
        <v>236</v>
      </c>
      <c r="H118" s="1181">
        <f t="shared" si="313"/>
        <v>328</v>
      </c>
      <c r="I118" s="1181">
        <f t="shared" si="313"/>
        <v>328</v>
      </c>
      <c r="J118" s="1860">
        <f t="shared" si="314"/>
        <v>1</v>
      </c>
      <c r="K118" s="1180">
        <f t="shared" si="315"/>
        <v>236</v>
      </c>
      <c r="L118" s="1181">
        <f t="shared" si="315"/>
        <v>328</v>
      </c>
      <c r="M118" s="1181">
        <f t="shared" si="315"/>
        <v>328</v>
      </c>
      <c r="N118" s="1860">
        <f t="shared" si="316"/>
        <v>1</v>
      </c>
      <c r="O118" s="1009"/>
      <c r="P118" s="1010"/>
      <c r="Q118" s="1010"/>
      <c r="R118" s="1458" t="str">
        <f t="shared" si="317"/>
        <v>-</v>
      </c>
      <c r="S118" s="1009"/>
      <c r="T118" s="1010"/>
      <c r="U118" s="1010"/>
      <c r="V118" s="1458" t="str">
        <f t="shared" si="318"/>
        <v>-</v>
      </c>
      <c r="W118" s="1009">
        <v>236</v>
      </c>
      <c r="X118" s="1010">
        <v>328</v>
      </c>
      <c r="Y118" s="1010">
        <v>328</v>
      </c>
      <c r="Z118" s="1458">
        <f t="shared" si="319"/>
        <v>1</v>
      </c>
      <c r="AA118" s="1009"/>
      <c r="AB118" s="1010"/>
      <c r="AC118" s="1010"/>
      <c r="AD118" s="1458" t="str">
        <f t="shared" si="320"/>
        <v>-</v>
      </c>
      <c r="AE118" s="1180">
        <f t="shared" si="321"/>
        <v>0</v>
      </c>
      <c r="AF118" s="1181">
        <f t="shared" si="321"/>
        <v>0</v>
      </c>
      <c r="AG118" s="1181">
        <f t="shared" si="321"/>
        <v>0</v>
      </c>
      <c r="AH118" s="1860" t="str">
        <f t="shared" si="322"/>
        <v>-</v>
      </c>
      <c r="AI118" s="1009"/>
      <c r="AJ118" s="1010"/>
      <c r="AK118" s="1010"/>
      <c r="AL118" s="1458" t="str">
        <f t="shared" si="323"/>
        <v>-</v>
      </c>
      <c r="AM118" s="1009"/>
      <c r="AN118" s="1010"/>
      <c r="AO118" s="1010"/>
      <c r="AP118" s="1458" t="str">
        <f t="shared" si="324"/>
        <v>-</v>
      </c>
      <c r="AQ118" s="1009"/>
      <c r="AR118" s="1010"/>
      <c r="AS118" s="1010"/>
      <c r="AT118" s="1458" t="str">
        <f t="shared" si="325"/>
        <v>-</v>
      </c>
      <c r="AU118" s="509"/>
      <c r="AV118" s="509"/>
      <c r="AW118" s="509"/>
      <c r="AX118" s="509"/>
      <c r="AY118" s="509"/>
    </row>
    <row r="119" spans="1:51" ht="12.75" thickBot="1">
      <c r="A119" s="552">
        <f>+A118+1</f>
        <v>101</v>
      </c>
      <c r="B119" s="1019">
        <v>19</v>
      </c>
      <c r="C119" s="425" t="s">
        <v>1081</v>
      </c>
      <c r="D119" s="979" t="s">
        <v>1082</v>
      </c>
      <c r="E119" s="974" t="s">
        <v>1188</v>
      </c>
      <c r="F119" s="1005" t="s">
        <v>1175</v>
      </c>
      <c r="G119" s="1180">
        <f t="shared" si="313"/>
        <v>0</v>
      </c>
      <c r="H119" s="1181">
        <f t="shared" si="313"/>
        <v>0</v>
      </c>
      <c r="I119" s="1181">
        <f t="shared" si="313"/>
        <v>0</v>
      </c>
      <c r="J119" s="1860" t="str">
        <f t="shared" si="314"/>
        <v>-</v>
      </c>
      <c r="K119" s="1180">
        <f t="shared" si="315"/>
        <v>0</v>
      </c>
      <c r="L119" s="1181">
        <f t="shared" si="315"/>
        <v>0</v>
      </c>
      <c r="M119" s="1181">
        <f t="shared" si="315"/>
        <v>0</v>
      </c>
      <c r="N119" s="1860" t="str">
        <f t="shared" si="316"/>
        <v>-</v>
      </c>
      <c r="O119" s="1009"/>
      <c r="P119" s="1010"/>
      <c r="Q119" s="1010"/>
      <c r="R119" s="1458" t="str">
        <f t="shared" si="317"/>
        <v>-</v>
      </c>
      <c r="S119" s="1009"/>
      <c r="T119" s="1010"/>
      <c r="U119" s="1010"/>
      <c r="V119" s="1458" t="str">
        <f t="shared" si="318"/>
        <v>-</v>
      </c>
      <c r="W119" s="1009"/>
      <c r="X119" s="1010"/>
      <c r="Y119" s="1010"/>
      <c r="Z119" s="1458" t="str">
        <f t="shared" si="319"/>
        <v>-</v>
      </c>
      <c r="AA119" s="1009"/>
      <c r="AB119" s="1010"/>
      <c r="AC119" s="1010"/>
      <c r="AD119" s="1458" t="str">
        <f t="shared" si="320"/>
        <v>-</v>
      </c>
      <c r="AE119" s="1180">
        <f t="shared" si="321"/>
        <v>0</v>
      </c>
      <c r="AF119" s="1181">
        <f t="shared" si="321"/>
        <v>0</v>
      </c>
      <c r="AG119" s="1181">
        <f t="shared" si="321"/>
        <v>0</v>
      </c>
      <c r="AH119" s="1860" t="str">
        <f t="shared" si="322"/>
        <v>-</v>
      </c>
      <c r="AI119" s="1009"/>
      <c r="AJ119" s="1010"/>
      <c r="AK119" s="1010"/>
      <c r="AL119" s="1458" t="str">
        <f t="shared" si="323"/>
        <v>-</v>
      </c>
      <c r="AM119" s="1009"/>
      <c r="AN119" s="1010"/>
      <c r="AO119" s="1010"/>
      <c r="AP119" s="1458" t="str">
        <f t="shared" si="324"/>
        <v>-</v>
      </c>
      <c r="AQ119" s="1009"/>
      <c r="AR119" s="1010"/>
      <c r="AS119" s="1010"/>
      <c r="AT119" s="1458" t="str">
        <f t="shared" si="325"/>
        <v>-</v>
      </c>
      <c r="AU119" s="509"/>
      <c r="AV119" s="509"/>
      <c r="AW119" s="509"/>
      <c r="AX119" s="509"/>
      <c r="AY119" s="509"/>
    </row>
    <row r="120" spans="1:51" s="507" customFormat="1" ht="12.75" thickBot="1">
      <c r="A120" s="548" t="s">
        <v>802</v>
      </c>
      <c r="B120" s="1204"/>
      <c r="C120" s="1321" t="s">
        <v>418</v>
      </c>
      <c r="D120" s="1322"/>
      <c r="E120" s="1322"/>
      <c r="F120" s="1323"/>
      <c r="G120" s="538">
        <f>SUM(G114:G119)</f>
        <v>20813</v>
      </c>
      <c r="H120" s="539">
        <f>SUM(H114:H119)</f>
        <v>19404</v>
      </c>
      <c r="I120" s="539">
        <f>SUM(I114:I119)</f>
        <v>19368</v>
      </c>
      <c r="J120" s="1459">
        <f t="shared" si="314"/>
        <v>0.99814471243042668</v>
      </c>
      <c r="K120" s="538">
        <f t="shared" ref="K120" si="326">SUM(K114:K119)</f>
        <v>20813</v>
      </c>
      <c r="L120" s="539">
        <f t="shared" ref="L120:M120" si="327">SUM(L114:L119)</f>
        <v>19404</v>
      </c>
      <c r="M120" s="539">
        <f t="shared" si="327"/>
        <v>19368</v>
      </c>
      <c r="N120" s="1459">
        <f t="shared" si="316"/>
        <v>0.99814471243042668</v>
      </c>
      <c r="O120" s="519">
        <f t="shared" ref="N120:AR120" si="328">SUM(O114:O119)</f>
        <v>0</v>
      </c>
      <c r="P120" s="368">
        <f t="shared" si="328"/>
        <v>0</v>
      </c>
      <c r="Q120" s="368">
        <f t="shared" ref="P120:Q120" si="329">SUM(Q114:Q119)</f>
        <v>0</v>
      </c>
      <c r="R120" s="1459" t="str">
        <f t="shared" si="317"/>
        <v>-</v>
      </c>
      <c r="S120" s="519">
        <f t="shared" si="328"/>
        <v>0</v>
      </c>
      <c r="T120" s="368">
        <f t="shared" si="328"/>
        <v>0</v>
      </c>
      <c r="U120" s="368">
        <f t="shared" ref="T120:V120" si="330">SUM(U114:U119)</f>
        <v>0</v>
      </c>
      <c r="V120" s="1459" t="str">
        <f t="shared" si="318"/>
        <v>-</v>
      </c>
      <c r="W120" s="519">
        <f t="shared" si="328"/>
        <v>20813</v>
      </c>
      <c r="X120" s="368">
        <f t="shared" si="328"/>
        <v>19404</v>
      </c>
      <c r="Y120" s="368">
        <f t="shared" ref="X120:Z120" si="331">SUM(Y114:Y119)</f>
        <v>19368</v>
      </c>
      <c r="Z120" s="1459">
        <f t="shared" si="319"/>
        <v>0.99814471243042668</v>
      </c>
      <c r="AA120" s="519">
        <f t="shared" si="328"/>
        <v>0</v>
      </c>
      <c r="AB120" s="368">
        <f t="shared" si="328"/>
        <v>0</v>
      </c>
      <c r="AC120" s="368">
        <f t="shared" ref="AB120:AD120" si="332">SUM(AC114:AC119)</f>
        <v>0</v>
      </c>
      <c r="AD120" s="1459" t="str">
        <f t="shared" si="320"/>
        <v>-</v>
      </c>
      <c r="AE120" s="538">
        <f t="shared" si="328"/>
        <v>0</v>
      </c>
      <c r="AF120" s="539">
        <f t="shared" ref="AF120:AG120" si="333">SUM(AF114:AF119)</f>
        <v>0</v>
      </c>
      <c r="AG120" s="539">
        <f t="shared" si="333"/>
        <v>0</v>
      </c>
      <c r="AH120" s="1459" t="str">
        <f t="shared" si="322"/>
        <v>-</v>
      </c>
      <c r="AI120" s="519">
        <f t="shared" si="328"/>
        <v>0</v>
      </c>
      <c r="AJ120" s="368">
        <f t="shared" si="328"/>
        <v>0</v>
      </c>
      <c r="AK120" s="368">
        <f t="shared" ref="AJ120:AL120" si="334">SUM(AK114:AK119)</f>
        <v>0</v>
      </c>
      <c r="AL120" s="1459" t="str">
        <f t="shared" si="323"/>
        <v>-</v>
      </c>
      <c r="AM120" s="519">
        <f t="shared" si="328"/>
        <v>0</v>
      </c>
      <c r="AN120" s="368">
        <f t="shared" si="328"/>
        <v>0</v>
      </c>
      <c r="AO120" s="368">
        <f t="shared" ref="AN120:AP120" si="335">SUM(AO114:AO119)</f>
        <v>0</v>
      </c>
      <c r="AP120" s="1459" t="str">
        <f t="shared" si="324"/>
        <v>-</v>
      </c>
      <c r="AQ120" s="519">
        <f t="shared" si="328"/>
        <v>0</v>
      </c>
      <c r="AR120" s="368">
        <f t="shared" si="328"/>
        <v>0</v>
      </c>
      <c r="AS120" s="368">
        <f t="shared" ref="AR120:AT120" si="336">SUM(AS114:AS119)</f>
        <v>0</v>
      </c>
      <c r="AT120" s="1459" t="str">
        <f t="shared" si="325"/>
        <v>-</v>
      </c>
      <c r="AU120" s="509"/>
      <c r="AV120" s="509"/>
      <c r="AW120" s="509"/>
      <c r="AX120" s="509"/>
      <c r="AY120" s="509"/>
    </row>
    <row r="121" spans="1:51" s="511" customFormat="1" ht="12.75" customHeight="1" thickBot="1">
      <c r="A121" s="554">
        <f>+A119+1</f>
        <v>102</v>
      </c>
      <c r="B121" s="1024">
        <v>22</v>
      </c>
      <c r="C121" s="439" t="s">
        <v>19</v>
      </c>
      <c r="D121" s="1006" t="s">
        <v>19</v>
      </c>
      <c r="E121" s="534" t="s">
        <v>19</v>
      </c>
      <c r="F121" s="1006" t="s">
        <v>19</v>
      </c>
      <c r="G121" s="1190">
        <f>+K121+AE121</f>
        <v>0</v>
      </c>
      <c r="H121" s="1191">
        <f>+L121+AF121</f>
        <v>0</v>
      </c>
      <c r="I121" s="1191">
        <f>+M121+AG121</f>
        <v>0</v>
      </c>
      <c r="J121" s="1860" t="str">
        <f t="shared" ref="J121:J122" si="337">IF(ISERROR(I121/H121),"-",I121/H121)</f>
        <v>-</v>
      </c>
      <c r="K121" s="1190">
        <f>+O121+S121+W121+AA121</f>
        <v>0</v>
      </c>
      <c r="L121" s="1191">
        <f>+P121+T121+X121+AB121</f>
        <v>0</v>
      </c>
      <c r="M121" s="1191">
        <f>+Q121+U121+Y121+AC121</f>
        <v>0</v>
      </c>
      <c r="N121" s="1860" t="str">
        <f t="shared" si="316"/>
        <v>-</v>
      </c>
      <c r="O121" s="515"/>
      <c r="P121" s="514"/>
      <c r="Q121" s="514"/>
      <c r="R121" s="1458" t="str">
        <f t="shared" si="317"/>
        <v>-</v>
      </c>
      <c r="S121" s="515"/>
      <c r="T121" s="514"/>
      <c r="U121" s="514"/>
      <c r="V121" s="1458" t="str">
        <f t="shared" si="318"/>
        <v>-</v>
      </c>
      <c r="W121" s="515"/>
      <c r="X121" s="514"/>
      <c r="Y121" s="514"/>
      <c r="Z121" s="1458" t="str">
        <f t="shared" si="319"/>
        <v>-</v>
      </c>
      <c r="AA121" s="515"/>
      <c r="AB121" s="514"/>
      <c r="AC121" s="514"/>
      <c r="AD121" s="1458" t="str">
        <f t="shared" si="320"/>
        <v>-</v>
      </c>
      <c r="AE121" s="1190">
        <f>+AI121+AM121+AQ121</f>
        <v>0</v>
      </c>
      <c r="AF121" s="1191">
        <f>+AJ121+AN121+AR121</f>
        <v>0</v>
      </c>
      <c r="AG121" s="1191">
        <f>+AK121+AO121+AS121</f>
        <v>0</v>
      </c>
      <c r="AH121" s="1860" t="str">
        <f t="shared" si="322"/>
        <v>-</v>
      </c>
      <c r="AI121" s="515"/>
      <c r="AJ121" s="514"/>
      <c r="AK121" s="514"/>
      <c r="AL121" s="1458" t="str">
        <f t="shared" si="323"/>
        <v>-</v>
      </c>
      <c r="AM121" s="515"/>
      <c r="AN121" s="514"/>
      <c r="AO121" s="514"/>
      <c r="AP121" s="1458" t="str">
        <f t="shared" si="324"/>
        <v>-</v>
      </c>
      <c r="AQ121" s="515"/>
      <c r="AR121" s="514"/>
      <c r="AS121" s="514"/>
      <c r="AT121" s="1458" t="str">
        <f t="shared" si="325"/>
        <v>-</v>
      </c>
      <c r="AU121" s="509"/>
      <c r="AV121" s="509"/>
      <c r="AW121" s="509"/>
      <c r="AX121" s="509"/>
      <c r="AY121" s="509"/>
    </row>
    <row r="122" spans="1:51" s="507" customFormat="1" ht="12.75" thickBot="1">
      <c r="A122" s="894" t="s">
        <v>803</v>
      </c>
      <c r="B122" s="1204"/>
      <c r="C122" s="1321" t="s">
        <v>419</v>
      </c>
      <c r="D122" s="1322"/>
      <c r="E122" s="1322"/>
      <c r="F122" s="1323"/>
      <c r="G122" s="538">
        <f>SUM(G121)</f>
        <v>0</v>
      </c>
      <c r="H122" s="539">
        <f>SUM(H121)</f>
        <v>0</v>
      </c>
      <c r="I122" s="539">
        <f>SUM(I121)</f>
        <v>0</v>
      </c>
      <c r="J122" s="1459" t="str">
        <f t="shared" si="337"/>
        <v>-</v>
      </c>
      <c r="K122" s="538">
        <f t="shared" ref="K122" si="338">SUM(K121)</f>
        <v>0</v>
      </c>
      <c r="L122" s="539">
        <f t="shared" ref="L122:M122" si="339">SUM(L121)</f>
        <v>0</v>
      </c>
      <c r="M122" s="539">
        <f t="shared" si="339"/>
        <v>0</v>
      </c>
      <c r="N122" s="1459" t="str">
        <f t="shared" si="316"/>
        <v>-</v>
      </c>
      <c r="O122" s="519">
        <f t="shared" ref="N122:AR122" si="340">SUM(O121)</f>
        <v>0</v>
      </c>
      <c r="P122" s="368">
        <f t="shared" si="340"/>
        <v>0</v>
      </c>
      <c r="Q122" s="368">
        <f t="shared" ref="P122:Q122" si="341">SUM(Q121)</f>
        <v>0</v>
      </c>
      <c r="R122" s="1459" t="str">
        <f t="shared" si="317"/>
        <v>-</v>
      </c>
      <c r="S122" s="519">
        <f t="shared" si="340"/>
        <v>0</v>
      </c>
      <c r="T122" s="368">
        <f t="shared" si="340"/>
        <v>0</v>
      </c>
      <c r="U122" s="368">
        <f t="shared" ref="T122:V122" si="342">SUM(U121)</f>
        <v>0</v>
      </c>
      <c r="V122" s="1459" t="str">
        <f t="shared" si="318"/>
        <v>-</v>
      </c>
      <c r="W122" s="519">
        <f t="shared" si="340"/>
        <v>0</v>
      </c>
      <c r="X122" s="368">
        <f t="shared" si="340"/>
        <v>0</v>
      </c>
      <c r="Y122" s="368">
        <f t="shared" ref="X122:Z122" si="343">SUM(Y121)</f>
        <v>0</v>
      </c>
      <c r="Z122" s="1459" t="str">
        <f t="shared" si="319"/>
        <v>-</v>
      </c>
      <c r="AA122" s="519">
        <f t="shared" si="340"/>
        <v>0</v>
      </c>
      <c r="AB122" s="368">
        <f t="shared" si="340"/>
        <v>0</v>
      </c>
      <c r="AC122" s="368">
        <f t="shared" ref="AB122:AD122" si="344">SUM(AC121)</f>
        <v>0</v>
      </c>
      <c r="AD122" s="1459" t="str">
        <f t="shared" si="320"/>
        <v>-</v>
      </c>
      <c r="AE122" s="538">
        <f t="shared" si="340"/>
        <v>0</v>
      </c>
      <c r="AF122" s="539">
        <f t="shared" ref="AF122:AG122" si="345">SUM(AF121)</f>
        <v>0</v>
      </c>
      <c r="AG122" s="539">
        <f t="shared" si="345"/>
        <v>0</v>
      </c>
      <c r="AH122" s="1459" t="str">
        <f t="shared" si="322"/>
        <v>-</v>
      </c>
      <c r="AI122" s="519">
        <f t="shared" si="340"/>
        <v>0</v>
      </c>
      <c r="AJ122" s="368">
        <f t="shared" si="340"/>
        <v>0</v>
      </c>
      <c r="AK122" s="368">
        <f t="shared" ref="AJ122:AL122" si="346">SUM(AK121)</f>
        <v>0</v>
      </c>
      <c r="AL122" s="1459" t="str">
        <f t="shared" si="323"/>
        <v>-</v>
      </c>
      <c r="AM122" s="519">
        <f t="shared" si="340"/>
        <v>0</v>
      </c>
      <c r="AN122" s="368">
        <f t="shared" si="340"/>
        <v>0</v>
      </c>
      <c r="AO122" s="368">
        <f t="shared" ref="AN122:AP122" si="347">SUM(AO121)</f>
        <v>0</v>
      </c>
      <c r="AP122" s="1459" t="str">
        <f t="shared" si="324"/>
        <v>-</v>
      </c>
      <c r="AQ122" s="519">
        <f t="shared" si="340"/>
        <v>0</v>
      </c>
      <c r="AR122" s="368">
        <f t="shared" si="340"/>
        <v>0</v>
      </c>
      <c r="AS122" s="368">
        <f t="shared" ref="AR122:AT122" si="348">SUM(AS121)</f>
        <v>0</v>
      </c>
      <c r="AT122" s="1459" t="str">
        <f t="shared" si="325"/>
        <v>-</v>
      </c>
      <c r="AU122" s="509"/>
      <c r="AV122" s="509"/>
      <c r="AW122" s="509"/>
      <c r="AX122" s="509"/>
      <c r="AY122" s="509"/>
    </row>
    <row r="123" spans="1:51" s="511" customFormat="1" ht="12.75" customHeight="1" thickBot="1">
      <c r="A123" s="554">
        <f>+A121+1</f>
        <v>103</v>
      </c>
      <c r="B123" s="1024">
        <v>23</v>
      </c>
      <c r="C123" s="439" t="s">
        <v>19</v>
      </c>
      <c r="D123" s="1006" t="s">
        <v>19</v>
      </c>
      <c r="E123" s="534" t="s">
        <v>19</v>
      </c>
      <c r="F123" s="1006" t="s">
        <v>19</v>
      </c>
      <c r="G123" s="1190">
        <f>+K123+AE123</f>
        <v>0</v>
      </c>
      <c r="H123" s="1191">
        <f>+L123+AF123</f>
        <v>0</v>
      </c>
      <c r="I123" s="1191">
        <f>+M123+AG123</f>
        <v>0</v>
      </c>
      <c r="J123" s="1860" t="str">
        <f t="shared" ref="J123:J125" si="349">IF(ISERROR(I123/H123),"-",I123/H123)</f>
        <v>-</v>
      </c>
      <c r="K123" s="1190">
        <f>+O123+S123+W123+AA123</f>
        <v>0</v>
      </c>
      <c r="L123" s="1191">
        <f>+P123+T123+X123+AB123</f>
        <v>0</v>
      </c>
      <c r="M123" s="1191">
        <f>+Q123+U123+Y123+AC123</f>
        <v>0</v>
      </c>
      <c r="N123" s="1860" t="str">
        <f t="shared" si="316"/>
        <v>-</v>
      </c>
      <c r="O123" s="515"/>
      <c r="P123" s="514"/>
      <c r="Q123" s="514"/>
      <c r="R123" s="1458" t="str">
        <f t="shared" si="317"/>
        <v>-</v>
      </c>
      <c r="S123" s="515"/>
      <c r="T123" s="514"/>
      <c r="U123" s="514"/>
      <c r="V123" s="1458" t="str">
        <f t="shared" si="318"/>
        <v>-</v>
      </c>
      <c r="W123" s="515"/>
      <c r="X123" s="514"/>
      <c r="Y123" s="514"/>
      <c r="Z123" s="1458" t="str">
        <f t="shared" si="319"/>
        <v>-</v>
      </c>
      <c r="AA123" s="515"/>
      <c r="AB123" s="514"/>
      <c r="AC123" s="514"/>
      <c r="AD123" s="1458" t="str">
        <f t="shared" si="320"/>
        <v>-</v>
      </c>
      <c r="AE123" s="1190">
        <f>+AI123+AM123+AQ123</f>
        <v>0</v>
      </c>
      <c r="AF123" s="1191">
        <f>+AJ123+AN123+AR123</f>
        <v>0</v>
      </c>
      <c r="AG123" s="1191">
        <f>+AK123+AO123+AS123</f>
        <v>0</v>
      </c>
      <c r="AH123" s="1860" t="str">
        <f t="shared" si="322"/>
        <v>-</v>
      </c>
      <c r="AI123" s="515"/>
      <c r="AJ123" s="514"/>
      <c r="AK123" s="514"/>
      <c r="AL123" s="1458" t="str">
        <f t="shared" si="323"/>
        <v>-</v>
      </c>
      <c r="AM123" s="515"/>
      <c r="AN123" s="514"/>
      <c r="AO123" s="514"/>
      <c r="AP123" s="1458" t="str">
        <f t="shared" si="324"/>
        <v>-</v>
      </c>
      <c r="AQ123" s="515"/>
      <c r="AR123" s="514"/>
      <c r="AS123" s="514"/>
      <c r="AT123" s="1458" t="str">
        <f t="shared" si="325"/>
        <v>-</v>
      </c>
      <c r="AU123" s="509"/>
      <c r="AV123" s="509"/>
      <c r="AW123" s="509"/>
      <c r="AX123" s="509"/>
      <c r="AY123" s="509"/>
    </row>
    <row r="124" spans="1:51" s="507" customFormat="1" ht="12.75" thickBot="1">
      <c r="A124" s="548" t="s">
        <v>804</v>
      </c>
      <c r="B124" s="1204"/>
      <c r="C124" s="1321" t="s">
        <v>821</v>
      </c>
      <c r="D124" s="1322"/>
      <c r="E124" s="1322"/>
      <c r="F124" s="1323"/>
      <c r="G124" s="538">
        <f>SUM(G123)</f>
        <v>0</v>
      </c>
      <c r="H124" s="539">
        <f>SUM(H123)</f>
        <v>0</v>
      </c>
      <c r="I124" s="539">
        <f>SUM(I123)</f>
        <v>0</v>
      </c>
      <c r="J124" s="1459" t="str">
        <f t="shared" si="349"/>
        <v>-</v>
      </c>
      <c r="K124" s="538">
        <f t="shared" ref="K124" si="350">SUM(K123)</f>
        <v>0</v>
      </c>
      <c r="L124" s="539">
        <f t="shared" ref="L124:M124" si="351">SUM(L123)</f>
        <v>0</v>
      </c>
      <c r="M124" s="539">
        <f t="shared" si="351"/>
        <v>0</v>
      </c>
      <c r="N124" s="1459" t="str">
        <f t="shared" si="316"/>
        <v>-</v>
      </c>
      <c r="O124" s="519">
        <f t="shared" ref="N124:AR124" si="352">SUM(O123)</f>
        <v>0</v>
      </c>
      <c r="P124" s="368">
        <f t="shared" si="352"/>
        <v>0</v>
      </c>
      <c r="Q124" s="368">
        <f t="shared" ref="P124:Q124" si="353">SUM(Q123)</f>
        <v>0</v>
      </c>
      <c r="R124" s="1459" t="str">
        <f t="shared" si="317"/>
        <v>-</v>
      </c>
      <c r="S124" s="519">
        <f t="shared" si="352"/>
        <v>0</v>
      </c>
      <c r="T124" s="368">
        <f t="shared" si="352"/>
        <v>0</v>
      </c>
      <c r="U124" s="368">
        <f t="shared" ref="T124:V124" si="354">SUM(U123)</f>
        <v>0</v>
      </c>
      <c r="V124" s="1459" t="str">
        <f t="shared" si="318"/>
        <v>-</v>
      </c>
      <c r="W124" s="519">
        <f t="shared" si="352"/>
        <v>0</v>
      </c>
      <c r="X124" s="368">
        <f t="shared" si="352"/>
        <v>0</v>
      </c>
      <c r="Y124" s="368">
        <f t="shared" ref="X124:Z124" si="355">SUM(Y123)</f>
        <v>0</v>
      </c>
      <c r="Z124" s="1459" t="str">
        <f t="shared" si="319"/>
        <v>-</v>
      </c>
      <c r="AA124" s="519">
        <f t="shared" si="352"/>
        <v>0</v>
      </c>
      <c r="AB124" s="368">
        <f t="shared" si="352"/>
        <v>0</v>
      </c>
      <c r="AC124" s="368">
        <f t="shared" ref="AB124:AD124" si="356">SUM(AC123)</f>
        <v>0</v>
      </c>
      <c r="AD124" s="1459" t="str">
        <f t="shared" si="320"/>
        <v>-</v>
      </c>
      <c r="AE124" s="538">
        <f t="shared" si="352"/>
        <v>0</v>
      </c>
      <c r="AF124" s="539">
        <f t="shared" ref="AF124:AG124" si="357">SUM(AF123)</f>
        <v>0</v>
      </c>
      <c r="AG124" s="539">
        <f t="shared" si="357"/>
        <v>0</v>
      </c>
      <c r="AH124" s="1459" t="str">
        <f t="shared" si="322"/>
        <v>-</v>
      </c>
      <c r="AI124" s="519">
        <f t="shared" si="352"/>
        <v>0</v>
      </c>
      <c r="AJ124" s="368">
        <f t="shared" si="352"/>
        <v>0</v>
      </c>
      <c r="AK124" s="368">
        <f t="shared" ref="AJ124:AL124" si="358">SUM(AK123)</f>
        <v>0</v>
      </c>
      <c r="AL124" s="1459" t="str">
        <f t="shared" si="323"/>
        <v>-</v>
      </c>
      <c r="AM124" s="519">
        <f t="shared" si="352"/>
        <v>0</v>
      </c>
      <c r="AN124" s="368">
        <f t="shared" si="352"/>
        <v>0</v>
      </c>
      <c r="AO124" s="368">
        <f t="shared" ref="AN124:AP124" si="359">SUM(AO123)</f>
        <v>0</v>
      </c>
      <c r="AP124" s="1459" t="str">
        <f t="shared" si="324"/>
        <v>-</v>
      </c>
      <c r="AQ124" s="519">
        <f t="shared" si="352"/>
        <v>0</v>
      </c>
      <c r="AR124" s="368">
        <f t="shared" si="352"/>
        <v>0</v>
      </c>
      <c r="AS124" s="368">
        <f t="shared" ref="AR124:AT124" si="360">SUM(AS123)</f>
        <v>0</v>
      </c>
      <c r="AT124" s="1459" t="str">
        <f t="shared" si="325"/>
        <v>-</v>
      </c>
      <c r="AU124" s="509"/>
      <c r="AV124" s="509"/>
      <c r="AW124" s="509"/>
      <c r="AX124" s="509"/>
      <c r="AY124" s="509"/>
    </row>
    <row r="125" spans="1:51" s="507" customFormat="1" ht="12.75" thickBot="1">
      <c r="A125" s="549" t="s">
        <v>21</v>
      </c>
      <c r="B125" s="1021"/>
      <c r="C125" s="1324" t="s">
        <v>420</v>
      </c>
      <c r="D125" s="1325"/>
      <c r="E125" s="1325"/>
      <c r="F125" s="1326"/>
      <c r="G125" s="521">
        <f>+G120+G122+G124</f>
        <v>20813</v>
      </c>
      <c r="H125" s="522">
        <f>+H120+H122+H124</f>
        <v>19404</v>
      </c>
      <c r="I125" s="522">
        <f>+I120+I122+I124</f>
        <v>19368</v>
      </c>
      <c r="J125" s="1869">
        <f t="shared" si="349"/>
        <v>0.99814471243042668</v>
      </c>
      <c r="K125" s="521">
        <f t="shared" ref="K125" si="361">+K120+K122+K124</f>
        <v>20813</v>
      </c>
      <c r="L125" s="522">
        <f t="shared" ref="L125:M125" si="362">+L120+L122+L124</f>
        <v>19404</v>
      </c>
      <c r="M125" s="522">
        <f t="shared" si="362"/>
        <v>19368</v>
      </c>
      <c r="N125" s="1869">
        <f t="shared" si="316"/>
        <v>0.99814471243042668</v>
      </c>
      <c r="O125" s="531">
        <f t="shared" ref="N125:AR125" si="363">+O120+O122+O124</f>
        <v>0</v>
      </c>
      <c r="P125" s="532">
        <f t="shared" si="363"/>
        <v>0</v>
      </c>
      <c r="Q125" s="532">
        <f t="shared" ref="P125:Q125" si="364">+Q120+Q122+Q124</f>
        <v>0</v>
      </c>
      <c r="R125" s="1869" t="str">
        <f t="shared" si="317"/>
        <v>-</v>
      </c>
      <c r="S125" s="531">
        <f t="shared" si="363"/>
        <v>0</v>
      </c>
      <c r="T125" s="532">
        <f t="shared" si="363"/>
        <v>0</v>
      </c>
      <c r="U125" s="532">
        <f t="shared" ref="T125:V125" si="365">+U120+U122+U124</f>
        <v>0</v>
      </c>
      <c r="V125" s="1869" t="str">
        <f t="shared" si="318"/>
        <v>-</v>
      </c>
      <c r="W125" s="531">
        <f t="shared" si="363"/>
        <v>20813</v>
      </c>
      <c r="X125" s="532">
        <f t="shared" si="363"/>
        <v>19404</v>
      </c>
      <c r="Y125" s="532">
        <f t="shared" ref="X125:Z125" si="366">+Y120+Y122+Y124</f>
        <v>19368</v>
      </c>
      <c r="Z125" s="1869">
        <f t="shared" si="319"/>
        <v>0.99814471243042668</v>
      </c>
      <c r="AA125" s="531">
        <f t="shared" si="363"/>
        <v>0</v>
      </c>
      <c r="AB125" s="532">
        <f t="shared" si="363"/>
        <v>0</v>
      </c>
      <c r="AC125" s="532">
        <f t="shared" ref="AB125:AD125" si="367">+AC120+AC122+AC124</f>
        <v>0</v>
      </c>
      <c r="AD125" s="1869" t="str">
        <f t="shared" si="320"/>
        <v>-</v>
      </c>
      <c r="AE125" s="521">
        <f t="shared" si="363"/>
        <v>0</v>
      </c>
      <c r="AF125" s="522">
        <f t="shared" ref="AF125:AG125" si="368">+AF120+AF122+AF124</f>
        <v>0</v>
      </c>
      <c r="AG125" s="522">
        <f t="shared" si="368"/>
        <v>0</v>
      </c>
      <c r="AH125" s="1869" t="str">
        <f t="shared" si="322"/>
        <v>-</v>
      </c>
      <c r="AI125" s="531">
        <f t="shared" si="363"/>
        <v>0</v>
      </c>
      <c r="AJ125" s="532">
        <f t="shared" si="363"/>
        <v>0</v>
      </c>
      <c r="AK125" s="532">
        <f t="shared" ref="AJ125:AL125" si="369">+AK120+AK122+AK124</f>
        <v>0</v>
      </c>
      <c r="AL125" s="1869" t="str">
        <f t="shared" si="323"/>
        <v>-</v>
      </c>
      <c r="AM125" s="531">
        <f t="shared" si="363"/>
        <v>0</v>
      </c>
      <c r="AN125" s="532">
        <f t="shared" si="363"/>
        <v>0</v>
      </c>
      <c r="AO125" s="532">
        <f t="shared" ref="AN125:AP125" si="370">+AO120+AO122+AO124</f>
        <v>0</v>
      </c>
      <c r="AP125" s="1869" t="str">
        <f t="shared" si="324"/>
        <v>-</v>
      </c>
      <c r="AQ125" s="531">
        <f t="shared" si="363"/>
        <v>0</v>
      </c>
      <c r="AR125" s="532">
        <f t="shared" si="363"/>
        <v>0</v>
      </c>
      <c r="AS125" s="532">
        <f t="shared" ref="AR125:AT125" si="371">+AS120+AS122+AS124</f>
        <v>0</v>
      </c>
      <c r="AT125" s="1869" t="str">
        <f t="shared" si="325"/>
        <v>-</v>
      </c>
      <c r="AU125" s="509"/>
      <c r="AV125" s="509"/>
      <c r="AW125" s="509"/>
      <c r="AX125" s="509"/>
      <c r="AY125" s="509"/>
    </row>
    <row r="126" spans="1:51" s="507" customFormat="1" ht="12.75" thickBot="1">
      <c r="A126" s="548"/>
      <c r="B126" s="1211"/>
      <c r="C126" s="356"/>
      <c r="D126" s="547"/>
      <c r="E126" s="518"/>
      <c r="F126" s="517"/>
      <c r="G126" s="538"/>
      <c r="H126" s="539"/>
      <c r="I126" s="539"/>
      <c r="J126" s="437"/>
      <c r="K126" s="538"/>
      <c r="L126" s="539"/>
      <c r="M126" s="539"/>
      <c r="N126" s="437"/>
      <c r="O126" s="519"/>
      <c r="P126" s="368"/>
      <c r="Q126" s="368"/>
      <c r="R126" s="437"/>
      <c r="S126" s="519"/>
      <c r="T126" s="368"/>
      <c r="U126" s="368"/>
      <c r="V126" s="437"/>
      <c r="W126" s="519"/>
      <c r="X126" s="368"/>
      <c r="Y126" s="368"/>
      <c r="Z126" s="437"/>
      <c r="AA126" s="519"/>
      <c r="AB126" s="368"/>
      <c r="AC126" s="368"/>
      <c r="AD126" s="437"/>
      <c r="AE126" s="538"/>
      <c r="AF126" s="539"/>
      <c r="AG126" s="539"/>
      <c r="AH126" s="437"/>
      <c r="AI126" s="519"/>
      <c r="AJ126" s="368"/>
      <c r="AK126" s="368"/>
      <c r="AL126" s="437"/>
      <c r="AM126" s="519"/>
      <c r="AN126" s="368"/>
      <c r="AO126" s="368"/>
      <c r="AP126" s="437"/>
      <c r="AQ126" s="519"/>
      <c r="AR126" s="368"/>
      <c r="AS126" s="368"/>
      <c r="AT126" s="437"/>
      <c r="AU126" s="509"/>
      <c r="AV126" s="509"/>
      <c r="AW126" s="509"/>
      <c r="AX126" s="509"/>
      <c r="AY126" s="509"/>
    </row>
    <row r="127" spans="1:51">
      <c r="A127" s="552">
        <f>+A123+1</f>
        <v>104</v>
      </c>
      <c r="B127" s="1019">
        <v>24</v>
      </c>
      <c r="C127" s="425" t="s">
        <v>1189</v>
      </c>
      <c r="D127" s="979" t="s">
        <v>1190</v>
      </c>
      <c r="E127" s="974" t="s">
        <v>1197</v>
      </c>
      <c r="F127" s="1005" t="s">
        <v>1190</v>
      </c>
      <c r="G127" s="1180">
        <f t="shared" ref="G127:J131" si="372">+K127+AE127</f>
        <v>0</v>
      </c>
      <c r="H127" s="1181">
        <f t="shared" si="372"/>
        <v>0</v>
      </c>
      <c r="I127" s="1181">
        <f t="shared" si="372"/>
        <v>0</v>
      </c>
      <c r="J127" s="1860" t="str">
        <f t="shared" ref="J127:J132" si="373">IF(ISERROR(I127/H127),"-",I127/H127)</f>
        <v>-</v>
      </c>
      <c r="K127" s="1180">
        <f t="shared" ref="K127:N131" si="374">+O127+S127+W127+AA127</f>
        <v>0</v>
      </c>
      <c r="L127" s="1181">
        <f t="shared" si="374"/>
        <v>0</v>
      </c>
      <c r="M127" s="1181">
        <f t="shared" si="374"/>
        <v>0</v>
      </c>
      <c r="N127" s="1860" t="str">
        <f t="shared" ref="N127:N137" si="375">IF(ISERROR(M127/L127),"-",M127/L127)</f>
        <v>-</v>
      </c>
      <c r="O127" s="1009"/>
      <c r="P127" s="1010"/>
      <c r="Q127" s="1010"/>
      <c r="R127" s="1458" t="str">
        <f t="shared" ref="R127:R137" si="376">IF(ISERROR(Q127/P127),"-",Q127/P127)</f>
        <v>-</v>
      </c>
      <c r="S127" s="1009"/>
      <c r="T127" s="1010"/>
      <c r="U127" s="1010"/>
      <c r="V127" s="1458" t="str">
        <f t="shared" ref="V127:V137" si="377">IF(ISERROR(U127/T127),"-",U127/T127)</f>
        <v>-</v>
      </c>
      <c r="W127" s="1009"/>
      <c r="X127" s="1010"/>
      <c r="Y127" s="1010"/>
      <c r="Z127" s="1458" t="str">
        <f t="shared" ref="Z127:Z137" si="378">IF(ISERROR(Y127/X127),"-",Y127/X127)</f>
        <v>-</v>
      </c>
      <c r="AA127" s="1009"/>
      <c r="AB127" s="1010"/>
      <c r="AC127" s="1010"/>
      <c r="AD127" s="1458" t="str">
        <f t="shared" ref="AD127:AD137" si="379">IF(ISERROR(AC127/AB127),"-",AC127/AB127)</f>
        <v>-</v>
      </c>
      <c r="AE127" s="1180">
        <f t="shared" ref="AE127:AH131" si="380">+AI127+AM127+AQ127</f>
        <v>0</v>
      </c>
      <c r="AF127" s="1181">
        <f t="shared" si="380"/>
        <v>0</v>
      </c>
      <c r="AG127" s="1181">
        <f t="shared" si="380"/>
        <v>0</v>
      </c>
      <c r="AH127" s="1860" t="str">
        <f t="shared" ref="AH127:AH137" si="381">IF(ISERROR(AG127/AF127),"-",AG127/AF127)</f>
        <v>-</v>
      </c>
      <c r="AI127" s="1009"/>
      <c r="AJ127" s="1010"/>
      <c r="AK127" s="1010"/>
      <c r="AL127" s="1458" t="str">
        <f t="shared" ref="AL127:AL137" si="382">IF(ISERROR(AK127/AJ127),"-",AK127/AJ127)</f>
        <v>-</v>
      </c>
      <c r="AM127" s="1009"/>
      <c r="AN127" s="1010"/>
      <c r="AO127" s="1010"/>
      <c r="AP127" s="1458" t="str">
        <f t="shared" ref="AP127:AP137" si="383">IF(ISERROR(AO127/AN127),"-",AO127/AN127)</f>
        <v>-</v>
      </c>
      <c r="AQ127" s="1009"/>
      <c r="AR127" s="1010"/>
      <c r="AS127" s="1010"/>
      <c r="AT127" s="1458" t="str">
        <f t="shared" ref="AT127:AT137" si="384">IF(ISERROR(AS127/AR127),"-",AS127/AR127)</f>
        <v>-</v>
      </c>
      <c r="AU127" s="509"/>
      <c r="AV127" s="509"/>
      <c r="AW127" s="509"/>
      <c r="AX127" s="509"/>
      <c r="AY127" s="509"/>
    </row>
    <row r="128" spans="1:51">
      <c r="A128" s="552">
        <f>+A127+1</f>
        <v>105</v>
      </c>
      <c r="B128" s="1019">
        <v>25</v>
      </c>
      <c r="C128" s="425" t="s">
        <v>1192</v>
      </c>
      <c r="D128" s="979" t="s">
        <v>1191</v>
      </c>
      <c r="E128" s="974" t="s">
        <v>1198</v>
      </c>
      <c r="F128" s="1005" t="s">
        <v>1191</v>
      </c>
      <c r="G128" s="1180">
        <f t="shared" si="372"/>
        <v>350</v>
      </c>
      <c r="H128" s="1181">
        <f t="shared" si="372"/>
        <v>737</v>
      </c>
      <c r="I128" s="1181">
        <f t="shared" si="372"/>
        <v>737</v>
      </c>
      <c r="J128" s="1860">
        <f t="shared" si="373"/>
        <v>1</v>
      </c>
      <c r="K128" s="1180">
        <f t="shared" si="374"/>
        <v>350</v>
      </c>
      <c r="L128" s="1181">
        <f t="shared" si="374"/>
        <v>737</v>
      </c>
      <c r="M128" s="1181">
        <f t="shared" si="374"/>
        <v>737</v>
      </c>
      <c r="N128" s="1860">
        <f t="shared" si="375"/>
        <v>1</v>
      </c>
      <c r="O128" s="1009"/>
      <c r="P128" s="1010"/>
      <c r="Q128" s="1010"/>
      <c r="R128" s="1458" t="str">
        <f t="shared" si="376"/>
        <v>-</v>
      </c>
      <c r="S128" s="1009"/>
      <c r="T128" s="1010"/>
      <c r="U128" s="1010"/>
      <c r="V128" s="1458" t="str">
        <f t="shared" si="377"/>
        <v>-</v>
      </c>
      <c r="W128" s="1009">
        <v>350</v>
      </c>
      <c r="X128" s="1010">
        <v>737</v>
      </c>
      <c r="Y128" s="1010">
        <v>737</v>
      </c>
      <c r="Z128" s="1458">
        <f t="shared" si="378"/>
        <v>1</v>
      </c>
      <c r="AA128" s="1009"/>
      <c r="AB128" s="1010"/>
      <c r="AC128" s="1010"/>
      <c r="AD128" s="1458" t="str">
        <f t="shared" si="379"/>
        <v>-</v>
      </c>
      <c r="AE128" s="1180">
        <f t="shared" si="380"/>
        <v>0</v>
      </c>
      <c r="AF128" s="1181">
        <f t="shared" si="380"/>
        <v>0</v>
      </c>
      <c r="AG128" s="1181">
        <f t="shared" si="380"/>
        <v>0</v>
      </c>
      <c r="AH128" s="1860" t="str">
        <f t="shared" si="381"/>
        <v>-</v>
      </c>
      <c r="AI128" s="1009"/>
      <c r="AJ128" s="1010"/>
      <c r="AK128" s="1010"/>
      <c r="AL128" s="1458" t="str">
        <f t="shared" si="382"/>
        <v>-</v>
      </c>
      <c r="AM128" s="1009"/>
      <c r="AN128" s="1010"/>
      <c r="AO128" s="1010"/>
      <c r="AP128" s="1458" t="str">
        <f t="shared" si="383"/>
        <v>-</v>
      </c>
      <c r="AQ128" s="1009"/>
      <c r="AR128" s="1010"/>
      <c r="AS128" s="1010"/>
      <c r="AT128" s="1458" t="str">
        <f t="shared" si="384"/>
        <v>-</v>
      </c>
      <c r="AU128" s="509"/>
      <c r="AV128" s="509"/>
      <c r="AW128" s="509"/>
      <c r="AX128" s="509"/>
      <c r="AY128" s="509"/>
    </row>
    <row r="129" spans="1:51">
      <c r="A129" s="552">
        <f>+A128+1</f>
        <v>106</v>
      </c>
      <c r="B129" s="1019">
        <v>26</v>
      </c>
      <c r="C129" s="425" t="s">
        <v>1194</v>
      </c>
      <c r="D129" s="979" t="s">
        <v>1193</v>
      </c>
      <c r="E129" s="974" t="s">
        <v>1275</v>
      </c>
      <c r="F129" s="1005" t="s">
        <v>1199</v>
      </c>
      <c r="G129" s="1180">
        <f t="shared" si="372"/>
        <v>100</v>
      </c>
      <c r="H129" s="1181">
        <f t="shared" si="372"/>
        <v>152</v>
      </c>
      <c r="I129" s="1181">
        <f t="shared" si="372"/>
        <v>152</v>
      </c>
      <c r="J129" s="1860">
        <f t="shared" si="373"/>
        <v>1</v>
      </c>
      <c r="K129" s="1180">
        <f t="shared" si="374"/>
        <v>100</v>
      </c>
      <c r="L129" s="1181">
        <f t="shared" si="374"/>
        <v>152</v>
      </c>
      <c r="M129" s="1181">
        <f t="shared" si="374"/>
        <v>152</v>
      </c>
      <c r="N129" s="1860">
        <f t="shared" si="375"/>
        <v>1</v>
      </c>
      <c r="O129" s="1009"/>
      <c r="P129" s="1010"/>
      <c r="Q129" s="1010"/>
      <c r="R129" s="1458" t="str">
        <f t="shared" si="376"/>
        <v>-</v>
      </c>
      <c r="S129" s="1009"/>
      <c r="T129" s="1010"/>
      <c r="U129" s="1010"/>
      <c r="V129" s="1458" t="str">
        <f t="shared" si="377"/>
        <v>-</v>
      </c>
      <c r="W129" s="1009">
        <v>100</v>
      </c>
      <c r="X129" s="1010">
        <v>152</v>
      </c>
      <c r="Y129" s="1010">
        <v>152</v>
      </c>
      <c r="Z129" s="1458">
        <f t="shared" si="378"/>
        <v>1</v>
      </c>
      <c r="AA129" s="1009"/>
      <c r="AB129" s="1010"/>
      <c r="AC129" s="1010"/>
      <c r="AD129" s="1458" t="str">
        <f t="shared" si="379"/>
        <v>-</v>
      </c>
      <c r="AE129" s="1180">
        <f t="shared" si="380"/>
        <v>0</v>
      </c>
      <c r="AF129" s="1181">
        <f t="shared" si="380"/>
        <v>0</v>
      </c>
      <c r="AG129" s="1181">
        <f t="shared" si="380"/>
        <v>0</v>
      </c>
      <c r="AH129" s="1860" t="str">
        <f t="shared" si="381"/>
        <v>-</v>
      </c>
      <c r="AI129" s="1009"/>
      <c r="AJ129" s="1010"/>
      <c r="AK129" s="1010"/>
      <c r="AL129" s="1458" t="str">
        <f t="shared" si="382"/>
        <v>-</v>
      </c>
      <c r="AM129" s="1009"/>
      <c r="AN129" s="1010"/>
      <c r="AO129" s="1010"/>
      <c r="AP129" s="1458" t="str">
        <f t="shared" si="383"/>
        <v>-</v>
      </c>
      <c r="AQ129" s="1009"/>
      <c r="AR129" s="1010"/>
      <c r="AS129" s="1010"/>
      <c r="AT129" s="1458" t="str">
        <f t="shared" si="384"/>
        <v>-</v>
      </c>
      <c r="AU129" s="509"/>
      <c r="AV129" s="509"/>
      <c r="AW129" s="509"/>
      <c r="AX129" s="509"/>
      <c r="AY129" s="509"/>
    </row>
    <row r="130" spans="1:51">
      <c r="A130" s="552">
        <f>+A129+1</f>
        <v>107</v>
      </c>
      <c r="B130" s="1019">
        <v>25</v>
      </c>
      <c r="C130" s="425" t="s">
        <v>1195</v>
      </c>
      <c r="D130" s="979" t="s">
        <v>1196</v>
      </c>
      <c r="E130" s="974" t="s">
        <v>1200</v>
      </c>
      <c r="F130" s="1005" t="s">
        <v>1201</v>
      </c>
      <c r="G130" s="1180">
        <f t="shared" si="372"/>
        <v>1000</v>
      </c>
      <c r="H130" s="1181">
        <f t="shared" si="372"/>
        <v>412</v>
      </c>
      <c r="I130" s="1181">
        <f t="shared" si="372"/>
        <v>412</v>
      </c>
      <c r="J130" s="1860">
        <f t="shared" si="373"/>
        <v>1</v>
      </c>
      <c r="K130" s="1180">
        <f t="shared" si="374"/>
        <v>1000</v>
      </c>
      <c r="L130" s="1181">
        <f t="shared" si="374"/>
        <v>12</v>
      </c>
      <c r="M130" s="1181">
        <f t="shared" si="374"/>
        <v>12</v>
      </c>
      <c r="N130" s="1860">
        <f t="shared" si="375"/>
        <v>1</v>
      </c>
      <c r="O130" s="1009"/>
      <c r="P130" s="1010"/>
      <c r="Q130" s="1010"/>
      <c r="R130" s="1458" t="str">
        <f t="shared" si="376"/>
        <v>-</v>
      </c>
      <c r="S130" s="1009"/>
      <c r="T130" s="1010"/>
      <c r="U130" s="1010"/>
      <c r="V130" s="1458" t="str">
        <f t="shared" si="377"/>
        <v>-</v>
      </c>
      <c r="W130" s="1009">
        <v>1000</v>
      </c>
      <c r="X130" s="1010"/>
      <c r="Y130" s="1010"/>
      <c r="Z130" s="1458" t="str">
        <f t="shared" si="378"/>
        <v>-</v>
      </c>
      <c r="AA130" s="1009"/>
      <c r="AB130" s="1010">
        <v>12</v>
      </c>
      <c r="AC130" s="1010">
        <v>12</v>
      </c>
      <c r="AD130" s="1458">
        <f t="shared" si="379"/>
        <v>1</v>
      </c>
      <c r="AE130" s="1180">
        <f t="shared" si="380"/>
        <v>0</v>
      </c>
      <c r="AF130" s="1181">
        <f t="shared" si="380"/>
        <v>400</v>
      </c>
      <c r="AG130" s="1181">
        <f t="shared" si="380"/>
        <v>400</v>
      </c>
      <c r="AH130" s="1860">
        <f t="shared" si="381"/>
        <v>1</v>
      </c>
      <c r="AI130" s="1009"/>
      <c r="AJ130" s="1010"/>
      <c r="AK130" s="1010"/>
      <c r="AL130" s="1458" t="str">
        <f t="shared" si="382"/>
        <v>-</v>
      </c>
      <c r="AM130" s="1009"/>
      <c r="AN130" s="1010">
        <v>400</v>
      </c>
      <c r="AO130" s="1010">
        <v>400</v>
      </c>
      <c r="AP130" s="1458">
        <f t="shared" si="383"/>
        <v>1</v>
      </c>
      <c r="AQ130" s="1009"/>
      <c r="AR130" s="1010"/>
      <c r="AS130" s="1010"/>
      <c r="AT130" s="1458" t="str">
        <f t="shared" si="384"/>
        <v>-</v>
      </c>
      <c r="AU130" s="509"/>
      <c r="AV130" s="509"/>
      <c r="AW130" s="509"/>
      <c r="AX130" s="509"/>
      <c r="AY130" s="509"/>
    </row>
    <row r="131" spans="1:51" ht="12.75" thickBot="1">
      <c r="A131" s="552">
        <f>+A130+1</f>
        <v>108</v>
      </c>
      <c r="B131" s="1019">
        <v>25</v>
      </c>
      <c r="C131" s="425" t="s">
        <v>1081</v>
      </c>
      <c r="D131" s="979" t="s">
        <v>1082</v>
      </c>
      <c r="E131" s="974" t="s">
        <v>1198</v>
      </c>
      <c r="F131" s="1005" t="s">
        <v>1191</v>
      </c>
      <c r="G131" s="1180">
        <f t="shared" si="372"/>
        <v>0</v>
      </c>
      <c r="H131" s="1181">
        <f t="shared" si="372"/>
        <v>0</v>
      </c>
      <c r="I131" s="1181">
        <f t="shared" si="372"/>
        <v>0</v>
      </c>
      <c r="J131" s="1860" t="str">
        <f t="shared" si="373"/>
        <v>-</v>
      </c>
      <c r="K131" s="1180">
        <f t="shared" si="374"/>
        <v>0</v>
      </c>
      <c r="L131" s="1181">
        <f t="shared" si="374"/>
        <v>0</v>
      </c>
      <c r="M131" s="1181">
        <f t="shared" si="374"/>
        <v>0</v>
      </c>
      <c r="N131" s="1860" t="str">
        <f t="shared" si="375"/>
        <v>-</v>
      </c>
      <c r="O131" s="1009"/>
      <c r="P131" s="1010"/>
      <c r="Q131" s="1010"/>
      <c r="R131" s="1458" t="str">
        <f t="shared" si="376"/>
        <v>-</v>
      </c>
      <c r="S131" s="1009"/>
      <c r="T131" s="1010"/>
      <c r="U131" s="1010"/>
      <c r="V131" s="1458" t="str">
        <f t="shared" si="377"/>
        <v>-</v>
      </c>
      <c r="W131" s="1009"/>
      <c r="X131" s="1010"/>
      <c r="Y131" s="1010"/>
      <c r="Z131" s="1458" t="str">
        <f t="shared" si="378"/>
        <v>-</v>
      </c>
      <c r="AA131" s="1009"/>
      <c r="AB131" s="1010"/>
      <c r="AC131" s="1010"/>
      <c r="AD131" s="1458" t="str">
        <f t="shared" si="379"/>
        <v>-</v>
      </c>
      <c r="AE131" s="1180">
        <f t="shared" si="380"/>
        <v>0</v>
      </c>
      <c r="AF131" s="1181">
        <f t="shared" si="380"/>
        <v>0</v>
      </c>
      <c r="AG131" s="1181">
        <f t="shared" si="380"/>
        <v>0</v>
      </c>
      <c r="AH131" s="1860" t="str">
        <f t="shared" si="381"/>
        <v>-</v>
      </c>
      <c r="AI131" s="1009"/>
      <c r="AJ131" s="1010"/>
      <c r="AK131" s="1010"/>
      <c r="AL131" s="1458" t="str">
        <f t="shared" si="382"/>
        <v>-</v>
      </c>
      <c r="AM131" s="1009"/>
      <c r="AN131" s="1010"/>
      <c r="AO131" s="1010"/>
      <c r="AP131" s="1458" t="str">
        <f t="shared" si="383"/>
        <v>-</v>
      </c>
      <c r="AQ131" s="1009"/>
      <c r="AR131" s="1010"/>
      <c r="AS131" s="1010"/>
      <c r="AT131" s="1458" t="str">
        <f t="shared" si="384"/>
        <v>-</v>
      </c>
      <c r="AU131" s="509"/>
      <c r="AV131" s="509"/>
      <c r="AW131" s="509"/>
      <c r="AX131" s="509"/>
      <c r="AY131" s="509"/>
    </row>
    <row r="132" spans="1:51" s="507" customFormat="1" ht="12.75" thickBot="1">
      <c r="A132" s="548" t="s">
        <v>805</v>
      </c>
      <c r="B132" s="1204"/>
      <c r="C132" s="1321" t="s">
        <v>421</v>
      </c>
      <c r="D132" s="1322"/>
      <c r="E132" s="1322"/>
      <c r="F132" s="1323"/>
      <c r="G132" s="538">
        <f>SUM(G127:G131)</f>
        <v>1450</v>
      </c>
      <c r="H132" s="539">
        <f>SUM(H127:H131)</f>
        <v>1301</v>
      </c>
      <c r="I132" s="539">
        <f>SUM(I127:I131)</f>
        <v>1301</v>
      </c>
      <c r="J132" s="1459">
        <f t="shared" si="373"/>
        <v>1</v>
      </c>
      <c r="K132" s="538">
        <f t="shared" ref="K132" si="385">SUM(K127:K131)</f>
        <v>1450</v>
      </c>
      <c r="L132" s="539">
        <f t="shared" ref="L132:M132" si="386">SUM(L127:L131)</f>
        <v>901</v>
      </c>
      <c r="M132" s="539">
        <f t="shared" si="386"/>
        <v>901</v>
      </c>
      <c r="N132" s="1459">
        <f t="shared" si="375"/>
        <v>1</v>
      </c>
      <c r="O132" s="519">
        <f t="shared" ref="N132:AR132" si="387">SUM(O127:O131)</f>
        <v>0</v>
      </c>
      <c r="P132" s="368">
        <f t="shared" si="387"/>
        <v>0</v>
      </c>
      <c r="Q132" s="368">
        <f t="shared" ref="P132:Q132" si="388">SUM(Q127:Q131)</f>
        <v>0</v>
      </c>
      <c r="R132" s="1459" t="str">
        <f t="shared" si="376"/>
        <v>-</v>
      </c>
      <c r="S132" s="519">
        <f t="shared" si="387"/>
        <v>0</v>
      </c>
      <c r="T132" s="368">
        <f t="shared" si="387"/>
        <v>0</v>
      </c>
      <c r="U132" s="368">
        <f t="shared" ref="T132:V132" si="389">SUM(U127:U131)</f>
        <v>0</v>
      </c>
      <c r="V132" s="1459" t="str">
        <f t="shared" si="377"/>
        <v>-</v>
      </c>
      <c r="W132" s="519">
        <f t="shared" si="387"/>
        <v>1450</v>
      </c>
      <c r="X132" s="368">
        <f t="shared" si="387"/>
        <v>889</v>
      </c>
      <c r="Y132" s="368">
        <f t="shared" ref="X132:Z132" si="390">SUM(Y127:Y131)</f>
        <v>889</v>
      </c>
      <c r="Z132" s="1459">
        <f t="shared" si="378"/>
        <v>1</v>
      </c>
      <c r="AA132" s="519">
        <f t="shared" si="387"/>
        <v>0</v>
      </c>
      <c r="AB132" s="368">
        <f t="shared" si="387"/>
        <v>12</v>
      </c>
      <c r="AC132" s="368">
        <f t="shared" ref="AB132:AD132" si="391">SUM(AC127:AC131)</f>
        <v>12</v>
      </c>
      <c r="AD132" s="1459">
        <f t="shared" si="379"/>
        <v>1</v>
      </c>
      <c r="AE132" s="538">
        <f t="shared" si="387"/>
        <v>0</v>
      </c>
      <c r="AF132" s="539">
        <f t="shared" ref="AF132:AG132" si="392">SUM(AF127:AF131)</f>
        <v>400</v>
      </c>
      <c r="AG132" s="539">
        <f t="shared" si="392"/>
        <v>400</v>
      </c>
      <c r="AH132" s="1459">
        <f t="shared" si="381"/>
        <v>1</v>
      </c>
      <c r="AI132" s="519">
        <f t="shared" si="387"/>
        <v>0</v>
      </c>
      <c r="AJ132" s="368">
        <f t="shared" si="387"/>
        <v>0</v>
      </c>
      <c r="AK132" s="368">
        <f t="shared" ref="AJ132:AL132" si="393">SUM(AK127:AK131)</f>
        <v>0</v>
      </c>
      <c r="AL132" s="1459" t="str">
        <f t="shared" si="382"/>
        <v>-</v>
      </c>
      <c r="AM132" s="519">
        <f t="shared" si="387"/>
        <v>0</v>
      </c>
      <c r="AN132" s="368">
        <f t="shared" si="387"/>
        <v>400</v>
      </c>
      <c r="AO132" s="368">
        <f t="shared" ref="AN132:AP132" si="394">SUM(AO127:AO131)</f>
        <v>400</v>
      </c>
      <c r="AP132" s="1459">
        <f t="shared" si="383"/>
        <v>1</v>
      </c>
      <c r="AQ132" s="519">
        <f t="shared" si="387"/>
        <v>0</v>
      </c>
      <c r="AR132" s="368">
        <f t="shared" si="387"/>
        <v>0</v>
      </c>
      <c r="AS132" s="368">
        <f t="shared" ref="AR132:AT132" si="395">SUM(AS127:AS131)</f>
        <v>0</v>
      </c>
      <c r="AT132" s="1459" t="str">
        <f t="shared" si="384"/>
        <v>-</v>
      </c>
      <c r="AU132" s="509"/>
      <c r="AV132" s="509"/>
      <c r="AW132" s="509"/>
      <c r="AX132" s="509"/>
      <c r="AY132" s="509"/>
    </row>
    <row r="133" spans="1:51" s="511" customFormat="1" ht="12.75" customHeight="1" thickBot="1">
      <c r="A133" s="554">
        <f>A131+1</f>
        <v>109</v>
      </c>
      <c r="B133" s="1024">
        <v>27</v>
      </c>
      <c r="C133" s="439" t="s">
        <v>19</v>
      </c>
      <c r="D133" s="545" t="s">
        <v>19</v>
      </c>
      <c r="E133" s="534" t="s">
        <v>19</v>
      </c>
      <c r="F133" s="1007" t="s">
        <v>19</v>
      </c>
      <c r="G133" s="1190">
        <f>+K133+AE133</f>
        <v>0</v>
      </c>
      <c r="H133" s="1191">
        <f>+L133+AF133</f>
        <v>0</v>
      </c>
      <c r="I133" s="1191">
        <f>+M133+AG133</f>
        <v>0</v>
      </c>
      <c r="J133" s="1860" t="str">
        <f t="shared" ref="J133:J134" si="396">IF(ISERROR(I133/H133),"-",I133/H133)</f>
        <v>-</v>
      </c>
      <c r="K133" s="1190">
        <f>+O133+S133+W133+AA133</f>
        <v>0</v>
      </c>
      <c r="L133" s="1191">
        <f>+P133+T133+X133+AB133</f>
        <v>0</v>
      </c>
      <c r="M133" s="1191">
        <f>+Q133+U133+Y133+AC133</f>
        <v>0</v>
      </c>
      <c r="N133" s="1860" t="str">
        <f t="shared" si="375"/>
        <v>-</v>
      </c>
      <c r="O133" s="515"/>
      <c r="P133" s="514"/>
      <c r="Q133" s="514"/>
      <c r="R133" s="1458" t="str">
        <f t="shared" si="376"/>
        <v>-</v>
      </c>
      <c r="S133" s="515"/>
      <c r="T133" s="514"/>
      <c r="U133" s="514"/>
      <c r="V133" s="1458" t="str">
        <f t="shared" si="377"/>
        <v>-</v>
      </c>
      <c r="W133" s="515"/>
      <c r="X133" s="514"/>
      <c r="Y133" s="514"/>
      <c r="Z133" s="1458" t="str">
        <f t="shared" si="378"/>
        <v>-</v>
      </c>
      <c r="AA133" s="515"/>
      <c r="AB133" s="514"/>
      <c r="AC133" s="514"/>
      <c r="AD133" s="1458" t="str">
        <f t="shared" si="379"/>
        <v>-</v>
      </c>
      <c r="AE133" s="1190">
        <f>+AI133+AM133+AQ133</f>
        <v>0</v>
      </c>
      <c r="AF133" s="1191">
        <f>+AJ133+AN133+AR133</f>
        <v>0</v>
      </c>
      <c r="AG133" s="1191">
        <f>+AK133+AO133+AS133</f>
        <v>0</v>
      </c>
      <c r="AH133" s="1860" t="str">
        <f t="shared" si="381"/>
        <v>-</v>
      </c>
      <c r="AI133" s="515"/>
      <c r="AJ133" s="514"/>
      <c r="AK133" s="514"/>
      <c r="AL133" s="1458" t="str">
        <f t="shared" si="382"/>
        <v>-</v>
      </c>
      <c r="AM133" s="515"/>
      <c r="AN133" s="514"/>
      <c r="AO133" s="514"/>
      <c r="AP133" s="1458" t="str">
        <f t="shared" si="383"/>
        <v>-</v>
      </c>
      <c r="AQ133" s="515"/>
      <c r="AR133" s="514"/>
      <c r="AS133" s="514"/>
      <c r="AT133" s="1458" t="str">
        <f t="shared" si="384"/>
        <v>-</v>
      </c>
      <c r="AU133" s="509"/>
      <c r="AV133" s="509"/>
      <c r="AW133" s="509"/>
      <c r="AX133" s="509"/>
      <c r="AY133" s="509"/>
    </row>
    <row r="134" spans="1:51" s="507" customFormat="1" ht="12.75" thickBot="1">
      <c r="A134" s="548" t="s">
        <v>641</v>
      </c>
      <c r="B134" s="1204"/>
      <c r="C134" s="1321" t="s">
        <v>807</v>
      </c>
      <c r="D134" s="1322"/>
      <c r="E134" s="1322"/>
      <c r="F134" s="1323"/>
      <c r="G134" s="538">
        <f>SUM(G133)</f>
        <v>0</v>
      </c>
      <c r="H134" s="539">
        <f>SUM(H133)</f>
        <v>0</v>
      </c>
      <c r="I134" s="539">
        <f>SUM(I133)</f>
        <v>0</v>
      </c>
      <c r="J134" s="1459" t="str">
        <f t="shared" si="396"/>
        <v>-</v>
      </c>
      <c r="K134" s="538">
        <f t="shared" ref="K134" si="397">SUM(K133)</f>
        <v>0</v>
      </c>
      <c r="L134" s="539">
        <f t="shared" ref="L134:M134" si="398">SUM(L133)</f>
        <v>0</v>
      </c>
      <c r="M134" s="539">
        <f t="shared" si="398"/>
        <v>0</v>
      </c>
      <c r="N134" s="1459" t="str">
        <f t="shared" si="375"/>
        <v>-</v>
      </c>
      <c r="O134" s="519">
        <f t="shared" ref="N134:AQ136" si="399">SUM(O133)</f>
        <v>0</v>
      </c>
      <c r="P134" s="368">
        <f t="shared" si="399"/>
        <v>0</v>
      </c>
      <c r="Q134" s="368">
        <f t="shared" ref="P134:Q134" si="400">SUM(Q133)</f>
        <v>0</v>
      </c>
      <c r="R134" s="1459" t="str">
        <f t="shared" si="376"/>
        <v>-</v>
      </c>
      <c r="S134" s="519">
        <f t="shared" si="399"/>
        <v>0</v>
      </c>
      <c r="T134" s="368">
        <f t="shared" si="399"/>
        <v>0</v>
      </c>
      <c r="U134" s="368">
        <f t="shared" ref="T134:V134" si="401">SUM(U133)</f>
        <v>0</v>
      </c>
      <c r="V134" s="1459" t="str">
        <f t="shared" si="377"/>
        <v>-</v>
      </c>
      <c r="W134" s="519">
        <f t="shared" si="399"/>
        <v>0</v>
      </c>
      <c r="X134" s="368">
        <f t="shared" si="399"/>
        <v>0</v>
      </c>
      <c r="Y134" s="368">
        <f t="shared" ref="X134:Z134" si="402">SUM(Y133)</f>
        <v>0</v>
      </c>
      <c r="Z134" s="1459" t="str">
        <f t="shared" si="378"/>
        <v>-</v>
      </c>
      <c r="AA134" s="519">
        <f t="shared" si="399"/>
        <v>0</v>
      </c>
      <c r="AB134" s="368">
        <f t="shared" si="399"/>
        <v>0</v>
      </c>
      <c r="AC134" s="368">
        <f t="shared" ref="AB134:AD134" si="403">SUM(AC133)</f>
        <v>0</v>
      </c>
      <c r="AD134" s="1459" t="str">
        <f t="shared" si="379"/>
        <v>-</v>
      </c>
      <c r="AE134" s="538">
        <f t="shared" si="399"/>
        <v>0</v>
      </c>
      <c r="AF134" s="539">
        <f t="shared" ref="AF134:AG134" si="404">SUM(AF133)</f>
        <v>0</v>
      </c>
      <c r="AG134" s="539">
        <f t="shared" si="404"/>
        <v>0</v>
      </c>
      <c r="AH134" s="1459" t="str">
        <f t="shared" si="381"/>
        <v>-</v>
      </c>
      <c r="AI134" s="519">
        <f t="shared" si="399"/>
        <v>0</v>
      </c>
      <c r="AJ134" s="368">
        <f t="shared" si="399"/>
        <v>0</v>
      </c>
      <c r="AK134" s="368">
        <f t="shared" ref="AJ134:AL134" si="405">SUM(AK133)</f>
        <v>0</v>
      </c>
      <c r="AL134" s="1459" t="str">
        <f t="shared" si="382"/>
        <v>-</v>
      </c>
      <c r="AM134" s="519">
        <f t="shared" si="399"/>
        <v>0</v>
      </c>
      <c r="AN134" s="368">
        <f t="shared" si="399"/>
        <v>0</v>
      </c>
      <c r="AO134" s="368">
        <f t="shared" ref="AN134:AP134" si="406">SUM(AO133)</f>
        <v>0</v>
      </c>
      <c r="AP134" s="1459" t="str">
        <f t="shared" si="383"/>
        <v>-</v>
      </c>
      <c r="AQ134" s="519">
        <f t="shared" si="399"/>
        <v>0</v>
      </c>
      <c r="AR134" s="368">
        <f t="shared" ref="AR134" si="407">SUM(AR133)</f>
        <v>0</v>
      </c>
      <c r="AS134" s="368">
        <f t="shared" ref="AR134:AT134" si="408">SUM(AS133)</f>
        <v>0</v>
      </c>
      <c r="AT134" s="1459" t="str">
        <f t="shared" si="384"/>
        <v>-</v>
      </c>
      <c r="AU134" s="509"/>
      <c r="AV134" s="509"/>
      <c r="AW134" s="509"/>
      <c r="AX134" s="509"/>
      <c r="AY134" s="509"/>
    </row>
    <row r="135" spans="1:51" s="511" customFormat="1" ht="12.75" customHeight="1" thickBot="1">
      <c r="A135" s="554">
        <f>+A133+1</f>
        <v>110</v>
      </c>
      <c r="B135" s="1024">
        <v>28</v>
      </c>
      <c r="C135" s="439" t="s">
        <v>19</v>
      </c>
      <c r="D135" s="545" t="s">
        <v>19</v>
      </c>
      <c r="E135" s="534" t="s">
        <v>19</v>
      </c>
      <c r="F135" s="1007" t="s">
        <v>19</v>
      </c>
      <c r="G135" s="1190">
        <f>+K135+AE135</f>
        <v>0</v>
      </c>
      <c r="H135" s="1191">
        <f>+L135+AF135</f>
        <v>0</v>
      </c>
      <c r="I135" s="1191">
        <f>+M135+AG135</f>
        <v>0</v>
      </c>
      <c r="J135" s="1860" t="str">
        <f t="shared" ref="J135:J137" si="409">IF(ISERROR(I135/H135),"-",I135/H135)</f>
        <v>-</v>
      </c>
      <c r="K135" s="1190">
        <f>+O135+S135+W135+AA135</f>
        <v>0</v>
      </c>
      <c r="L135" s="1191">
        <f>+P135+T135+X135+AB135</f>
        <v>0</v>
      </c>
      <c r="M135" s="1191">
        <f>+Q135+U135+Y135+AC135</f>
        <v>0</v>
      </c>
      <c r="N135" s="1860" t="str">
        <f t="shared" si="375"/>
        <v>-</v>
      </c>
      <c r="O135" s="515"/>
      <c r="P135" s="514"/>
      <c r="Q135" s="514"/>
      <c r="R135" s="1458" t="str">
        <f t="shared" si="376"/>
        <v>-</v>
      </c>
      <c r="S135" s="515"/>
      <c r="T135" s="514"/>
      <c r="U135" s="514"/>
      <c r="V135" s="1458" t="str">
        <f t="shared" si="377"/>
        <v>-</v>
      </c>
      <c r="W135" s="515"/>
      <c r="X135" s="514"/>
      <c r="Y135" s="514"/>
      <c r="Z135" s="1458" t="str">
        <f t="shared" si="378"/>
        <v>-</v>
      </c>
      <c r="AA135" s="515"/>
      <c r="AB135" s="514"/>
      <c r="AC135" s="514"/>
      <c r="AD135" s="1458" t="str">
        <f t="shared" si="379"/>
        <v>-</v>
      </c>
      <c r="AE135" s="1190">
        <f>+AI135+AM135+AQ135</f>
        <v>0</v>
      </c>
      <c r="AF135" s="1191">
        <f>+AJ135+AN135+AR135</f>
        <v>0</v>
      </c>
      <c r="AG135" s="1191">
        <f>+AK135+AO135+AS135</f>
        <v>0</v>
      </c>
      <c r="AH135" s="1860" t="str">
        <f t="shared" si="381"/>
        <v>-</v>
      </c>
      <c r="AI135" s="515"/>
      <c r="AJ135" s="514"/>
      <c r="AK135" s="514"/>
      <c r="AL135" s="1458" t="str">
        <f t="shared" si="382"/>
        <v>-</v>
      </c>
      <c r="AM135" s="515"/>
      <c r="AN135" s="514"/>
      <c r="AO135" s="514"/>
      <c r="AP135" s="1458" t="str">
        <f t="shared" si="383"/>
        <v>-</v>
      </c>
      <c r="AQ135" s="515"/>
      <c r="AR135" s="514"/>
      <c r="AS135" s="514"/>
      <c r="AT135" s="1458" t="str">
        <f t="shared" si="384"/>
        <v>-</v>
      </c>
      <c r="AU135" s="509"/>
      <c r="AV135" s="509"/>
      <c r="AW135" s="509"/>
      <c r="AX135" s="509"/>
      <c r="AY135" s="509"/>
    </row>
    <row r="136" spans="1:51" s="507" customFormat="1" ht="12.75" thickBot="1">
      <c r="A136" s="548" t="s">
        <v>806</v>
      </c>
      <c r="B136" s="1204"/>
      <c r="C136" s="1321" t="s">
        <v>822</v>
      </c>
      <c r="D136" s="1322"/>
      <c r="E136" s="1322"/>
      <c r="F136" s="1323"/>
      <c r="G136" s="538">
        <f>SUM(G135)</f>
        <v>0</v>
      </c>
      <c r="H136" s="539">
        <f>SUM(H135)</f>
        <v>0</v>
      </c>
      <c r="I136" s="539">
        <f>SUM(I135)</f>
        <v>0</v>
      </c>
      <c r="J136" s="1459" t="str">
        <f t="shared" si="409"/>
        <v>-</v>
      </c>
      <c r="K136" s="538">
        <f t="shared" ref="K136" si="410">SUM(K135)</f>
        <v>0</v>
      </c>
      <c r="L136" s="539">
        <f t="shared" ref="L136:M136" si="411">SUM(L135)</f>
        <v>0</v>
      </c>
      <c r="M136" s="539">
        <f t="shared" si="411"/>
        <v>0</v>
      </c>
      <c r="N136" s="1459" t="str">
        <f t="shared" si="375"/>
        <v>-</v>
      </c>
      <c r="O136" s="519">
        <f t="shared" si="399"/>
        <v>0</v>
      </c>
      <c r="P136" s="368">
        <f t="shared" si="399"/>
        <v>0</v>
      </c>
      <c r="Q136" s="368">
        <f t="shared" ref="P136:Q136" si="412">SUM(Q135)</f>
        <v>0</v>
      </c>
      <c r="R136" s="1459" t="str">
        <f t="shared" si="376"/>
        <v>-</v>
      </c>
      <c r="S136" s="519">
        <f t="shared" si="399"/>
        <v>0</v>
      </c>
      <c r="T136" s="368">
        <f t="shared" si="399"/>
        <v>0</v>
      </c>
      <c r="U136" s="368">
        <f t="shared" ref="T136:V136" si="413">SUM(U135)</f>
        <v>0</v>
      </c>
      <c r="V136" s="1459" t="str">
        <f t="shared" si="377"/>
        <v>-</v>
      </c>
      <c r="W136" s="519">
        <f t="shared" si="399"/>
        <v>0</v>
      </c>
      <c r="X136" s="368">
        <f t="shared" si="399"/>
        <v>0</v>
      </c>
      <c r="Y136" s="368">
        <f t="shared" ref="X136:Z136" si="414">SUM(Y135)</f>
        <v>0</v>
      </c>
      <c r="Z136" s="1459" t="str">
        <f t="shared" si="378"/>
        <v>-</v>
      </c>
      <c r="AA136" s="519">
        <f t="shared" si="399"/>
        <v>0</v>
      </c>
      <c r="AB136" s="368">
        <f t="shared" si="399"/>
        <v>0</v>
      </c>
      <c r="AC136" s="368">
        <f t="shared" ref="AB136:AD136" si="415">SUM(AC135)</f>
        <v>0</v>
      </c>
      <c r="AD136" s="1459" t="str">
        <f t="shared" si="379"/>
        <v>-</v>
      </c>
      <c r="AE136" s="538">
        <f t="shared" si="399"/>
        <v>0</v>
      </c>
      <c r="AF136" s="539">
        <f t="shared" ref="AF136:AG136" si="416">SUM(AF135)</f>
        <v>0</v>
      </c>
      <c r="AG136" s="539">
        <f t="shared" si="416"/>
        <v>0</v>
      </c>
      <c r="AH136" s="1459" t="str">
        <f t="shared" si="381"/>
        <v>-</v>
      </c>
      <c r="AI136" s="519">
        <f t="shared" si="399"/>
        <v>0</v>
      </c>
      <c r="AJ136" s="368">
        <f t="shared" si="399"/>
        <v>0</v>
      </c>
      <c r="AK136" s="368">
        <f t="shared" ref="AJ136:AL136" si="417">SUM(AK135)</f>
        <v>0</v>
      </c>
      <c r="AL136" s="1459" t="str">
        <f t="shared" si="382"/>
        <v>-</v>
      </c>
      <c r="AM136" s="519">
        <f t="shared" si="399"/>
        <v>0</v>
      </c>
      <c r="AN136" s="368">
        <f t="shared" si="399"/>
        <v>0</v>
      </c>
      <c r="AO136" s="368">
        <f t="shared" ref="AN136:AP136" si="418">SUM(AO135)</f>
        <v>0</v>
      </c>
      <c r="AP136" s="1459" t="str">
        <f t="shared" si="383"/>
        <v>-</v>
      </c>
      <c r="AQ136" s="519">
        <f t="shared" si="399"/>
        <v>0</v>
      </c>
      <c r="AR136" s="368">
        <f t="shared" ref="AR136" si="419">SUM(AR135)</f>
        <v>0</v>
      </c>
      <c r="AS136" s="368">
        <f t="shared" ref="AR136:AT136" si="420">SUM(AS135)</f>
        <v>0</v>
      </c>
      <c r="AT136" s="1459" t="str">
        <f t="shared" si="384"/>
        <v>-</v>
      </c>
      <c r="AU136" s="509"/>
      <c r="AV136" s="509"/>
      <c r="AW136" s="509"/>
      <c r="AX136" s="509"/>
      <c r="AY136" s="509"/>
    </row>
    <row r="137" spans="1:51" s="507" customFormat="1" ht="12.75" thickBot="1">
      <c r="A137" s="549" t="s">
        <v>20</v>
      </c>
      <c r="B137" s="1021"/>
      <c r="C137" s="1324" t="s">
        <v>423</v>
      </c>
      <c r="D137" s="1325"/>
      <c r="E137" s="1325"/>
      <c r="F137" s="1326"/>
      <c r="G137" s="521">
        <f>+G132+G134+G136</f>
        <v>1450</v>
      </c>
      <c r="H137" s="522">
        <f>+H132+H134+H136</f>
        <v>1301</v>
      </c>
      <c r="I137" s="522">
        <f>+I132+I134+I136</f>
        <v>1301</v>
      </c>
      <c r="J137" s="1869">
        <f t="shared" si="409"/>
        <v>1</v>
      </c>
      <c r="K137" s="521">
        <f t="shared" ref="K137" si="421">+K132+K134+K136</f>
        <v>1450</v>
      </c>
      <c r="L137" s="522">
        <f t="shared" ref="L137:M137" si="422">+L132+L134+L136</f>
        <v>901</v>
      </c>
      <c r="M137" s="522">
        <f t="shared" si="422"/>
        <v>901</v>
      </c>
      <c r="N137" s="1869">
        <f t="shared" si="375"/>
        <v>1</v>
      </c>
      <c r="O137" s="531">
        <f t="shared" ref="N137:AR137" si="423">+O132+O134+O136</f>
        <v>0</v>
      </c>
      <c r="P137" s="532">
        <f t="shared" si="423"/>
        <v>0</v>
      </c>
      <c r="Q137" s="532">
        <f t="shared" ref="P137:Q137" si="424">+Q132+Q134+Q136</f>
        <v>0</v>
      </c>
      <c r="R137" s="1869" t="str">
        <f t="shared" si="376"/>
        <v>-</v>
      </c>
      <c r="S137" s="531">
        <f t="shared" si="423"/>
        <v>0</v>
      </c>
      <c r="T137" s="532">
        <f t="shared" si="423"/>
        <v>0</v>
      </c>
      <c r="U137" s="532">
        <f t="shared" ref="T137:V137" si="425">+U132+U134+U136</f>
        <v>0</v>
      </c>
      <c r="V137" s="1869" t="str">
        <f t="shared" si="377"/>
        <v>-</v>
      </c>
      <c r="W137" s="531">
        <f t="shared" si="423"/>
        <v>1450</v>
      </c>
      <c r="X137" s="532">
        <f t="shared" si="423"/>
        <v>889</v>
      </c>
      <c r="Y137" s="532">
        <f t="shared" ref="X137:Z137" si="426">+Y132+Y134+Y136</f>
        <v>889</v>
      </c>
      <c r="Z137" s="1869">
        <f t="shared" si="378"/>
        <v>1</v>
      </c>
      <c r="AA137" s="531">
        <f t="shared" si="423"/>
        <v>0</v>
      </c>
      <c r="AB137" s="532">
        <f t="shared" si="423"/>
        <v>12</v>
      </c>
      <c r="AC137" s="532">
        <f t="shared" ref="AB137:AD137" si="427">+AC132+AC134+AC136</f>
        <v>12</v>
      </c>
      <c r="AD137" s="1869">
        <f t="shared" si="379"/>
        <v>1</v>
      </c>
      <c r="AE137" s="521">
        <f t="shared" si="423"/>
        <v>0</v>
      </c>
      <c r="AF137" s="522">
        <f t="shared" ref="AF137:AG137" si="428">+AF132+AF134+AF136</f>
        <v>400</v>
      </c>
      <c r="AG137" s="522">
        <f t="shared" si="428"/>
        <v>400</v>
      </c>
      <c r="AH137" s="1869">
        <f t="shared" si="381"/>
        <v>1</v>
      </c>
      <c r="AI137" s="531">
        <f t="shared" si="423"/>
        <v>0</v>
      </c>
      <c r="AJ137" s="532">
        <f t="shared" si="423"/>
        <v>0</v>
      </c>
      <c r="AK137" s="532">
        <f t="shared" ref="AJ137:AL137" si="429">+AK132+AK134+AK136</f>
        <v>0</v>
      </c>
      <c r="AL137" s="1869" t="str">
        <f t="shared" si="382"/>
        <v>-</v>
      </c>
      <c r="AM137" s="531">
        <f t="shared" si="423"/>
        <v>0</v>
      </c>
      <c r="AN137" s="532">
        <f t="shared" si="423"/>
        <v>400</v>
      </c>
      <c r="AO137" s="532">
        <f t="shared" ref="AN137:AP137" si="430">+AO132+AO134+AO136</f>
        <v>400</v>
      </c>
      <c r="AP137" s="1869">
        <f t="shared" si="383"/>
        <v>1</v>
      </c>
      <c r="AQ137" s="531">
        <f t="shared" si="423"/>
        <v>0</v>
      </c>
      <c r="AR137" s="532">
        <f t="shared" si="423"/>
        <v>0</v>
      </c>
      <c r="AS137" s="532">
        <f t="shared" ref="AR137:AT137" si="431">+AS132+AS134+AS136</f>
        <v>0</v>
      </c>
      <c r="AT137" s="1869" t="str">
        <f t="shared" si="384"/>
        <v>-</v>
      </c>
      <c r="AU137" s="509"/>
      <c r="AV137" s="509"/>
      <c r="AW137" s="509"/>
      <c r="AX137" s="509"/>
      <c r="AY137" s="509"/>
    </row>
    <row r="138" spans="1:51" s="507" customFormat="1" ht="12.75" thickBot="1">
      <c r="A138" s="548"/>
      <c r="B138" s="1211"/>
      <c r="C138" s="356"/>
      <c r="D138" s="547"/>
      <c r="E138" s="518"/>
      <c r="F138" s="517"/>
      <c r="G138" s="538"/>
      <c r="H138" s="539"/>
      <c r="I138" s="539"/>
      <c r="J138" s="437"/>
      <c r="K138" s="538"/>
      <c r="L138" s="539"/>
      <c r="M138" s="539"/>
      <c r="N138" s="437"/>
      <c r="O138" s="519"/>
      <c r="P138" s="368"/>
      <c r="Q138" s="368"/>
      <c r="R138" s="437"/>
      <c r="S138" s="519"/>
      <c r="T138" s="368"/>
      <c r="U138" s="368"/>
      <c r="V138" s="437"/>
      <c r="W138" s="519"/>
      <c r="X138" s="368"/>
      <c r="Y138" s="368"/>
      <c r="Z138" s="437"/>
      <c r="AA138" s="519"/>
      <c r="AB138" s="368"/>
      <c r="AC138" s="368"/>
      <c r="AD138" s="437"/>
      <c r="AE138" s="538"/>
      <c r="AF138" s="539"/>
      <c r="AG138" s="539"/>
      <c r="AH138" s="437"/>
      <c r="AI138" s="519"/>
      <c r="AJ138" s="368"/>
      <c r="AK138" s="368"/>
      <c r="AL138" s="437"/>
      <c r="AM138" s="519"/>
      <c r="AN138" s="368"/>
      <c r="AO138" s="368"/>
      <c r="AP138" s="437"/>
      <c r="AQ138" s="519"/>
      <c r="AR138" s="368"/>
      <c r="AS138" s="368"/>
      <c r="AT138" s="437"/>
      <c r="AU138" s="509"/>
      <c r="AV138" s="509"/>
      <c r="AW138" s="509"/>
      <c r="AX138" s="509"/>
      <c r="AY138" s="509"/>
    </row>
    <row r="139" spans="1:51" s="511" customFormat="1" ht="12.75" customHeight="1" thickBot="1">
      <c r="A139" s="552">
        <f>A135+1</f>
        <v>111</v>
      </c>
      <c r="B139" s="288">
        <v>29</v>
      </c>
      <c r="C139" s="425" t="s">
        <v>19</v>
      </c>
      <c r="D139" s="979" t="s">
        <v>19</v>
      </c>
      <c r="E139" s="974" t="s">
        <v>19</v>
      </c>
      <c r="F139" s="1005" t="s">
        <v>19</v>
      </c>
      <c r="G139" s="1180">
        <f>+K139+AE139</f>
        <v>0</v>
      </c>
      <c r="H139" s="1181">
        <f>+L139+AF139</f>
        <v>0</v>
      </c>
      <c r="I139" s="1181">
        <f>+M139+AG139</f>
        <v>0</v>
      </c>
      <c r="J139" s="1860" t="str">
        <f t="shared" ref="J139:J140" si="432">IF(ISERROR(I139/H139),"-",I139/H139)</f>
        <v>-</v>
      </c>
      <c r="K139" s="1180">
        <f>+O139+S139+W139+AA139</f>
        <v>0</v>
      </c>
      <c r="L139" s="1181">
        <f>+P139+T139+X139+AB139</f>
        <v>0</v>
      </c>
      <c r="M139" s="1181">
        <f>+Q139+U139+Y139+AC139</f>
        <v>0</v>
      </c>
      <c r="N139" s="1860" t="str">
        <f t="shared" ref="N139:N146" si="433">IF(ISERROR(M139/L139),"-",M139/L139)</f>
        <v>-</v>
      </c>
      <c r="O139" s="1009"/>
      <c r="P139" s="1010"/>
      <c r="Q139" s="1010"/>
      <c r="R139" s="1458" t="str">
        <f t="shared" ref="R139:R146" si="434">IF(ISERROR(Q139/P139),"-",Q139/P139)</f>
        <v>-</v>
      </c>
      <c r="S139" s="1013"/>
      <c r="T139" s="1010"/>
      <c r="U139" s="1010"/>
      <c r="V139" s="1458" t="str">
        <f t="shared" ref="V139:V146" si="435">IF(ISERROR(U139/T139),"-",U139/T139)</f>
        <v>-</v>
      </c>
      <c r="W139" s="1013"/>
      <c r="X139" s="1010"/>
      <c r="Y139" s="1010"/>
      <c r="Z139" s="1458" t="str">
        <f t="shared" ref="Z139:Z146" si="436">IF(ISERROR(Y139/X139),"-",Y139/X139)</f>
        <v>-</v>
      </c>
      <c r="AA139" s="1013"/>
      <c r="AB139" s="1010"/>
      <c r="AC139" s="1010"/>
      <c r="AD139" s="1458" t="str">
        <f t="shared" ref="AD139:AD146" si="437">IF(ISERROR(AC139/AB139),"-",AC139/AB139)</f>
        <v>-</v>
      </c>
      <c r="AE139" s="1180">
        <f>+AI139+AM139+AQ139</f>
        <v>0</v>
      </c>
      <c r="AF139" s="1181">
        <f>+AJ139+AN139+AR139</f>
        <v>0</v>
      </c>
      <c r="AG139" s="1181">
        <f>+AK139+AO139+AS139</f>
        <v>0</v>
      </c>
      <c r="AH139" s="1860" t="str">
        <f t="shared" ref="AH139:AH146" si="438">IF(ISERROR(AG139/AF139),"-",AG139/AF139)</f>
        <v>-</v>
      </c>
      <c r="AI139" s="1013"/>
      <c r="AJ139" s="1010"/>
      <c r="AK139" s="1010"/>
      <c r="AL139" s="1458" t="str">
        <f t="shared" ref="AL139:AL146" si="439">IF(ISERROR(AK139/AJ139),"-",AK139/AJ139)</f>
        <v>-</v>
      </c>
      <c r="AM139" s="1013"/>
      <c r="AN139" s="1010"/>
      <c r="AO139" s="1010"/>
      <c r="AP139" s="1458" t="str">
        <f t="shared" ref="AP139:AP146" si="440">IF(ISERROR(AO139/AN139),"-",AO139/AN139)</f>
        <v>-</v>
      </c>
      <c r="AQ139" s="1013"/>
      <c r="AR139" s="1010"/>
      <c r="AS139" s="1010"/>
      <c r="AT139" s="1458" t="str">
        <f t="shared" ref="AT139:AT146" si="441">IF(ISERROR(AS139/AR139),"-",AS139/AR139)</f>
        <v>-</v>
      </c>
      <c r="AU139" s="509"/>
      <c r="AV139" s="509"/>
      <c r="AW139" s="509"/>
      <c r="AX139" s="509"/>
      <c r="AY139" s="509"/>
    </row>
    <row r="140" spans="1:51" s="507" customFormat="1" ht="12.75" thickBot="1">
      <c r="A140" s="548" t="s">
        <v>948</v>
      </c>
      <c r="B140" s="1204"/>
      <c r="C140" s="1321" t="s">
        <v>923</v>
      </c>
      <c r="D140" s="1322"/>
      <c r="E140" s="1322"/>
      <c r="F140" s="1323"/>
      <c r="G140" s="538">
        <f>SUM(G139)</f>
        <v>0</v>
      </c>
      <c r="H140" s="539">
        <f>SUM(H139)</f>
        <v>0</v>
      </c>
      <c r="I140" s="539">
        <f>SUM(I139)</f>
        <v>0</v>
      </c>
      <c r="J140" s="1459" t="str">
        <f t="shared" si="432"/>
        <v>-</v>
      </c>
      <c r="K140" s="538">
        <f t="shared" ref="K140" si="442">SUM(K139)</f>
        <v>0</v>
      </c>
      <c r="L140" s="539">
        <f t="shared" ref="L140:M140" si="443">SUM(L139)</f>
        <v>0</v>
      </c>
      <c r="M140" s="539">
        <f t="shared" si="443"/>
        <v>0</v>
      </c>
      <c r="N140" s="1459" t="str">
        <f t="shared" si="433"/>
        <v>-</v>
      </c>
      <c r="O140" s="519">
        <f t="shared" ref="N140:AR140" si="444">SUM(O139)</f>
        <v>0</v>
      </c>
      <c r="P140" s="368">
        <f t="shared" si="444"/>
        <v>0</v>
      </c>
      <c r="Q140" s="368">
        <f t="shared" ref="P140:Q140" si="445">SUM(Q139)</f>
        <v>0</v>
      </c>
      <c r="R140" s="1459" t="str">
        <f t="shared" si="434"/>
        <v>-</v>
      </c>
      <c r="S140" s="519">
        <f t="shared" si="444"/>
        <v>0</v>
      </c>
      <c r="T140" s="368">
        <f t="shared" si="444"/>
        <v>0</v>
      </c>
      <c r="U140" s="368">
        <f t="shared" ref="T140:V140" si="446">SUM(U139)</f>
        <v>0</v>
      </c>
      <c r="V140" s="1459" t="str">
        <f t="shared" si="435"/>
        <v>-</v>
      </c>
      <c r="W140" s="519">
        <f t="shared" si="444"/>
        <v>0</v>
      </c>
      <c r="X140" s="368">
        <f t="shared" si="444"/>
        <v>0</v>
      </c>
      <c r="Y140" s="368">
        <f t="shared" ref="X140:Z140" si="447">SUM(Y139)</f>
        <v>0</v>
      </c>
      <c r="Z140" s="1459" t="str">
        <f t="shared" si="436"/>
        <v>-</v>
      </c>
      <c r="AA140" s="519">
        <f t="shared" si="444"/>
        <v>0</v>
      </c>
      <c r="AB140" s="368">
        <f t="shared" si="444"/>
        <v>0</v>
      </c>
      <c r="AC140" s="368">
        <f t="shared" ref="AB140:AD140" si="448">SUM(AC139)</f>
        <v>0</v>
      </c>
      <c r="AD140" s="1459" t="str">
        <f t="shared" si="437"/>
        <v>-</v>
      </c>
      <c r="AE140" s="538">
        <f t="shared" si="444"/>
        <v>0</v>
      </c>
      <c r="AF140" s="539">
        <f t="shared" ref="AF140:AG140" si="449">SUM(AF139)</f>
        <v>0</v>
      </c>
      <c r="AG140" s="539">
        <f t="shared" si="449"/>
        <v>0</v>
      </c>
      <c r="AH140" s="1459" t="str">
        <f t="shared" si="438"/>
        <v>-</v>
      </c>
      <c r="AI140" s="519">
        <f t="shared" si="444"/>
        <v>0</v>
      </c>
      <c r="AJ140" s="368">
        <f t="shared" si="444"/>
        <v>0</v>
      </c>
      <c r="AK140" s="368">
        <f t="shared" ref="AJ140:AL140" si="450">SUM(AK139)</f>
        <v>0</v>
      </c>
      <c r="AL140" s="1459" t="str">
        <f t="shared" si="439"/>
        <v>-</v>
      </c>
      <c r="AM140" s="519">
        <f t="shared" si="444"/>
        <v>0</v>
      </c>
      <c r="AN140" s="368">
        <f t="shared" si="444"/>
        <v>0</v>
      </c>
      <c r="AO140" s="368">
        <f t="shared" ref="AN140:AP140" si="451">SUM(AO139)</f>
        <v>0</v>
      </c>
      <c r="AP140" s="1459" t="str">
        <f t="shared" si="440"/>
        <v>-</v>
      </c>
      <c r="AQ140" s="519">
        <f t="shared" si="444"/>
        <v>0</v>
      </c>
      <c r="AR140" s="368">
        <f t="shared" si="444"/>
        <v>0</v>
      </c>
      <c r="AS140" s="368">
        <f t="shared" ref="AR140:AT140" si="452">SUM(AS139)</f>
        <v>0</v>
      </c>
      <c r="AT140" s="1459" t="str">
        <f t="shared" si="441"/>
        <v>-</v>
      </c>
      <c r="AU140" s="509"/>
      <c r="AV140" s="509"/>
      <c r="AW140" s="509"/>
      <c r="AX140" s="509"/>
      <c r="AY140" s="509"/>
    </row>
    <row r="141" spans="1:51" s="511" customFormat="1" ht="12.75" customHeight="1">
      <c r="A141" s="919">
        <f>A139+1</f>
        <v>112</v>
      </c>
      <c r="B141" s="1023">
        <v>30</v>
      </c>
      <c r="C141" s="362" t="s">
        <v>1170</v>
      </c>
      <c r="D141" s="985" t="s">
        <v>1171</v>
      </c>
      <c r="E141" s="986" t="s">
        <v>702</v>
      </c>
      <c r="F141" s="1008" t="s">
        <v>1172</v>
      </c>
      <c r="G141" s="1188">
        <f t="shared" ref="G141:J142" si="453">+K141+AE141</f>
        <v>13240</v>
      </c>
      <c r="H141" s="1189">
        <f t="shared" si="453"/>
        <v>0</v>
      </c>
      <c r="I141" s="1189">
        <f t="shared" si="453"/>
        <v>0</v>
      </c>
      <c r="J141" s="1860" t="str">
        <f t="shared" ref="J141:J143" si="454">IF(ISERROR(I141/H141),"-",I141/H141)</f>
        <v>-</v>
      </c>
      <c r="K141" s="1188">
        <f t="shared" ref="K141:N142" si="455">+O141+S141+W141+AA141</f>
        <v>13240</v>
      </c>
      <c r="L141" s="1189">
        <f t="shared" si="455"/>
        <v>0</v>
      </c>
      <c r="M141" s="1189">
        <f t="shared" si="455"/>
        <v>0</v>
      </c>
      <c r="N141" s="1860" t="str">
        <f t="shared" si="433"/>
        <v>-</v>
      </c>
      <c r="O141" s="1011">
        <v>3240</v>
      </c>
      <c r="P141" s="1012"/>
      <c r="Q141" s="1012"/>
      <c r="R141" s="1458" t="str">
        <f t="shared" si="434"/>
        <v>-</v>
      </c>
      <c r="S141" s="1011">
        <v>10000</v>
      </c>
      <c r="T141" s="1012"/>
      <c r="U141" s="1012"/>
      <c r="V141" s="1458" t="str">
        <f t="shared" si="435"/>
        <v>-</v>
      </c>
      <c r="W141" s="1011"/>
      <c r="X141" s="1012"/>
      <c r="Y141" s="1012"/>
      <c r="Z141" s="1458" t="str">
        <f t="shared" si="436"/>
        <v>-</v>
      </c>
      <c r="AA141" s="1011"/>
      <c r="AB141" s="1012"/>
      <c r="AC141" s="1012"/>
      <c r="AD141" s="1458" t="str">
        <f t="shared" si="437"/>
        <v>-</v>
      </c>
      <c r="AE141" s="1188">
        <f t="shared" ref="AE141:AH142" si="456">+AI141+AM141+AQ141</f>
        <v>0</v>
      </c>
      <c r="AF141" s="1189">
        <f t="shared" si="456"/>
        <v>0</v>
      </c>
      <c r="AG141" s="1189">
        <f t="shared" si="456"/>
        <v>0</v>
      </c>
      <c r="AH141" s="1860" t="str">
        <f t="shared" si="438"/>
        <v>-</v>
      </c>
      <c r="AI141" s="1011"/>
      <c r="AJ141" s="1012"/>
      <c r="AK141" s="1012"/>
      <c r="AL141" s="1458" t="str">
        <f t="shared" si="439"/>
        <v>-</v>
      </c>
      <c r="AM141" s="1011"/>
      <c r="AN141" s="1012"/>
      <c r="AO141" s="1012"/>
      <c r="AP141" s="1458" t="str">
        <f t="shared" si="440"/>
        <v>-</v>
      </c>
      <c r="AQ141" s="1011"/>
      <c r="AR141" s="1012"/>
      <c r="AS141" s="1012"/>
      <c r="AT141" s="1458" t="str">
        <f t="shared" si="441"/>
        <v>-</v>
      </c>
      <c r="AU141" s="509"/>
      <c r="AV141" s="509"/>
      <c r="AW141" s="509"/>
      <c r="AX141" s="509"/>
      <c r="AY141" s="509"/>
    </row>
    <row r="142" spans="1:51" s="511" customFormat="1" ht="12.75" customHeight="1" thickBot="1">
      <c r="A142" s="554">
        <f>A141+1</f>
        <v>113</v>
      </c>
      <c r="B142" s="1024">
        <v>30</v>
      </c>
      <c r="C142" s="425" t="s">
        <v>1081</v>
      </c>
      <c r="D142" s="545" t="s">
        <v>1082</v>
      </c>
      <c r="E142" s="534" t="s">
        <v>702</v>
      </c>
      <c r="F142" s="1007" t="s">
        <v>1172</v>
      </c>
      <c r="G142" s="1190">
        <f t="shared" si="453"/>
        <v>0</v>
      </c>
      <c r="H142" s="1191">
        <f t="shared" si="453"/>
        <v>0</v>
      </c>
      <c r="I142" s="1191">
        <f t="shared" si="453"/>
        <v>0</v>
      </c>
      <c r="J142" s="1860" t="str">
        <f t="shared" si="454"/>
        <v>-</v>
      </c>
      <c r="K142" s="1190">
        <f t="shared" si="455"/>
        <v>0</v>
      </c>
      <c r="L142" s="1191">
        <f t="shared" si="455"/>
        <v>0</v>
      </c>
      <c r="M142" s="1191">
        <f t="shared" si="455"/>
        <v>0</v>
      </c>
      <c r="N142" s="1860" t="str">
        <f t="shared" si="433"/>
        <v>-</v>
      </c>
      <c r="O142" s="515"/>
      <c r="P142" s="514"/>
      <c r="Q142" s="514"/>
      <c r="R142" s="1458" t="str">
        <f t="shared" si="434"/>
        <v>-</v>
      </c>
      <c r="S142" s="515"/>
      <c r="T142" s="514"/>
      <c r="U142" s="514"/>
      <c r="V142" s="1458" t="str">
        <f t="shared" si="435"/>
        <v>-</v>
      </c>
      <c r="W142" s="515"/>
      <c r="X142" s="514"/>
      <c r="Y142" s="514"/>
      <c r="Z142" s="1458" t="str">
        <f t="shared" si="436"/>
        <v>-</v>
      </c>
      <c r="AA142" s="515"/>
      <c r="AB142" s="514"/>
      <c r="AC142" s="514"/>
      <c r="AD142" s="1458" t="str">
        <f t="shared" si="437"/>
        <v>-</v>
      </c>
      <c r="AE142" s="1190">
        <f t="shared" si="456"/>
        <v>0</v>
      </c>
      <c r="AF142" s="1191">
        <f t="shared" si="456"/>
        <v>0</v>
      </c>
      <c r="AG142" s="1191">
        <f t="shared" si="456"/>
        <v>0</v>
      </c>
      <c r="AH142" s="1860" t="str">
        <f t="shared" si="438"/>
        <v>-</v>
      </c>
      <c r="AI142" s="515"/>
      <c r="AJ142" s="514"/>
      <c r="AK142" s="514"/>
      <c r="AL142" s="1458" t="str">
        <f t="shared" si="439"/>
        <v>-</v>
      </c>
      <c r="AM142" s="515"/>
      <c r="AN142" s="514"/>
      <c r="AO142" s="514"/>
      <c r="AP142" s="1458" t="str">
        <f t="shared" si="440"/>
        <v>-</v>
      </c>
      <c r="AQ142" s="515"/>
      <c r="AR142" s="514"/>
      <c r="AS142" s="514"/>
      <c r="AT142" s="1458" t="str">
        <f t="shared" si="441"/>
        <v>-</v>
      </c>
      <c r="AU142" s="509"/>
      <c r="AV142" s="509"/>
      <c r="AW142" s="509"/>
      <c r="AX142" s="509"/>
      <c r="AY142" s="509"/>
    </row>
    <row r="143" spans="1:51" s="507" customFormat="1" ht="12.75" thickBot="1">
      <c r="A143" s="548" t="s">
        <v>949</v>
      </c>
      <c r="B143" s="1204"/>
      <c r="C143" s="1321" t="s">
        <v>924</v>
      </c>
      <c r="D143" s="1322"/>
      <c r="E143" s="1322"/>
      <c r="F143" s="1323"/>
      <c r="G143" s="538">
        <f>SUM(G141:G142)</f>
        <v>13240</v>
      </c>
      <c r="H143" s="539">
        <f>SUM(H141:H142)</f>
        <v>0</v>
      </c>
      <c r="I143" s="539">
        <f>SUM(I141:I142)</f>
        <v>0</v>
      </c>
      <c r="J143" s="1459" t="str">
        <f t="shared" si="454"/>
        <v>-</v>
      </c>
      <c r="K143" s="538">
        <f t="shared" ref="K143" si="457">SUM(K141:K142)</f>
        <v>13240</v>
      </c>
      <c r="L143" s="539">
        <f t="shared" ref="L143:M143" si="458">SUM(L141:L142)</f>
        <v>0</v>
      </c>
      <c r="M143" s="539">
        <f t="shared" si="458"/>
        <v>0</v>
      </c>
      <c r="N143" s="1459" t="str">
        <f t="shared" si="433"/>
        <v>-</v>
      </c>
      <c r="O143" s="519">
        <f t="shared" ref="N143:AR143" si="459">SUM(O141:O142)</f>
        <v>3240</v>
      </c>
      <c r="P143" s="368">
        <f t="shared" si="459"/>
        <v>0</v>
      </c>
      <c r="Q143" s="368">
        <f t="shared" ref="P143:Q143" si="460">SUM(Q141:Q142)</f>
        <v>0</v>
      </c>
      <c r="R143" s="1459" t="str">
        <f t="shared" si="434"/>
        <v>-</v>
      </c>
      <c r="S143" s="519">
        <f t="shared" si="459"/>
        <v>10000</v>
      </c>
      <c r="T143" s="368">
        <f t="shared" si="459"/>
        <v>0</v>
      </c>
      <c r="U143" s="368">
        <f t="shared" ref="T143:V143" si="461">SUM(U141:U142)</f>
        <v>0</v>
      </c>
      <c r="V143" s="1459" t="str">
        <f t="shared" si="435"/>
        <v>-</v>
      </c>
      <c r="W143" s="519">
        <f t="shared" si="459"/>
        <v>0</v>
      </c>
      <c r="X143" s="368">
        <f t="shared" si="459"/>
        <v>0</v>
      </c>
      <c r="Y143" s="368">
        <f t="shared" ref="X143:Z143" si="462">SUM(Y141:Y142)</f>
        <v>0</v>
      </c>
      <c r="Z143" s="1459" t="str">
        <f t="shared" si="436"/>
        <v>-</v>
      </c>
      <c r="AA143" s="519">
        <f t="shared" si="459"/>
        <v>0</v>
      </c>
      <c r="AB143" s="368">
        <f t="shared" si="459"/>
        <v>0</v>
      </c>
      <c r="AC143" s="368">
        <f t="shared" ref="AB143:AD143" si="463">SUM(AC141:AC142)</f>
        <v>0</v>
      </c>
      <c r="AD143" s="1459" t="str">
        <f t="shared" si="437"/>
        <v>-</v>
      </c>
      <c r="AE143" s="538">
        <f t="shared" si="459"/>
        <v>0</v>
      </c>
      <c r="AF143" s="539">
        <f t="shared" ref="AF143:AG143" si="464">SUM(AF141:AF142)</f>
        <v>0</v>
      </c>
      <c r="AG143" s="539">
        <f t="shared" si="464"/>
        <v>0</v>
      </c>
      <c r="AH143" s="1459" t="str">
        <f t="shared" si="438"/>
        <v>-</v>
      </c>
      <c r="AI143" s="519">
        <f t="shared" si="459"/>
        <v>0</v>
      </c>
      <c r="AJ143" s="368">
        <f t="shared" si="459"/>
        <v>0</v>
      </c>
      <c r="AK143" s="368">
        <f t="shared" ref="AJ143:AL143" si="465">SUM(AK141:AK142)</f>
        <v>0</v>
      </c>
      <c r="AL143" s="1459" t="str">
        <f t="shared" si="439"/>
        <v>-</v>
      </c>
      <c r="AM143" s="519">
        <f t="shared" si="459"/>
        <v>0</v>
      </c>
      <c r="AN143" s="368">
        <f t="shared" si="459"/>
        <v>0</v>
      </c>
      <c r="AO143" s="368">
        <f t="shared" ref="AN143:AP143" si="466">SUM(AO141:AO142)</f>
        <v>0</v>
      </c>
      <c r="AP143" s="1459" t="str">
        <f t="shared" si="440"/>
        <v>-</v>
      </c>
      <c r="AQ143" s="519">
        <f t="shared" si="459"/>
        <v>0</v>
      </c>
      <c r="AR143" s="368">
        <f t="shared" si="459"/>
        <v>0</v>
      </c>
      <c r="AS143" s="368">
        <f t="shared" ref="AR143:AT143" si="467">SUM(AS141:AS142)</f>
        <v>0</v>
      </c>
      <c r="AT143" s="1459" t="str">
        <f t="shared" si="441"/>
        <v>-</v>
      </c>
      <c r="AU143" s="509"/>
      <c r="AV143" s="509"/>
      <c r="AW143" s="509"/>
      <c r="AX143" s="509"/>
      <c r="AY143" s="509"/>
    </row>
    <row r="144" spans="1:51" s="511" customFormat="1" ht="12.75" customHeight="1" thickBot="1">
      <c r="A144" s="554">
        <f>+A142+1</f>
        <v>114</v>
      </c>
      <c r="B144" s="1024">
        <v>31</v>
      </c>
      <c r="C144" s="439" t="s">
        <v>19</v>
      </c>
      <c r="D144" s="545" t="s">
        <v>19</v>
      </c>
      <c r="E144" s="534" t="s">
        <v>19</v>
      </c>
      <c r="F144" s="1007" t="s">
        <v>19</v>
      </c>
      <c r="G144" s="1190">
        <f>+K144+AE144</f>
        <v>0</v>
      </c>
      <c r="H144" s="1191">
        <f>+L144+AF144</f>
        <v>0</v>
      </c>
      <c r="I144" s="1191">
        <f>+M144+AG144</f>
        <v>0</v>
      </c>
      <c r="J144" s="1860" t="str">
        <f t="shared" ref="J144:J146" si="468">IF(ISERROR(I144/H144),"-",I144/H144)</f>
        <v>-</v>
      </c>
      <c r="K144" s="1190">
        <f>+O144+S144+W144+AA144</f>
        <v>0</v>
      </c>
      <c r="L144" s="1191">
        <f>+P144+T144+X144+AB144</f>
        <v>0</v>
      </c>
      <c r="M144" s="1191">
        <f>+Q144+U144+Y144+AC144</f>
        <v>0</v>
      </c>
      <c r="N144" s="1860" t="str">
        <f t="shared" si="433"/>
        <v>-</v>
      </c>
      <c r="O144" s="515"/>
      <c r="P144" s="514"/>
      <c r="Q144" s="514"/>
      <c r="R144" s="1458" t="str">
        <f t="shared" si="434"/>
        <v>-</v>
      </c>
      <c r="S144" s="515"/>
      <c r="T144" s="514"/>
      <c r="U144" s="514"/>
      <c r="V144" s="1458" t="str">
        <f t="shared" si="435"/>
        <v>-</v>
      </c>
      <c r="W144" s="515"/>
      <c r="X144" s="514"/>
      <c r="Y144" s="514"/>
      <c r="Z144" s="1458" t="str">
        <f t="shared" si="436"/>
        <v>-</v>
      </c>
      <c r="AA144" s="515"/>
      <c r="AB144" s="514"/>
      <c r="AC144" s="514"/>
      <c r="AD144" s="1458" t="str">
        <f t="shared" si="437"/>
        <v>-</v>
      </c>
      <c r="AE144" s="1190">
        <f>+AI144+AM144+AQ144</f>
        <v>0</v>
      </c>
      <c r="AF144" s="1191">
        <f>+AJ144+AN144+AR144</f>
        <v>0</v>
      </c>
      <c r="AG144" s="1191">
        <f>+AK144+AO144+AS144</f>
        <v>0</v>
      </c>
      <c r="AH144" s="1860" t="str">
        <f t="shared" si="438"/>
        <v>-</v>
      </c>
      <c r="AI144" s="515"/>
      <c r="AJ144" s="514"/>
      <c r="AK144" s="514"/>
      <c r="AL144" s="1458" t="str">
        <f t="shared" si="439"/>
        <v>-</v>
      </c>
      <c r="AM144" s="515"/>
      <c r="AN144" s="514"/>
      <c r="AO144" s="514"/>
      <c r="AP144" s="1458" t="str">
        <f t="shared" si="440"/>
        <v>-</v>
      </c>
      <c r="AQ144" s="515"/>
      <c r="AR144" s="514"/>
      <c r="AS144" s="514"/>
      <c r="AT144" s="1458" t="str">
        <f t="shared" si="441"/>
        <v>-</v>
      </c>
      <c r="AU144" s="509"/>
      <c r="AV144" s="509"/>
      <c r="AW144" s="509"/>
      <c r="AX144" s="509"/>
      <c r="AY144" s="509"/>
    </row>
    <row r="145" spans="1:51" s="507" customFormat="1" ht="12.75" thickBot="1">
      <c r="A145" s="548" t="s">
        <v>950</v>
      </c>
      <c r="B145" s="1204"/>
      <c r="C145" s="1321" t="s">
        <v>951</v>
      </c>
      <c r="D145" s="1322"/>
      <c r="E145" s="1322"/>
      <c r="F145" s="1323"/>
      <c r="G145" s="538">
        <f>SUM(G144)</f>
        <v>0</v>
      </c>
      <c r="H145" s="539">
        <f>SUM(H144)</f>
        <v>0</v>
      </c>
      <c r="I145" s="539">
        <f>SUM(I144)</f>
        <v>0</v>
      </c>
      <c r="J145" s="1459" t="str">
        <f t="shared" si="468"/>
        <v>-</v>
      </c>
      <c r="K145" s="538">
        <f t="shared" ref="K145" si="469">SUM(K144)</f>
        <v>0</v>
      </c>
      <c r="L145" s="539">
        <f t="shared" ref="L145:M145" si="470">SUM(L144)</f>
        <v>0</v>
      </c>
      <c r="M145" s="539">
        <f t="shared" si="470"/>
        <v>0</v>
      </c>
      <c r="N145" s="1459" t="str">
        <f t="shared" si="433"/>
        <v>-</v>
      </c>
      <c r="O145" s="519">
        <f t="shared" ref="N145:AR145" si="471">SUM(O144)</f>
        <v>0</v>
      </c>
      <c r="P145" s="368">
        <f t="shared" si="471"/>
        <v>0</v>
      </c>
      <c r="Q145" s="368">
        <f t="shared" ref="P145:Q145" si="472">SUM(Q144)</f>
        <v>0</v>
      </c>
      <c r="R145" s="1459" t="str">
        <f t="shared" si="434"/>
        <v>-</v>
      </c>
      <c r="S145" s="519">
        <f t="shared" si="471"/>
        <v>0</v>
      </c>
      <c r="T145" s="368">
        <f t="shared" si="471"/>
        <v>0</v>
      </c>
      <c r="U145" s="368">
        <f t="shared" ref="T145:V145" si="473">SUM(U144)</f>
        <v>0</v>
      </c>
      <c r="V145" s="1459" t="str">
        <f t="shared" si="435"/>
        <v>-</v>
      </c>
      <c r="W145" s="519">
        <f t="shared" si="471"/>
        <v>0</v>
      </c>
      <c r="X145" s="368">
        <f t="shared" si="471"/>
        <v>0</v>
      </c>
      <c r="Y145" s="368">
        <f t="shared" ref="X145:Z145" si="474">SUM(Y144)</f>
        <v>0</v>
      </c>
      <c r="Z145" s="1459" t="str">
        <f t="shared" si="436"/>
        <v>-</v>
      </c>
      <c r="AA145" s="519">
        <f t="shared" si="471"/>
        <v>0</v>
      </c>
      <c r="AB145" s="368">
        <f t="shared" si="471"/>
        <v>0</v>
      </c>
      <c r="AC145" s="368">
        <f t="shared" ref="AB145:AD145" si="475">SUM(AC144)</f>
        <v>0</v>
      </c>
      <c r="AD145" s="1459" t="str">
        <f t="shared" si="437"/>
        <v>-</v>
      </c>
      <c r="AE145" s="538">
        <f t="shared" si="471"/>
        <v>0</v>
      </c>
      <c r="AF145" s="539">
        <f t="shared" ref="AF145:AG145" si="476">SUM(AF144)</f>
        <v>0</v>
      </c>
      <c r="AG145" s="539">
        <f t="shared" si="476"/>
        <v>0</v>
      </c>
      <c r="AH145" s="1459" t="str">
        <f t="shared" si="438"/>
        <v>-</v>
      </c>
      <c r="AI145" s="519">
        <f t="shared" si="471"/>
        <v>0</v>
      </c>
      <c r="AJ145" s="368">
        <f t="shared" si="471"/>
        <v>0</v>
      </c>
      <c r="AK145" s="368">
        <f t="shared" ref="AJ145:AL145" si="477">SUM(AK144)</f>
        <v>0</v>
      </c>
      <c r="AL145" s="1459" t="str">
        <f t="shared" si="439"/>
        <v>-</v>
      </c>
      <c r="AM145" s="519">
        <f t="shared" si="471"/>
        <v>0</v>
      </c>
      <c r="AN145" s="368">
        <f t="shared" si="471"/>
        <v>0</v>
      </c>
      <c r="AO145" s="368">
        <f t="shared" ref="AN145:AP145" si="478">SUM(AO144)</f>
        <v>0</v>
      </c>
      <c r="AP145" s="1459" t="str">
        <f t="shared" si="440"/>
        <v>-</v>
      </c>
      <c r="AQ145" s="519">
        <f t="shared" si="471"/>
        <v>0</v>
      </c>
      <c r="AR145" s="368">
        <f t="shared" si="471"/>
        <v>0</v>
      </c>
      <c r="AS145" s="368">
        <f t="shared" ref="AR145:AT145" si="479">SUM(AS144)</f>
        <v>0</v>
      </c>
      <c r="AT145" s="1459" t="str">
        <f t="shared" si="441"/>
        <v>-</v>
      </c>
      <c r="AU145" s="509"/>
      <c r="AV145" s="509"/>
      <c r="AW145" s="509"/>
      <c r="AX145" s="509"/>
      <c r="AY145" s="509"/>
    </row>
    <row r="146" spans="1:51" s="507" customFormat="1" ht="12.75" thickBot="1">
      <c r="A146" s="549" t="s">
        <v>560</v>
      </c>
      <c r="B146" s="1021"/>
      <c r="C146" s="1324" t="s">
        <v>925</v>
      </c>
      <c r="D146" s="1325"/>
      <c r="E146" s="1325"/>
      <c r="F146" s="1326"/>
      <c r="G146" s="521">
        <f>+G140+G143+G145</f>
        <v>13240</v>
      </c>
      <c r="H146" s="522">
        <f>+H140+H143+H145</f>
        <v>0</v>
      </c>
      <c r="I146" s="522">
        <f>+I140+I143+I145</f>
        <v>0</v>
      </c>
      <c r="J146" s="1869" t="str">
        <f t="shared" si="468"/>
        <v>-</v>
      </c>
      <c r="K146" s="521">
        <f t="shared" ref="K146" si="480">+K140+K143+K145</f>
        <v>13240</v>
      </c>
      <c r="L146" s="522">
        <f t="shared" ref="L146:M146" si="481">+L140+L143+L145</f>
        <v>0</v>
      </c>
      <c r="M146" s="522">
        <f t="shared" si="481"/>
        <v>0</v>
      </c>
      <c r="N146" s="1869" t="str">
        <f t="shared" si="433"/>
        <v>-</v>
      </c>
      <c r="O146" s="531">
        <f t="shared" ref="N146:AR146" si="482">+O140+O143+O145</f>
        <v>3240</v>
      </c>
      <c r="P146" s="532">
        <f t="shared" si="482"/>
        <v>0</v>
      </c>
      <c r="Q146" s="532">
        <f t="shared" ref="P146:Q146" si="483">+Q140+Q143+Q145</f>
        <v>0</v>
      </c>
      <c r="R146" s="1869" t="str">
        <f t="shared" si="434"/>
        <v>-</v>
      </c>
      <c r="S146" s="531">
        <f t="shared" si="482"/>
        <v>10000</v>
      </c>
      <c r="T146" s="532">
        <f t="shared" si="482"/>
        <v>0</v>
      </c>
      <c r="U146" s="532">
        <f t="shared" ref="T146:V146" si="484">+U140+U143+U145</f>
        <v>0</v>
      </c>
      <c r="V146" s="1869" t="str">
        <f t="shared" si="435"/>
        <v>-</v>
      </c>
      <c r="W146" s="531">
        <f t="shared" si="482"/>
        <v>0</v>
      </c>
      <c r="X146" s="532">
        <f t="shared" si="482"/>
        <v>0</v>
      </c>
      <c r="Y146" s="532">
        <f t="shared" ref="X146:Z146" si="485">+Y140+Y143+Y145</f>
        <v>0</v>
      </c>
      <c r="Z146" s="1869" t="str">
        <f t="shared" si="436"/>
        <v>-</v>
      </c>
      <c r="AA146" s="531">
        <f t="shared" si="482"/>
        <v>0</v>
      </c>
      <c r="AB146" s="532">
        <f t="shared" si="482"/>
        <v>0</v>
      </c>
      <c r="AC146" s="532">
        <f t="shared" ref="AB146:AD146" si="486">+AC140+AC143+AC145</f>
        <v>0</v>
      </c>
      <c r="AD146" s="1869" t="str">
        <f t="shared" si="437"/>
        <v>-</v>
      </c>
      <c r="AE146" s="521">
        <f t="shared" si="482"/>
        <v>0</v>
      </c>
      <c r="AF146" s="522">
        <f t="shared" ref="AF146:AG146" si="487">+AF140+AF143+AF145</f>
        <v>0</v>
      </c>
      <c r="AG146" s="522">
        <f t="shared" si="487"/>
        <v>0</v>
      </c>
      <c r="AH146" s="1869" t="str">
        <f t="shared" si="438"/>
        <v>-</v>
      </c>
      <c r="AI146" s="531">
        <f t="shared" si="482"/>
        <v>0</v>
      </c>
      <c r="AJ146" s="532">
        <f t="shared" si="482"/>
        <v>0</v>
      </c>
      <c r="AK146" s="532">
        <f t="shared" ref="AJ146:AL146" si="488">+AK140+AK143+AK145</f>
        <v>0</v>
      </c>
      <c r="AL146" s="1869" t="str">
        <f t="shared" si="439"/>
        <v>-</v>
      </c>
      <c r="AM146" s="531">
        <f t="shared" si="482"/>
        <v>0</v>
      </c>
      <c r="AN146" s="532">
        <f t="shared" si="482"/>
        <v>0</v>
      </c>
      <c r="AO146" s="532">
        <f t="shared" ref="AN146:AP146" si="489">+AO140+AO143+AO145</f>
        <v>0</v>
      </c>
      <c r="AP146" s="1869" t="str">
        <f t="shared" si="440"/>
        <v>-</v>
      </c>
      <c r="AQ146" s="531">
        <f t="shared" si="482"/>
        <v>0</v>
      </c>
      <c r="AR146" s="532">
        <f t="shared" si="482"/>
        <v>0</v>
      </c>
      <c r="AS146" s="532">
        <f t="shared" ref="AR146:AT146" si="490">+AS140+AS143+AS145</f>
        <v>0</v>
      </c>
      <c r="AT146" s="1869" t="str">
        <f t="shared" si="441"/>
        <v>-</v>
      </c>
      <c r="AU146" s="509"/>
      <c r="AV146" s="509"/>
      <c r="AW146" s="509"/>
      <c r="AX146" s="509"/>
      <c r="AY146" s="509"/>
    </row>
    <row r="147" spans="1:51" s="507" customFormat="1" ht="12.75" thickBot="1">
      <c r="A147" s="548"/>
      <c r="B147" s="1211"/>
      <c r="C147" s="356"/>
      <c r="D147" s="547"/>
      <c r="E147" s="518"/>
      <c r="F147" s="517"/>
      <c r="G147" s="538"/>
      <c r="H147" s="539"/>
      <c r="I147" s="539"/>
      <c r="J147" s="437"/>
      <c r="K147" s="538"/>
      <c r="L147" s="539"/>
      <c r="M147" s="539"/>
      <c r="N147" s="437"/>
      <c r="O147" s="519"/>
      <c r="P147" s="368"/>
      <c r="Q147" s="368"/>
      <c r="R147" s="437"/>
      <c r="S147" s="519"/>
      <c r="T147" s="368"/>
      <c r="U147" s="368"/>
      <c r="V147" s="437"/>
      <c r="W147" s="519"/>
      <c r="X147" s="368"/>
      <c r="Y147" s="368"/>
      <c r="Z147" s="437"/>
      <c r="AA147" s="519"/>
      <c r="AB147" s="368"/>
      <c r="AC147" s="368"/>
      <c r="AD147" s="437"/>
      <c r="AE147" s="538"/>
      <c r="AF147" s="539"/>
      <c r="AG147" s="539"/>
      <c r="AH147" s="437"/>
      <c r="AI147" s="519"/>
      <c r="AJ147" s="368"/>
      <c r="AK147" s="368"/>
      <c r="AL147" s="437"/>
      <c r="AM147" s="519"/>
      <c r="AN147" s="368"/>
      <c r="AO147" s="368"/>
      <c r="AP147" s="437"/>
      <c r="AQ147" s="519"/>
      <c r="AR147" s="368"/>
      <c r="AS147" s="368"/>
      <c r="AT147" s="437"/>
      <c r="AU147" s="509"/>
      <c r="AV147" s="509"/>
      <c r="AW147" s="509"/>
      <c r="AX147" s="509"/>
      <c r="AY147" s="509"/>
    </row>
    <row r="148" spans="1:51">
      <c r="A148" s="552">
        <f>+A144+1</f>
        <v>115</v>
      </c>
      <c r="B148" s="1019">
        <v>32</v>
      </c>
      <c r="C148" s="425" t="s">
        <v>1108</v>
      </c>
      <c r="D148" s="979" t="s">
        <v>1109</v>
      </c>
      <c r="E148" s="974" t="s">
        <v>1110</v>
      </c>
      <c r="F148" s="1005" t="s">
        <v>1111</v>
      </c>
      <c r="G148" s="1180">
        <f t="shared" ref="G148:J152" si="491">+K148+AE148</f>
        <v>0</v>
      </c>
      <c r="H148" s="1181">
        <f t="shared" si="491"/>
        <v>0</v>
      </c>
      <c r="I148" s="1181">
        <f t="shared" si="491"/>
        <v>0</v>
      </c>
      <c r="J148" s="1860" t="str">
        <f t="shared" ref="J148:J153" si="492">IF(ISERROR(I148/H148),"-",I148/H148)</f>
        <v>-</v>
      </c>
      <c r="K148" s="1180">
        <f t="shared" ref="K148:N152" si="493">+O148+S148+W148+AA148</f>
        <v>0</v>
      </c>
      <c r="L148" s="1181">
        <f t="shared" si="493"/>
        <v>0</v>
      </c>
      <c r="M148" s="1181">
        <f t="shared" si="493"/>
        <v>0</v>
      </c>
      <c r="N148" s="1860" t="str">
        <f t="shared" ref="N148:N158" si="494">IF(ISERROR(M148/L148),"-",M148/L148)</f>
        <v>-</v>
      </c>
      <c r="O148" s="1009"/>
      <c r="P148" s="1010"/>
      <c r="Q148" s="1010"/>
      <c r="R148" s="1458" t="str">
        <f t="shared" ref="R148:R158" si="495">IF(ISERROR(Q148/P148),"-",Q148/P148)</f>
        <v>-</v>
      </c>
      <c r="S148" s="1009"/>
      <c r="T148" s="1010"/>
      <c r="U148" s="1010"/>
      <c r="V148" s="1458" t="str">
        <f t="shared" ref="V148:V158" si="496">IF(ISERROR(U148/T148),"-",U148/T148)</f>
        <v>-</v>
      </c>
      <c r="W148" s="1009"/>
      <c r="X148" s="1010"/>
      <c r="Y148" s="1010"/>
      <c r="Z148" s="1458" t="str">
        <f t="shared" ref="Z148:Z158" si="497">IF(ISERROR(Y148/X148),"-",Y148/X148)</f>
        <v>-</v>
      </c>
      <c r="AA148" s="1009"/>
      <c r="AB148" s="1010"/>
      <c r="AC148" s="1010"/>
      <c r="AD148" s="1458" t="str">
        <f t="shared" ref="AD148:AD158" si="498">IF(ISERROR(AC148/AB148),"-",AC148/AB148)</f>
        <v>-</v>
      </c>
      <c r="AE148" s="1180">
        <f t="shared" ref="AE148:AH152" si="499">+AI148+AM148+AQ148</f>
        <v>0</v>
      </c>
      <c r="AF148" s="1181">
        <f t="shared" si="499"/>
        <v>0</v>
      </c>
      <c r="AG148" s="1181">
        <f t="shared" si="499"/>
        <v>0</v>
      </c>
      <c r="AH148" s="1860" t="str">
        <f t="shared" ref="AH148:AH158" si="500">IF(ISERROR(AG148/AF148),"-",AG148/AF148)</f>
        <v>-</v>
      </c>
      <c r="AI148" s="1009"/>
      <c r="AJ148" s="1010"/>
      <c r="AK148" s="1010"/>
      <c r="AL148" s="1458" t="str">
        <f t="shared" ref="AL148:AL158" si="501">IF(ISERROR(AK148/AJ148),"-",AK148/AJ148)</f>
        <v>-</v>
      </c>
      <c r="AM148" s="1009"/>
      <c r="AN148" s="1010"/>
      <c r="AO148" s="1010"/>
      <c r="AP148" s="1458" t="str">
        <f t="shared" ref="AP148:AP158" si="502">IF(ISERROR(AO148/AN148),"-",AO148/AN148)</f>
        <v>-</v>
      </c>
      <c r="AQ148" s="1009"/>
      <c r="AR148" s="1010"/>
      <c r="AS148" s="1010"/>
      <c r="AT148" s="1458" t="str">
        <f t="shared" ref="AT148:AT158" si="503">IF(ISERROR(AS148/AR148),"-",AS148/AR148)</f>
        <v>-</v>
      </c>
      <c r="AU148" s="509"/>
      <c r="AV148" s="509"/>
      <c r="AW148" s="509"/>
      <c r="AX148" s="509"/>
      <c r="AY148" s="509"/>
    </row>
    <row r="149" spans="1:51">
      <c r="A149" s="552">
        <f>+A148+1</f>
        <v>116</v>
      </c>
      <c r="B149" s="1019">
        <v>32</v>
      </c>
      <c r="C149" s="425" t="s">
        <v>1108</v>
      </c>
      <c r="D149" s="979" t="s">
        <v>1109</v>
      </c>
      <c r="E149" s="974" t="s">
        <v>1113</v>
      </c>
      <c r="F149" s="1005" t="s">
        <v>1112</v>
      </c>
      <c r="G149" s="1180">
        <f t="shared" si="491"/>
        <v>0</v>
      </c>
      <c r="H149" s="1181">
        <f t="shared" si="491"/>
        <v>0</v>
      </c>
      <c r="I149" s="1181">
        <f t="shared" si="491"/>
        <v>0</v>
      </c>
      <c r="J149" s="1860" t="str">
        <f t="shared" si="492"/>
        <v>-</v>
      </c>
      <c r="K149" s="1180">
        <f t="shared" si="493"/>
        <v>0</v>
      </c>
      <c r="L149" s="1181">
        <f t="shared" si="493"/>
        <v>0</v>
      </c>
      <c r="M149" s="1181">
        <f t="shared" si="493"/>
        <v>0</v>
      </c>
      <c r="N149" s="1860" t="str">
        <f t="shared" si="494"/>
        <v>-</v>
      </c>
      <c r="O149" s="1009"/>
      <c r="P149" s="1010"/>
      <c r="Q149" s="1010"/>
      <c r="R149" s="1458" t="str">
        <f t="shared" si="495"/>
        <v>-</v>
      </c>
      <c r="S149" s="1009"/>
      <c r="T149" s="1010"/>
      <c r="U149" s="1010"/>
      <c r="V149" s="1458" t="str">
        <f t="shared" si="496"/>
        <v>-</v>
      </c>
      <c r="W149" s="1009"/>
      <c r="X149" s="1010"/>
      <c r="Y149" s="1010"/>
      <c r="Z149" s="1458" t="str">
        <f t="shared" si="497"/>
        <v>-</v>
      </c>
      <c r="AA149" s="1009"/>
      <c r="AB149" s="1010"/>
      <c r="AC149" s="1010"/>
      <c r="AD149" s="1458" t="str">
        <f t="shared" si="498"/>
        <v>-</v>
      </c>
      <c r="AE149" s="1180">
        <f t="shared" si="499"/>
        <v>0</v>
      </c>
      <c r="AF149" s="1181">
        <f t="shared" si="499"/>
        <v>0</v>
      </c>
      <c r="AG149" s="1181">
        <f t="shared" si="499"/>
        <v>0</v>
      </c>
      <c r="AH149" s="1860" t="str">
        <f t="shared" si="500"/>
        <v>-</v>
      </c>
      <c r="AI149" s="1009"/>
      <c r="AJ149" s="1010"/>
      <c r="AK149" s="1010"/>
      <c r="AL149" s="1458" t="str">
        <f t="shared" si="501"/>
        <v>-</v>
      </c>
      <c r="AM149" s="1009"/>
      <c r="AN149" s="1010"/>
      <c r="AO149" s="1010"/>
      <c r="AP149" s="1458" t="str">
        <f t="shared" si="502"/>
        <v>-</v>
      </c>
      <c r="AQ149" s="1009"/>
      <c r="AR149" s="1010"/>
      <c r="AS149" s="1010"/>
      <c r="AT149" s="1458" t="str">
        <f t="shared" si="503"/>
        <v>-</v>
      </c>
      <c r="AU149" s="509"/>
      <c r="AV149" s="509"/>
      <c r="AW149" s="509"/>
      <c r="AX149" s="509"/>
      <c r="AY149" s="509"/>
    </row>
    <row r="150" spans="1:51">
      <c r="A150" s="552">
        <f>+A149+1</f>
        <v>117</v>
      </c>
      <c r="B150" s="1019">
        <v>32</v>
      </c>
      <c r="C150" s="425" t="s">
        <v>1115</v>
      </c>
      <c r="D150" s="979" t="s">
        <v>1114</v>
      </c>
      <c r="E150" s="974" t="s">
        <v>1110</v>
      </c>
      <c r="F150" s="1005" t="s">
        <v>1111</v>
      </c>
      <c r="G150" s="1180">
        <f t="shared" si="491"/>
        <v>0</v>
      </c>
      <c r="H150" s="1181">
        <f t="shared" si="491"/>
        <v>1279</v>
      </c>
      <c r="I150" s="1181">
        <f t="shared" si="491"/>
        <v>1279</v>
      </c>
      <c r="J150" s="1860">
        <f t="shared" si="492"/>
        <v>1</v>
      </c>
      <c r="K150" s="1180">
        <f t="shared" si="493"/>
        <v>0</v>
      </c>
      <c r="L150" s="1181">
        <f t="shared" si="493"/>
        <v>79</v>
      </c>
      <c r="M150" s="1181">
        <f t="shared" si="493"/>
        <v>79</v>
      </c>
      <c r="N150" s="1860">
        <f t="shared" si="494"/>
        <v>1</v>
      </c>
      <c r="O150" s="1009"/>
      <c r="P150" s="1010"/>
      <c r="Q150" s="1010"/>
      <c r="R150" s="1458" t="str">
        <f t="shared" si="495"/>
        <v>-</v>
      </c>
      <c r="S150" s="1009"/>
      <c r="T150" s="1010"/>
      <c r="U150" s="1010"/>
      <c r="V150" s="1458" t="str">
        <f t="shared" si="496"/>
        <v>-</v>
      </c>
      <c r="W150" s="1009"/>
      <c r="X150" s="1010">
        <v>79</v>
      </c>
      <c r="Y150" s="1010">
        <v>79</v>
      </c>
      <c r="Z150" s="1458">
        <f t="shared" si="497"/>
        <v>1</v>
      </c>
      <c r="AA150" s="1009"/>
      <c r="AB150" s="1010"/>
      <c r="AC150" s="1010"/>
      <c r="AD150" s="1458" t="str">
        <f t="shared" si="498"/>
        <v>-</v>
      </c>
      <c r="AE150" s="1180">
        <f t="shared" si="499"/>
        <v>0</v>
      </c>
      <c r="AF150" s="1181">
        <f t="shared" si="499"/>
        <v>1200</v>
      </c>
      <c r="AG150" s="1181">
        <f t="shared" si="499"/>
        <v>1200</v>
      </c>
      <c r="AH150" s="1860">
        <f t="shared" si="500"/>
        <v>1</v>
      </c>
      <c r="AI150" s="1009"/>
      <c r="AJ150" s="1010"/>
      <c r="AK150" s="1010"/>
      <c r="AL150" s="1458" t="str">
        <f t="shared" si="501"/>
        <v>-</v>
      </c>
      <c r="AM150" s="1009"/>
      <c r="AN150" s="1010">
        <v>1200</v>
      </c>
      <c r="AO150" s="1010">
        <v>1200</v>
      </c>
      <c r="AP150" s="1458">
        <f t="shared" si="502"/>
        <v>1</v>
      </c>
      <c r="AQ150" s="1009"/>
      <c r="AR150" s="1010"/>
      <c r="AS150" s="1010"/>
      <c r="AT150" s="1458" t="str">
        <f t="shared" si="503"/>
        <v>-</v>
      </c>
      <c r="AU150" s="509"/>
      <c r="AV150" s="509"/>
      <c r="AW150" s="509"/>
      <c r="AX150" s="509"/>
      <c r="AY150" s="509"/>
    </row>
    <row r="151" spans="1:51">
      <c r="A151" s="552">
        <f>+A150+1</f>
        <v>118</v>
      </c>
      <c r="B151" s="1019">
        <v>32</v>
      </c>
      <c r="C151" s="425" t="s">
        <v>1115</v>
      </c>
      <c r="D151" s="979" t="s">
        <v>1114</v>
      </c>
      <c r="E151" s="974" t="s">
        <v>1113</v>
      </c>
      <c r="F151" s="1005" t="s">
        <v>1112</v>
      </c>
      <c r="G151" s="1180">
        <f t="shared" si="491"/>
        <v>0</v>
      </c>
      <c r="H151" s="1181">
        <f t="shared" si="491"/>
        <v>0</v>
      </c>
      <c r="I151" s="1181">
        <f t="shared" si="491"/>
        <v>0</v>
      </c>
      <c r="J151" s="1860" t="str">
        <f t="shared" si="492"/>
        <v>-</v>
      </c>
      <c r="K151" s="1180">
        <f t="shared" si="493"/>
        <v>0</v>
      </c>
      <c r="L151" s="1181">
        <f t="shared" si="493"/>
        <v>0</v>
      </c>
      <c r="M151" s="1181">
        <f t="shared" si="493"/>
        <v>0</v>
      </c>
      <c r="N151" s="1860" t="str">
        <f t="shared" si="494"/>
        <v>-</v>
      </c>
      <c r="O151" s="1009"/>
      <c r="P151" s="1010"/>
      <c r="Q151" s="1010"/>
      <c r="R151" s="1458" t="str">
        <f t="shared" si="495"/>
        <v>-</v>
      </c>
      <c r="S151" s="1009"/>
      <c r="T151" s="1010"/>
      <c r="U151" s="1010"/>
      <c r="V151" s="1458" t="str">
        <f t="shared" si="496"/>
        <v>-</v>
      </c>
      <c r="W151" s="1009"/>
      <c r="X151" s="1010"/>
      <c r="Y151" s="1010"/>
      <c r="Z151" s="1458" t="str">
        <f t="shared" si="497"/>
        <v>-</v>
      </c>
      <c r="AA151" s="1009"/>
      <c r="AB151" s="1010"/>
      <c r="AC151" s="1010"/>
      <c r="AD151" s="1458" t="str">
        <f t="shared" si="498"/>
        <v>-</v>
      </c>
      <c r="AE151" s="1180">
        <f t="shared" si="499"/>
        <v>0</v>
      </c>
      <c r="AF151" s="1181">
        <f t="shared" si="499"/>
        <v>0</v>
      </c>
      <c r="AG151" s="1181">
        <f t="shared" si="499"/>
        <v>0</v>
      </c>
      <c r="AH151" s="1860" t="str">
        <f t="shared" si="500"/>
        <v>-</v>
      </c>
      <c r="AI151" s="1009"/>
      <c r="AJ151" s="1010"/>
      <c r="AK151" s="1010"/>
      <c r="AL151" s="1458" t="str">
        <f t="shared" si="501"/>
        <v>-</v>
      </c>
      <c r="AM151" s="1009"/>
      <c r="AN151" s="1010"/>
      <c r="AO151" s="1010"/>
      <c r="AP151" s="1458" t="str">
        <f t="shared" si="502"/>
        <v>-</v>
      </c>
      <c r="AQ151" s="1009"/>
      <c r="AR151" s="1010"/>
      <c r="AS151" s="1010"/>
      <c r="AT151" s="1458" t="str">
        <f t="shared" si="503"/>
        <v>-</v>
      </c>
      <c r="AU151" s="509"/>
      <c r="AV151" s="509"/>
      <c r="AW151" s="509"/>
      <c r="AX151" s="509"/>
      <c r="AY151" s="509"/>
    </row>
    <row r="152" spans="1:51" ht="12.75" thickBot="1">
      <c r="A152" s="552">
        <f>+A151+1</f>
        <v>119</v>
      </c>
      <c r="B152" s="1019">
        <v>32</v>
      </c>
      <c r="C152" s="425" t="s">
        <v>1081</v>
      </c>
      <c r="D152" s="979" t="s">
        <v>1082</v>
      </c>
      <c r="E152" s="974" t="s">
        <v>1110</v>
      </c>
      <c r="F152" s="1005" t="s">
        <v>1111</v>
      </c>
      <c r="G152" s="1180">
        <f t="shared" si="491"/>
        <v>0</v>
      </c>
      <c r="H152" s="1181">
        <f t="shared" si="491"/>
        <v>0</v>
      </c>
      <c r="I152" s="1181">
        <f t="shared" si="491"/>
        <v>0</v>
      </c>
      <c r="J152" s="1860" t="str">
        <f t="shared" si="492"/>
        <v>-</v>
      </c>
      <c r="K152" s="1180">
        <f t="shared" si="493"/>
        <v>0</v>
      </c>
      <c r="L152" s="1181">
        <f t="shared" si="493"/>
        <v>0</v>
      </c>
      <c r="M152" s="1181">
        <f t="shared" si="493"/>
        <v>0</v>
      </c>
      <c r="N152" s="1860" t="str">
        <f t="shared" si="494"/>
        <v>-</v>
      </c>
      <c r="O152" s="1009"/>
      <c r="P152" s="1010"/>
      <c r="Q152" s="1010"/>
      <c r="R152" s="1458" t="str">
        <f t="shared" si="495"/>
        <v>-</v>
      </c>
      <c r="S152" s="1009"/>
      <c r="T152" s="1010"/>
      <c r="U152" s="1010"/>
      <c r="V152" s="1458" t="str">
        <f t="shared" si="496"/>
        <v>-</v>
      </c>
      <c r="W152" s="1009"/>
      <c r="X152" s="1010"/>
      <c r="Y152" s="1010"/>
      <c r="Z152" s="1458" t="str">
        <f t="shared" si="497"/>
        <v>-</v>
      </c>
      <c r="AA152" s="1009"/>
      <c r="AB152" s="1010"/>
      <c r="AC152" s="1010"/>
      <c r="AD152" s="1458" t="str">
        <f t="shared" si="498"/>
        <v>-</v>
      </c>
      <c r="AE152" s="1180">
        <f t="shared" si="499"/>
        <v>0</v>
      </c>
      <c r="AF152" s="1181">
        <f t="shared" si="499"/>
        <v>0</v>
      </c>
      <c r="AG152" s="1181">
        <f t="shared" si="499"/>
        <v>0</v>
      </c>
      <c r="AH152" s="1860" t="str">
        <f t="shared" si="500"/>
        <v>-</v>
      </c>
      <c r="AI152" s="1009"/>
      <c r="AJ152" s="1010"/>
      <c r="AK152" s="1010"/>
      <c r="AL152" s="1458" t="str">
        <f t="shared" si="501"/>
        <v>-</v>
      </c>
      <c r="AM152" s="1009"/>
      <c r="AN152" s="1010"/>
      <c r="AO152" s="1010"/>
      <c r="AP152" s="1458" t="str">
        <f t="shared" si="502"/>
        <v>-</v>
      </c>
      <c r="AQ152" s="1009"/>
      <c r="AR152" s="1010"/>
      <c r="AS152" s="1010"/>
      <c r="AT152" s="1458" t="str">
        <f t="shared" si="503"/>
        <v>-</v>
      </c>
      <c r="AU152" s="509"/>
      <c r="AV152" s="509"/>
      <c r="AW152" s="509"/>
      <c r="AX152" s="509"/>
      <c r="AY152" s="509"/>
    </row>
    <row r="153" spans="1:51" s="507" customFormat="1" ht="12.75" thickBot="1">
      <c r="A153" s="548" t="s">
        <v>1258</v>
      </c>
      <c r="B153" s="1204"/>
      <c r="C153" s="1321" t="s">
        <v>1203</v>
      </c>
      <c r="D153" s="1322"/>
      <c r="E153" s="1322"/>
      <c r="F153" s="1323"/>
      <c r="G153" s="538">
        <f t="shared" ref="G153" si="504">SUM(G148:G152)</f>
        <v>0</v>
      </c>
      <c r="H153" s="539">
        <f t="shared" ref="H153:I153" si="505">SUM(H148:H152)</f>
        <v>1279</v>
      </c>
      <c r="I153" s="539">
        <f t="shared" si="505"/>
        <v>1279</v>
      </c>
      <c r="J153" s="1459">
        <f t="shared" si="492"/>
        <v>1</v>
      </c>
      <c r="K153" s="538">
        <f t="shared" ref="J153:AR153" si="506">SUM(K148:K152)</f>
        <v>0</v>
      </c>
      <c r="L153" s="539">
        <f t="shared" ref="L153:M153" si="507">SUM(L148:L152)</f>
        <v>79</v>
      </c>
      <c r="M153" s="539">
        <f t="shared" si="507"/>
        <v>79</v>
      </c>
      <c r="N153" s="1459">
        <f t="shared" si="494"/>
        <v>1</v>
      </c>
      <c r="O153" s="519">
        <f t="shared" si="506"/>
        <v>0</v>
      </c>
      <c r="P153" s="368">
        <f t="shared" si="506"/>
        <v>0</v>
      </c>
      <c r="Q153" s="368">
        <f t="shared" ref="P153:Q153" si="508">SUM(Q148:Q152)</f>
        <v>0</v>
      </c>
      <c r="R153" s="1459" t="str">
        <f t="shared" si="495"/>
        <v>-</v>
      </c>
      <c r="S153" s="519">
        <f t="shared" si="506"/>
        <v>0</v>
      </c>
      <c r="T153" s="368">
        <f t="shared" si="506"/>
        <v>0</v>
      </c>
      <c r="U153" s="368">
        <f t="shared" ref="T153:V153" si="509">SUM(U148:U152)</f>
        <v>0</v>
      </c>
      <c r="V153" s="1459" t="str">
        <f t="shared" si="496"/>
        <v>-</v>
      </c>
      <c r="W153" s="519">
        <f t="shared" si="506"/>
        <v>0</v>
      </c>
      <c r="X153" s="368">
        <f t="shared" si="506"/>
        <v>79</v>
      </c>
      <c r="Y153" s="368">
        <f t="shared" ref="X153:Z153" si="510">SUM(Y148:Y152)</f>
        <v>79</v>
      </c>
      <c r="Z153" s="1459">
        <f t="shared" si="497"/>
        <v>1</v>
      </c>
      <c r="AA153" s="519">
        <f t="shared" si="506"/>
        <v>0</v>
      </c>
      <c r="AB153" s="368">
        <f t="shared" si="506"/>
        <v>0</v>
      </c>
      <c r="AC153" s="368">
        <f t="shared" ref="AB153:AD153" si="511">SUM(AC148:AC152)</f>
        <v>0</v>
      </c>
      <c r="AD153" s="1459" t="str">
        <f t="shared" si="498"/>
        <v>-</v>
      </c>
      <c r="AE153" s="538">
        <f t="shared" si="506"/>
        <v>0</v>
      </c>
      <c r="AF153" s="539">
        <f t="shared" ref="AF153:AG153" si="512">SUM(AF148:AF152)</f>
        <v>1200</v>
      </c>
      <c r="AG153" s="539">
        <f t="shared" si="512"/>
        <v>1200</v>
      </c>
      <c r="AH153" s="1459">
        <f t="shared" si="500"/>
        <v>1</v>
      </c>
      <c r="AI153" s="519">
        <f t="shared" si="506"/>
        <v>0</v>
      </c>
      <c r="AJ153" s="368">
        <f t="shared" si="506"/>
        <v>0</v>
      </c>
      <c r="AK153" s="368">
        <f t="shared" ref="AJ153:AL153" si="513">SUM(AK148:AK152)</f>
        <v>0</v>
      </c>
      <c r="AL153" s="1459" t="str">
        <f t="shared" si="501"/>
        <v>-</v>
      </c>
      <c r="AM153" s="519">
        <f t="shared" si="506"/>
        <v>0</v>
      </c>
      <c r="AN153" s="368">
        <f t="shared" si="506"/>
        <v>1200</v>
      </c>
      <c r="AO153" s="368">
        <f t="shared" ref="AN153:AP153" si="514">SUM(AO148:AO152)</f>
        <v>1200</v>
      </c>
      <c r="AP153" s="1459">
        <f t="shared" si="502"/>
        <v>1</v>
      </c>
      <c r="AQ153" s="519">
        <f t="shared" si="506"/>
        <v>0</v>
      </c>
      <c r="AR153" s="368">
        <f t="shared" si="506"/>
        <v>0</v>
      </c>
      <c r="AS153" s="368">
        <f t="shared" ref="AR153:AT153" si="515">SUM(AS148:AS152)</f>
        <v>0</v>
      </c>
      <c r="AT153" s="1459" t="str">
        <f t="shared" si="503"/>
        <v>-</v>
      </c>
      <c r="AU153" s="509"/>
      <c r="AV153" s="509"/>
      <c r="AW153" s="509"/>
      <c r="AX153" s="509"/>
      <c r="AY153" s="509"/>
    </row>
    <row r="154" spans="1:51" s="511" customFormat="1" ht="12.75" customHeight="1" thickBot="1">
      <c r="A154" s="554">
        <f>A152+1</f>
        <v>120</v>
      </c>
      <c r="B154" s="1024">
        <v>33</v>
      </c>
      <c r="C154" s="439" t="s">
        <v>19</v>
      </c>
      <c r="D154" s="545" t="s">
        <v>19</v>
      </c>
      <c r="E154" s="534" t="s">
        <v>19</v>
      </c>
      <c r="F154" s="1007" t="s">
        <v>19</v>
      </c>
      <c r="G154" s="1190">
        <f>+K154+AE154</f>
        <v>0</v>
      </c>
      <c r="H154" s="1191">
        <f>+L154+AF154</f>
        <v>0</v>
      </c>
      <c r="I154" s="1191">
        <f>+M154+AG154</f>
        <v>0</v>
      </c>
      <c r="J154" s="1860" t="str">
        <f t="shared" ref="J154:J155" si="516">IF(ISERROR(I154/H154),"-",I154/H154)</f>
        <v>-</v>
      </c>
      <c r="K154" s="1190">
        <f>+O154+S154+W154+AA154</f>
        <v>0</v>
      </c>
      <c r="L154" s="1191">
        <f>+P154+T154+X154+AB154</f>
        <v>0</v>
      </c>
      <c r="M154" s="1191">
        <f>+Q154+U154+Y154+AC154</f>
        <v>0</v>
      </c>
      <c r="N154" s="1860" t="str">
        <f t="shared" si="494"/>
        <v>-</v>
      </c>
      <c r="O154" s="515"/>
      <c r="P154" s="514"/>
      <c r="Q154" s="514"/>
      <c r="R154" s="1458" t="str">
        <f t="shared" si="495"/>
        <v>-</v>
      </c>
      <c r="S154" s="515"/>
      <c r="T154" s="514"/>
      <c r="U154" s="514"/>
      <c r="V154" s="1458" t="str">
        <f t="shared" si="496"/>
        <v>-</v>
      </c>
      <c r="W154" s="515"/>
      <c r="X154" s="514"/>
      <c r="Y154" s="514"/>
      <c r="Z154" s="1458" t="str">
        <f t="shared" si="497"/>
        <v>-</v>
      </c>
      <c r="AA154" s="515"/>
      <c r="AB154" s="514"/>
      <c r="AC154" s="514"/>
      <c r="AD154" s="1458" t="str">
        <f t="shared" si="498"/>
        <v>-</v>
      </c>
      <c r="AE154" s="1190">
        <f>+AI154+AM154+AQ154</f>
        <v>0</v>
      </c>
      <c r="AF154" s="1191">
        <f>+AJ154+AN154+AR154</f>
        <v>0</v>
      </c>
      <c r="AG154" s="1191">
        <f>+AK154+AO154+AS154</f>
        <v>0</v>
      </c>
      <c r="AH154" s="1860" t="str">
        <f t="shared" si="500"/>
        <v>-</v>
      </c>
      <c r="AI154" s="515"/>
      <c r="AJ154" s="514"/>
      <c r="AK154" s="514"/>
      <c r="AL154" s="1458" t="str">
        <f t="shared" si="501"/>
        <v>-</v>
      </c>
      <c r="AM154" s="515"/>
      <c r="AN154" s="514"/>
      <c r="AO154" s="514"/>
      <c r="AP154" s="1458" t="str">
        <f t="shared" si="502"/>
        <v>-</v>
      </c>
      <c r="AQ154" s="515"/>
      <c r="AR154" s="514"/>
      <c r="AS154" s="514"/>
      <c r="AT154" s="1458" t="str">
        <f t="shared" si="503"/>
        <v>-</v>
      </c>
      <c r="AU154" s="509"/>
      <c r="AV154" s="509"/>
      <c r="AW154" s="509"/>
      <c r="AX154" s="509"/>
      <c r="AY154" s="509"/>
    </row>
    <row r="155" spans="1:51" s="507" customFormat="1" ht="12.75" thickBot="1">
      <c r="A155" s="548" t="s">
        <v>1259</v>
      </c>
      <c r="B155" s="1204"/>
      <c r="C155" s="1321" t="s">
        <v>1204</v>
      </c>
      <c r="D155" s="1322"/>
      <c r="E155" s="1322"/>
      <c r="F155" s="1323"/>
      <c r="G155" s="538">
        <f>SUM(G154)</f>
        <v>0</v>
      </c>
      <c r="H155" s="539">
        <f>SUM(H154)</f>
        <v>0</v>
      </c>
      <c r="I155" s="539">
        <f>SUM(I154)</f>
        <v>0</v>
      </c>
      <c r="J155" s="1459" t="str">
        <f t="shared" si="516"/>
        <v>-</v>
      </c>
      <c r="K155" s="538">
        <f t="shared" ref="K155" si="517">SUM(K154)</f>
        <v>0</v>
      </c>
      <c r="L155" s="539">
        <f t="shared" ref="L155:M155" si="518">SUM(L154)</f>
        <v>0</v>
      </c>
      <c r="M155" s="539">
        <f t="shared" si="518"/>
        <v>0</v>
      </c>
      <c r="N155" s="1459" t="str">
        <f t="shared" si="494"/>
        <v>-</v>
      </c>
      <c r="O155" s="519">
        <f t="shared" ref="N155:AR155" si="519">SUM(O154)</f>
        <v>0</v>
      </c>
      <c r="P155" s="368">
        <f t="shared" si="519"/>
        <v>0</v>
      </c>
      <c r="Q155" s="368">
        <f t="shared" ref="P155:Q155" si="520">SUM(Q154)</f>
        <v>0</v>
      </c>
      <c r="R155" s="1459" t="str">
        <f t="shared" si="495"/>
        <v>-</v>
      </c>
      <c r="S155" s="519">
        <f t="shared" si="519"/>
        <v>0</v>
      </c>
      <c r="T155" s="368">
        <f t="shared" si="519"/>
        <v>0</v>
      </c>
      <c r="U155" s="368">
        <f t="shared" ref="T155:V155" si="521">SUM(U154)</f>
        <v>0</v>
      </c>
      <c r="V155" s="1459" t="str">
        <f t="shared" si="496"/>
        <v>-</v>
      </c>
      <c r="W155" s="519">
        <f t="shared" si="519"/>
        <v>0</v>
      </c>
      <c r="X155" s="368">
        <f t="shared" si="519"/>
        <v>0</v>
      </c>
      <c r="Y155" s="368">
        <f t="shared" ref="X155:Z155" si="522">SUM(Y154)</f>
        <v>0</v>
      </c>
      <c r="Z155" s="1459" t="str">
        <f t="shared" si="497"/>
        <v>-</v>
      </c>
      <c r="AA155" s="519">
        <f t="shared" si="519"/>
        <v>0</v>
      </c>
      <c r="AB155" s="368">
        <f t="shared" si="519"/>
        <v>0</v>
      </c>
      <c r="AC155" s="368">
        <f t="shared" ref="AB155:AD155" si="523">SUM(AC154)</f>
        <v>0</v>
      </c>
      <c r="AD155" s="1459" t="str">
        <f t="shared" si="498"/>
        <v>-</v>
      </c>
      <c r="AE155" s="538">
        <f t="shared" si="519"/>
        <v>0</v>
      </c>
      <c r="AF155" s="539">
        <f t="shared" ref="AF155:AG155" si="524">SUM(AF154)</f>
        <v>0</v>
      </c>
      <c r="AG155" s="539">
        <f t="shared" si="524"/>
        <v>0</v>
      </c>
      <c r="AH155" s="1459" t="str">
        <f t="shared" si="500"/>
        <v>-</v>
      </c>
      <c r="AI155" s="519">
        <f t="shared" si="519"/>
        <v>0</v>
      </c>
      <c r="AJ155" s="368">
        <f t="shared" si="519"/>
        <v>0</v>
      </c>
      <c r="AK155" s="368">
        <f t="shared" ref="AJ155:AL155" si="525">SUM(AK154)</f>
        <v>0</v>
      </c>
      <c r="AL155" s="1459" t="str">
        <f t="shared" si="501"/>
        <v>-</v>
      </c>
      <c r="AM155" s="519">
        <f t="shared" si="519"/>
        <v>0</v>
      </c>
      <c r="AN155" s="368">
        <f t="shared" si="519"/>
        <v>0</v>
      </c>
      <c r="AO155" s="368">
        <f t="shared" ref="AN155:AP155" si="526">SUM(AO154)</f>
        <v>0</v>
      </c>
      <c r="AP155" s="1459" t="str">
        <f t="shared" si="502"/>
        <v>-</v>
      </c>
      <c r="AQ155" s="519">
        <f t="shared" si="519"/>
        <v>0</v>
      </c>
      <c r="AR155" s="368">
        <f t="shared" si="519"/>
        <v>0</v>
      </c>
      <c r="AS155" s="368">
        <f t="shared" ref="AR155:AT155" si="527">SUM(AS154)</f>
        <v>0</v>
      </c>
      <c r="AT155" s="1459" t="str">
        <f t="shared" si="503"/>
        <v>-</v>
      </c>
      <c r="AU155" s="509"/>
      <c r="AV155" s="509"/>
      <c r="AW155" s="509"/>
      <c r="AX155" s="509"/>
      <c r="AY155" s="509"/>
    </row>
    <row r="156" spans="1:51" s="511" customFormat="1" ht="12.75" customHeight="1" thickBot="1">
      <c r="A156" s="554">
        <f>+A154+1</f>
        <v>121</v>
      </c>
      <c r="B156" s="1024">
        <v>34</v>
      </c>
      <c r="C156" s="439" t="s">
        <v>19</v>
      </c>
      <c r="D156" s="545" t="s">
        <v>19</v>
      </c>
      <c r="E156" s="534" t="s">
        <v>19</v>
      </c>
      <c r="F156" s="1007" t="s">
        <v>19</v>
      </c>
      <c r="G156" s="1190">
        <f>+K156+AE156</f>
        <v>0</v>
      </c>
      <c r="H156" s="1191">
        <f>+L156+AF156</f>
        <v>0</v>
      </c>
      <c r="I156" s="1191">
        <f>+M156+AG156</f>
        <v>0</v>
      </c>
      <c r="J156" s="1860" t="str">
        <f t="shared" ref="J156:J158" si="528">IF(ISERROR(I156/H156),"-",I156/H156)</f>
        <v>-</v>
      </c>
      <c r="K156" s="1190">
        <f>+O156+S156+W156+AA156</f>
        <v>0</v>
      </c>
      <c r="L156" s="1191">
        <f>+P156+T156+X156+AB156</f>
        <v>0</v>
      </c>
      <c r="M156" s="1191">
        <f>+Q156+U156+Y156+AC156</f>
        <v>0</v>
      </c>
      <c r="N156" s="1860" t="str">
        <f t="shared" si="494"/>
        <v>-</v>
      </c>
      <c r="O156" s="515"/>
      <c r="P156" s="514"/>
      <c r="Q156" s="514"/>
      <c r="R156" s="1458" t="str">
        <f t="shared" si="495"/>
        <v>-</v>
      </c>
      <c r="S156" s="515"/>
      <c r="T156" s="514"/>
      <c r="U156" s="514"/>
      <c r="V156" s="1458" t="str">
        <f t="shared" si="496"/>
        <v>-</v>
      </c>
      <c r="W156" s="515"/>
      <c r="X156" s="514"/>
      <c r="Y156" s="514"/>
      <c r="Z156" s="1458" t="str">
        <f t="shared" si="497"/>
        <v>-</v>
      </c>
      <c r="AA156" s="515"/>
      <c r="AB156" s="514"/>
      <c r="AC156" s="514"/>
      <c r="AD156" s="1458" t="str">
        <f t="shared" si="498"/>
        <v>-</v>
      </c>
      <c r="AE156" s="1190">
        <f>+AI156+AM156+AQ156</f>
        <v>0</v>
      </c>
      <c r="AF156" s="1191">
        <f>+AJ156+AN156+AR156</f>
        <v>0</v>
      </c>
      <c r="AG156" s="1191">
        <f>+AK156+AO156+AS156</f>
        <v>0</v>
      </c>
      <c r="AH156" s="1860" t="str">
        <f t="shared" si="500"/>
        <v>-</v>
      </c>
      <c r="AI156" s="515"/>
      <c r="AJ156" s="514"/>
      <c r="AK156" s="514"/>
      <c r="AL156" s="1458" t="str">
        <f t="shared" si="501"/>
        <v>-</v>
      </c>
      <c r="AM156" s="515"/>
      <c r="AN156" s="514"/>
      <c r="AO156" s="514"/>
      <c r="AP156" s="1458" t="str">
        <f t="shared" si="502"/>
        <v>-</v>
      </c>
      <c r="AQ156" s="515"/>
      <c r="AR156" s="514"/>
      <c r="AS156" s="514"/>
      <c r="AT156" s="1458" t="str">
        <f t="shared" si="503"/>
        <v>-</v>
      </c>
      <c r="AU156" s="509"/>
      <c r="AV156" s="509"/>
      <c r="AW156" s="509"/>
      <c r="AX156" s="509"/>
      <c r="AY156" s="509"/>
    </row>
    <row r="157" spans="1:51" s="507" customFormat="1" ht="12.75" thickBot="1">
      <c r="A157" s="548" t="s">
        <v>1260</v>
      </c>
      <c r="B157" s="1204"/>
      <c r="C157" s="1321" t="s">
        <v>1205</v>
      </c>
      <c r="D157" s="1322"/>
      <c r="E157" s="1322"/>
      <c r="F157" s="1323"/>
      <c r="G157" s="538">
        <f>SUM(G156)</f>
        <v>0</v>
      </c>
      <c r="H157" s="539">
        <f>SUM(H156)</f>
        <v>0</v>
      </c>
      <c r="I157" s="539">
        <f>SUM(I156)</f>
        <v>0</v>
      </c>
      <c r="J157" s="1459" t="str">
        <f t="shared" si="528"/>
        <v>-</v>
      </c>
      <c r="K157" s="538">
        <f t="shared" ref="K157" si="529">SUM(K156)</f>
        <v>0</v>
      </c>
      <c r="L157" s="539">
        <f t="shared" ref="L157:M157" si="530">SUM(L156)</f>
        <v>0</v>
      </c>
      <c r="M157" s="539">
        <f t="shared" si="530"/>
        <v>0</v>
      </c>
      <c r="N157" s="1459" t="str">
        <f t="shared" si="494"/>
        <v>-</v>
      </c>
      <c r="O157" s="519">
        <f t="shared" ref="N157:AR157" si="531">SUM(O156)</f>
        <v>0</v>
      </c>
      <c r="P157" s="368">
        <f t="shared" si="531"/>
        <v>0</v>
      </c>
      <c r="Q157" s="368">
        <f t="shared" ref="P157:Q157" si="532">SUM(Q156)</f>
        <v>0</v>
      </c>
      <c r="R157" s="1459" t="str">
        <f t="shared" si="495"/>
        <v>-</v>
      </c>
      <c r="S157" s="519">
        <f t="shared" si="531"/>
        <v>0</v>
      </c>
      <c r="T157" s="368">
        <f t="shared" si="531"/>
        <v>0</v>
      </c>
      <c r="U157" s="368">
        <f t="shared" ref="T157:V157" si="533">SUM(U156)</f>
        <v>0</v>
      </c>
      <c r="V157" s="1459" t="str">
        <f t="shared" si="496"/>
        <v>-</v>
      </c>
      <c r="W157" s="519">
        <f t="shared" si="531"/>
        <v>0</v>
      </c>
      <c r="X157" s="368">
        <f t="shared" si="531"/>
        <v>0</v>
      </c>
      <c r="Y157" s="368">
        <f t="shared" ref="X157:Z157" si="534">SUM(Y156)</f>
        <v>0</v>
      </c>
      <c r="Z157" s="1459" t="str">
        <f t="shared" si="497"/>
        <v>-</v>
      </c>
      <c r="AA157" s="519">
        <f t="shared" si="531"/>
        <v>0</v>
      </c>
      <c r="AB157" s="368">
        <f t="shared" si="531"/>
        <v>0</v>
      </c>
      <c r="AC157" s="368">
        <f t="shared" ref="AB157:AD157" si="535">SUM(AC156)</f>
        <v>0</v>
      </c>
      <c r="AD157" s="1459" t="str">
        <f t="shared" si="498"/>
        <v>-</v>
      </c>
      <c r="AE157" s="538">
        <f t="shared" si="531"/>
        <v>0</v>
      </c>
      <c r="AF157" s="539">
        <f t="shared" ref="AF157:AG157" si="536">SUM(AF156)</f>
        <v>0</v>
      </c>
      <c r="AG157" s="539">
        <f t="shared" si="536"/>
        <v>0</v>
      </c>
      <c r="AH157" s="1459" t="str">
        <f t="shared" si="500"/>
        <v>-</v>
      </c>
      <c r="AI157" s="519">
        <f t="shared" si="531"/>
        <v>0</v>
      </c>
      <c r="AJ157" s="368">
        <f t="shared" si="531"/>
        <v>0</v>
      </c>
      <c r="AK157" s="368">
        <f t="shared" ref="AJ157:AL157" si="537">SUM(AK156)</f>
        <v>0</v>
      </c>
      <c r="AL157" s="1459" t="str">
        <f t="shared" si="501"/>
        <v>-</v>
      </c>
      <c r="AM157" s="519">
        <f t="shared" si="531"/>
        <v>0</v>
      </c>
      <c r="AN157" s="368">
        <f t="shared" si="531"/>
        <v>0</v>
      </c>
      <c r="AO157" s="368">
        <f t="shared" ref="AN157:AP157" si="538">SUM(AO156)</f>
        <v>0</v>
      </c>
      <c r="AP157" s="1459" t="str">
        <f t="shared" si="502"/>
        <v>-</v>
      </c>
      <c r="AQ157" s="519">
        <f t="shared" si="531"/>
        <v>0</v>
      </c>
      <c r="AR157" s="368">
        <f t="shared" si="531"/>
        <v>0</v>
      </c>
      <c r="AS157" s="368">
        <f t="shared" ref="AR157:AT157" si="539">SUM(AS156)</f>
        <v>0</v>
      </c>
      <c r="AT157" s="1459" t="str">
        <f t="shared" si="503"/>
        <v>-</v>
      </c>
      <c r="AU157" s="509"/>
      <c r="AV157" s="509"/>
      <c r="AW157" s="509"/>
      <c r="AX157" s="509"/>
      <c r="AY157" s="509"/>
    </row>
    <row r="158" spans="1:51" s="507" customFormat="1" ht="12.75" thickBot="1">
      <c r="A158" s="549" t="s">
        <v>42</v>
      </c>
      <c r="B158" s="1021"/>
      <c r="C158" s="1324" t="s">
        <v>1206</v>
      </c>
      <c r="D158" s="1325"/>
      <c r="E158" s="1325"/>
      <c r="F158" s="1326"/>
      <c r="G158" s="521">
        <f t="shared" ref="G158" si="540">+G153+G155+G157</f>
        <v>0</v>
      </c>
      <c r="H158" s="522">
        <f t="shared" ref="H158:I158" si="541">+H153+H155+H157</f>
        <v>1279</v>
      </c>
      <c r="I158" s="522">
        <f t="shared" si="541"/>
        <v>1279</v>
      </c>
      <c r="J158" s="1869">
        <f t="shared" si="528"/>
        <v>1</v>
      </c>
      <c r="K158" s="521">
        <f t="shared" ref="J158:AR158" si="542">+K153+K155+K157</f>
        <v>0</v>
      </c>
      <c r="L158" s="522">
        <f t="shared" ref="L158:M158" si="543">+L153+L155+L157</f>
        <v>79</v>
      </c>
      <c r="M158" s="522">
        <f t="shared" si="543"/>
        <v>79</v>
      </c>
      <c r="N158" s="1869">
        <f t="shared" si="494"/>
        <v>1</v>
      </c>
      <c r="O158" s="531">
        <f t="shared" si="542"/>
        <v>0</v>
      </c>
      <c r="P158" s="532">
        <f t="shared" si="542"/>
        <v>0</v>
      </c>
      <c r="Q158" s="532">
        <f t="shared" ref="P158:Q158" si="544">+Q153+Q155+Q157</f>
        <v>0</v>
      </c>
      <c r="R158" s="1869" t="str">
        <f t="shared" si="495"/>
        <v>-</v>
      </c>
      <c r="S158" s="531">
        <f t="shared" si="542"/>
        <v>0</v>
      </c>
      <c r="T158" s="532">
        <f t="shared" si="542"/>
        <v>0</v>
      </c>
      <c r="U158" s="532">
        <f t="shared" ref="T158:V158" si="545">+U153+U155+U157</f>
        <v>0</v>
      </c>
      <c r="V158" s="1869" t="str">
        <f t="shared" si="496"/>
        <v>-</v>
      </c>
      <c r="W158" s="531">
        <f t="shared" si="542"/>
        <v>0</v>
      </c>
      <c r="X158" s="532">
        <f t="shared" si="542"/>
        <v>79</v>
      </c>
      <c r="Y158" s="532">
        <f t="shared" ref="X158:Z158" si="546">+Y153+Y155+Y157</f>
        <v>79</v>
      </c>
      <c r="Z158" s="1869">
        <f t="shared" si="497"/>
        <v>1</v>
      </c>
      <c r="AA158" s="531">
        <f t="shared" si="542"/>
        <v>0</v>
      </c>
      <c r="AB158" s="532">
        <f t="shared" si="542"/>
        <v>0</v>
      </c>
      <c r="AC158" s="532">
        <f t="shared" ref="AB158:AD158" si="547">+AC153+AC155+AC157</f>
        <v>0</v>
      </c>
      <c r="AD158" s="1869" t="str">
        <f t="shared" si="498"/>
        <v>-</v>
      </c>
      <c r="AE158" s="521">
        <f t="shared" si="542"/>
        <v>0</v>
      </c>
      <c r="AF158" s="522">
        <f t="shared" ref="AF158:AG158" si="548">+AF153+AF155+AF157</f>
        <v>1200</v>
      </c>
      <c r="AG158" s="522">
        <f t="shared" si="548"/>
        <v>1200</v>
      </c>
      <c r="AH158" s="1869">
        <f t="shared" si="500"/>
        <v>1</v>
      </c>
      <c r="AI158" s="531">
        <f t="shared" si="542"/>
        <v>0</v>
      </c>
      <c r="AJ158" s="532">
        <f t="shared" si="542"/>
        <v>0</v>
      </c>
      <c r="AK158" s="532">
        <f t="shared" ref="AJ158:AL158" si="549">+AK153+AK155+AK157</f>
        <v>0</v>
      </c>
      <c r="AL158" s="1869" t="str">
        <f t="shared" si="501"/>
        <v>-</v>
      </c>
      <c r="AM158" s="531">
        <f t="shared" si="542"/>
        <v>0</v>
      </c>
      <c r="AN158" s="532">
        <f t="shared" si="542"/>
        <v>1200</v>
      </c>
      <c r="AO158" s="532">
        <f t="shared" ref="AN158:AP158" si="550">+AO153+AO155+AO157</f>
        <v>1200</v>
      </c>
      <c r="AP158" s="1869">
        <f t="shared" si="502"/>
        <v>1</v>
      </c>
      <c r="AQ158" s="531">
        <f t="shared" si="542"/>
        <v>0</v>
      </c>
      <c r="AR158" s="532">
        <f t="shared" si="542"/>
        <v>0</v>
      </c>
      <c r="AS158" s="532">
        <f t="shared" ref="AR158:AT158" si="551">+AS153+AS155+AS157</f>
        <v>0</v>
      </c>
      <c r="AT158" s="1869" t="str">
        <f t="shared" si="503"/>
        <v>-</v>
      </c>
      <c r="AU158" s="509"/>
      <c r="AV158" s="509"/>
      <c r="AW158" s="509"/>
      <c r="AX158" s="509"/>
      <c r="AY158" s="509"/>
    </row>
    <row r="159" spans="1:51" ht="12.75" thickBot="1">
      <c r="A159" s="554"/>
      <c r="B159" s="1024"/>
      <c r="C159" s="439"/>
      <c r="D159" s="545"/>
      <c r="E159" s="534"/>
      <c r="F159" s="533"/>
      <c r="G159" s="1190"/>
      <c r="H159" s="1191"/>
      <c r="I159" s="1191"/>
      <c r="J159" s="1868"/>
      <c r="K159" s="1190"/>
      <c r="L159" s="1191"/>
      <c r="M159" s="1191"/>
      <c r="N159" s="1868"/>
      <c r="O159" s="515"/>
      <c r="P159" s="514"/>
      <c r="Q159" s="514"/>
      <c r="R159" s="1868"/>
      <c r="S159" s="515"/>
      <c r="T159" s="514"/>
      <c r="U159" s="514"/>
      <c r="V159" s="1868"/>
      <c r="W159" s="515"/>
      <c r="X159" s="514"/>
      <c r="Y159" s="514"/>
      <c r="Z159" s="1868"/>
      <c r="AA159" s="515"/>
      <c r="AB159" s="514"/>
      <c r="AC159" s="514"/>
      <c r="AD159" s="1868"/>
      <c r="AE159" s="1190"/>
      <c r="AF159" s="1191"/>
      <c r="AG159" s="1191"/>
      <c r="AH159" s="1868"/>
      <c r="AI159" s="515"/>
      <c r="AJ159" s="514"/>
      <c r="AK159" s="514"/>
      <c r="AL159" s="1868"/>
      <c r="AM159" s="515"/>
      <c r="AN159" s="514"/>
      <c r="AO159" s="514"/>
      <c r="AP159" s="1868"/>
      <c r="AQ159" s="515"/>
      <c r="AR159" s="514"/>
      <c r="AS159" s="514"/>
      <c r="AT159" s="1868"/>
      <c r="AU159" s="509"/>
      <c r="AV159" s="509"/>
      <c r="AW159" s="509"/>
      <c r="AX159" s="509"/>
      <c r="AY159" s="509"/>
    </row>
    <row r="160" spans="1:51" ht="12.75" thickBot="1">
      <c r="A160" s="549" t="s">
        <v>41</v>
      </c>
      <c r="B160" s="1021"/>
      <c r="C160" s="1324" t="s">
        <v>808</v>
      </c>
      <c r="D160" s="1325"/>
      <c r="E160" s="1325"/>
      <c r="F160" s="1326"/>
      <c r="G160" s="535">
        <f>+G92+G112+G125+G137+G146+G158</f>
        <v>1467320</v>
      </c>
      <c r="H160" s="536">
        <f>+H92+H112+H125+H137+H146+H158</f>
        <v>3607598</v>
      </c>
      <c r="I160" s="536">
        <f>+I92+I112+I125+I137+I146+I158</f>
        <v>3417980</v>
      </c>
      <c r="J160" s="1869">
        <f t="shared" ref="J160" si="552">IF(ISERROR(I160/H160),"-",I160/H160)</f>
        <v>0.94743926568314984</v>
      </c>
      <c r="K160" s="535">
        <f t="shared" ref="K160" si="553">+K92+K112+K125+K137+K146+K158</f>
        <v>1378638</v>
      </c>
      <c r="L160" s="536">
        <f t="shared" ref="L160:M160" si="554">+L92+L112+L125+L137+L146+L158</f>
        <v>2258118</v>
      </c>
      <c r="M160" s="536">
        <f t="shared" si="554"/>
        <v>2076943</v>
      </c>
      <c r="N160" s="1869">
        <f t="shared" ref="N160" si="555">IF(ISERROR(M160/L160),"-",M160/L160)</f>
        <v>0.91976725751267208</v>
      </c>
      <c r="O160" s="535">
        <f t="shared" ref="N160:AR160" si="556">+O92+O112+O125+O137+O146+O158</f>
        <v>907219</v>
      </c>
      <c r="P160" s="536">
        <f t="shared" si="556"/>
        <v>1592229</v>
      </c>
      <c r="Q160" s="536">
        <f t="shared" ref="P160:Q160" si="557">+Q92+Q112+Q125+Q137+Q146+Q158</f>
        <v>1592229</v>
      </c>
      <c r="R160" s="1869">
        <f t="shared" ref="R160" si="558">IF(ISERROR(Q160/P160),"-",Q160/P160)</f>
        <v>1</v>
      </c>
      <c r="S160" s="535">
        <f t="shared" si="556"/>
        <v>328710</v>
      </c>
      <c r="T160" s="536">
        <f t="shared" si="556"/>
        <v>488335</v>
      </c>
      <c r="U160" s="536">
        <f t="shared" ref="T160:V160" si="559">+U92+U112+U125+U137+U146+U158</f>
        <v>356668</v>
      </c>
      <c r="V160" s="1869">
        <f t="shared" ref="V160" si="560">IF(ISERROR(U160/T160),"-",U160/T160)</f>
        <v>0.73037566424687972</v>
      </c>
      <c r="W160" s="535">
        <f t="shared" si="556"/>
        <v>140709</v>
      </c>
      <c r="X160" s="536">
        <f t="shared" si="556"/>
        <v>137160</v>
      </c>
      <c r="Y160" s="536">
        <f t="shared" ref="X160:Z160" si="561">+Y92+Y112+Y125+Y137+Y146+Y158</f>
        <v>124554</v>
      </c>
      <c r="Z160" s="1869">
        <f t="shared" ref="Z160" si="562">IF(ISERROR(Y160/X160),"-",Y160/X160)</f>
        <v>0.908092738407699</v>
      </c>
      <c r="AA160" s="535">
        <f t="shared" si="556"/>
        <v>2000</v>
      </c>
      <c r="AB160" s="536">
        <f t="shared" si="556"/>
        <v>40394</v>
      </c>
      <c r="AC160" s="536">
        <f t="shared" ref="AB160:AD160" si="563">+AC92+AC112+AC125+AC137+AC146+AC158</f>
        <v>3492</v>
      </c>
      <c r="AD160" s="1869">
        <f t="shared" ref="AD160" si="564">IF(ISERROR(AC160/AB160),"-",AC160/AB160)</f>
        <v>8.6448482447888303E-2</v>
      </c>
      <c r="AE160" s="535">
        <f t="shared" si="556"/>
        <v>88682</v>
      </c>
      <c r="AF160" s="536">
        <f t="shared" ref="AF160:AG160" si="565">+AF92+AF112+AF125+AF137+AF146+AF158</f>
        <v>1349480</v>
      </c>
      <c r="AG160" s="536">
        <f t="shared" si="565"/>
        <v>1341037</v>
      </c>
      <c r="AH160" s="1869">
        <f t="shared" ref="AH160" si="566">IF(ISERROR(AG160/AF160),"-",AG160/AF160)</f>
        <v>0.99374351602098587</v>
      </c>
      <c r="AI160" s="535">
        <f t="shared" si="556"/>
        <v>71832</v>
      </c>
      <c r="AJ160" s="536">
        <f t="shared" si="556"/>
        <v>1331164</v>
      </c>
      <c r="AK160" s="536">
        <f t="shared" ref="AJ160:AL160" si="567">+AK92+AK112+AK125+AK137+AK146+AK158</f>
        <v>1331164</v>
      </c>
      <c r="AL160" s="1869">
        <f t="shared" ref="AL160" si="568">IF(ISERROR(AK160/AJ160),"-",AK160/AJ160)</f>
        <v>1</v>
      </c>
      <c r="AM160" s="535">
        <f t="shared" si="556"/>
        <v>15350</v>
      </c>
      <c r="AN160" s="536">
        <f t="shared" si="556"/>
        <v>8386</v>
      </c>
      <c r="AO160" s="536">
        <f t="shared" ref="AN160:AP160" si="569">+AO92+AO112+AO125+AO137+AO146+AO158</f>
        <v>6864</v>
      </c>
      <c r="AP160" s="1869">
        <f t="shared" ref="AP160" si="570">IF(ISERROR(AO160/AN160),"-",AO160/AN160)</f>
        <v>0.81850703553541615</v>
      </c>
      <c r="AQ160" s="535">
        <f t="shared" si="556"/>
        <v>1500</v>
      </c>
      <c r="AR160" s="536">
        <f t="shared" si="556"/>
        <v>9930</v>
      </c>
      <c r="AS160" s="536">
        <f t="shared" ref="AR160:AT160" si="571">+AS92+AS112+AS125+AS137+AS146+AS158</f>
        <v>3009</v>
      </c>
      <c r="AT160" s="1869">
        <f t="shared" ref="AT160" si="572">IF(ISERROR(AS160/AR160),"-",AS160/AR160)</f>
        <v>0.3030211480362538</v>
      </c>
      <c r="AU160" s="509"/>
      <c r="AV160" s="509"/>
      <c r="AW160" s="509"/>
      <c r="AX160" s="509"/>
      <c r="AY160" s="509"/>
    </row>
    <row r="161" spans="1:58">
      <c r="AU161" s="509"/>
      <c r="AV161" s="509"/>
      <c r="AW161" s="509"/>
      <c r="AX161" s="509"/>
      <c r="AY161" s="509"/>
    </row>
    <row r="162" spans="1:58">
      <c r="AU162" s="509"/>
      <c r="AV162" s="509"/>
      <c r="AW162" s="509"/>
      <c r="AX162" s="509"/>
      <c r="AY162" s="509"/>
    </row>
    <row r="163" spans="1:58">
      <c r="AU163" s="509"/>
      <c r="AV163" s="509"/>
      <c r="AW163" s="509"/>
      <c r="AX163" s="509"/>
      <c r="AY163" s="509"/>
    </row>
    <row r="164" spans="1:58">
      <c r="AU164" s="509"/>
      <c r="AV164" s="509"/>
      <c r="AW164" s="509"/>
      <c r="AX164" s="509"/>
      <c r="AY164" s="509"/>
    </row>
    <row r="166" spans="1:58" ht="15.75" customHeight="1">
      <c r="A166" s="1248" t="s">
        <v>825</v>
      </c>
      <c r="B166" s="1248"/>
      <c r="C166" s="1248"/>
      <c r="D166" s="1248"/>
      <c r="E166" s="1248"/>
      <c r="F166" s="1248"/>
      <c r="G166" s="1248"/>
      <c r="H166" s="1248"/>
      <c r="I166" s="1248"/>
      <c r="J166" s="1248"/>
      <c r="K166" s="1248"/>
      <c r="L166" s="1248"/>
      <c r="M166" s="1248"/>
      <c r="N166" s="1248"/>
      <c r="O166" s="1248"/>
      <c r="P166" s="1248"/>
      <c r="Q166" s="1248"/>
      <c r="R166" s="1248"/>
      <c r="S166" s="1248"/>
      <c r="T166" s="1248"/>
      <c r="U166" s="1248"/>
      <c r="V166" s="1248"/>
      <c r="W166" s="1248"/>
      <c r="X166" s="1248"/>
      <c r="Y166" s="1248"/>
      <c r="Z166" s="1248"/>
      <c r="AA166" s="1248"/>
      <c r="AB166" s="1248"/>
      <c r="AC166" s="1248"/>
      <c r="AD166" s="1248"/>
      <c r="AE166" s="1248"/>
      <c r="AF166" s="1248"/>
      <c r="AG166" s="1248"/>
      <c r="AH166" s="1248"/>
      <c r="AI166" s="1248"/>
      <c r="AJ166" s="1248"/>
      <c r="AK166" s="1248"/>
      <c r="AL166" s="1248"/>
      <c r="AM166" s="1248"/>
      <c r="AN166" s="1248"/>
      <c r="AO166" s="1248"/>
      <c r="AP166" s="1248"/>
      <c r="AQ166" s="1248"/>
      <c r="AR166" s="1248"/>
      <c r="AS166" s="1248"/>
      <c r="AT166" s="1248"/>
      <c r="AU166" s="1248"/>
      <c r="AV166" s="1248"/>
      <c r="AW166" s="1248"/>
      <c r="AX166" s="1248"/>
      <c r="AY166" s="1197"/>
    </row>
    <row r="167" spans="1:58" ht="12.75" thickBot="1">
      <c r="AA167" s="242"/>
      <c r="AB167" s="242"/>
      <c r="AC167" s="242"/>
      <c r="AD167" s="242"/>
      <c r="AQ167" s="537"/>
      <c r="AR167" s="537"/>
      <c r="AS167" s="537"/>
      <c r="AT167" s="537"/>
      <c r="AU167" s="242"/>
      <c r="AV167" s="242"/>
      <c r="AW167" s="242"/>
      <c r="AX167" s="242" t="s">
        <v>458</v>
      </c>
      <c r="AY167" s="242"/>
    </row>
    <row r="168" spans="1:58" s="511" customFormat="1" ht="12.75" customHeight="1" thickBot="1">
      <c r="A168" s="1330" t="s">
        <v>17</v>
      </c>
      <c r="B168" s="1315" t="s">
        <v>1130</v>
      </c>
      <c r="C168" s="1339" t="s">
        <v>816</v>
      </c>
      <c r="D168" s="1342" t="s">
        <v>815</v>
      </c>
      <c r="E168" s="1333" t="s">
        <v>799</v>
      </c>
      <c r="F168" s="1345" t="s">
        <v>809</v>
      </c>
      <c r="G168" s="1315" t="s">
        <v>1322</v>
      </c>
      <c r="H168" s="1316"/>
      <c r="I168" s="1316"/>
      <c r="J168" s="1317"/>
      <c r="K168" s="1315" t="s">
        <v>1341</v>
      </c>
      <c r="L168" s="1316"/>
      <c r="M168" s="1316"/>
      <c r="N168" s="1317"/>
      <c r="O168" s="1312" t="s">
        <v>800</v>
      </c>
      <c r="P168" s="1313"/>
      <c r="Q168" s="1313"/>
      <c r="R168" s="1313"/>
      <c r="S168" s="1313"/>
      <c r="T168" s="1313"/>
      <c r="U168" s="1313"/>
      <c r="V168" s="1313"/>
      <c r="W168" s="1313"/>
      <c r="X168" s="1313"/>
      <c r="Y168" s="1313"/>
      <c r="Z168" s="1313"/>
      <c r="AA168" s="1313"/>
      <c r="AB168" s="1313"/>
      <c r="AC168" s="1313"/>
      <c r="AD168" s="1313"/>
      <c r="AE168" s="1313"/>
      <c r="AF168" s="1313"/>
      <c r="AG168" s="1313"/>
      <c r="AH168" s="1314"/>
      <c r="AI168" s="1315" t="s">
        <v>1342</v>
      </c>
      <c r="AJ168" s="1316"/>
      <c r="AK168" s="1316"/>
      <c r="AL168" s="1317"/>
      <c r="AM168" s="1313" t="s">
        <v>800</v>
      </c>
      <c r="AN168" s="1313"/>
      <c r="AO168" s="1313"/>
      <c r="AP168" s="1313"/>
      <c r="AQ168" s="1313"/>
      <c r="AR168" s="1313"/>
      <c r="AS168" s="1313"/>
      <c r="AT168" s="1313"/>
      <c r="AU168" s="1313"/>
      <c r="AV168" s="1313"/>
      <c r="AW168" s="1313"/>
      <c r="AX168" s="1314"/>
      <c r="AY168" s="845"/>
    </row>
    <row r="169" spans="1:58" s="511" customFormat="1" ht="25.5" customHeight="1" thickBot="1">
      <c r="A169" s="1331"/>
      <c r="B169" s="1318"/>
      <c r="C169" s="1340"/>
      <c r="D169" s="1343"/>
      <c r="E169" s="1334"/>
      <c r="F169" s="1346"/>
      <c r="G169" s="1318"/>
      <c r="H169" s="1319"/>
      <c r="I169" s="1319"/>
      <c r="J169" s="1320"/>
      <c r="K169" s="1318"/>
      <c r="L169" s="1319"/>
      <c r="M169" s="1319"/>
      <c r="N169" s="1320"/>
      <c r="O169" s="1309" t="s">
        <v>46</v>
      </c>
      <c r="P169" s="1310"/>
      <c r="Q169" s="1310"/>
      <c r="R169" s="1311"/>
      <c r="S169" s="1309" t="s">
        <v>447</v>
      </c>
      <c r="T169" s="1310"/>
      <c r="U169" s="1310"/>
      <c r="V169" s="1311"/>
      <c r="W169" s="1309" t="s">
        <v>448</v>
      </c>
      <c r="X169" s="1310"/>
      <c r="Y169" s="1310"/>
      <c r="Z169" s="1311"/>
      <c r="AA169" s="1309" t="s">
        <v>820</v>
      </c>
      <c r="AB169" s="1310"/>
      <c r="AC169" s="1310"/>
      <c r="AD169" s="1311"/>
      <c r="AE169" s="1309" t="s">
        <v>450</v>
      </c>
      <c r="AF169" s="1310"/>
      <c r="AG169" s="1310"/>
      <c r="AH169" s="1311"/>
      <c r="AI169" s="1318"/>
      <c r="AJ169" s="1319"/>
      <c r="AK169" s="1319"/>
      <c r="AL169" s="1320"/>
      <c r="AM169" s="1309" t="s">
        <v>451</v>
      </c>
      <c r="AN169" s="1310"/>
      <c r="AO169" s="1310"/>
      <c r="AP169" s="1311"/>
      <c r="AQ169" s="1309" t="s">
        <v>452</v>
      </c>
      <c r="AR169" s="1310"/>
      <c r="AS169" s="1310"/>
      <c r="AT169" s="1311"/>
      <c r="AU169" s="1309" t="s">
        <v>453</v>
      </c>
      <c r="AV169" s="1310"/>
      <c r="AW169" s="1310"/>
      <c r="AX169" s="1311"/>
      <c r="AY169" s="512"/>
    </row>
    <row r="170" spans="1:58" s="511" customFormat="1" ht="36.75" thickBot="1">
      <c r="A170" s="1332"/>
      <c r="B170" s="1348"/>
      <c r="C170" s="1341"/>
      <c r="D170" s="1344"/>
      <c r="E170" s="1335"/>
      <c r="F170" s="1347"/>
      <c r="G170" s="1090" t="s">
        <v>1474</v>
      </c>
      <c r="H170" s="1091" t="s">
        <v>1475</v>
      </c>
      <c r="I170" s="6" t="s">
        <v>1529</v>
      </c>
      <c r="J170" s="1398" t="s">
        <v>1527</v>
      </c>
      <c r="K170" s="1090" t="s">
        <v>1474</v>
      </c>
      <c r="L170" s="1091" t="s">
        <v>1475</v>
      </c>
      <c r="M170" s="6" t="s">
        <v>1529</v>
      </c>
      <c r="N170" s="1398" t="s">
        <v>1527</v>
      </c>
      <c r="O170" s="1090" t="s">
        <v>1474</v>
      </c>
      <c r="P170" s="1091" t="s">
        <v>1475</v>
      </c>
      <c r="Q170" s="6" t="s">
        <v>1529</v>
      </c>
      <c r="R170" s="1398" t="s">
        <v>1527</v>
      </c>
      <c r="S170" s="1090" t="s">
        <v>1474</v>
      </c>
      <c r="T170" s="1091" t="s">
        <v>1475</v>
      </c>
      <c r="U170" s="6" t="s">
        <v>1529</v>
      </c>
      <c r="V170" s="1398" t="s">
        <v>1527</v>
      </c>
      <c r="W170" s="1090" t="s">
        <v>1474</v>
      </c>
      <c r="X170" s="1091" t="s">
        <v>1475</v>
      </c>
      <c r="Y170" s="6" t="s">
        <v>1529</v>
      </c>
      <c r="Z170" s="1398" t="s">
        <v>1527</v>
      </c>
      <c r="AA170" s="1090" t="s">
        <v>1474</v>
      </c>
      <c r="AB170" s="1091" t="s">
        <v>1475</v>
      </c>
      <c r="AC170" s="6" t="s">
        <v>1529</v>
      </c>
      <c r="AD170" s="1398" t="s">
        <v>1527</v>
      </c>
      <c r="AE170" s="1090" t="s">
        <v>1474</v>
      </c>
      <c r="AF170" s="1091" t="s">
        <v>1475</v>
      </c>
      <c r="AG170" s="6" t="s">
        <v>1529</v>
      </c>
      <c r="AH170" s="1398" t="s">
        <v>1527</v>
      </c>
      <c r="AI170" s="1090" t="s">
        <v>1474</v>
      </c>
      <c r="AJ170" s="1091" t="s">
        <v>1475</v>
      </c>
      <c r="AK170" s="6" t="s">
        <v>1529</v>
      </c>
      <c r="AL170" s="1398" t="s">
        <v>1527</v>
      </c>
      <c r="AM170" s="1090" t="s">
        <v>1474</v>
      </c>
      <c r="AN170" s="1091" t="s">
        <v>1475</v>
      </c>
      <c r="AO170" s="6" t="s">
        <v>1529</v>
      </c>
      <c r="AP170" s="1398" t="s">
        <v>1527</v>
      </c>
      <c r="AQ170" s="1090" t="s">
        <v>1474</v>
      </c>
      <c r="AR170" s="1091" t="s">
        <v>1475</v>
      </c>
      <c r="AS170" s="6" t="s">
        <v>1529</v>
      </c>
      <c r="AT170" s="1398" t="s">
        <v>1527</v>
      </c>
      <c r="AU170" s="1090" t="s">
        <v>1474</v>
      </c>
      <c r="AV170" s="1091" t="s">
        <v>1475</v>
      </c>
      <c r="AW170" s="6" t="s">
        <v>1529</v>
      </c>
      <c r="AX170" s="1398" t="s">
        <v>1527</v>
      </c>
      <c r="AY170" s="512"/>
    </row>
    <row r="171" spans="1:58" s="511" customFormat="1">
      <c r="A171" s="552">
        <v>1</v>
      </c>
      <c r="B171" s="1018">
        <v>1</v>
      </c>
      <c r="C171" s="969" t="s">
        <v>712</v>
      </c>
      <c r="D171" s="970" t="s">
        <v>711</v>
      </c>
      <c r="E171" s="178" t="s">
        <v>703</v>
      </c>
      <c r="F171" s="971" t="s">
        <v>415</v>
      </c>
      <c r="G171" s="1180">
        <f t="shared" ref="G171:G207" si="573">+K171+AI171</f>
        <v>41873</v>
      </c>
      <c r="H171" s="1181">
        <f t="shared" ref="H171:H207" si="574">+L171+AJ171</f>
        <v>0</v>
      </c>
      <c r="I171" s="1181">
        <f t="shared" ref="I171:I207" si="575">+M171+AK171</f>
        <v>0</v>
      </c>
      <c r="J171" s="1862" t="str">
        <f t="shared" ref="J171:J245" si="576">IF(ISERROR(I171/H171),"-",I171/H171)</f>
        <v>-</v>
      </c>
      <c r="K171" s="1180">
        <f t="shared" ref="K171:K207" si="577">+O171+S171+W171+AA171+AE171</f>
        <v>41873</v>
      </c>
      <c r="L171" s="1181">
        <f t="shared" ref="L171:L207" si="578">+P171+T171+X171+AB171+AF171</f>
        <v>0</v>
      </c>
      <c r="M171" s="1181">
        <f t="shared" ref="M171:M207" si="579">+Q171+U171+Y171+AC171+AG171</f>
        <v>0</v>
      </c>
      <c r="N171" s="1862" t="str">
        <f t="shared" ref="N171:N245" si="580">IF(ISERROR(M171/L171),"-",M171/L171)</f>
        <v>-</v>
      </c>
      <c r="O171" s="1009">
        <v>33550</v>
      </c>
      <c r="P171" s="1010"/>
      <c r="Q171" s="1010"/>
      <c r="R171" s="1464" t="str">
        <f t="shared" ref="R171:R245" si="581">IF(ISERROR(Q171/P171),"-",Q171/P171)</f>
        <v>-</v>
      </c>
      <c r="S171" s="1011">
        <v>6363</v>
      </c>
      <c r="T171" s="1010"/>
      <c r="U171" s="1010"/>
      <c r="V171" s="1464" t="str">
        <f t="shared" ref="V171:V245" si="582">IF(ISERROR(U171/T171),"-",U171/T171)</f>
        <v>-</v>
      </c>
      <c r="W171" s="1009">
        <v>1960</v>
      </c>
      <c r="X171" s="1010"/>
      <c r="Y171" s="1010"/>
      <c r="Z171" s="1464" t="str">
        <f t="shared" ref="Z171:Z245" si="583">IF(ISERROR(Y171/X171),"-",Y171/X171)</f>
        <v>-</v>
      </c>
      <c r="AA171" s="1009"/>
      <c r="AB171" s="1010"/>
      <c r="AC171" s="1010"/>
      <c r="AD171" s="1464" t="str">
        <f t="shared" ref="AD171:AD245" si="584">IF(ISERROR(AC171/AB171),"-",AC171/AB171)</f>
        <v>-</v>
      </c>
      <c r="AE171" s="1009"/>
      <c r="AF171" s="1010"/>
      <c r="AG171" s="1010"/>
      <c r="AH171" s="1464" t="str">
        <f t="shared" ref="AH171:AH245" si="585">IF(ISERROR(AG171/AF171),"-",AG171/AF171)</f>
        <v>-</v>
      </c>
      <c r="AI171" s="1180">
        <f t="shared" ref="AI171:AI207" si="586">+AM171+AQ171+AU171</f>
        <v>0</v>
      </c>
      <c r="AJ171" s="1181">
        <f t="shared" ref="AJ171:AJ207" si="587">+AN171+AR171+AV171</f>
        <v>0</v>
      </c>
      <c r="AK171" s="1181">
        <f t="shared" ref="AK171:AK207" si="588">+AO171+AS171+AW171</f>
        <v>0</v>
      </c>
      <c r="AL171" s="1862" t="str">
        <f t="shared" ref="AL171:AL245" si="589">IF(ISERROR(AK171/AJ171),"-",AK171/AJ171)</f>
        <v>-</v>
      </c>
      <c r="AM171" s="1009"/>
      <c r="AN171" s="1010"/>
      <c r="AO171" s="1010"/>
      <c r="AP171" s="1464" t="str">
        <f t="shared" ref="AP171:AP245" si="590">IF(ISERROR(AO171/AN171),"-",AO171/AN171)</f>
        <v>-</v>
      </c>
      <c r="AQ171" s="1009"/>
      <c r="AR171" s="1010"/>
      <c r="AS171" s="1010"/>
      <c r="AT171" s="1464" t="str">
        <f t="shared" ref="AT171:AT245" si="591">IF(ISERROR(AS171/AR171),"-",AS171/AR171)</f>
        <v>-</v>
      </c>
      <c r="AU171" s="1009"/>
      <c r="AV171" s="1010"/>
      <c r="AW171" s="1010"/>
      <c r="AX171" s="1464" t="str">
        <f t="shared" ref="AX171:AX245" si="592">IF(ISERROR(AW171/AV171),"-",AW171/AV171)</f>
        <v>-</v>
      </c>
      <c r="AY171" s="509"/>
      <c r="AZ171" s="509"/>
      <c r="BA171" s="509"/>
      <c r="BB171" s="509"/>
      <c r="BC171" s="509"/>
      <c r="BE171" s="509"/>
      <c r="BF171" s="509"/>
    </row>
    <row r="172" spans="1:58" s="511" customFormat="1">
      <c r="A172" s="552">
        <f>+A171+1</f>
        <v>2</v>
      </c>
      <c r="B172" s="1019">
        <v>8</v>
      </c>
      <c r="C172" s="972" t="s">
        <v>712</v>
      </c>
      <c r="D172" s="973" t="s">
        <v>711</v>
      </c>
      <c r="E172" s="974" t="s">
        <v>704</v>
      </c>
      <c r="F172" s="975" t="s">
        <v>1072</v>
      </c>
      <c r="G172" s="1180">
        <f t="shared" si="573"/>
        <v>332556</v>
      </c>
      <c r="H172" s="1181">
        <f t="shared" si="574"/>
        <v>3450688</v>
      </c>
      <c r="I172" s="1181">
        <f t="shared" si="575"/>
        <v>217991</v>
      </c>
      <c r="J172" s="1860">
        <f t="shared" si="576"/>
        <v>6.3173199083776915E-2</v>
      </c>
      <c r="K172" s="1180">
        <f t="shared" si="577"/>
        <v>320556</v>
      </c>
      <c r="L172" s="1181">
        <f t="shared" si="578"/>
        <v>3365978</v>
      </c>
      <c r="M172" s="1181">
        <f t="shared" si="579"/>
        <v>186920</v>
      </c>
      <c r="N172" s="1860">
        <f t="shared" si="580"/>
        <v>5.5532151428203037E-2</v>
      </c>
      <c r="O172" s="1009">
        <v>150</v>
      </c>
      <c r="P172" s="1010">
        <f>48412-2+1</f>
        <v>48411</v>
      </c>
      <c r="Q172" s="1010">
        <f>48412-2+1</f>
        <v>48411</v>
      </c>
      <c r="R172" s="1458">
        <f t="shared" si="581"/>
        <v>1</v>
      </c>
      <c r="S172" s="1013">
        <v>29</v>
      </c>
      <c r="T172" s="1010">
        <f>9990+1</f>
        <v>9991</v>
      </c>
      <c r="U172" s="1010">
        <f>9990+1</f>
        <v>9991</v>
      </c>
      <c r="V172" s="1458">
        <f t="shared" si="582"/>
        <v>1</v>
      </c>
      <c r="W172" s="1013">
        <v>48316</v>
      </c>
      <c r="X172" s="1010">
        <f>-6351+94680+687+49+1+38736</f>
        <v>127802</v>
      </c>
      <c r="Y172" s="1010">
        <f>-6351+94680+687+49+1</f>
        <v>89066</v>
      </c>
      <c r="Z172" s="1458">
        <f t="shared" si="583"/>
        <v>0.69690615170341619</v>
      </c>
      <c r="AA172" s="1013"/>
      <c r="AB172" s="1010"/>
      <c r="AC172" s="1010"/>
      <c r="AD172" s="1458" t="str">
        <f t="shared" si="584"/>
        <v>-</v>
      </c>
      <c r="AE172" s="1013">
        <v>272061</v>
      </c>
      <c r="AF172" s="1010">
        <f>39452+3140322</f>
        <v>3179774</v>
      </c>
      <c r="AG172" s="1010">
        <f>39452</f>
        <v>39452</v>
      </c>
      <c r="AH172" s="1458">
        <f t="shared" si="585"/>
        <v>1.2407171075680221E-2</v>
      </c>
      <c r="AI172" s="1180">
        <f t="shared" si="586"/>
        <v>12000</v>
      </c>
      <c r="AJ172" s="1181">
        <f t="shared" si="587"/>
        <v>84710</v>
      </c>
      <c r="AK172" s="1181">
        <f t="shared" si="588"/>
        <v>31071</v>
      </c>
      <c r="AL172" s="1860">
        <f t="shared" si="589"/>
        <v>0.36679258647149099</v>
      </c>
      <c r="AM172" s="1013"/>
      <c r="AN172" s="1010">
        <f>23593-2160+53639</f>
        <v>75072</v>
      </c>
      <c r="AO172" s="1010">
        <f>23593-2160</f>
        <v>21433</v>
      </c>
      <c r="AP172" s="1458">
        <f t="shared" si="590"/>
        <v>0.28549925404944587</v>
      </c>
      <c r="AQ172" s="1013">
        <v>12000</v>
      </c>
      <c r="AR172" s="1010">
        <v>9638</v>
      </c>
      <c r="AS172" s="1010">
        <v>9638</v>
      </c>
      <c r="AT172" s="1458">
        <f t="shared" si="591"/>
        <v>1</v>
      </c>
      <c r="AU172" s="1013"/>
      <c r="AV172" s="1010"/>
      <c r="AW172" s="1010"/>
      <c r="AX172" s="1458" t="str">
        <f t="shared" si="592"/>
        <v>-</v>
      </c>
      <c r="AY172" s="509"/>
    </row>
    <row r="173" spans="1:58" s="511" customFormat="1">
      <c r="A173" s="552">
        <f t="shared" ref="A173:A236" si="593">+A172+1</f>
        <v>3</v>
      </c>
      <c r="B173" s="1019">
        <v>7</v>
      </c>
      <c r="C173" s="972" t="s">
        <v>712</v>
      </c>
      <c r="D173" s="973" t="s">
        <v>1346</v>
      </c>
      <c r="E173" s="974" t="s">
        <v>704</v>
      </c>
      <c r="F173" s="975" t="s">
        <v>1347</v>
      </c>
      <c r="G173" s="1180">
        <f t="shared" si="573"/>
        <v>8511</v>
      </c>
      <c r="H173" s="1181">
        <f t="shared" si="574"/>
        <v>8511</v>
      </c>
      <c r="I173" s="1181">
        <f t="shared" si="575"/>
        <v>8511</v>
      </c>
      <c r="J173" s="1860">
        <f t="shared" si="576"/>
        <v>1</v>
      </c>
      <c r="K173" s="1180">
        <f t="shared" si="577"/>
        <v>6351</v>
      </c>
      <c r="L173" s="1181">
        <f t="shared" si="578"/>
        <v>6351</v>
      </c>
      <c r="M173" s="1181">
        <f t="shared" si="579"/>
        <v>6351</v>
      </c>
      <c r="N173" s="1860">
        <f t="shared" si="580"/>
        <v>1</v>
      </c>
      <c r="O173" s="1009"/>
      <c r="P173" s="1010"/>
      <c r="Q173" s="1010"/>
      <c r="R173" s="1458" t="str">
        <f t="shared" si="581"/>
        <v>-</v>
      </c>
      <c r="S173" s="1013"/>
      <c r="T173" s="1010"/>
      <c r="U173" s="1010"/>
      <c r="V173" s="1458" t="str">
        <f t="shared" si="582"/>
        <v>-</v>
      </c>
      <c r="W173" s="1013">
        <v>6351</v>
      </c>
      <c r="X173" s="1010">
        <v>6351</v>
      </c>
      <c r="Y173" s="1010">
        <v>6351</v>
      </c>
      <c r="Z173" s="1458">
        <f t="shared" si="583"/>
        <v>1</v>
      </c>
      <c r="AA173" s="1013"/>
      <c r="AB173" s="1010"/>
      <c r="AC173" s="1010"/>
      <c r="AD173" s="1458" t="str">
        <f t="shared" si="584"/>
        <v>-</v>
      </c>
      <c r="AE173" s="1013"/>
      <c r="AF173" s="1010"/>
      <c r="AG173" s="1010"/>
      <c r="AH173" s="1458" t="str">
        <f t="shared" si="585"/>
        <v>-</v>
      </c>
      <c r="AI173" s="1180">
        <f t="shared" si="586"/>
        <v>2160</v>
      </c>
      <c r="AJ173" s="1181">
        <f t="shared" si="587"/>
        <v>2160</v>
      </c>
      <c r="AK173" s="1181">
        <f t="shared" si="588"/>
        <v>2160</v>
      </c>
      <c r="AL173" s="1860">
        <f t="shared" si="589"/>
        <v>1</v>
      </c>
      <c r="AM173" s="1013">
        <v>2160</v>
      </c>
      <c r="AN173" s="1010">
        <v>2160</v>
      </c>
      <c r="AO173" s="1010">
        <v>2160</v>
      </c>
      <c r="AP173" s="1458">
        <f t="shared" si="590"/>
        <v>1</v>
      </c>
      <c r="AQ173" s="1013"/>
      <c r="AR173" s="1010"/>
      <c r="AS173" s="1010"/>
      <c r="AT173" s="1458" t="str">
        <f t="shared" si="591"/>
        <v>-</v>
      </c>
      <c r="AU173" s="1013"/>
      <c r="AV173" s="1010"/>
      <c r="AW173" s="1010"/>
      <c r="AX173" s="1458" t="str">
        <f t="shared" si="592"/>
        <v>-</v>
      </c>
      <c r="AY173" s="509"/>
    </row>
    <row r="174" spans="1:58" s="513" customFormat="1">
      <c r="A174" s="552">
        <f t="shared" si="593"/>
        <v>4</v>
      </c>
      <c r="B174" s="1019">
        <v>8</v>
      </c>
      <c r="C174" s="972" t="s">
        <v>721</v>
      </c>
      <c r="D174" s="973" t="s">
        <v>921</v>
      </c>
      <c r="E174" s="974" t="s">
        <v>720</v>
      </c>
      <c r="F174" s="975" t="s">
        <v>719</v>
      </c>
      <c r="G174" s="1182">
        <f t="shared" si="573"/>
        <v>300</v>
      </c>
      <c r="H174" s="1183">
        <f t="shared" si="574"/>
        <v>300</v>
      </c>
      <c r="I174" s="1183">
        <f t="shared" si="575"/>
        <v>300</v>
      </c>
      <c r="J174" s="1860">
        <f t="shared" si="576"/>
        <v>1</v>
      </c>
      <c r="K174" s="1182">
        <f t="shared" si="577"/>
        <v>300</v>
      </c>
      <c r="L174" s="1183">
        <f t="shared" si="578"/>
        <v>300</v>
      </c>
      <c r="M174" s="1183">
        <f t="shared" si="579"/>
        <v>300</v>
      </c>
      <c r="N174" s="1860">
        <f t="shared" si="580"/>
        <v>1</v>
      </c>
      <c r="O174" s="1009"/>
      <c r="P174" s="1010"/>
      <c r="Q174" s="1010"/>
      <c r="R174" s="1458" t="str">
        <f t="shared" si="581"/>
        <v>-</v>
      </c>
      <c r="S174" s="1016"/>
      <c r="T174" s="1010"/>
      <c r="U174" s="1010"/>
      <c r="V174" s="1458" t="str">
        <f t="shared" si="582"/>
        <v>-</v>
      </c>
      <c r="W174" s="1016"/>
      <c r="X174" s="1010"/>
      <c r="Y174" s="1010"/>
      <c r="Z174" s="1458" t="str">
        <f t="shared" si="583"/>
        <v>-</v>
      </c>
      <c r="AA174" s="1016"/>
      <c r="AB174" s="1010"/>
      <c r="AC174" s="1010"/>
      <c r="AD174" s="1458" t="str">
        <f t="shared" si="584"/>
        <v>-</v>
      </c>
      <c r="AE174" s="1016">
        <v>300</v>
      </c>
      <c r="AF174" s="1010">
        <v>300</v>
      </c>
      <c r="AG174" s="1010">
        <v>300</v>
      </c>
      <c r="AH174" s="1458">
        <f t="shared" si="585"/>
        <v>1</v>
      </c>
      <c r="AI174" s="1182">
        <f t="shared" si="586"/>
        <v>0</v>
      </c>
      <c r="AJ174" s="1183">
        <f t="shared" si="587"/>
        <v>0</v>
      </c>
      <c r="AK174" s="1183">
        <f t="shared" si="588"/>
        <v>0</v>
      </c>
      <c r="AL174" s="1860" t="str">
        <f t="shared" si="589"/>
        <v>-</v>
      </c>
      <c r="AM174" s="1016"/>
      <c r="AN174" s="1010"/>
      <c r="AO174" s="1010"/>
      <c r="AP174" s="1458" t="str">
        <f t="shared" si="590"/>
        <v>-</v>
      </c>
      <c r="AQ174" s="1016"/>
      <c r="AR174" s="1010"/>
      <c r="AS174" s="1010"/>
      <c r="AT174" s="1458" t="str">
        <f t="shared" si="591"/>
        <v>-</v>
      </c>
      <c r="AU174" s="1016"/>
      <c r="AV174" s="1010"/>
      <c r="AW174" s="1010"/>
      <c r="AX174" s="1458" t="str">
        <f t="shared" si="592"/>
        <v>-</v>
      </c>
      <c r="AY174" s="1025"/>
    </row>
    <row r="175" spans="1:58" s="511" customFormat="1">
      <c r="A175" s="552">
        <f t="shared" si="593"/>
        <v>5</v>
      </c>
      <c r="B175" s="1019">
        <v>8</v>
      </c>
      <c r="C175" s="972" t="s">
        <v>714</v>
      </c>
      <c r="D175" s="973" t="s">
        <v>713</v>
      </c>
      <c r="E175" s="976" t="s">
        <v>669</v>
      </c>
      <c r="F175" s="975" t="s">
        <v>642</v>
      </c>
      <c r="G175" s="1184">
        <f t="shared" si="573"/>
        <v>0</v>
      </c>
      <c r="H175" s="1185">
        <f t="shared" si="574"/>
        <v>0</v>
      </c>
      <c r="I175" s="1185">
        <f t="shared" si="575"/>
        <v>0</v>
      </c>
      <c r="J175" s="1860" t="str">
        <f t="shared" si="576"/>
        <v>-</v>
      </c>
      <c r="K175" s="1184">
        <f t="shared" si="577"/>
        <v>0</v>
      </c>
      <c r="L175" s="1185">
        <f t="shared" si="578"/>
        <v>0</v>
      </c>
      <c r="M175" s="1185">
        <f t="shared" si="579"/>
        <v>0</v>
      </c>
      <c r="N175" s="1860" t="str">
        <f t="shared" si="580"/>
        <v>-</v>
      </c>
      <c r="O175" s="1009"/>
      <c r="P175" s="1010"/>
      <c r="Q175" s="1010"/>
      <c r="R175" s="1458" t="str">
        <f t="shared" si="581"/>
        <v>-</v>
      </c>
      <c r="S175" s="1013"/>
      <c r="T175" s="1010"/>
      <c r="U175" s="1010"/>
      <c r="V175" s="1458" t="str">
        <f t="shared" si="582"/>
        <v>-</v>
      </c>
      <c r="W175" s="1013"/>
      <c r="X175" s="1010"/>
      <c r="Y175" s="1010"/>
      <c r="Z175" s="1458" t="str">
        <f t="shared" si="583"/>
        <v>-</v>
      </c>
      <c r="AA175" s="1013"/>
      <c r="AB175" s="1010"/>
      <c r="AC175" s="1010"/>
      <c r="AD175" s="1458" t="str">
        <f t="shared" si="584"/>
        <v>-</v>
      </c>
      <c r="AE175" s="1013"/>
      <c r="AF175" s="1010"/>
      <c r="AG175" s="1010"/>
      <c r="AH175" s="1458" t="str">
        <f t="shared" si="585"/>
        <v>-</v>
      </c>
      <c r="AI175" s="1184">
        <f t="shared" si="586"/>
        <v>0</v>
      </c>
      <c r="AJ175" s="1185">
        <f t="shared" si="587"/>
        <v>0</v>
      </c>
      <c r="AK175" s="1185">
        <f t="shared" si="588"/>
        <v>0</v>
      </c>
      <c r="AL175" s="1860" t="str">
        <f t="shared" si="589"/>
        <v>-</v>
      </c>
      <c r="AM175" s="1013"/>
      <c r="AN175" s="1010"/>
      <c r="AO175" s="1010"/>
      <c r="AP175" s="1458" t="str">
        <f t="shared" si="590"/>
        <v>-</v>
      </c>
      <c r="AQ175" s="1013"/>
      <c r="AR175" s="1010"/>
      <c r="AS175" s="1010"/>
      <c r="AT175" s="1458" t="str">
        <f t="shared" si="591"/>
        <v>-</v>
      </c>
      <c r="AU175" s="1013"/>
      <c r="AV175" s="1010"/>
      <c r="AW175" s="1010"/>
      <c r="AX175" s="1458" t="str">
        <f t="shared" si="592"/>
        <v>-</v>
      </c>
      <c r="AY175" s="509"/>
    </row>
    <row r="176" spans="1:58">
      <c r="A176" s="552">
        <f t="shared" si="593"/>
        <v>6</v>
      </c>
      <c r="B176" s="1019">
        <v>2</v>
      </c>
      <c r="C176" s="972" t="s">
        <v>769</v>
      </c>
      <c r="D176" s="545" t="s">
        <v>768</v>
      </c>
      <c r="E176" s="974" t="s">
        <v>688</v>
      </c>
      <c r="F176" s="977" t="s">
        <v>768</v>
      </c>
      <c r="G176" s="1180">
        <f t="shared" si="573"/>
        <v>2000</v>
      </c>
      <c r="H176" s="1181">
        <f t="shared" si="574"/>
        <v>2197</v>
      </c>
      <c r="I176" s="1181">
        <f t="shared" si="575"/>
        <v>2197</v>
      </c>
      <c r="J176" s="1860">
        <f t="shared" si="576"/>
        <v>1</v>
      </c>
      <c r="K176" s="1180">
        <f t="shared" si="577"/>
        <v>2000</v>
      </c>
      <c r="L176" s="1181">
        <f t="shared" si="578"/>
        <v>2197</v>
      </c>
      <c r="M176" s="1181">
        <f t="shared" si="579"/>
        <v>2197</v>
      </c>
      <c r="N176" s="1860">
        <f t="shared" si="580"/>
        <v>1</v>
      </c>
      <c r="O176" s="1009"/>
      <c r="P176" s="1010"/>
      <c r="Q176" s="1010"/>
      <c r="R176" s="1458" t="str">
        <f t="shared" si="581"/>
        <v>-</v>
      </c>
      <c r="S176" s="515"/>
      <c r="T176" s="1010"/>
      <c r="U176" s="1010"/>
      <c r="V176" s="1458" t="str">
        <f t="shared" si="582"/>
        <v>-</v>
      </c>
      <c r="W176" s="515">
        <v>2000</v>
      </c>
      <c r="X176" s="1010">
        <v>2197</v>
      </c>
      <c r="Y176" s="1010">
        <v>2197</v>
      </c>
      <c r="Z176" s="1458">
        <f t="shared" si="583"/>
        <v>1</v>
      </c>
      <c r="AA176" s="515"/>
      <c r="AB176" s="1010"/>
      <c r="AC176" s="1010"/>
      <c r="AD176" s="1458" t="str">
        <f t="shared" si="584"/>
        <v>-</v>
      </c>
      <c r="AE176" s="515"/>
      <c r="AF176" s="1010"/>
      <c r="AG176" s="1010"/>
      <c r="AH176" s="1458" t="str">
        <f t="shared" si="585"/>
        <v>-</v>
      </c>
      <c r="AI176" s="1180">
        <f t="shared" si="586"/>
        <v>0</v>
      </c>
      <c r="AJ176" s="1181">
        <f t="shared" si="587"/>
        <v>0</v>
      </c>
      <c r="AK176" s="1181">
        <f t="shared" si="588"/>
        <v>0</v>
      </c>
      <c r="AL176" s="1860" t="str">
        <f t="shared" si="589"/>
        <v>-</v>
      </c>
      <c r="AM176" s="515"/>
      <c r="AN176" s="1010"/>
      <c r="AO176" s="1010"/>
      <c r="AP176" s="1458" t="str">
        <f t="shared" si="590"/>
        <v>-</v>
      </c>
      <c r="AQ176" s="515"/>
      <c r="AR176" s="1010"/>
      <c r="AS176" s="1010"/>
      <c r="AT176" s="1458" t="str">
        <f t="shared" si="591"/>
        <v>-</v>
      </c>
      <c r="AU176" s="515"/>
      <c r="AV176" s="1010"/>
      <c r="AW176" s="1010"/>
      <c r="AX176" s="1458" t="str">
        <f t="shared" si="592"/>
        <v>-</v>
      </c>
      <c r="AY176" s="509"/>
    </row>
    <row r="177" spans="1:51" ht="12.75" customHeight="1">
      <c r="A177" s="552">
        <f t="shared" si="593"/>
        <v>7</v>
      </c>
      <c r="B177" s="1019">
        <v>8</v>
      </c>
      <c r="C177" s="972" t="s">
        <v>753</v>
      </c>
      <c r="D177" s="973" t="s">
        <v>1147</v>
      </c>
      <c r="E177" s="976" t="s">
        <v>752</v>
      </c>
      <c r="F177" s="978" t="s">
        <v>1149</v>
      </c>
      <c r="G177" s="1184">
        <f t="shared" si="573"/>
        <v>0</v>
      </c>
      <c r="H177" s="1185">
        <f t="shared" si="574"/>
        <v>8</v>
      </c>
      <c r="I177" s="1185">
        <f t="shared" si="575"/>
        <v>8</v>
      </c>
      <c r="J177" s="1860">
        <f t="shared" si="576"/>
        <v>1</v>
      </c>
      <c r="K177" s="1184">
        <f t="shared" si="577"/>
        <v>0</v>
      </c>
      <c r="L177" s="1185">
        <f t="shared" si="578"/>
        <v>8</v>
      </c>
      <c r="M177" s="1185">
        <f t="shared" si="579"/>
        <v>8</v>
      </c>
      <c r="N177" s="1860">
        <f t="shared" si="580"/>
        <v>1</v>
      </c>
      <c r="O177" s="1009"/>
      <c r="P177" s="1010"/>
      <c r="Q177" s="1010"/>
      <c r="R177" s="1458" t="str">
        <f t="shared" si="581"/>
        <v>-</v>
      </c>
      <c r="S177" s="1013"/>
      <c r="T177" s="1010"/>
      <c r="U177" s="1010"/>
      <c r="V177" s="1458" t="str">
        <f t="shared" si="582"/>
        <v>-</v>
      </c>
      <c r="W177" s="1013"/>
      <c r="X177" s="1010">
        <v>8</v>
      </c>
      <c r="Y177" s="1010">
        <v>8</v>
      </c>
      <c r="Z177" s="1458">
        <f t="shared" si="583"/>
        <v>1</v>
      </c>
      <c r="AA177" s="1013"/>
      <c r="AB177" s="1010"/>
      <c r="AC177" s="1010"/>
      <c r="AD177" s="1458" t="str">
        <f t="shared" si="584"/>
        <v>-</v>
      </c>
      <c r="AE177" s="1013"/>
      <c r="AF177" s="1010"/>
      <c r="AG177" s="1010"/>
      <c r="AH177" s="1458" t="str">
        <f t="shared" si="585"/>
        <v>-</v>
      </c>
      <c r="AI177" s="1184">
        <f t="shared" si="586"/>
        <v>0</v>
      </c>
      <c r="AJ177" s="1185">
        <f t="shared" si="587"/>
        <v>0</v>
      </c>
      <c r="AK177" s="1185">
        <f t="shared" si="588"/>
        <v>0</v>
      </c>
      <c r="AL177" s="1860" t="str">
        <f t="shared" si="589"/>
        <v>-</v>
      </c>
      <c r="AM177" s="1013"/>
      <c r="AN177" s="1010"/>
      <c r="AO177" s="1010"/>
      <c r="AP177" s="1458" t="str">
        <f t="shared" si="590"/>
        <v>-</v>
      </c>
      <c r="AQ177" s="1013"/>
      <c r="AR177" s="1010"/>
      <c r="AS177" s="1010"/>
      <c r="AT177" s="1458" t="str">
        <f t="shared" si="591"/>
        <v>-</v>
      </c>
      <c r="AU177" s="1013"/>
      <c r="AV177" s="1010"/>
      <c r="AW177" s="1010"/>
      <c r="AX177" s="1458" t="str">
        <f t="shared" si="592"/>
        <v>-</v>
      </c>
      <c r="AY177" s="509"/>
    </row>
    <row r="178" spans="1:51" s="516" customFormat="1">
      <c r="A178" s="552">
        <f t="shared" si="593"/>
        <v>8</v>
      </c>
      <c r="B178" s="1019">
        <v>8</v>
      </c>
      <c r="C178" s="972" t="s">
        <v>753</v>
      </c>
      <c r="D178" s="979" t="s">
        <v>1147</v>
      </c>
      <c r="E178" s="976" t="s">
        <v>689</v>
      </c>
      <c r="F178" s="980" t="s">
        <v>658</v>
      </c>
      <c r="G178" s="1184">
        <f t="shared" si="573"/>
        <v>4796</v>
      </c>
      <c r="H178" s="1185">
        <f t="shared" si="574"/>
        <v>0</v>
      </c>
      <c r="I178" s="1185">
        <f t="shared" si="575"/>
        <v>0</v>
      </c>
      <c r="J178" s="1860" t="str">
        <f t="shared" si="576"/>
        <v>-</v>
      </c>
      <c r="K178" s="1184">
        <f t="shared" si="577"/>
        <v>4796</v>
      </c>
      <c r="L178" s="1185">
        <f t="shared" si="578"/>
        <v>0</v>
      </c>
      <c r="M178" s="1185">
        <f t="shared" si="579"/>
        <v>0</v>
      </c>
      <c r="N178" s="1860" t="str">
        <f t="shared" si="580"/>
        <v>-</v>
      </c>
      <c r="O178" s="1009"/>
      <c r="P178" s="1010"/>
      <c r="Q178" s="1010"/>
      <c r="R178" s="1458" t="str">
        <f t="shared" si="581"/>
        <v>-</v>
      </c>
      <c r="S178" s="1013"/>
      <c r="T178" s="1010"/>
      <c r="U178" s="1010"/>
      <c r="V178" s="1458" t="str">
        <f t="shared" si="582"/>
        <v>-</v>
      </c>
      <c r="W178" s="1013">
        <v>4796</v>
      </c>
      <c r="X178" s="1010"/>
      <c r="Y178" s="1010"/>
      <c r="Z178" s="1458" t="str">
        <f t="shared" si="583"/>
        <v>-</v>
      </c>
      <c r="AA178" s="1013"/>
      <c r="AB178" s="1010"/>
      <c r="AC178" s="1010"/>
      <c r="AD178" s="1458" t="str">
        <f t="shared" si="584"/>
        <v>-</v>
      </c>
      <c r="AE178" s="1013"/>
      <c r="AF178" s="1010"/>
      <c r="AG178" s="1010"/>
      <c r="AH178" s="1458" t="str">
        <f t="shared" si="585"/>
        <v>-</v>
      </c>
      <c r="AI178" s="1184">
        <f t="shared" si="586"/>
        <v>0</v>
      </c>
      <c r="AJ178" s="1185">
        <f t="shared" si="587"/>
        <v>0</v>
      </c>
      <c r="AK178" s="1185">
        <f t="shared" si="588"/>
        <v>0</v>
      </c>
      <c r="AL178" s="1860" t="str">
        <f t="shared" si="589"/>
        <v>-</v>
      </c>
      <c r="AM178" s="1013"/>
      <c r="AN178" s="1010"/>
      <c r="AO178" s="1010"/>
      <c r="AP178" s="1458" t="str">
        <f t="shared" si="590"/>
        <v>-</v>
      </c>
      <c r="AQ178" s="1013"/>
      <c r="AR178" s="1010"/>
      <c r="AS178" s="1010"/>
      <c r="AT178" s="1458" t="str">
        <f t="shared" si="591"/>
        <v>-</v>
      </c>
      <c r="AU178" s="1013"/>
      <c r="AV178" s="1010"/>
      <c r="AW178" s="1010"/>
      <c r="AX178" s="1458" t="str">
        <f t="shared" si="592"/>
        <v>-</v>
      </c>
      <c r="AY178" s="509"/>
    </row>
    <row r="179" spans="1:51" s="511" customFormat="1" ht="24">
      <c r="A179" s="552">
        <f t="shared" si="593"/>
        <v>9</v>
      </c>
      <c r="B179" s="1019">
        <v>7</v>
      </c>
      <c r="C179" s="972" t="s">
        <v>753</v>
      </c>
      <c r="D179" s="979" t="s">
        <v>2803</v>
      </c>
      <c r="E179" s="976"/>
      <c r="F179" s="980" t="s">
        <v>2804</v>
      </c>
      <c r="G179" s="1184">
        <f t="shared" ref="G179" si="594">+K179+AI179</f>
        <v>0</v>
      </c>
      <c r="H179" s="1185">
        <f t="shared" ref="H179" si="595">+L179+AJ179</f>
        <v>60291</v>
      </c>
      <c r="I179" s="1185">
        <f t="shared" ref="I179" si="596">+M179+AK179</f>
        <v>60291</v>
      </c>
      <c r="J179" s="1860">
        <f t="shared" ref="J179" si="597">IF(ISERROR(I179/H179),"-",I179/H179)</f>
        <v>1</v>
      </c>
      <c r="K179" s="1184">
        <f t="shared" ref="K179" si="598">+O179+S179+W179+AA179+AE179</f>
        <v>0</v>
      </c>
      <c r="L179" s="1185">
        <f t="shared" ref="L179" si="599">+P179+T179+X179+AB179+AF179</f>
        <v>44291</v>
      </c>
      <c r="M179" s="1185">
        <f t="shared" ref="M179" si="600">+Q179+U179+Y179+AC179+AG179</f>
        <v>44291</v>
      </c>
      <c r="N179" s="1860">
        <f t="shared" ref="N179" si="601">IF(ISERROR(M179/L179),"-",M179/L179)</f>
        <v>1</v>
      </c>
      <c r="O179" s="1009"/>
      <c r="P179" s="1010"/>
      <c r="Q179" s="1010"/>
      <c r="R179" s="1458" t="str">
        <f t="shared" ref="R179" si="602">IF(ISERROR(Q179/P179),"-",Q179/P179)</f>
        <v>-</v>
      </c>
      <c r="S179" s="1013"/>
      <c r="T179" s="1010"/>
      <c r="U179" s="1010"/>
      <c r="V179" s="1458" t="str">
        <f t="shared" ref="V179" si="603">IF(ISERROR(U179/T179),"-",U179/T179)</f>
        <v>-</v>
      </c>
      <c r="W179" s="1013"/>
      <c r="X179" s="1010">
        <v>44291</v>
      </c>
      <c r="Y179" s="1010">
        <v>44291</v>
      </c>
      <c r="Z179" s="1458">
        <f t="shared" ref="Z179" si="604">IF(ISERROR(Y179/X179),"-",Y179/X179)</f>
        <v>1</v>
      </c>
      <c r="AA179" s="1013"/>
      <c r="AB179" s="1010"/>
      <c r="AC179" s="1010"/>
      <c r="AD179" s="1458" t="str">
        <f t="shared" ref="AD179" si="605">IF(ISERROR(AC179/AB179),"-",AC179/AB179)</f>
        <v>-</v>
      </c>
      <c r="AE179" s="1013"/>
      <c r="AF179" s="1010"/>
      <c r="AG179" s="1010"/>
      <c r="AH179" s="1458" t="str">
        <f t="shared" ref="AH179" si="606">IF(ISERROR(AG179/AF179),"-",AG179/AF179)</f>
        <v>-</v>
      </c>
      <c r="AI179" s="1184">
        <f t="shared" ref="AI179" si="607">+AM179+AQ179+AU179</f>
        <v>0</v>
      </c>
      <c r="AJ179" s="1185">
        <f t="shared" ref="AJ179" si="608">+AN179+AR179+AV179</f>
        <v>16000</v>
      </c>
      <c r="AK179" s="1185">
        <f t="shared" ref="AK179" si="609">+AO179+AS179+AW179</f>
        <v>16000</v>
      </c>
      <c r="AL179" s="1860">
        <f t="shared" ref="AL179" si="610">IF(ISERROR(AK179/AJ179),"-",AK179/AJ179)</f>
        <v>1</v>
      </c>
      <c r="AM179" s="1013"/>
      <c r="AN179" s="1010">
        <v>16000</v>
      </c>
      <c r="AO179" s="1010">
        <v>16000</v>
      </c>
      <c r="AP179" s="1458">
        <f t="shared" ref="AP179" si="611">IF(ISERROR(AO179/AN179),"-",AO179/AN179)</f>
        <v>1</v>
      </c>
      <c r="AQ179" s="1013"/>
      <c r="AR179" s="1010"/>
      <c r="AS179" s="1010"/>
      <c r="AT179" s="1458" t="str">
        <f t="shared" ref="AT179" si="612">IF(ISERROR(AS179/AR179),"-",AS179/AR179)</f>
        <v>-</v>
      </c>
      <c r="AU179" s="1013"/>
      <c r="AV179" s="1010"/>
      <c r="AW179" s="1010"/>
      <c r="AX179" s="1458" t="str">
        <f t="shared" ref="AX179" si="613">IF(ISERROR(AW179/AV179),"-",AW179/AV179)</f>
        <v>-</v>
      </c>
      <c r="AY179" s="509"/>
    </row>
    <row r="180" spans="1:51">
      <c r="A180" s="552">
        <f t="shared" si="593"/>
        <v>10</v>
      </c>
      <c r="B180" s="1019">
        <v>8</v>
      </c>
      <c r="C180" s="972" t="s">
        <v>749</v>
      </c>
      <c r="D180" s="973" t="s">
        <v>748</v>
      </c>
      <c r="E180" s="976" t="s">
        <v>794</v>
      </c>
      <c r="F180" s="978" t="s">
        <v>833</v>
      </c>
      <c r="G180" s="1184">
        <f t="shared" si="573"/>
        <v>5842</v>
      </c>
      <c r="H180" s="1185">
        <f t="shared" si="574"/>
        <v>1790</v>
      </c>
      <c r="I180" s="1185">
        <f t="shared" si="575"/>
        <v>1790</v>
      </c>
      <c r="J180" s="1860">
        <f t="shared" si="576"/>
        <v>1</v>
      </c>
      <c r="K180" s="1184">
        <f t="shared" si="577"/>
        <v>5842</v>
      </c>
      <c r="L180" s="1185">
        <f t="shared" si="578"/>
        <v>1692</v>
      </c>
      <c r="M180" s="1185">
        <f t="shared" si="579"/>
        <v>1692</v>
      </c>
      <c r="N180" s="1860">
        <f t="shared" si="580"/>
        <v>1</v>
      </c>
      <c r="O180" s="1009"/>
      <c r="P180" s="1010"/>
      <c r="Q180" s="1010"/>
      <c r="R180" s="1458" t="str">
        <f t="shared" si="581"/>
        <v>-</v>
      </c>
      <c r="S180" s="1013"/>
      <c r="T180" s="1010"/>
      <c r="U180" s="1010"/>
      <c r="V180" s="1458" t="str">
        <f t="shared" si="582"/>
        <v>-</v>
      </c>
      <c r="W180" s="1013">
        <v>5842</v>
      </c>
      <c r="X180" s="1010">
        <v>1692</v>
      </c>
      <c r="Y180" s="1010">
        <v>1692</v>
      </c>
      <c r="Z180" s="1458">
        <f t="shared" si="583"/>
        <v>1</v>
      </c>
      <c r="AA180" s="1013"/>
      <c r="AB180" s="1010"/>
      <c r="AC180" s="1010"/>
      <c r="AD180" s="1458" t="str">
        <f t="shared" si="584"/>
        <v>-</v>
      </c>
      <c r="AE180" s="1013"/>
      <c r="AF180" s="1010"/>
      <c r="AG180" s="1010"/>
      <c r="AH180" s="1458" t="str">
        <f t="shared" si="585"/>
        <v>-</v>
      </c>
      <c r="AI180" s="1184">
        <f t="shared" si="586"/>
        <v>0</v>
      </c>
      <c r="AJ180" s="1185">
        <f t="shared" si="587"/>
        <v>98</v>
      </c>
      <c r="AK180" s="1185">
        <f t="shared" si="588"/>
        <v>98</v>
      </c>
      <c r="AL180" s="1860">
        <f t="shared" si="589"/>
        <v>1</v>
      </c>
      <c r="AM180" s="1013"/>
      <c r="AN180" s="1010">
        <v>98</v>
      </c>
      <c r="AO180" s="1010">
        <v>98</v>
      </c>
      <c r="AP180" s="1458">
        <f t="shared" si="590"/>
        <v>1</v>
      </c>
      <c r="AQ180" s="1013"/>
      <c r="AR180" s="1010"/>
      <c r="AS180" s="1010"/>
      <c r="AT180" s="1458" t="str">
        <f t="shared" si="591"/>
        <v>-</v>
      </c>
      <c r="AU180" s="1013"/>
      <c r="AV180" s="1010"/>
      <c r="AW180" s="1010"/>
      <c r="AX180" s="1458" t="str">
        <f t="shared" si="592"/>
        <v>-</v>
      </c>
      <c r="AY180" s="509"/>
    </row>
    <row r="181" spans="1:51">
      <c r="A181" s="552">
        <f t="shared" si="593"/>
        <v>11</v>
      </c>
      <c r="B181" s="1019">
        <v>8</v>
      </c>
      <c r="C181" s="972" t="s">
        <v>1077</v>
      </c>
      <c r="D181" s="973" t="s">
        <v>1078</v>
      </c>
      <c r="E181" s="976" t="s">
        <v>1079</v>
      </c>
      <c r="F181" s="978" t="s">
        <v>1080</v>
      </c>
      <c r="G181" s="1184">
        <f t="shared" si="573"/>
        <v>26000</v>
      </c>
      <c r="H181" s="1185">
        <f t="shared" si="574"/>
        <v>0</v>
      </c>
      <c r="I181" s="1185">
        <f t="shared" si="575"/>
        <v>0</v>
      </c>
      <c r="J181" s="1860" t="str">
        <f t="shared" si="576"/>
        <v>-</v>
      </c>
      <c r="K181" s="1184">
        <f t="shared" si="577"/>
        <v>26000</v>
      </c>
      <c r="L181" s="1185">
        <f t="shared" si="578"/>
        <v>0</v>
      </c>
      <c r="M181" s="1185">
        <f t="shared" si="579"/>
        <v>0</v>
      </c>
      <c r="N181" s="1860" t="str">
        <f t="shared" si="580"/>
        <v>-</v>
      </c>
      <c r="O181" s="1009"/>
      <c r="P181" s="1010"/>
      <c r="Q181" s="1010"/>
      <c r="R181" s="1458" t="str">
        <f t="shared" si="581"/>
        <v>-</v>
      </c>
      <c r="S181" s="1013"/>
      <c r="T181" s="1010"/>
      <c r="U181" s="1010"/>
      <c r="V181" s="1458" t="str">
        <f t="shared" si="582"/>
        <v>-</v>
      </c>
      <c r="W181" s="1013">
        <v>26000</v>
      </c>
      <c r="X181" s="1010"/>
      <c r="Y181" s="1010"/>
      <c r="Z181" s="1458" t="str">
        <f t="shared" si="583"/>
        <v>-</v>
      </c>
      <c r="AA181" s="1013"/>
      <c r="AB181" s="1010"/>
      <c r="AC181" s="1010"/>
      <c r="AD181" s="1458" t="str">
        <f t="shared" si="584"/>
        <v>-</v>
      </c>
      <c r="AE181" s="1013"/>
      <c r="AF181" s="1010"/>
      <c r="AG181" s="1010"/>
      <c r="AH181" s="1458" t="str">
        <f t="shared" si="585"/>
        <v>-</v>
      </c>
      <c r="AI181" s="1184">
        <f t="shared" si="586"/>
        <v>0</v>
      </c>
      <c r="AJ181" s="1185">
        <f t="shared" si="587"/>
        <v>0</v>
      </c>
      <c r="AK181" s="1185">
        <f t="shared" si="588"/>
        <v>0</v>
      </c>
      <c r="AL181" s="1860" t="str">
        <f t="shared" si="589"/>
        <v>-</v>
      </c>
      <c r="AM181" s="1013"/>
      <c r="AN181" s="1010"/>
      <c r="AO181" s="1010"/>
      <c r="AP181" s="1458" t="str">
        <f t="shared" si="590"/>
        <v>-</v>
      </c>
      <c r="AQ181" s="1013"/>
      <c r="AR181" s="1010"/>
      <c r="AS181" s="1010"/>
      <c r="AT181" s="1458" t="str">
        <f t="shared" si="591"/>
        <v>-</v>
      </c>
      <c r="AU181" s="1013"/>
      <c r="AV181" s="1010"/>
      <c r="AW181" s="1010"/>
      <c r="AX181" s="1458" t="str">
        <f t="shared" si="592"/>
        <v>-</v>
      </c>
      <c r="AY181" s="509"/>
    </row>
    <row r="182" spans="1:51">
      <c r="A182" s="552">
        <f t="shared" si="593"/>
        <v>12</v>
      </c>
      <c r="B182" s="1019">
        <v>8</v>
      </c>
      <c r="C182" s="972" t="s">
        <v>776</v>
      </c>
      <c r="D182" s="973" t="s">
        <v>773</v>
      </c>
      <c r="E182" s="976" t="s">
        <v>690</v>
      </c>
      <c r="F182" s="978" t="s">
        <v>771</v>
      </c>
      <c r="G182" s="1184">
        <f t="shared" si="573"/>
        <v>0</v>
      </c>
      <c r="H182" s="1185">
        <f t="shared" si="574"/>
        <v>3387</v>
      </c>
      <c r="I182" s="1185">
        <f t="shared" si="575"/>
        <v>3387</v>
      </c>
      <c r="J182" s="1860">
        <f t="shared" si="576"/>
        <v>1</v>
      </c>
      <c r="K182" s="1184">
        <f t="shared" si="577"/>
        <v>0</v>
      </c>
      <c r="L182" s="1185">
        <f t="shared" si="578"/>
        <v>3387</v>
      </c>
      <c r="M182" s="1185">
        <f t="shared" si="579"/>
        <v>3387</v>
      </c>
      <c r="N182" s="1860">
        <f t="shared" si="580"/>
        <v>1</v>
      </c>
      <c r="O182" s="1009"/>
      <c r="P182" s="1010"/>
      <c r="Q182" s="1010"/>
      <c r="R182" s="1458" t="str">
        <f t="shared" si="581"/>
        <v>-</v>
      </c>
      <c r="S182" s="1013"/>
      <c r="T182" s="1010"/>
      <c r="U182" s="1010"/>
      <c r="V182" s="1458" t="str">
        <f t="shared" si="582"/>
        <v>-</v>
      </c>
      <c r="W182" s="1013"/>
      <c r="X182" s="1010"/>
      <c r="Y182" s="1010"/>
      <c r="Z182" s="1458" t="str">
        <f t="shared" si="583"/>
        <v>-</v>
      </c>
      <c r="AA182" s="1013"/>
      <c r="AB182" s="1010"/>
      <c r="AC182" s="1010"/>
      <c r="AD182" s="1458" t="str">
        <f t="shared" si="584"/>
        <v>-</v>
      </c>
      <c r="AE182" s="1013"/>
      <c r="AF182" s="1010">
        <v>3387</v>
      </c>
      <c r="AG182" s="1010">
        <v>3387</v>
      </c>
      <c r="AH182" s="1458">
        <f t="shared" si="585"/>
        <v>1</v>
      </c>
      <c r="AI182" s="1184">
        <f t="shared" si="586"/>
        <v>0</v>
      </c>
      <c r="AJ182" s="1185">
        <f t="shared" si="587"/>
        <v>0</v>
      </c>
      <c r="AK182" s="1185">
        <f t="shared" si="588"/>
        <v>0</v>
      </c>
      <c r="AL182" s="1860" t="str">
        <f t="shared" si="589"/>
        <v>-</v>
      </c>
      <c r="AM182" s="1013"/>
      <c r="AN182" s="1010"/>
      <c r="AO182" s="1010"/>
      <c r="AP182" s="1458" t="str">
        <f t="shared" si="590"/>
        <v>-</v>
      </c>
      <c r="AQ182" s="1013"/>
      <c r="AR182" s="1010"/>
      <c r="AS182" s="1010"/>
      <c r="AT182" s="1458" t="str">
        <f t="shared" si="591"/>
        <v>-</v>
      </c>
      <c r="AU182" s="1013"/>
      <c r="AV182" s="1010"/>
      <c r="AW182" s="1010"/>
      <c r="AX182" s="1458" t="str">
        <f t="shared" si="592"/>
        <v>-</v>
      </c>
      <c r="AY182" s="509"/>
    </row>
    <row r="183" spans="1:51">
      <c r="A183" s="552">
        <f t="shared" si="593"/>
        <v>13</v>
      </c>
      <c r="B183" s="1019">
        <v>8</v>
      </c>
      <c r="C183" s="972" t="s">
        <v>772</v>
      </c>
      <c r="D183" s="973" t="s">
        <v>775</v>
      </c>
      <c r="E183" s="976" t="s">
        <v>774</v>
      </c>
      <c r="F183" s="978" t="s">
        <v>659</v>
      </c>
      <c r="G183" s="1184">
        <f t="shared" si="573"/>
        <v>10000</v>
      </c>
      <c r="H183" s="1185">
        <f t="shared" si="574"/>
        <v>0</v>
      </c>
      <c r="I183" s="1185">
        <f t="shared" si="575"/>
        <v>0</v>
      </c>
      <c r="J183" s="1860" t="str">
        <f t="shared" si="576"/>
        <v>-</v>
      </c>
      <c r="K183" s="1184">
        <f t="shared" si="577"/>
        <v>10000</v>
      </c>
      <c r="L183" s="1185">
        <f t="shared" si="578"/>
        <v>0</v>
      </c>
      <c r="M183" s="1185">
        <f t="shared" si="579"/>
        <v>0</v>
      </c>
      <c r="N183" s="1860" t="str">
        <f t="shared" si="580"/>
        <v>-</v>
      </c>
      <c r="O183" s="1009"/>
      <c r="P183" s="1010"/>
      <c r="Q183" s="1010"/>
      <c r="R183" s="1458" t="str">
        <f t="shared" si="581"/>
        <v>-</v>
      </c>
      <c r="S183" s="1013"/>
      <c r="T183" s="1010"/>
      <c r="U183" s="1010"/>
      <c r="V183" s="1458" t="str">
        <f t="shared" si="582"/>
        <v>-</v>
      </c>
      <c r="W183" s="1013"/>
      <c r="X183" s="1010"/>
      <c r="Y183" s="1010"/>
      <c r="Z183" s="1458" t="str">
        <f t="shared" si="583"/>
        <v>-</v>
      </c>
      <c r="AA183" s="1013"/>
      <c r="AB183" s="1010"/>
      <c r="AC183" s="1010"/>
      <c r="AD183" s="1458" t="str">
        <f t="shared" si="584"/>
        <v>-</v>
      </c>
      <c r="AE183" s="1013">
        <v>10000</v>
      </c>
      <c r="AF183" s="1010">
        <f>2526-300-2226</f>
        <v>0</v>
      </c>
      <c r="AG183" s="1010">
        <f>2526-300-2226</f>
        <v>0</v>
      </c>
      <c r="AH183" s="1458" t="str">
        <f t="shared" si="585"/>
        <v>-</v>
      </c>
      <c r="AI183" s="1184">
        <f t="shared" si="586"/>
        <v>0</v>
      </c>
      <c r="AJ183" s="1185">
        <f t="shared" si="587"/>
        <v>0</v>
      </c>
      <c r="AK183" s="1185">
        <f t="shared" si="588"/>
        <v>0</v>
      </c>
      <c r="AL183" s="1860" t="str">
        <f t="shared" si="589"/>
        <v>-</v>
      </c>
      <c r="AM183" s="1013"/>
      <c r="AN183" s="1010"/>
      <c r="AO183" s="1010"/>
      <c r="AP183" s="1458" t="str">
        <f t="shared" si="590"/>
        <v>-</v>
      </c>
      <c r="AQ183" s="1013"/>
      <c r="AR183" s="1010"/>
      <c r="AS183" s="1010"/>
      <c r="AT183" s="1458" t="str">
        <f t="shared" si="591"/>
        <v>-</v>
      </c>
      <c r="AU183" s="1013"/>
      <c r="AV183" s="1010"/>
      <c r="AW183" s="1010"/>
      <c r="AX183" s="1458" t="str">
        <f t="shared" si="592"/>
        <v>-</v>
      </c>
      <c r="AY183" s="509"/>
    </row>
    <row r="184" spans="1:51">
      <c r="A184" s="552">
        <f t="shared" si="593"/>
        <v>14</v>
      </c>
      <c r="B184" s="1019">
        <v>8</v>
      </c>
      <c r="C184" s="972" t="s">
        <v>1081</v>
      </c>
      <c r="D184" s="973" t="s">
        <v>1082</v>
      </c>
      <c r="E184" s="976" t="s">
        <v>704</v>
      </c>
      <c r="F184" s="978" t="s">
        <v>1072</v>
      </c>
      <c r="G184" s="1184">
        <f t="shared" si="573"/>
        <v>0</v>
      </c>
      <c r="H184" s="1185">
        <f t="shared" si="574"/>
        <v>1200</v>
      </c>
      <c r="I184" s="1185">
        <f t="shared" si="575"/>
        <v>1200</v>
      </c>
      <c r="J184" s="1860">
        <f t="shared" si="576"/>
        <v>1</v>
      </c>
      <c r="K184" s="1184">
        <f t="shared" si="577"/>
        <v>0</v>
      </c>
      <c r="L184" s="1185">
        <f t="shared" si="578"/>
        <v>0</v>
      </c>
      <c r="M184" s="1185">
        <f t="shared" si="579"/>
        <v>0</v>
      </c>
      <c r="N184" s="1860" t="str">
        <f t="shared" si="580"/>
        <v>-</v>
      </c>
      <c r="O184" s="1009"/>
      <c r="P184" s="1010"/>
      <c r="Q184" s="1010"/>
      <c r="R184" s="1458" t="str">
        <f t="shared" si="581"/>
        <v>-</v>
      </c>
      <c r="S184" s="1013"/>
      <c r="T184" s="1010"/>
      <c r="U184" s="1010"/>
      <c r="V184" s="1458" t="str">
        <f t="shared" si="582"/>
        <v>-</v>
      </c>
      <c r="W184" s="1013"/>
      <c r="X184" s="1010"/>
      <c r="Y184" s="1010"/>
      <c r="Z184" s="1458" t="str">
        <f t="shared" si="583"/>
        <v>-</v>
      </c>
      <c r="AA184" s="1013"/>
      <c r="AB184" s="1010"/>
      <c r="AC184" s="1010"/>
      <c r="AD184" s="1458" t="str">
        <f t="shared" si="584"/>
        <v>-</v>
      </c>
      <c r="AE184" s="1013"/>
      <c r="AF184" s="1010"/>
      <c r="AG184" s="1010"/>
      <c r="AH184" s="1458" t="str">
        <f t="shared" si="585"/>
        <v>-</v>
      </c>
      <c r="AI184" s="1184">
        <f t="shared" si="586"/>
        <v>0</v>
      </c>
      <c r="AJ184" s="1185">
        <f t="shared" si="587"/>
        <v>1200</v>
      </c>
      <c r="AK184" s="1185">
        <f t="shared" si="588"/>
        <v>1200</v>
      </c>
      <c r="AL184" s="1860">
        <f t="shared" si="589"/>
        <v>1</v>
      </c>
      <c r="AM184" s="1013"/>
      <c r="AN184" s="1010"/>
      <c r="AO184" s="1010"/>
      <c r="AP184" s="1458" t="str">
        <f t="shared" si="590"/>
        <v>-</v>
      </c>
      <c r="AQ184" s="1013"/>
      <c r="AR184" s="1010"/>
      <c r="AS184" s="1010"/>
      <c r="AT184" s="1458" t="str">
        <f t="shared" si="591"/>
        <v>-</v>
      </c>
      <c r="AU184" s="1013"/>
      <c r="AV184" s="1010">
        <v>1200</v>
      </c>
      <c r="AW184" s="1010">
        <v>1200</v>
      </c>
      <c r="AX184" s="1458">
        <f t="shared" si="592"/>
        <v>1</v>
      </c>
      <c r="AY184" s="509"/>
    </row>
    <row r="185" spans="1:51">
      <c r="A185" s="552">
        <f t="shared" si="593"/>
        <v>15</v>
      </c>
      <c r="B185" s="1019">
        <v>8</v>
      </c>
      <c r="C185" s="972" t="s">
        <v>778</v>
      </c>
      <c r="D185" s="973" t="s">
        <v>777</v>
      </c>
      <c r="E185" s="976" t="s">
        <v>691</v>
      </c>
      <c r="F185" s="978" t="s">
        <v>660</v>
      </c>
      <c r="G185" s="1184">
        <f t="shared" si="573"/>
        <v>0</v>
      </c>
      <c r="H185" s="1185">
        <f t="shared" si="574"/>
        <v>0</v>
      </c>
      <c r="I185" s="1185">
        <f t="shared" si="575"/>
        <v>0</v>
      </c>
      <c r="J185" s="1860" t="str">
        <f t="shared" si="576"/>
        <v>-</v>
      </c>
      <c r="K185" s="1184">
        <f t="shared" si="577"/>
        <v>0</v>
      </c>
      <c r="L185" s="1185">
        <f t="shared" si="578"/>
        <v>0</v>
      </c>
      <c r="M185" s="1185">
        <f t="shared" si="579"/>
        <v>0</v>
      </c>
      <c r="N185" s="1860" t="str">
        <f t="shared" si="580"/>
        <v>-</v>
      </c>
      <c r="O185" s="1009"/>
      <c r="P185" s="1010"/>
      <c r="Q185" s="1010"/>
      <c r="R185" s="1458" t="str">
        <f t="shared" si="581"/>
        <v>-</v>
      </c>
      <c r="S185" s="1013"/>
      <c r="T185" s="1010"/>
      <c r="U185" s="1010"/>
      <c r="V185" s="1458" t="str">
        <f t="shared" si="582"/>
        <v>-</v>
      </c>
      <c r="W185" s="1013"/>
      <c r="X185" s="1010"/>
      <c r="Y185" s="1010"/>
      <c r="Z185" s="1458" t="str">
        <f t="shared" si="583"/>
        <v>-</v>
      </c>
      <c r="AA185" s="1013"/>
      <c r="AB185" s="1010"/>
      <c r="AC185" s="1010"/>
      <c r="AD185" s="1458" t="str">
        <f t="shared" si="584"/>
        <v>-</v>
      </c>
      <c r="AE185" s="1013"/>
      <c r="AF185" s="1010"/>
      <c r="AG185" s="1010"/>
      <c r="AH185" s="1458" t="str">
        <f t="shared" si="585"/>
        <v>-</v>
      </c>
      <c r="AI185" s="1184">
        <f t="shared" si="586"/>
        <v>0</v>
      </c>
      <c r="AJ185" s="1185">
        <f t="shared" si="587"/>
        <v>0</v>
      </c>
      <c r="AK185" s="1185">
        <f t="shared" si="588"/>
        <v>0</v>
      </c>
      <c r="AL185" s="1860" t="str">
        <f t="shared" si="589"/>
        <v>-</v>
      </c>
      <c r="AM185" s="1013"/>
      <c r="AN185" s="1010"/>
      <c r="AO185" s="1010"/>
      <c r="AP185" s="1458" t="str">
        <f t="shared" si="590"/>
        <v>-</v>
      </c>
      <c r="AQ185" s="1013"/>
      <c r="AR185" s="1010"/>
      <c r="AS185" s="1010"/>
      <c r="AT185" s="1458" t="str">
        <f t="shared" si="591"/>
        <v>-</v>
      </c>
      <c r="AU185" s="1013"/>
      <c r="AV185" s="1010"/>
      <c r="AW185" s="1010"/>
      <c r="AX185" s="1458" t="str">
        <f t="shared" si="592"/>
        <v>-</v>
      </c>
      <c r="AY185" s="509"/>
    </row>
    <row r="186" spans="1:51">
      <c r="A186" s="552">
        <f t="shared" si="593"/>
        <v>16</v>
      </c>
      <c r="B186" s="1019">
        <v>6</v>
      </c>
      <c r="C186" s="972" t="s">
        <v>758</v>
      </c>
      <c r="D186" s="973" t="s">
        <v>706</v>
      </c>
      <c r="E186" s="976" t="s">
        <v>686</v>
      </c>
      <c r="F186" s="978" t="s">
        <v>757</v>
      </c>
      <c r="G186" s="1184">
        <f t="shared" si="573"/>
        <v>0</v>
      </c>
      <c r="H186" s="1185">
        <f t="shared" si="574"/>
        <v>0</v>
      </c>
      <c r="I186" s="1185">
        <f t="shared" si="575"/>
        <v>0</v>
      </c>
      <c r="J186" s="1860" t="str">
        <f t="shared" si="576"/>
        <v>-</v>
      </c>
      <c r="K186" s="1184">
        <f t="shared" si="577"/>
        <v>0</v>
      </c>
      <c r="L186" s="1185">
        <f t="shared" si="578"/>
        <v>0</v>
      </c>
      <c r="M186" s="1185">
        <f t="shared" si="579"/>
        <v>0</v>
      </c>
      <c r="N186" s="1860" t="str">
        <f t="shared" si="580"/>
        <v>-</v>
      </c>
      <c r="O186" s="1009"/>
      <c r="P186" s="1010"/>
      <c r="Q186" s="1010"/>
      <c r="R186" s="1458" t="str">
        <f t="shared" si="581"/>
        <v>-</v>
      </c>
      <c r="S186" s="1013"/>
      <c r="T186" s="1010"/>
      <c r="U186" s="1010"/>
      <c r="V186" s="1458" t="str">
        <f t="shared" si="582"/>
        <v>-</v>
      </c>
      <c r="W186" s="1013"/>
      <c r="X186" s="1010"/>
      <c r="Y186" s="1010"/>
      <c r="Z186" s="1458" t="str">
        <f t="shared" si="583"/>
        <v>-</v>
      </c>
      <c r="AA186" s="1013"/>
      <c r="AB186" s="1010"/>
      <c r="AC186" s="1010"/>
      <c r="AD186" s="1458" t="str">
        <f t="shared" si="584"/>
        <v>-</v>
      </c>
      <c r="AE186" s="1013"/>
      <c r="AF186" s="1010"/>
      <c r="AG186" s="1010"/>
      <c r="AH186" s="1458" t="str">
        <f t="shared" si="585"/>
        <v>-</v>
      </c>
      <c r="AI186" s="1184">
        <f t="shared" si="586"/>
        <v>0</v>
      </c>
      <c r="AJ186" s="1185">
        <f t="shared" si="587"/>
        <v>0</v>
      </c>
      <c r="AK186" s="1185">
        <f t="shared" si="588"/>
        <v>0</v>
      </c>
      <c r="AL186" s="1860" t="str">
        <f t="shared" si="589"/>
        <v>-</v>
      </c>
      <c r="AM186" s="1013"/>
      <c r="AN186" s="1010"/>
      <c r="AO186" s="1010"/>
      <c r="AP186" s="1458" t="str">
        <f t="shared" si="590"/>
        <v>-</v>
      </c>
      <c r="AQ186" s="1013"/>
      <c r="AR186" s="1010"/>
      <c r="AS186" s="1010"/>
      <c r="AT186" s="1458" t="str">
        <f t="shared" si="591"/>
        <v>-</v>
      </c>
      <c r="AU186" s="1013"/>
      <c r="AV186" s="1010"/>
      <c r="AW186" s="1010"/>
      <c r="AX186" s="1458" t="str">
        <f t="shared" si="592"/>
        <v>-</v>
      </c>
      <c r="AY186" s="509"/>
    </row>
    <row r="187" spans="1:51">
      <c r="A187" s="552">
        <f t="shared" si="593"/>
        <v>17</v>
      </c>
      <c r="B187" s="1019">
        <v>6</v>
      </c>
      <c r="C187" s="972" t="s">
        <v>759</v>
      </c>
      <c r="D187" s="973" t="s">
        <v>707</v>
      </c>
      <c r="E187" s="976" t="s">
        <v>686</v>
      </c>
      <c r="F187" s="978" t="s">
        <v>757</v>
      </c>
      <c r="G187" s="1184">
        <f t="shared" si="573"/>
        <v>0</v>
      </c>
      <c r="H187" s="1185">
        <f t="shared" si="574"/>
        <v>0</v>
      </c>
      <c r="I187" s="1185">
        <f t="shared" si="575"/>
        <v>0</v>
      </c>
      <c r="J187" s="1860" t="str">
        <f t="shared" si="576"/>
        <v>-</v>
      </c>
      <c r="K187" s="1184">
        <f t="shared" si="577"/>
        <v>0</v>
      </c>
      <c r="L187" s="1185">
        <f t="shared" si="578"/>
        <v>0</v>
      </c>
      <c r="M187" s="1185">
        <f t="shared" si="579"/>
        <v>0</v>
      </c>
      <c r="N187" s="1860" t="str">
        <f t="shared" si="580"/>
        <v>-</v>
      </c>
      <c r="O187" s="1009"/>
      <c r="P187" s="1010"/>
      <c r="Q187" s="1010"/>
      <c r="R187" s="1458" t="str">
        <f t="shared" si="581"/>
        <v>-</v>
      </c>
      <c r="S187" s="1013"/>
      <c r="T187" s="1010"/>
      <c r="U187" s="1010"/>
      <c r="V187" s="1458" t="str">
        <f t="shared" si="582"/>
        <v>-</v>
      </c>
      <c r="W187" s="1013"/>
      <c r="X187" s="1010"/>
      <c r="Y187" s="1010"/>
      <c r="Z187" s="1458" t="str">
        <f t="shared" si="583"/>
        <v>-</v>
      </c>
      <c r="AA187" s="1013"/>
      <c r="AB187" s="1010"/>
      <c r="AC187" s="1010"/>
      <c r="AD187" s="1458" t="str">
        <f t="shared" si="584"/>
        <v>-</v>
      </c>
      <c r="AE187" s="1013"/>
      <c r="AF187" s="1010"/>
      <c r="AG187" s="1010"/>
      <c r="AH187" s="1458" t="str">
        <f t="shared" si="585"/>
        <v>-</v>
      </c>
      <c r="AI187" s="1184">
        <f t="shared" si="586"/>
        <v>0</v>
      </c>
      <c r="AJ187" s="1185">
        <f t="shared" si="587"/>
        <v>0</v>
      </c>
      <c r="AK187" s="1185">
        <f t="shared" si="588"/>
        <v>0</v>
      </c>
      <c r="AL187" s="1860" t="str">
        <f t="shared" si="589"/>
        <v>-</v>
      </c>
      <c r="AM187" s="1013"/>
      <c r="AN187" s="1010"/>
      <c r="AO187" s="1010"/>
      <c r="AP187" s="1458" t="str">
        <f t="shared" si="590"/>
        <v>-</v>
      </c>
      <c r="AQ187" s="1013"/>
      <c r="AR187" s="1010"/>
      <c r="AS187" s="1010"/>
      <c r="AT187" s="1458" t="str">
        <f t="shared" si="591"/>
        <v>-</v>
      </c>
      <c r="AU187" s="1013"/>
      <c r="AV187" s="1010"/>
      <c r="AW187" s="1010"/>
      <c r="AX187" s="1458" t="str">
        <f t="shared" si="592"/>
        <v>-</v>
      </c>
      <c r="AY187" s="509"/>
    </row>
    <row r="188" spans="1:51">
      <c r="A188" s="552">
        <f t="shared" si="593"/>
        <v>18</v>
      </c>
      <c r="B188" s="1019">
        <v>6</v>
      </c>
      <c r="C188" s="972" t="s">
        <v>761</v>
      </c>
      <c r="D188" s="973" t="s">
        <v>762</v>
      </c>
      <c r="E188" s="976" t="s">
        <v>1070</v>
      </c>
      <c r="F188" s="978" t="s">
        <v>760</v>
      </c>
      <c r="G188" s="1184">
        <f t="shared" si="573"/>
        <v>40102</v>
      </c>
      <c r="H188" s="1185">
        <f t="shared" si="574"/>
        <v>149761</v>
      </c>
      <c r="I188" s="1185">
        <f t="shared" si="575"/>
        <v>149761</v>
      </c>
      <c r="J188" s="1860">
        <f t="shared" si="576"/>
        <v>1</v>
      </c>
      <c r="K188" s="1184">
        <f t="shared" si="577"/>
        <v>40102</v>
      </c>
      <c r="L188" s="1185">
        <f t="shared" si="578"/>
        <v>147324</v>
      </c>
      <c r="M188" s="1185">
        <f t="shared" si="579"/>
        <v>147324</v>
      </c>
      <c r="N188" s="1860">
        <f t="shared" si="580"/>
        <v>1</v>
      </c>
      <c r="O188" s="1009">
        <v>22614</v>
      </c>
      <c r="P188" s="1010">
        <v>112196</v>
      </c>
      <c r="Q188" s="1010">
        <v>112196</v>
      </c>
      <c r="R188" s="1458">
        <f t="shared" si="581"/>
        <v>1</v>
      </c>
      <c r="S188" s="1013">
        <v>2488</v>
      </c>
      <c r="T188" s="1010">
        <v>11043</v>
      </c>
      <c r="U188" s="1010">
        <v>11043</v>
      </c>
      <c r="V188" s="1458">
        <f t="shared" si="582"/>
        <v>1</v>
      </c>
      <c r="W188" s="1013">
        <v>15000</v>
      </c>
      <c r="X188" s="1010">
        <f>24084+1</f>
        <v>24085</v>
      </c>
      <c r="Y188" s="1010">
        <f>24084+1</f>
        <v>24085</v>
      </c>
      <c r="Z188" s="1458">
        <f t="shared" si="583"/>
        <v>1</v>
      </c>
      <c r="AA188" s="1013"/>
      <c r="AB188" s="1010"/>
      <c r="AC188" s="1010"/>
      <c r="AD188" s="1458" t="str">
        <f t="shared" si="584"/>
        <v>-</v>
      </c>
      <c r="AE188" s="1013"/>
      <c r="AF188" s="1010"/>
      <c r="AG188" s="1010"/>
      <c r="AH188" s="1458" t="str">
        <f t="shared" si="585"/>
        <v>-</v>
      </c>
      <c r="AI188" s="1184">
        <f t="shared" si="586"/>
        <v>0</v>
      </c>
      <c r="AJ188" s="1185">
        <f t="shared" si="587"/>
        <v>2437</v>
      </c>
      <c r="AK188" s="1185">
        <f t="shared" si="588"/>
        <v>2437</v>
      </c>
      <c r="AL188" s="1860">
        <f t="shared" si="589"/>
        <v>1</v>
      </c>
      <c r="AM188" s="1013"/>
      <c r="AN188" s="1010">
        <v>2437</v>
      </c>
      <c r="AO188" s="1010">
        <v>2437</v>
      </c>
      <c r="AP188" s="1458">
        <f t="shared" si="590"/>
        <v>1</v>
      </c>
      <c r="AQ188" s="1013"/>
      <c r="AR188" s="1010"/>
      <c r="AS188" s="1010"/>
      <c r="AT188" s="1458" t="str">
        <f t="shared" si="591"/>
        <v>-</v>
      </c>
      <c r="AU188" s="1013"/>
      <c r="AV188" s="1010"/>
      <c r="AW188" s="1010"/>
      <c r="AX188" s="1458" t="str">
        <f t="shared" si="592"/>
        <v>-</v>
      </c>
      <c r="AY188" s="509"/>
    </row>
    <row r="189" spans="1:51">
      <c r="A189" s="552">
        <f t="shared" si="593"/>
        <v>19</v>
      </c>
      <c r="B189" s="1019">
        <v>6</v>
      </c>
      <c r="C189" s="972" t="s">
        <v>765</v>
      </c>
      <c r="D189" s="973" t="s">
        <v>766</v>
      </c>
      <c r="E189" s="976" t="s">
        <v>823</v>
      </c>
      <c r="F189" s="978" t="s">
        <v>763</v>
      </c>
      <c r="G189" s="1184">
        <f t="shared" si="573"/>
        <v>0</v>
      </c>
      <c r="H189" s="1185">
        <f t="shared" si="574"/>
        <v>0</v>
      </c>
      <c r="I189" s="1185">
        <f t="shared" si="575"/>
        <v>0</v>
      </c>
      <c r="J189" s="1860" t="str">
        <f t="shared" si="576"/>
        <v>-</v>
      </c>
      <c r="K189" s="1184">
        <f t="shared" si="577"/>
        <v>0</v>
      </c>
      <c r="L189" s="1185">
        <f t="shared" si="578"/>
        <v>0</v>
      </c>
      <c r="M189" s="1185">
        <f t="shared" si="579"/>
        <v>0</v>
      </c>
      <c r="N189" s="1860" t="str">
        <f t="shared" si="580"/>
        <v>-</v>
      </c>
      <c r="O189" s="1009"/>
      <c r="P189" s="1010"/>
      <c r="Q189" s="1010"/>
      <c r="R189" s="1458" t="str">
        <f t="shared" si="581"/>
        <v>-</v>
      </c>
      <c r="S189" s="1013"/>
      <c r="T189" s="1010"/>
      <c r="U189" s="1010"/>
      <c r="V189" s="1458" t="str">
        <f t="shared" si="582"/>
        <v>-</v>
      </c>
      <c r="W189" s="1013"/>
      <c r="X189" s="1010"/>
      <c r="Y189" s="1010"/>
      <c r="Z189" s="1458" t="str">
        <f t="shared" si="583"/>
        <v>-</v>
      </c>
      <c r="AA189" s="1013"/>
      <c r="AB189" s="1010"/>
      <c r="AC189" s="1010"/>
      <c r="AD189" s="1458" t="str">
        <f t="shared" si="584"/>
        <v>-</v>
      </c>
      <c r="AE189" s="1013"/>
      <c r="AF189" s="1010"/>
      <c r="AG189" s="1010"/>
      <c r="AH189" s="1458" t="str">
        <f t="shared" si="585"/>
        <v>-</v>
      </c>
      <c r="AI189" s="1184">
        <f t="shared" si="586"/>
        <v>0</v>
      </c>
      <c r="AJ189" s="1185">
        <f t="shared" si="587"/>
        <v>0</v>
      </c>
      <c r="AK189" s="1185">
        <f t="shared" si="588"/>
        <v>0</v>
      </c>
      <c r="AL189" s="1860" t="str">
        <f t="shared" si="589"/>
        <v>-</v>
      </c>
      <c r="AM189" s="1013"/>
      <c r="AN189" s="1010"/>
      <c r="AO189" s="1010"/>
      <c r="AP189" s="1458" t="str">
        <f t="shared" si="590"/>
        <v>-</v>
      </c>
      <c r="AQ189" s="1013"/>
      <c r="AR189" s="1010"/>
      <c r="AS189" s="1010"/>
      <c r="AT189" s="1458" t="str">
        <f t="shared" si="591"/>
        <v>-</v>
      </c>
      <c r="AU189" s="1013"/>
      <c r="AV189" s="1010"/>
      <c r="AW189" s="1010"/>
      <c r="AX189" s="1458" t="str">
        <f t="shared" si="592"/>
        <v>-</v>
      </c>
      <c r="AY189" s="509"/>
    </row>
    <row r="190" spans="1:51">
      <c r="A190" s="552">
        <f t="shared" si="593"/>
        <v>20</v>
      </c>
      <c r="B190" s="1019">
        <v>6</v>
      </c>
      <c r="C190" s="360" t="s">
        <v>764</v>
      </c>
      <c r="D190" s="973" t="s">
        <v>708</v>
      </c>
      <c r="E190" s="976" t="s">
        <v>823</v>
      </c>
      <c r="F190" s="978" t="s">
        <v>763</v>
      </c>
      <c r="G190" s="1184">
        <f t="shared" si="573"/>
        <v>14562</v>
      </c>
      <c r="H190" s="1185">
        <f t="shared" si="574"/>
        <v>75511</v>
      </c>
      <c r="I190" s="1185">
        <f t="shared" si="575"/>
        <v>75511</v>
      </c>
      <c r="J190" s="1860">
        <f t="shared" si="576"/>
        <v>1</v>
      </c>
      <c r="K190" s="1184">
        <f t="shared" si="577"/>
        <v>14562</v>
      </c>
      <c r="L190" s="1185">
        <f t="shared" si="578"/>
        <v>73080</v>
      </c>
      <c r="M190" s="1185">
        <f t="shared" si="579"/>
        <v>73080</v>
      </c>
      <c r="N190" s="1860">
        <f t="shared" si="580"/>
        <v>1</v>
      </c>
      <c r="O190" s="1009">
        <v>13111</v>
      </c>
      <c r="P190" s="1010">
        <v>53124</v>
      </c>
      <c r="Q190" s="1010">
        <v>53124</v>
      </c>
      <c r="R190" s="1458">
        <f t="shared" si="581"/>
        <v>1</v>
      </c>
      <c r="S190" s="1013">
        <v>1451</v>
      </c>
      <c r="T190" s="1010">
        <v>4738</v>
      </c>
      <c r="U190" s="1010">
        <v>4738</v>
      </c>
      <c r="V190" s="1458">
        <f t="shared" si="582"/>
        <v>1</v>
      </c>
      <c r="W190" s="1013"/>
      <c r="X190" s="1010">
        <v>13939</v>
      </c>
      <c r="Y190" s="1010">
        <v>13939</v>
      </c>
      <c r="Z190" s="1458">
        <f t="shared" si="583"/>
        <v>1</v>
      </c>
      <c r="AA190" s="1013"/>
      <c r="AB190" s="1010"/>
      <c r="AC190" s="1010"/>
      <c r="AD190" s="1458" t="str">
        <f t="shared" si="584"/>
        <v>-</v>
      </c>
      <c r="AE190" s="1013"/>
      <c r="AF190" s="1010">
        <v>1279</v>
      </c>
      <c r="AG190" s="1010">
        <v>1279</v>
      </c>
      <c r="AH190" s="1458">
        <f t="shared" si="585"/>
        <v>1</v>
      </c>
      <c r="AI190" s="1184">
        <f t="shared" si="586"/>
        <v>0</v>
      </c>
      <c r="AJ190" s="1185">
        <f t="shared" si="587"/>
        <v>2431</v>
      </c>
      <c r="AK190" s="1185">
        <f t="shared" si="588"/>
        <v>2431</v>
      </c>
      <c r="AL190" s="1860">
        <f t="shared" si="589"/>
        <v>1</v>
      </c>
      <c r="AM190" s="1013"/>
      <c r="AN190" s="1010">
        <v>2431</v>
      </c>
      <c r="AO190" s="1010">
        <v>2431</v>
      </c>
      <c r="AP190" s="1458">
        <f t="shared" si="590"/>
        <v>1</v>
      </c>
      <c r="AQ190" s="1013"/>
      <c r="AR190" s="1010"/>
      <c r="AS190" s="1010"/>
      <c r="AT190" s="1458" t="str">
        <f t="shared" si="591"/>
        <v>-</v>
      </c>
      <c r="AU190" s="1013"/>
      <c r="AV190" s="1010"/>
      <c r="AW190" s="1010"/>
      <c r="AX190" s="1458" t="str">
        <f t="shared" si="592"/>
        <v>-</v>
      </c>
      <c r="AY190" s="509"/>
    </row>
    <row r="191" spans="1:51">
      <c r="A191" s="552">
        <f t="shared" si="593"/>
        <v>21</v>
      </c>
      <c r="B191" s="288">
        <v>8</v>
      </c>
      <c r="C191" s="357" t="s">
        <v>755</v>
      </c>
      <c r="D191" s="981" t="s">
        <v>754</v>
      </c>
      <c r="E191" s="982" t="s">
        <v>683</v>
      </c>
      <c r="F191" s="983" t="s">
        <v>1083</v>
      </c>
      <c r="G191" s="1184">
        <f t="shared" si="573"/>
        <v>3500</v>
      </c>
      <c r="H191" s="1185">
        <f t="shared" si="574"/>
        <v>2032</v>
      </c>
      <c r="I191" s="1185">
        <f t="shared" si="575"/>
        <v>2032</v>
      </c>
      <c r="J191" s="1860">
        <f t="shared" si="576"/>
        <v>1</v>
      </c>
      <c r="K191" s="1184">
        <f t="shared" si="577"/>
        <v>3500</v>
      </c>
      <c r="L191" s="1185">
        <f t="shared" si="578"/>
        <v>2032</v>
      </c>
      <c r="M191" s="1185">
        <f t="shared" si="579"/>
        <v>2032</v>
      </c>
      <c r="N191" s="1860">
        <f t="shared" si="580"/>
        <v>1</v>
      </c>
      <c r="O191" s="1009"/>
      <c r="P191" s="1010"/>
      <c r="Q191" s="1010"/>
      <c r="R191" s="1458" t="str">
        <f t="shared" si="581"/>
        <v>-</v>
      </c>
      <c r="S191" s="1013"/>
      <c r="T191" s="1010"/>
      <c r="U191" s="1010"/>
      <c r="V191" s="1458" t="str">
        <f t="shared" si="582"/>
        <v>-</v>
      </c>
      <c r="W191" s="1013">
        <v>3500</v>
      </c>
      <c r="X191" s="1010">
        <v>2032</v>
      </c>
      <c r="Y191" s="1010">
        <v>2032</v>
      </c>
      <c r="Z191" s="1458">
        <f t="shared" si="583"/>
        <v>1</v>
      </c>
      <c r="AA191" s="1013"/>
      <c r="AB191" s="1010"/>
      <c r="AC191" s="1010"/>
      <c r="AD191" s="1458" t="str">
        <f t="shared" si="584"/>
        <v>-</v>
      </c>
      <c r="AE191" s="1013"/>
      <c r="AF191" s="1010"/>
      <c r="AG191" s="1010"/>
      <c r="AH191" s="1458" t="str">
        <f t="shared" si="585"/>
        <v>-</v>
      </c>
      <c r="AI191" s="1184">
        <f t="shared" si="586"/>
        <v>0</v>
      </c>
      <c r="AJ191" s="1185">
        <f t="shared" si="587"/>
        <v>0</v>
      </c>
      <c r="AK191" s="1185">
        <f t="shared" si="588"/>
        <v>0</v>
      </c>
      <c r="AL191" s="1860" t="str">
        <f t="shared" si="589"/>
        <v>-</v>
      </c>
      <c r="AM191" s="1013"/>
      <c r="AN191" s="1010"/>
      <c r="AO191" s="1010"/>
      <c r="AP191" s="1458" t="str">
        <f t="shared" si="590"/>
        <v>-</v>
      </c>
      <c r="AQ191" s="1013"/>
      <c r="AR191" s="1010"/>
      <c r="AS191" s="1010"/>
      <c r="AT191" s="1458" t="str">
        <f t="shared" si="591"/>
        <v>-</v>
      </c>
      <c r="AU191" s="1013"/>
      <c r="AV191" s="1010"/>
      <c r="AW191" s="1010"/>
      <c r="AX191" s="1458" t="str">
        <f t="shared" si="592"/>
        <v>-</v>
      </c>
      <c r="AY191" s="509"/>
    </row>
    <row r="192" spans="1:51">
      <c r="A192" s="552">
        <f t="shared" si="593"/>
        <v>22</v>
      </c>
      <c r="B192" s="1020">
        <v>5</v>
      </c>
      <c r="C192" s="357" t="s">
        <v>740</v>
      </c>
      <c r="D192" s="981" t="s">
        <v>650</v>
      </c>
      <c r="E192" s="982" t="s">
        <v>680</v>
      </c>
      <c r="F192" s="983" t="s">
        <v>650</v>
      </c>
      <c r="G192" s="1184">
        <f t="shared" si="573"/>
        <v>0</v>
      </c>
      <c r="H192" s="1185">
        <f t="shared" si="574"/>
        <v>0</v>
      </c>
      <c r="I192" s="1185">
        <f t="shared" si="575"/>
        <v>0</v>
      </c>
      <c r="J192" s="1860" t="str">
        <f t="shared" si="576"/>
        <v>-</v>
      </c>
      <c r="K192" s="1184">
        <f t="shared" si="577"/>
        <v>0</v>
      </c>
      <c r="L192" s="1185">
        <f t="shared" si="578"/>
        <v>0</v>
      </c>
      <c r="M192" s="1185">
        <f t="shared" si="579"/>
        <v>0</v>
      </c>
      <c r="N192" s="1860" t="str">
        <f t="shared" si="580"/>
        <v>-</v>
      </c>
      <c r="O192" s="1009"/>
      <c r="P192" s="1010"/>
      <c r="Q192" s="1010"/>
      <c r="R192" s="1458" t="str">
        <f t="shared" si="581"/>
        <v>-</v>
      </c>
      <c r="S192" s="1013"/>
      <c r="T192" s="1010"/>
      <c r="U192" s="1010"/>
      <c r="V192" s="1458" t="str">
        <f t="shared" si="582"/>
        <v>-</v>
      </c>
      <c r="W192" s="1013"/>
      <c r="X192" s="1010"/>
      <c r="Y192" s="1010"/>
      <c r="Z192" s="1458" t="str">
        <f t="shared" si="583"/>
        <v>-</v>
      </c>
      <c r="AA192" s="1013"/>
      <c r="AB192" s="1010"/>
      <c r="AC192" s="1010"/>
      <c r="AD192" s="1458" t="str">
        <f t="shared" si="584"/>
        <v>-</v>
      </c>
      <c r="AE192" s="1013"/>
      <c r="AF192" s="1010"/>
      <c r="AG192" s="1010"/>
      <c r="AH192" s="1458" t="str">
        <f t="shared" si="585"/>
        <v>-</v>
      </c>
      <c r="AI192" s="1184">
        <f t="shared" si="586"/>
        <v>0</v>
      </c>
      <c r="AJ192" s="1185">
        <f t="shared" si="587"/>
        <v>0</v>
      </c>
      <c r="AK192" s="1185">
        <f t="shared" si="588"/>
        <v>0</v>
      </c>
      <c r="AL192" s="1860" t="str">
        <f t="shared" si="589"/>
        <v>-</v>
      </c>
      <c r="AM192" s="1013"/>
      <c r="AN192" s="1010"/>
      <c r="AO192" s="1010"/>
      <c r="AP192" s="1458" t="str">
        <f t="shared" si="590"/>
        <v>-</v>
      </c>
      <c r="AQ192" s="1013"/>
      <c r="AR192" s="1010"/>
      <c r="AS192" s="1010"/>
      <c r="AT192" s="1458" t="str">
        <f t="shared" si="591"/>
        <v>-</v>
      </c>
      <c r="AU192" s="1013"/>
      <c r="AV192" s="1010"/>
      <c r="AW192" s="1010"/>
      <c r="AX192" s="1458" t="str">
        <f t="shared" si="592"/>
        <v>-</v>
      </c>
      <c r="AY192" s="509"/>
    </row>
    <row r="193" spans="1:51">
      <c r="A193" s="552">
        <f t="shared" si="593"/>
        <v>23</v>
      </c>
      <c r="B193" s="1020">
        <v>8</v>
      </c>
      <c r="C193" s="360" t="s">
        <v>742</v>
      </c>
      <c r="D193" s="973" t="s">
        <v>741</v>
      </c>
      <c r="E193" s="976" t="s">
        <v>681</v>
      </c>
      <c r="F193" s="978" t="s">
        <v>741</v>
      </c>
      <c r="G193" s="1184">
        <f t="shared" si="573"/>
        <v>0</v>
      </c>
      <c r="H193" s="1185">
        <f t="shared" si="574"/>
        <v>0</v>
      </c>
      <c r="I193" s="1185">
        <f t="shared" si="575"/>
        <v>0</v>
      </c>
      <c r="J193" s="1860" t="str">
        <f t="shared" si="576"/>
        <v>-</v>
      </c>
      <c r="K193" s="1184">
        <f t="shared" si="577"/>
        <v>0</v>
      </c>
      <c r="L193" s="1185">
        <f t="shared" si="578"/>
        <v>0</v>
      </c>
      <c r="M193" s="1185">
        <f t="shared" si="579"/>
        <v>0</v>
      </c>
      <c r="N193" s="1860" t="str">
        <f t="shared" si="580"/>
        <v>-</v>
      </c>
      <c r="O193" s="1009"/>
      <c r="P193" s="1010"/>
      <c r="Q193" s="1010"/>
      <c r="R193" s="1458" t="str">
        <f t="shared" si="581"/>
        <v>-</v>
      </c>
      <c r="S193" s="1013"/>
      <c r="T193" s="1010"/>
      <c r="U193" s="1010"/>
      <c r="V193" s="1458" t="str">
        <f t="shared" si="582"/>
        <v>-</v>
      </c>
      <c r="W193" s="1013"/>
      <c r="X193" s="1010"/>
      <c r="Y193" s="1010"/>
      <c r="Z193" s="1458" t="str">
        <f t="shared" si="583"/>
        <v>-</v>
      </c>
      <c r="AA193" s="1013"/>
      <c r="AB193" s="1010"/>
      <c r="AC193" s="1010"/>
      <c r="AD193" s="1458" t="str">
        <f t="shared" si="584"/>
        <v>-</v>
      </c>
      <c r="AE193" s="1013"/>
      <c r="AF193" s="1010"/>
      <c r="AG193" s="1010"/>
      <c r="AH193" s="1458" t="str">
        <f t="shared" si="585"/>
        <v>-</v>
      </c>
      <c r="AI193" s="1184">
        <f t="shared" si="586"/>
        <v>0</v>
      </c>
      <c r="AJ193" s="1185">
        <f t="shared" si="587"/>
        <v>0</v>
      </c>
      <c r="AK193" s="1185">
        <f t="shared" si="588"/>
        <v>0</v>
      </c>
      <c r="AL193" s="1860" t="str">
        <f t="shared" si="589"/>
        <v>-</v>
      </c>
      <c r="AM193" s="1013"/>
      <c r="AN193" s="1010"/>
      <c r="AO193" s="1010"/>
      <c r="AP193" s="1458" t="str">
        <f t="shared" si="590"/>
        <v>-</v>
      </c>
      <c r="AQ193" s="1013"/>
      <c r="AR193" s="1010"/>
      <c r="AS193" s="1010"/>
      <c r="AT193" s="1458" t="str">
        <f t="shared" si="591"/>
        <v>-</v>
      </c>
      <c r="AU193" s="1013"/>
      <c r="AV193" s="1010"/>
      <c r="AW193" s="1010"/>
      <c r="AX193" s="1458" t="str">
        <f t="shared" si="592"/>
        <v>-</v>
      </c>
      <c r="AY193" s="509"/>
    </row>
    <row r="194" spans="1:51" s="511" customFormat="1" ht="24">
      <c r="A194" s="552">
        <f t="shared" si="593"/>
        <v>24</v>
      </c>
      <c r="B194" s="1020">
        <v>7</v>
      </c>
      <c r="C194" s="360" t="s">
        <v>742</v>
      </c>
      <c r="D194" s="973" t="s">
        <v>2806</v>
      </c>
      <c r="E194" s="976"/>
      <c r="F194" s="1888" t="s">
        <v>2805</v>
      </c>
      <c r="G194" s="1184">
        <f t="shared" si="573"/>
        <v>0</v>
      </c>
      <c r="H194" s="1185">
        <f t="shared" si="574"/>
        <v>0</v>
      </c>
      <c r="I194" s="1185">
        <f t="shared" si="575"/>
        <v>0</v>
      </c>
      <c r="J194" s="1860" t="str">
        <f t="shared" si="576"/>
        <v>-</v>
      </c>
      <c r="K194" s="1184">
        <f t="shared" si="577"/>
        <v>0</v>
      </c>
      <c r="L194" s="1185">
        <f t="shared" si="578"/>
        <v>0</v>
      </c>
      <c r="M194" s="1185">
        <f t="shared" si="579"/>
        <v>0</v>
      </c>
      <c r="N194" s="1860" t="str">
        <f t="shared" si="580"/>
        <v>-</v>
      </c>
      <c r="O194" s="1009"/>
      <c r="P194" s="1010"/>
      <c r="Q194" s="1010"/>
      <c r="R194" s="1458" t="str">
        <f t="shared" si="581"/>
        <v>-</v>
      </c>
      <c r="S194" s="1013"/>
      <c r="T194" s="1010"/>
      <c r="U194" s="1010"/>
      <c r="V194" s="1458" t="str">
        <f t="shared" si="582"/>
        <v>-</v>
      </c>
      <c r="W194" s="1013"/>
      <c r="X194" s="1010"/>
      <c r="Y194" s="1010"/>
      <c r="Z194" s="1458" t="str">
        <f t="shared" si="583"/>
        <v>-</v>
      </c>
      <c r="AA194" s="1013"/>
      <c r="AB194" s="1010"/>
      <c r="AC194" s="1010"/>
      <c r="AD194" s="1458" t="str">
        <f t="shared" si="584"/>
        <v>-</v>
      </c>
      <c r="AE194" s="1013"/>
      <c r="AF194" s="1010"/>
      <c r="AG194" s="1010"/>
      <c r="AH194" s="1458" t="str">
        <f t="shared" si="585"/>
        <v>-</v>
      </c>
      <c r="AI194" s="1184">
        <f t="shared" si="586"/>
        <v>0</v>
      </c>
      <c r="AJ194" s="1185">
        <f t="shared" si="587"/>
        <v>0</v>
      </c>
      <c r="AK194" s="1185">
        <f t="shared" si="588"/>
        <v>0</v>
      </c>
      <c r="AL194" s="1860" t="str">
        <f t="shared" si="589"/>
        <v>-</v>
      </c>
      <c r="AM194" s="1013"/>
      <c r="AN194" s="1010"/>
      <c r="AO194" s="1010"/>
      <c r="AP194" s="1458" t="str">
        <f t="shared" si="590"/>
        <v>-</v>
      </c>
      <c r="AQ194" s="1013"/>
      <c r="AR194" s="1010"/>
      <c r="AS194" s="1010"/>
      <c r="AT194" s="1458" t="str">
        <f t="shared" si="591"/>
        <v>-</v>
      </c>
      <c r="AU194" s="1013"/>
      <c r="AV194" s="1010"/>
      <c r="AW194" s="1010"/>
      <c r="AX194" s="1458" t="str">
        <f t="shared" si="592"/>
        <v>-</v>
      </c>
      <c r="AY194" s="509"/>
    </row>
    <row r="195" spans="1:51">
      <c r="A195" s="552">
        <f t="shared" si="593"/>
        <v>25</v>
      </c>
      <c r="B195" s="288">
        <v>5</v>
      </c>
      <c r="C195" s="360" t="s">
        <v>744</v>
      </c>
      <c r="D195" s="973" t="s">
        <v>651</v>
      </c>
      <c r="E195" s="976" t="s">
        <v>743</v>
      </c>
      <c r="F195" s="978" t="s">
        <v>651</v>
      </c>
      <c r="G195" s="1184">
        <f t="shared" si="573"/>
        <v>9700</v>
      </c>
      <c r="H195" s="1185">
        <f t="shared" si="574"/>
        <v>12710</v>
      </c>
      <c r="I195" s="1185">
        <f t="shared" si="575"/>
        <v>12710</v>
      </c>
      <c r="J195" s="1860">
        <f t="shared" si="576"/>
        <v>1</v>
      </c>
      <c r="K195" s="1184">
        <f t="shared" si="577"/>
        <v>9700</v>
      </c>
      <c r="L195" s="1185">
        <f t="shared" si="578"/>
        <v>7868</v>
      </c>
      <c r="M195" s="1185">
        <f t="shared" si="579"/>
        <v>7868</v>
      </c>
      <c r="N195" s="1860">
        <f t="shared" si="580"/>
        <v>1</v>
      </c>
      <c r="O195" s="1009"/>
      <c r="P195" s="1010"/>
      <c r="Q195" s="1010"/>
      <c r="R195" s="1458" t="str">
        <f t="shared" si="581"/>
        <v>-</v>
      </c>
      <c r="S195" s="1013"/>
      <c r="T195" s="1010"/>
      <c r="U195" s="1010"/>
      <c r="V195" s="1458" t="str">
        <f t="shared" si="582"/>
        <v>-</v>
      </c>
      <c r="W195" s="1013">
        <v>9700</v>
      </c>
      <c r="X195" s="1010">
        <v>7868</v>
      </c>
      <c r="Y195" s="1010">
        <v>7868</v>
      </c>
      <c r="Z195" s="1458">
        <f t="shared" si="583"/>
        <v>1</v>
      </c>
      <c r="AA195" s="1013"/>
      <c r="AB195" s="1010"/>
      <c r="AC195" s="1010"/>
      <c r="AD195" s="1458" t="str">
        <f t="shared" si="584"/>
        <v>-</v>
      </c>
      <c r="AE195" s="1013"/>
      <c r="AF195" s="1010"/>
      <c r="AG195" s="1010"/>
      <c r="AH195" s="1458" t="str">
        <f t="shared" si="585"/>
        <v>-</v>
      </c>
      <c r="AI195" s="1184">
        <f t="shared" si="586"/>
        <v>0</v>
      </c>
      <c r="AJ195" s="1185">
        <f t="shared" si="587"/>
        <v>4842</v>
      </c>
      <c r="AK195" s="1185">
        <f t="shared" si="588"/>
        <v>4842</v>
      </c>
      <c r="AL195" s="1860">
        <f t="shared" si="589"/>
        <v>1</v>
      </c>
      <c r="AM195" s="1013"/>
      <c r="AN195" s="1010">
        <v>1032</v>
      </c>
      <c r="AO195" s="1010">
        <v>1032</v>
      </c>
      <c r="AP195" s="1458">
        <f t="shared" si="590"/>
        <v>1</v>
      </c>
      <c r="AQ195" s="1013"/>
      <c r="AR195" s="1010">
        <v>3810</v>
      </c>
      <c r="AS195" s="1010">
        <v>3810</v>
      </c>
      <c r="AT195" s="1458">
        <f t="shared" si="591"/>
        <v>1</v>
      </c>
      <c r="AU195" s="1013"/>
      <c r="AV195" s="1010"/>
      <c r="AW195" s="1010"/>
      <c r="AX195" s="1458" t="str">
        <f t="shared" si="592"/>
        <v>-</v>
      </c>
      <c r="AY195" s="509"/>
    </row>
    <row r="196" spans="1:51" s="511" customFormat="1" ht="24">
      <c r="A196" s="552">
        <f t="shared" si="593"/>
        <v>26</v>
      </c>
      <c r="B196" s="1019">
        <v>7</v>
      </c>
      <c r="C196" s="425" t="s">
        <v>2784</v>
      </c>
      <c r="D196" s="979" t="s">
        <v>2787</v>
      </c>
      <c r="E196" s="1889"/>
      <c r="F196" s="979" t="s">
        <v>2786</v>
      </c>
      <c r="G196" s="1184">
        <f t="shared" ref="G196" si="614">+K196+AI196</f>
        <v>0</v>
      </c>
      <c r="H196" s="1185">
        <f t="shared" ref="H196" si="615">+L196+AJ196</f>
        <v>0</v>
      </c>
      <c r="I196" s="1185">
        <f t="shared" ref="I196" si="616">+M196+AK196</f>
        <v>0</v>
      </c>
      <c r="J196" s="1860" t="str">
        <f t="shared" ref="J196" si="617">IF(ISERROR(I196/H196),"-",I196/H196)</f>
        <v>-</v>
      </c>
      <c r="K196" s="1184">
        <f t="shared" ref="K196" si="618">+O196+S196+W196+AA196+AE196</f>
        <v>0</v>
      </c>
      <c r="L196" s="1185">
        <f t="shared" ref="L196" si="619">+P196+T196+X196+AB196+AF196</f>
        <v>0</v>
      </c>
      <c r="M196" s="1185">
        <f t="shared" ref="M196" si="620">+Q196+U196+Y196+AC196+AG196</f>
        <v>0</v>
      </c>
      <c r="N196" s="1860" t="str">
        <f t="shared" ref="N196" si="621">IF(ISERROR(M196/L196),"-",M196/L196)</f>
        <v>-</v>
      </c>
      <c r="O196" s="1009"/>
      <c r="P196" s="1010"/>
      <c r="Q196" s="1010"/>
      <c r="R196" s="1458" t="str">
        <f t="shared" ref="R196" si="622">IF(ISERROR(Q196/P196),"-",Q196/P196)</f>
        <v>-</v>
      </c>
      <c r="S196" s="1013"/>
      <c r="T196" s="1010"/>
      <c r="U196" s="1010"/>
      <c r="V196" s="1458" t="str">
        <f t="shared" ref="V196" si="623">IF(ISERROR(U196/T196),"-",U196/T196)</f>
        <v>-</v>
      </c>
      <c r="W196" s="1013"/>
      <c r="X196" s="1010"/>
      <c r="Y196" s="1010"/>
      <c r="Z196" s="1458" t="str">
        <f t="shared" ref="Z196" si="624">IF(ISERROR(Y196/X196),"-",Y196/X196)</f>
        <v>-</v>
      </c>
      <c r="AA196" s="1013"/>
      <c r="AB196" s="1010"/>
      <c r="AC196" s="1010"/>
      <c r="AD196" s="1458" t="str">
        <f t="shared" ref="AD196" si="625">IF(ISERROR(AC196/AB196),"-",AC196/AB196)</f>
        <v>-</v>
      </c>
      <c r="AE196" s="1013"/>
      <c r="AF196" s="1010"/>
      <c r="AG196" s="1010"/>
      <c r="AH196" s="1458" t="str">
        <f t="shared" ref="AH196" si="626">IF(ISERROR(AG196/AF196),"-",AG196/AF196)</f>
        <v>-</v>
      </c>
      <c r="AI196" s="1184">
        <f t="shared" ref="AI196" si="627">+AM196+AQ196+AU196</f>
        <v>0</v>
      </c>
      <c r="AJ196" s="1185">
        <f t="shared" ref="AJ196" si="628">+AN196+AR196+AV196</f>
        <v>0</v>
      </c>
      <c r="AK196" s="1185">
        <f t="shared" ref="AK196" si="629">+AO196+AS196+AW196</f>
        <v>0</v>
      </c>
      <c r="AL196" s="1860" t="str">
        <f t="shared" ref="AL196" si="630">IF(ISERROR(AK196/AJ196),"-",AK196/AJ196)</f>
        <v>-</v>
      </c>
      <c r="AM196" s="1013"/>
      <c r="AN196" s="1010"/>
      <c r="AO196" s="1010"/>
      <c r="AP196" s="1458" t="str">
        <f t="shared" ref="AP196" si="631">IF(ISERROR(AO196/AN196),"-",AO196/AN196)</f>
        <v>-</v>
      </c>
      <c r="AQ196" s="1013"/>
      <c r="AR196" s="1010"/>
      <c r="AS196" s="1010"/>
      <c r="AT196" s="1458" t="str">
        <f t="shared" ref="AT196" si="632">IF(ISERROR(AS196/AR196),"-",AS196/AR196)</f>
        <v>-</v>
      </c>
      <c r="AU196" s="1013"/>
      <c r="AV196" s="1010"/>
      <c r="AW196" s="1010"/>
      <c r="AX196" s="1458" t="str">
        <f t="shared" ref="AX196" si="633">IF(ISERROR(AW196/AV196),"-",AW196/AV196)</f>
        <v>-</v>
      </c>
      <c r="AY196" s="509"/>
    </row>
    <row r="197" spans="1:51" s="511" customFormat="1" ht="24">
      <c r="A197" s="552">
        <f t="shared" si="593"/>
        <v>27</v>
      </c>
      <c r="B197" s="1019">
        <v>7</v>
      </c>
      <c r="C197" s="425" t="s">
        <v>2785</v>
      </c>
      <c r="D197" s="979" t="s">
        <v>2789</v>
      </c>
      <c r="E197" s="1889"/>
      <c r="F197" s="979" t="s">
        <v>2788</v>
      </c>
      <c r="G197" s="1184">
        <f t="shared" ref="G197" si="634">+K197+AI197</f>
        <v>0</v>
      </c>
      <c r="H197" s="1185">
        <f t="shared" ref="H197" si="635">+L197+AJ197</f>
        <v>997</v>
      </c>
      <c r="I197" s="1185">
        <f t="shared" ref="I197" si="636">+M197+AK197</f>
        <v>997</v>
      </c>
      <c r="J197" s="1860">
        <f t="shared" ref="J197" si="637">IF(ISERROR(I197/H197),"-",I197/H197)</f>
        <v>1</v>
      </c>
      <c r="K197" s="1184">
        <f t="shared" ref="K197" si="638">+O197+S197+W197+AA197+AE197</f>
        <v>0</v>
      </c>
      <c r="L197" s="1185">
        <f t="shared" ref="L197" si="639">+P197+T197+X197+AB197+AF197</f>
        <v>997</v>
      </c>
      <c r="M197" s="1185">
        <f t="shared" ref="M197" si="640">+Q197+U197+Y197+AC197+AG197</f>
        <v>997</v>
      </c>
      <c r="N197" s="1860">
        <f t="shared" ref="N197" si="641">IF(ISERROR(M197/L197),"-",M197/L197)</f>
        <v>1</v>
      </c>
      <c r="O197" s="1009"/>
      <c r="P197" s="1010"/>
      <c r="Q197" s="1010"/>
      <c r="R197" s="1458" t="str">
        <f t="shared" ref="R197" si="642">IF(ISERROR(Q197/P197),"-",Q197/P197)</f>
        <v>-</v>
      </c>
      <c r="S197" s="1013"/>
      <c r="T197" s="1010"/>
      <c r="U197" s="1010"/>
      <c r="V197" s="1458" t="str">
        <f t="shared" ref="V197" si="643">IF(ISERROR(U197/T197),"-",U197/T197)</f>
        <v>-</v>
      </c>
      <c r="W197" s="1013"/>
      <c r="X197" s="1010">
        <v>997</v>
      </c>
      <c r="Y197" s="1010">
        <v>997</v>
      </c>
      <c r="Z197" s="1458">
        <f t="shared" ref="Z197" si="644">IF(ISERROR(Y197/X197),"-",Y197/X197)</f>
        <v>1</v>
      </c>
      <c r="AA197" s="1013"/>
      <c r="AB197" s="1010"/>
      <c r="AC197" s="1010"/>
      <c r="AD197" s="1458" t="str">
        <f t="shared" ref="AD197" si="645">IF(ISERROR(AC197/AB197),"-",AC197/AB197)</f>
        <v>-</v>
      </c>
      <c r="AE197" s="1013"/>
      <c r="AF197" s="1010"/>
      <c r="AG197" s="1010"/>
      <c r="AH197" s="1458" t="str">
        <f t="shared" ref="AH197" si="646">IF(ISERROR(AG197/AF197),"-",AG197/AF197)</f>
        <v>-</v>
      </c>
      <c r="AI197" s="1184">
        <f t="shared" ref="AI197" si="647">+AM197+AQ197+AU197</f>
        <v>0</v>
      </c>
      <c r="AJ197" s="1185">
        <f t="shared" ref="AJ197" si="648">+AN197+AR197+AV197</f>
        <v>0</v>
      </c>
      <c r="AK197" s="1185">
        <f t="shared" ref="AK197" si="649">+AO197+AS197+AW197</f>
        <v>0</v>
      </c>
      <c r="AL197" s="1860" t="str">
        <f t="shared" ref="AL197" si="650">IF(ISERROR(AK197/AJ197),"-",AK197/AJ197)</f>
        <v>-</v>
      </c>
      <c r="AM197" s="1013"/>
      <c r="AN197" s="1010"/>
      <c r="AO197" s="1010"/>
      <c r="AP197" s="1458" t="str">
        <f t="shared" ref="AP197" si="651">IF(ISERROR(AO197/AN197),"-",AO197/AN197)</f>
        <v>-</v>
      </c>
      <c r="AQ197" s="1013"/>
      <c r="AR197" s="1010"/>
      <c r="AS197" s="1010"/>
      <c r="AT197" s="1458" t="str">
        <f t="shared" ref="AT197" si="652">IF(ISERROR(AS197/AR197),"-",AS197/AR197)</f>
        <v>-</v>
      </c>
      <c r="AU197" s="1013"/>
      <c r="AV197" s="1010"/>
      <c r="AW197" s="1010"/>
      <c r="AX197" s="1458" t="str">
        <f t="shared" ref="AX197" si="653">IF(ISERROR(AW197/AV197),"-",AW197/AV197)</f>
        <v>-</v>
      </c>
      <c r="AY197" s="509"/>
    </row>
    <row r="198" spans="1:51">
      <c r="A198" s="552">
        <f t="shared" si="593"/>
        <v>28</v>
      </c>
      <c r="B198" s="288">
        <v>8</v>
      </c>
      <c r="C198" s="360" t="s">
        <v>767</v>
      </c>
      <c r="D198" s="973" t="s">
        <v>656</v>
      </c>
      <c r="E198" s="976" t="s">
        <v>687</v>
      </c>
      <c r="F198" s="978" t="s">
        <v>656</v>
      </c>
      <c r="G198" s="1186">
        <f t="shared" si="573"/>
        <v>0</v>
      </c>
      <c r="H198" s="1187">
        <f t="shared" si="574"/>
        <v>0</v>
      </c>
      <c r="I198" s="1187">
        <f t="shared" si="575"/>
        <v>0</v>
      </c>
      <c r="J198" s="1860" t="str">
        <f t="shared" si="576"/>
        <v>-</v>
      </c>
      <c r="K198" s="1186">
        <f t="shared" si="577"/>
        <v>0</v>
      </c>
      <c r="L198" s="1187">
        <f t="shared" si="578"/>
        <v>0</v>
      </c>
      <c r="M198" s="1187">
        <f t="shared" si="579"/>
        <v>0</v>
      </c>
      <c r="N198" s="1860" t="str">
        <f t="shared" si="580"/>
        <v>-</v>
      </c>
      <c r="O198" s="1009"/>
      <c r="P198" s="1010"/>
      <c r="Q198" s="1010"/>
      <c r="R198" s="1458" t="str">
        <f t="shared" si="581"/>
        <v>-</v>
      </c>
      <c r="S198" s="1017"/>
      <c r="T198" s="1010"/>
      <c r="U198" s="1010"/>
      <c r="V198" s="1458" t="str">
        <f t="shared" si="582"/>
        <v>-</v>
      </c>
      <c r="W198" s="1017"/>
      <c r="X198" s="1010"/>
      <c r="Y198" s="1010"/>
      <c r="Z198" s="1458" t="str">
        <f t="shared" si="583"/>
        <v>-</v>
      </c>
      <c r="AA198" s="1017"/>
      <c r="AB198" s="1010"/>
      <c r="AC198" s="1010"/>
      <c r="AD198" s="1458" t="str">
        <f t="shared" si="584"/>
        <v>-</v>
      </c>
      <c r="AE198" s="1017"/>
      <c r="AF198" s="1010"/>
      <c r="AG198" s="1010"/>
      <c r="AH198" s="1458" t="str">
        <f t="shared" si="585"/>
        <v>-</v>
      </c>
      <c r="AI198" s="1186">
        <f t="shared" si="586"/>
        <v>0</v>
      </c>
      <c r="AJ198" s="1187">
        <f t="shared" si="587"/>
        <v>0</v>
      </c>
      <c r="AK198" s="1187">
        <f t="shared" si="588"/>
        <v>0</v>
      </c>
      <c r="AL198" s="1860" t="str">
        <f t="shared" si="589"/>
        <v>-</v>
      </c>
      <c r="AM198" s="1017"/>
      <c r="AN198" s="1010"/>
      <c r="AO198" s="1010"/>
      <c r="AP198" s="1458" t="str">
        <f t="shared" si="590"/>
        <v>-</v>
      </c>
      <c r="AQ198" s="1017"/>
      <c r="AR198" s="1010"/>
      <c r="AS198" s="1010"/>
      <c r="AT198" s="1458" t="str">
        <f t="shared" si="591"/>
        <v>-</v>
      </c>
      <c r="AU198" s="1017"/>
      <c r="AV198" s="1010"/>
      <c r="AW198" s="1010"/>
      <c r="AX198" s="1458" t="str">
        <f t="shared" si="592"/>
        <v>-</v>
      </c>
      <c r="AY198" s="509"/>
    </row>
    <row r="199" spans="1:51">
      <c r="A199" s="552">
        <f t="shared" si="593"/>
        <v>29</v>
      </c>
      <c r="B199" s="288">
        <v>8</v>
      </c>
      <c r="C199" s="360" t="s">
        <v>738</v>
      </c>
      <c r="D199" s="973" t="s">
        <v>739</v>
      </c>
      <c r="E199" s="976" t="s">
        <v>679</v>
      </c>
      <c r="F199" s="978" t="s">
        <v>1086</v>
      </c>
      <c r="G199" s="1186">
        <f t="shared" si="573"/>
        <v>0</v>
      </c>
      <c r="H199" s="1187">
        <f t="shared" si="574"/>
        <v>0</v>
      </c>
      <c r="I199" s="1187">
        <f t="shared" si="575"/>
        <v>0</v>
      </c>
      <c r="J199" s="1860" t="str">
        <f t="shared" si="576"/>
        <v>-</v>
      </c>
      <c r="K199" s="1186">
        <f t="shared" si="577"/>
        <v>0</v>
      </c>
      <c r="L199" s="1187">
        <f t="shared" si="578"/>
        <v>0</v>
      </c>
      <c r="M199" s="1187">
        <f t="shared" si="579"/>
        <v>0</v>
      </c>
      <c r="N199" s="1860" t="str">
        <f t="shared" si="580"/>
        <v>-</v>
      </c>
      <c r="O199" s="1009"/>
      <c r="P199" s="1010"/>
      <c r="Q199" s="1010"/>
      <c r="R199" s="1458" t="str">
        <f t="shared" si="581"/>
        <v>-</v>
      </c>
      <c r="S199" s="1017"/>
      <c r="T199" s="1010"/>
      <c r="U199" s="1010"/>
      <c r="V199" s="1458" t="str">
        <f t="shared" si="582"/>
        <v>-</v>
      </c>
      <c r="W199" s="1017"/>
      <c r="X199" s="1010"/>
      <c r="Y199" s="1010"/>
      <c r="Z199" s="1458" t="str">
        <f t="shared" si="583"/>
        <v>-</v>
      </c>
      <c r="AA199" s="1017"/>
      <c r="AB199" s="1010"/>
      <c r="AC199" s="1010"/>
      <c r="AD199" s="1458" t="str">
        <f t="shared" si="584"/>
        <v>-</v>
      </c>
      <c r="AE199" s="1017"/>
      <c r="AF199" s="1010"/>
      <c r="AG199" s="1010"/>
      <c r="AH199" s="1458" t="str">
        <f t="shared" si="585"/>
        <v>-</v>
      </c>
      <c r="AI199" s="1186">
        <f t="shared" si="586"/>
        <v>0</v>
      </c>
      <c r="AJ199" s="1187">
        <f t="shared" si="587"/>
        <v>0</v>
      </c>
      <c r="AK199" s="1187">
        <f t="shared" si="588"/>
        <v>0</v>
      </c>
      <c r="AL199" s="1860" t="str">
        <f t="shared" si="589"/>
        <v>-</v>
      </c>
      <c r="AM199" s="1017"/>
      <c r="AN199" s="1010"/>
      <c r="AO199" s="1010"/>
      <c r="AP199" s="1458" t="str">
        <f t="shared" si="590"/>
        <v>-</v>
      </c>
      <c r="AQ199" s="1017"/>
      <c r="AR199" s="1010"/>
      <c r="AS199" s="1010"/>
      <c r="AT199" s="1458" t="str">
        <f t="shared" si="591"/>
        <v>-</v>
      </c>
      <c r="AU199" s="1017"/>
      <c r="AV199" s="1010"/>
      <c r="AW199" s="1010"/>
      <c r="AX199" s="1458" t="str">
        <f t="shared" si="592"/>
        <v>-</v>
      </c>
      <c r="AY199" s="509"/>
    </row>
    <row r="200" spans="1:51" s="511" customFormat="1" ht="24">
      <c r="A200" s="552">
        <f t="shared" si="593"/>
        <v>30</v>
      </c>
      <c r="B200" s="1019">
        <v>7</v>
      </c>
      <c r="C200" s="425" t="s">
        <v>2790</v>
      </c>
      <c r="D200" s="979" t="s">
        <v>2810</v>
      </c>
      <c r="E200" s="1889"/>
      <c r="F200" s="979" t="s">
        <v>2791</v>
      </c>
      <c r="G200" s="1184">
        <f>+K200+AI200</f>
        <v>0</v>
      </c>
      <c r="H200" s="1185">
        <f>+L200+AJ200</f>
        <v>8274</v>
      </c>
      <c r="I200" s="1185">
        <f>+M200+AK200</f>
        <v>8274</v>
      </c>
      <c r="J200" s="1860">
        <f>IF(ISERROR(I200/H200),"-",I200/H200)</f>
        <v>1</v>
      </c>
      <c r="K200" s="1184">
        <f>+O200+S200+W200+AA200+AE200</f>
        <v>0</v>
      </c>
      <c r="L200" s="1185">
        <f>+P200+T200+X200+AB200+AF200</f>
        <v>2432</v>
      </c>
      <c r="M200" s="1185">
        <f>+Q200+U200+Y200+AC200+AG200</f>
        <v>2432</v>
      </c>
      <c r="N200" s="1860">
        <f>IF(ISERROR(M200/L200),"-",M200/L200)</f>
        <v>1</v>
      </c>
      <c r="O200" s="1009"/>
      <c r="P200" s="1010"/>
      <c r="Q200" s="1010"/>
      <c r="R200" s="1458" t="str">
        <f>IF(ISERROR(Q200/P200),"-",Q200/P200)</f>
        <v>-</v>
      </c>
      <c r="S200" s="1013"/>
      <c r="T200" s="1010"/>
      <c r="U200" s="1010"/>
      <c r="V200" s="1458" t="str">
        <f>IF(ISERROR(U200/T200),"-",U200/T200)</f>
        <v>-</v>
      </c>
      <c r="W200" s="1013"/>
      <c r="X200" s="1010">
        <v>2432</v>
      </c>
      <c r="Y200" s="1010">
        <v>2432</v>
      </c>
      <c r="Z200" s="1458">
        <f>IF(ISERROR(Y200/X200),"-",Y200/X200)</f>
        <v>1</v>
      </c>
      <c r="AA200" s="1013"/>
      <c r="AB200" s="1010"/>
      <c r="AC200" s="1010"/>
      <c r="AD200" s="1458" t="str">
        <f>IF(ISERROR(AC200/AB200),"-",AC200/AB200)</f>
        <v>-</v>
      </c>
      <c r="AE200" s="1013"/>
      <c r="AF200" s="1010"/>
      <c r="AG200" s="1010"/>
      <c r="AH200" s="1458" t="str">
        <f>IF(ISERROR(AG200/AF200),"-",AG200/AF200)</f>
        <v>-</v>
      </c>
      <c r="AI200" s="1184">
        <f>+AM200+AQ200+AU200</f>
        <v>0</v>
      </c>
      <c r="AJ200" s="1185">
        <f>+AN200+AR200+AV200</f>
        <v>5842</v>
      </c>
      <c r="AK200" s="1185">
        <f>+AO200+AS200+AW200</f>
        <v>5842</v>
      </c>
      <c r="AL200" s="1860">
        <f>IF(ISERROR(AK200/AJ200),"-",AK200/AJ200)</f>
        <v>1</v>
      </c>
      <c r="AM200" s="1013"/>
      <c r="AN200" s="1010"/>
      <c r="AO200" s="1010"/>
      <c r="AP200" s="1458" t="str">
        <f>IF(ISERROR(AO200/AN200),"-",AO200/AN200)</f>
        <v>-</v>
      </c>
      <c r="AQ200" s="1013"/>
      <c r="AR200" s="1010">
        <v>5842</v>
      </c>
      <c r="AS200" s="1010">
        <v>5842</v>
      </c>
      <c r="AT200" s="1458">
        <f>IF(ISERROR(AS200/AR200),"-",AS200/AR200)</f>
        <v>1</v>
      </c>
      <c r="AU200" s="1013"/>
      <c r="AV200" s="1010"/>
      <c r="AW200" s="1010"/>
      <c r="AX200" s="1458" t="str">
        <f>IF(ISERROR(AW200/AV200),"-",AW200/AV200)</f>
        <v>-</v>
      </c>
      <c r="AY200" s="509"/>
    </row>
    <row r="201" spans="1:51">
      <c r="A201" s="552">
        <f>+A200+1</f>
        <v>31</v>
      </c>
      <c r="B201" s="288">
        <v>8</v>
      </c>
      <c r="C201" s="360" t="s">
        <v>736</v>
      </c>
      <c r="D201" s="973" t="s">
        <v>737</v>
      </c>
      <c r="E201" s="976" t="s">
        <v>678</v>
      </c>
      <c r="F201" s="978" t="s">
        <v>649</v>
      </c>
      <c r="G201" s="1186">
        <f t="shared" si="573"/>
        <v>4107</v>
      </c>
      <c r="H201" s="1187">
        <f t="shared" si="574"/>
        <v>20179</v>
      </c>
      <c r="I201" s="1187">
        <f t="shared" si="575"/>
        <v>20179</v>
      </c>
      <c r="J201" s="1860">
        <f t="shared" si="576"/>
        <v>1</v>
      </c>
      <c r="K201" s="1186">
        <f t="shared" si="577"/>
        <v>4107</v>
      </c>
      <c r="L201" s="1187">
        <f t="shared" si="578"/>
        <v>8870</v>
      </c>
      <c r="M201" s="1187">
        <f t="shared" si="579"/>
        <v>8870</v>
      </c>
      <c r="N201" s="1860">
        <f t="shared" si="580"/>
        <v>1</v>
      </c>
      <c r="O201" s="1009"/>
      <c r="P201" s="1010"/>
      <c r="Q201" s="1010"/>
      <c r="R201" s="1458" t="str">
        <f t="shared" si="581"/>
        <v>-</v>
      </c>
      <c r="S201" s="1017"/>
      <c r="T201" s="1010"/>
      <c r="U201" s="1010"/>
      <c r="V201" s="1458" t="str">
        <f t="shared" si="582"/>
        <v>-</v>
      </c>
      <c r="W201" s="1017">
        <v>4107</v>
      </c>
      <c r="X201" s="1010">
        <v>8870</v>
      </c>
      <c r="Y201" s="1010">
        <v>8870</v>
      </c>
      <c r="Z201" s="1458">
        <f t="shared" si="583"/>
        <v>1</v>
      </c>
      <c r="AA201" s="1017"/>
      <c r="AB201" s="1010"/>
      <c r="AC201" s="1010"/>
      <c r="AD201" s="1458" t="str">
        <f t="shared" si="584"/>
        <v>-</v>
      </c>
      <c r="AE201" s="1017"/>
      <c r="AF201" s="1010"/>
      <c r="AG201" s="1010"/>
      <c r="AH201" s="1458" t="str">
        <f t="shared" si="585"/>
        <v>-</v>
      </c>
      <c r="AI201" s="1186">
        <f t="shared" si="586"/>
        <v>0</v>
      </c>
      <c r="AJ201" s="1187">
        <f t="shared" si="587"/>
        <v>11309</v>
      </c>
      <c r="AK201" s="1187">
        <f t="shared" si="588"/>
        <v>11309</v>
      </c>
      <c r="AL201" s="1860">
        <f t="shared" si="589"/>
        <v>1</v>
      </c>
      <c r="AM201" s="1017"/>
      <c r="AN201" s="1010">
        <v>11309</v>
      </c>
      <c r="AO201" s="1010">
        <v>11309</v>
      </c>
      <c r="AP201" s="1458">
        <f t="shared" si="590"/>
        <v>1</v>
      </c>
      <c r="AQ201" s="1017"/>
      <c r="AR201" s="1010"/>
      <c r="AS201" s="1010"/>
      <c r="AT201" s="1458" t="str">
        <f t="shared" si="591"/>
        <v>-</v>
      </c>
      <c r="AU201" s="1017"/>
      <c r="AV201" s="1010"/>
      <c r="AW201" s="1010"/>
      <c r="AX201" s="1458" t="str">
        <f t="shared" si="592"/>
        <v>-</v>
      </c>
      <c r="AY201" s="509"/>
    </row>
    <row r="202" spans="1:51" s="516" customFormat="1">
      <c r="A202" s="552">
        <f t="shared" si="593"/>
        <v>32</v>
      </c>
      <c r="B202" s="288">
        <v>3</v>
      </c>
      <c r="C202" s="360" t="s">
        <v>746</v>
      </c>
      <c r="D202" s="973" t="s">
        <v>652</v>
      </c>
      <c r="E202" s="976" t="s">
        <v>745</v>
      </c>
      <c r="F202" s="978" t="s">
        <v>652</v>
      </c>
      <c r="G202" s="1184">
        <f t="shared" si="573"/>
        <v>23000</v>
      </c>
      <c r="H202" s="1185">
        <f t="shared" si="574"/>
        <v>26265</v>
      </c>
      <c r="I202" s="1185">
        <f t="shared" si="575"/>
        <v>26265</v>
      </c>
      <c r="J202" s="1860">
        <f t="shared" si="576"/>
        <v>1</v>
      </c>
      <c r="K202" s="1184">
        <f t="shared" si="577"/>
        <v>23000</v>
      </c>
      <c r="L202" s="1185">
        <f t="shared" si="578"/>
        <v>26265</v>
      </c>
      <c r="M202" s="1185">
        <f t="shared" si="579"/>
        <v>26265</v>
      </c>
      <c r="N202" s="1860">
        <f t="shared" si="580"/>
        <v>1</v>
      </c>
      <c r="O202" s="1009"/>
      <c r="P202" s="1010"/>
      <c r="Q202" s="1010"/>
      <c r="R202" s="1458" t="str">
        <f t="shared" si="581"/>
        <v>-</v>
      </c>
      <c r="S202" s="1013"/>
      <c r="T202" s="1010"/>
      <c r="U202" s="1010"/>
      <c r="V202" s="1458" t="str">
        <f t="shared" si="582"/>
        <v>-</v>
      </c>
      <c r="W202" s="1013">
        <v>23000</v>
      </c>
      <c r="X202" s="1010">
        <v>26265</v>
      </c>
      <c r="Y202" s="1010">
        <v>26265</v>
      </c>
      <c r="Z202" s="1458">
        <f t="shared" si="583"/>
        <v>1</v>
      </c>
      <c r="AA202" s="1013"/>
      <c r="AB202" s="1010"/>
      <c r="AC202" s="1010"/>
      <c r="AD202" s="1458" t="str">
        <f t="shared" si="584"/>
        <v>-</v>
      </c>
      <c r="AE202" s="1013"/>
      <c r="AF202" s="1010"/>
      <c r="AG202" s="1010"/>
      <c r="AH202" s="1458" t="str">
        <f t="shared" si="585"/>
        <v>-</v>
      </c>
      <c r="AI202" s="1184">
        <f t="shared" si="586"/>
        <v>0</v>
      </c>
      <c r="AJ202" s="1185">
        <f t="shared" si="587"/>
        <v>0</v>
      </c>
      <c r="AK202" s="1185">
        <f t="shared" si="588"/>
        <v>0</v>
      </c>
      <c r="AL202" s="1860" t="str">
        <f t="shared" si="589"/>
        <v>-</v>
      </c>
      <c r="AM202" s="1013"/>
      <c r="AN202" s="1010"/>
      <c r="AO202" s="1010"/>
      <c r="AP202" s="1458" t="str">
        <f t="shared" si="590"/>
        <v>-</v>
      </c>
      <c r="AQ202" s="1013"/>
      <c r="AR202" s="1010"/>
      <c r="AS202" s="1010"/>
      <c r="AT202" s="1458" t="str">
        <f t="shared" si="591"/>
        <v>-</v>
      </c>
      <c r="AU202" s="1013"/>
      <c r="AV202" s="1010"/>
      <c r="AW202" s="1010"/>
      <c r="AX202" s="1458" t="str">
        <f t="shared" si="592"/>
        <v>-</v>
      </c>
      <c r="AY202" s="509"/>
    </row>
    <row r="203" spans="1:51" s="516" customFormat="1">
      <c r="A203" s="552">
        <f t="shared" si="593"/>
        <v>33</v>
      </c>
      <c r="B203" s="288">
        <v>4</v>
      </c>
      <c r="C203" s="360" t="s">
        <v>756</v>
      </c>
      <c r="D203" s="973" t="s">
        <v>654</v>
      </c>
      <c r="E203" s="976" t="s">
        <v>684</v>
      </c>
      <c r="F203" s="978" t="s">
        <v>654</v>
      </c>
      <c r="G203" s="1184">
        <f t="shared" si="573"/>
        <v>9677</v>
      </c>
      <c r="H203" s="1185">
        <f t="shared" si="574"/>
        <v>6893</v>
      </c>
      <c r="I203" s="1185">
        <f t="shared" si="575"/>
        <v>6893</v>
      </c>
      <c r="J203" s="1860">
        <f t="shared" si="576"/>
        <v>1</v>
      </c>
      <c r="K203" s="1184">
        <f t="shared" si="577"/>
        <v>8592</v>
      </c>
      <c r="L203" s="1185">
        <f t="shared" si="578"/>
        <v>6173</v>
      </c>
      <c r="M203" s="1185">
        <f t="shared" si="579"/>
        <v>6173</v>
      </c>
      <c r="N203" s="1860">
        <f t="shared" si="580"/>
        <v>1</v>
      </c>
      <c r="O203" s="1009"/>
      <c r="P203" s="1010"/>
      <c r="Q203" s="1010"/>
      <c r="R203" s="1458" t="str">
        <f t="shared" si="581"/>
        <v>-</v>
      </c>
      <c r="S203" s="1013"/>
      <c r="T203" s="1010"/>
      <c r="U203" s="1010"/>
      <c r="V203" s="1458" t="str">
        <f t="shared" si="582"/>
        <v>-</v>
      </c>
      <c r="W203" s="1013">
        <v>8592</v>
      </c>
      <c r="X203" s="1010">
        <v>6173</v>
      </c>
      <c r="Y203" s="1010">
        <v>6173</v>
      </c>
      <c r="Z203" s="1458">
        <f t="shared" si="583"/>
        <v>1</v>
      </c>
      <c r="AA203" s="1013"/>
      <c r="AB203" s="1010"/>
      <c r="AC203" s="1010"/>
      <c r="AD203" s="1458" t="str">
        <f t="shared" si="584"/>
        <v>-</v>
      </c>
      <c r="AE203" s="1013"/>
      <c r="AF203" s="1010"/>
      <c r="AG203" s="1010"/>
      <c r="AH203" s="1458" t="str">
        <f t="shared" si="585"/>
        <v>-</v>
      </c>
      <c r="AI203" s="1184">
        <f t="shared" si="586"/>
        <v>1085</v>
      </c>
      <c r="AJ203" s="1185">
        <f t="shared" si="587"/>
        <v>720</v>
      </c>
      <c r="AK203" s="1185">
        <f t="shared" si="588"/>
        <v>720</v>
      </c>
      <c r="AL203" s="1860">
        <f t="shared" si="589"/>
        <v>1</v>
      </c>
      <c r="AM203" s="1013"/>
      <c r="AN203" s="1010">
        <v>720</v>
      </c>
      <c r="AO203" s="1010">
        <v>720</v>
      </c>
      <c r="AP203" s="1458">
        <f t="shared" si="590"/>
        <v>1</v>
      </c>
      <c r="AQ203" s="1013">
        <v>1085</v>
      </c>
      <c r="AR203" s="1010"/>
      <c r="AS203" s="1010"/>
      <c r="AT203" s="1458" t="str">
        <f t="shared" si="591"/>
        <v>-</v>
      </c>
      <c r="AU203" s="1013"/>
      <c r="AV203" s="1010"/>
      <c r="AW203" s="1010"/>
      <c r="AX203" s="1458" t="str">
        <f t="shared" si="592"/>
        <v>-</v>
      </c>
      <c r="AY203" s="509"/>
    </row>
    <row r="204" spans="1:51" s="516" customFormat="1" ht="24" customHeight="1">
      <c r="A204" s="552">
        <f t="shared" si="593"/>
        <v>34</v>
      </c>
      <c r="B204" s="288">
        <v>8</v>
      </c>
      <c r="C204" s="425" t="s">
        <v>747</v>
      </c>
      <c r="D204" s="979" t="s">
        <v>653</v>
      </c>
      <c r="E204" s="976" t="s">
        <v>682</v>
      </c>
      <c r="F204" s="980" t="s">
        <v>653</v>
      </c>
      <c r="G204" s="1184">
        <f t="shared" si="573"/>
        <v>41959</v>
      </c>
      <c r="H204" s="1185">
        <f t="shared" si="574"/>
        <v>80371</v>
      </c>
      <c r="I204" s="1185">
        <f t="shared" si="575"/>
        <v>80371</v>
      </c>
      <c r="J204" s="1860">
        <f t="shared" si="576"/>
        <v>1</v>
      </c>
      <c r="K204" s="1184">
        <f t="shared" si="577"/>
        <v>7859</v>
      </c>
      <c r="L204" s="1185">
        <f t="shared" si="578"/>
        <v>36642</v>
      </c>
      <c r="M204" s="1185">
        <f t="shared" si="579"/>
        <v>36642</v>
      </c>
      <c r="N204" s="1860">
        <f t="shared" si="580"/>
        <v>1</v>
      </c>
      <c r="O204" s="1009"/>
      <c r="P204" s="1010">
        <v>467</v>
      </c>
      <c r="Q204" s="1010">
        <v>467</v>
      </c>
      <c r="R204" s="1458">
        <f t="shared" si="581"/>
        <v>1</v>
      </c>
      <c r="S204" s="1013"/>
      <c r="T204" s="1010">
        <v>82</v>
      </c>
      <c r="U204" s="1010">
        <v>82</v>
      </c>
      <c r="V204" s="1458">
        <f t="shared" si="582"/>
        <v>1</v>
      </c>
      <c r="W204" s="1013">
        <v>7859</v>
      </c>
      <c r="X204" s="1010">
        <f>36045+1</f>
        <v>36046</v>
      </c>
      <c r="Y204" s="1010">
        <f>36045+1</f>
        <v>36046</v>
      </c>
      <c r="Z204" s="1458">
        <f t="shared" si="583"/>
        <v>1</v>
      </c>
      <c r="AA204" s="1013"/>
      <c r="AB204" s="1010"/>
      <c r="AC204" s="1010"/>
      <c r="AD204" s="1458" t="str">
        <f t="shared" si="584"/>
        <v>-</v>
      </c>
      <c r="AE204" s="1013"/>
      <c r="AF204" s="1010">
        <v>47</v>
      </c>
      <c r="AG204" s="1010">
        <v>47</v>
      </c>
      <c r="AH204" s="1458">
        <f t="shared" si="585"/>
        <v>1</v>
      </c>
      <c r="AI204" s="1184">
        <f t="shared" si="586"/>
        <v>34100</v>
      </c>
      <c r="AJ204" s="1185">
        <f t="shared" si="587"/>
        <v>43729</v>
      </c>
      <c r="AK204" s="1185">
        <f t="shared" si="588"/>
        <v>43729</v>
      </c>
      <c r="AL204" s="1860">
        <f t="shared" si="589"/>
        <v>1</v>
      </c>
      <c r="AM204" s="1013">
        <v>34100</v>
      </c>
      <c r="AN204" s="1010">
        <f>41049+1</f>
        <v>41050</v>
      </c>
      <c r="AO204" s="1010">
        <f>41049+1</f>
        <v>41050</v>
      </c>
      <c r="AP204" s="1458">
        <f t="shared" si="590"/>
        <v>1</v>
      </c>
      <c r="AQ204" s="1013"/>
      <c r="AR204" s="1010">
        <v>2679</v>
      </c>
      <c r="AS204" s="1010">
        <v>2679</v>
      </c>
      <c r="AT204" s="1458">
        <f t="shared" si="591"/>
        <v>1</v>
      </c>
      <c r="AU204" s="1013"/>
      <c r="AV204" s="1010"/>
      <c r="AW204" s="1010"/>
      <c r="AX204" s="1458" t="str">
        <f t="shared" si="592"/>
        <v>-</v>
      </c>
      <c r="AY204" s="509"/>
    </row>
    <row r="205" spans="1:51" s="516" customFormat="1" ht="24">
      <c r="A205" s="552">
        <f t="shared" si="593"/>
        <v>35</v>
      </c>
      <c r="B205" s="1019">
        <v>7</v>
      </c>
      <c r="C205" s="425" t="s">
        <v>747</v>
      </c>
      <c r="D205" s="979" t="s">
        <v>1348</v>
      </c>
      <c r="E205" s="976" t="s">
        <v>682</v>
      </c>
      <c r="F205" s="980" t="s">
        <v>1256</v>
      </c>
      <c r="G205" s="1184">
        <f t="shared" si="573"/>
        <v>191871</v>
      </c>
      <c r="H205" s="1185">
        <f t="shared" si="574"/>
        <v>1025</v>
      </c>
      <c r="I205" s="1185">
        <f t="shared" si="575"/>
        <v>1025</v>
      </c>
      <c r="J205" s="1860">
        <f t="shared" si="576"/>
        <v>1</v>
      </c>
      <c r="K205" s="1184">
        <f t="shared" si="577"/>
        <v>0</v>
      </c>
      <c r="L205" s="1185">
        <f t="shared" si="578"/>
        <v>0</v>
      </c>
      <c r="M205" s="1185">
        <f t="shared" si="579"/>
        <v>0</v>
      </c>
      <c r="N205" s="1860" t="str">
        <f t="shared" si="580"/>
        <v>-</v>
      </c>
      <c r="O205" s="1009"/>
      <c r="P205" s="1010"/>
      <c r="Q205" s="1010"/>
      <c r="R205" s="1458" t="str">
        <f t="shared" si="581"/>
        <v>-</v>
      </c>
      <c r="S205" s="1013"/>
      <c r="T205" s="1010"/>
      <c r="U205" s="1010"/>
      <c r="V205" s="1458" t="str">
        <f t="shared" si="582"/>
        <v>-</v>
      </c>
      <c r="W205" s="1013"/>
      <c r="X205" s="1010"/>
      <c r="Y205" s="1010"/>
      <c r="Z205" s="1458" t="str">
        <f t="shared" si="583"/>
        <v>-</v>
      </c>
      <c r="AA205" s="1013"/>
      <c r="AB205" s="1010"/>
      <c r="AC205" s="1010"/>
      <c r="AD205" s="1458" t="str">
        <f t="shared" si="584"/>
        <v>-</v>
      </c>
      <c r="AE205" s="1013"/>
      <c r="AF205" s="1010"/>
      <c r="AG205" s="1010"/>
      <c r="AH205" s="1458" t="str">
        <f t="shared" si="585"/>
        <v>-</v>
      </c>
      <c r="AI205" s="1184">
        <f t="shared" si="586"/>
        <v>191871</v>
      </c>
      <c r="AJ205" s="1185">
        <f t="shared" si="587"/>
        <v>1025</v>
      </c>
      <c r="AK205" s="1185">
        <f t="shared" si="588"/>
        <v>1025</v>
      </c>
      <c r="AL205" s="1860">
        <f t="shared" si="589"/>
        <v>1</v>
      </c>
      <c r="AM205" s="1013">
        <v>191871</v>
      </c>
      <c r="AN205" s="1010">
        <v>1025</v>
      </c>
      <c r="AO205" s="1010">
        <v>1025</v>
      </c>
      <c r="AP205" s="1458">
        <f t="shared" si="590"/>
        <v>1</v>
      </c>
      <c r="AQ205" s="1013"/>
      <c r="AR205" s="1010"/>
      <c r="AS205" s="1010"/>
      <c r="AT205" s="1458" t="str">
        <f t="shared" si="591"/>
        <v>-</v>
      </c>
      <c r="AU205" s="1013"/>
      <c r="AV205" s="1010"/>
      <c r="AW205" s="1010"/>
      <c r="AX205" s="1458" t="str">
        <f t="shared" si="592"/>
        <v>-</v>
      </c>
      <c r="AY205" s="509"/>
    </row>
    <row r="206" spans="1:51" s="516" customFormat="1" ht="12" customHeight="1">
      <c r="A206" s="552">
        <f t="shared" si="593"/>
        <v>36</v>
      </c>
      <c r="B206" s="1019">
        <v>7</v>
      </c>
      <c r="C206" s="425" t="s">
        <v>747</v>
      </c>
      <c r="D206" s="979" t="s">
        <v>1348</v>
      </c>
      <c r="E206" s="976" t="s">
        <v>682</v>
      </c>
      <c r="F206" s="980" t="s">
        <v>1257</v>
      </c>
      <c r="G206" s="1184">
        <f t="shared" si="573"/>
        <v>177292</v>
      </c>
      <c r="H206" s="1185">
        <f t="shared" si="574"/>
        <v>0</v>
      </c>
      <c r="I206" s="1185">
        <f t="shared" si="575"/>
        <v>0</v>
      </c>
      <c r="J206" s="1860" t="str">
        <f t="shared" si="576"/>
        <v>-</v>
      </c>
      <c r="K206" s="1184">
        <f t="shared" si="577"/>
        <v>0</v>
      </c>
      <c r="L206" s="1185">
        <f t="shared" si="578"/>
        <v>0</v>
      </c>
      <c r="M206" s="1185">
        <f t="shared" si="579"/>
        <v>0</v>
      </c>
      <c r="N206" s="1860" t="str">
        <f t="shared" si="580"/>
        <v>-</v>
      </c>
      <c r="O206" s="1009"/>
      <c r="P206" s="1010"/>
      <c r="Q206" s="1010"/>
      <c r="R206" s="1458" t="str">
        <f t="shared" si="581"/>
        <v>-</v>
      </c>
      <c r="S206" s="1013"/>
      <c r="T206" s="1010"/>
      <c r="U206" s="1010"/>
      <c r="V206" s="1458" t="str">
        <f t="shared" si="582"/>
        <v>-</v>
      </c>
      <c r="W206" s="1013"/>
      <c r="X206" s="1010"/>
      <c r="Y206" s="1010"/>
      <c r="Z206" s="1458" t="str">
        <f t="shared" si="583"/>
        <v>-</v>
      </c>
      <c r="AA206" s="1013"/>
      <c r="AB206" s="1010"/>
      <c r="AC206" s="1010"/>
      <c r="AD206" s="1458" t="str">
        <f t="shared" si="584"/>
        <v>-</v>
      </c>
      <c r="AE206" s="1013"/>
      <c r="AF206" s="1010"/>
      <c r="AG206" s="1010"/>
      <c r="AH206" s="1458" t="str">
        <f t="shared" si="585"/>
        <v>-</v>
      </c>
      <c r="AI206" s="1184">
        <f t="shared" si="586"/>
        <v>177292</v>
      </c>
      <c r="AJ206" s="1185">
        <f t="shared" si="587"/>
        <v>0</v>
      </c>
      <c r="AK206" s="1185">
        <f t="shared" si="588"/>
        <v>0</v>
      </c>
      <c r="AL206" s="1860" t="str">
        <f t="shared" si="589"/>
        <v>-</v>
      </c>
      <c r="AM206" s="1013">
        <v>177292</v>
      </c>
      <c r="AN206" s="1010"/>
      <c r="AO206" s="1010"/>
      <c r="AP206" s="1458" t="str">
        <f t="shared" si="590"/>
        <v>-</v>
      </c>
      <c r="AQ206" s="1013"/>
      <c r="AR206" s="1010"/>
      <c r="AS206" s="1010"/>
      <c r="AT206" s="1458" t="str">
        <f t="shared" si="591"/>
        <v>-</v>
      </c>
      <c r="AU206" s="1013"/>
      <c r="AV206" s="1010"/>
      <c r="AW206" s="1010"/>
      <c r="AX206" s="1458" t="str">
        <f t="shared" si="592"/>
        <v>-</v>
      </c>
      <c r="AY206" s="509"/>
    </row>
    <row r="207" spans="1:51" s="516" customFormat="1" ht="12" customHeight="1">
      <c r="A207" s="552">
        <f t="shared" si="593"/>
        <v>37</v>
      </c>
      <c r="B207" s="1019">
        <v>7</v>
      </c>
      <c r="C207" s="425" t="s">
        <v>747</v>
      </c>
      <c r="D207" s="979" t="s">
        <v>1349</v>
      </c>
      <c r="E207" s="976" t="s">
        <v>682</v>
      </c>
      <c r="F207" s="980" t="s">
        <v>1366</v>
      </c>
      <c r="G207" s="1184">
        <f t="shared" si="573"/>
        <v>51564</v>
      </c>
      <c r="H207" s="1185">
        <f t="shared" si="574"/>
        <v>51904</v>
      </c>
      <c r="I207" s="1185">
        <f t="shared" si="575"/>
        <v>51904</v>
      </c>
      <c r="J207" s="1860">
        <f t="shared" si="576"/>
        <v>1</v>
      </c>
      <c r="K207" s="1184">
        <f t="shared" si="577"/>
        <v>1358</v>
      </c>
      <c r="L207" s="1185">
        <f t="shared" si="578"/>
        <v>1355</v>
      </c>
      <c r="M207" s="1185">
        <f t="shared" si="579"/>
        <v>1355</v>
      </c>
      <c r="N207" s="1860">
        <f t="shared" si="580"/>
        <v>1</v>
      </c>
      <c r="O207" s="1009"/>
      <c r="P207" s="1010"/>
      <c r="Q207" s="1010"/>
      <c r="R207" s="1458" t="str">
        <f t="shared" si="581"/>
        <v>-</v>
      </c>
      <c r="S207" s="1013"/>
      <c r="T207" s="1010"/>
      <c r="U207" s="1010"/>
      <c r="V207" s="1458" t="str">
        <f t="shared" si="582"/>
        <v>-</v>
      </c>
      <c r="W207" s="1013">
        <v>1358</v>
      </c>
      <c r="X207" s="1010">
        <v>1355</v>
      </c>
      <c r="Y207" s="1010">
        <v>1355</v>
      </c>
      <c r="Z207" s="1458">
        <f t="shared" si="583"/>
        <v>1</v>
      </c>
      <c r="AA207" s="1013"/>
      <c r="AB207" s="1010"/>
      <c r="AC207" s="1010"/>
      <c r="AD207" s="1458" t="str">
        <f t="shared" si="584"/>
        <v>-</v>
      </c>
      <c r="AE207" s="1013"/>
      <c r="AF207" s="1010"/>
      <c r="AG207" s="1010"/>
      <c r="AH207" s="1458" t="str">
        <f t="shared" si="585"/>
        <v>-</v>
      </c>
      <c r="AI207" s="1184">
        <f t="shared" si="586"/>
        <v>50206</v>
      </c>
      <c r="AJ207" s="1185">
        <f t="shared" si="587"/>
        <v>50549</v>
      </c>
      <c r="AK207" s="1185">
        <f t="shared" si="588"/>
        <v>50549</v>
      </c>
      <c r="AL207" s="1860">
        <f t="shared" si="589"/>
        <v>1</v>
      </c>
      <c r="AM207" s="1013">
        <v>16418</v>
      </c>
      <c r="AN207" s="1010">
        <v>15980</v>
      </c>
      <c r="AO207" s="1010">
        <v>15980</v>
      </c>
      <c r="AP207" s="1458">
        <f t="shared" si="590"/>
        <v>1</v>
      </c>
      <c r="AQ207" s="1013">
        <v>33788</v>
      </c>
      <c r="AR207" s="1010">
        <v>34569</v>
      </c>
      <c r="AS207" s="1010">
        <v>34569</v>
      </c>
      <c r="AT207" s="1458">
        <f t="shared" si="591"/>
        <v>1</v>
      </c>
      <c r="AU207" s="1013"/>
      <c r="AV207" s="1010"/>
      <c r="AW207" s="1010"/>
      <c r="AX207" s="1458" t="str">
        <f t="shared" si="592"/>
        <v>-</v>
      </c>
      <c r="AY207" s="509"/>
    </row>
    <row r="208" spans="1:51" s="516" customFormat="1" ht="12" customHeight="1">
      <c r="A208" s="552">
        <f t="shared" si="593"/>
        <v>38</v>
      </c>
      <c r="B208" s="1019">
        <v>7</v>
      </c>
      <c r="C208" s="425" t="s">
        <v>747</v>
      </c>
      <c r="D208" s="979" t="s">
        <v>1350</v>
      </c>
      <c r="E208" s="976" t="s">
        <v>682</v>
      </c>
      <c r="F208" s="980" t="s">
        <v>1365</v>
      </c>
      <c r="G208" s="1184">
        <f t="shared" ref="G208:G243" si="654">+K208+AI208</f>
        <v>206472</v>
      </c>
      <c r="H208" s="1185">
        <f t="shared" ref="H208:H243" si="655">+L208+AJ208</f>
        <v>8481</v>
      </c>
      <c r="I208" s="1185">
        <f t="shared" ref="I208:I243" si="656">+M208+AK208</f>
        <v>8481</v>
      </c>
      <c r="J208" s="1860">
        <f t="shared" si="576"/>
        <v>1</v>
      </c>
      <c r="K208" s="1184">
        <f t="shared" ref="K208:K243" si="657">+O208+S208+W208+AA208+AE208</f>
        <v>29994</v>
      </c>
      <c r="L208" s="1185">
        <f t="shared" ref="L208:L243" si="658">+P208+T208+X208+AB208+AF208</f>
        <v>2413</v>
      </c>
      <c r="M208" s="1185">
        <f t="shared" ref="M208:M243" si="659">+Q208+U208+Y208+AC208+AG208</f>
        <v>2413</v>
      </c>
      <c r="N208" s="1860">
        <f t="shared" si="580"/>
        <v>1</v>
      </c>
      <c r="O208" s="1009"/>
      <c r="P208" s="1010"/>
      <c r="Q208" s="1010"/>
      <c r="R208" s="1458" t="str">
        <f t="shared" si="581"/>
        <v>-</v>
      </c>
      <c r="S208" s="1013"/>
      <c r="T208" s="1010"/>
      <c r="U208" s="1010"/>
      <c r="V208" s="1458" t="str">
        <f t="shared" si="582"/>
        <v>-</v>
      </c>
      <c r="W208" s="1013">
        <v>29994</v>
      </c>
      <c r="X208" s="1010">
        <v>2413</v>
      </c>
      <c r="Y208" s="1010">
        <v>2413</v>
      </c>
      <c r="Z208" s="1458">
        <f t="shared" si="583"/>
        <v>1</v>
      </c>
      <c r="AA208" s="1013"/>
      <c r="AB208" s="1010"/>
      <c r="AC208" s="1010"/>
      <c r="AD208" s="1458" t="str">
        <f t="shared" si="584"/>
        <v>-</v>
      </c>
      <c r="AE208" s="1013"/>
      <c r="AF208" s="1010"/>
      <c r="AG208" s="1010"/>
      <c r="AH208" s="1458" t="str">
        <f t="shared" si="585"/>
        <v>-</v>
      </c>
      <c r="AI208" s="1184">
        <f t="shared" ref="AI208:AI243" si="660">+AM208+AQ208+AU208</f>
        <v>176478</v>
      </c>
      <c r="AJ208" s="1185">
        <f t="shared" ref="AJ208:AJ243" si="661">+AN208+AR208+AV208</f>
        <v>6068</v>
      </c>
      <c r="AK208" s="1185">
        <f t="shared" ref="AK208:AK243" si="662">+AO208+AS208+AW208</f>
        <v>6068</v>
      </c>
      <c r="AL208" s="1860">
        <f t="shared" si="589"/>
        <v>1</v>
      </c>
      <c r="AM208" s="1013">
        <v>51816</v>
      </c>
      <c r="AN208" s="1010"/>
      <c r="AO208" s="1010"/>
      <c r="AP208" s="1458" t="str">
        <f t="shared" si="590"/>
        <v>-</v>
      </c>
      <c r="AQ208" s="1013">
        <v>124662</v>
      </c>
      <c r="AR208" s="1010">
        <v>6068</v>
      </c>
      <c r="AS208" s="1010">
        <v>6068</v>
      </c>
      <c r="AT208" s="1458">
        <f t="shared" si="591"/>
        <v>1</v>
      </c>
      <c r="AU208" s="1013"/>
      <c r="AV208" s="1010"/>
      <c r="AW208" s="1010"/>
      <c r="AX208" s="1458" t="str">
        <f t="shared" si="592"/>
        <v>-</v>
      </c>
      <c r="AY208" s="509"/>
    </row>
    <row r="209" spans="1:51" s="516" customFormat="1" ht="12" customHeight="1">
      <c r="A209" s="552">
        <f t="shared" si="593"/>
        <v>39</v>
      </c>
      <c r="B209" s="1019">
        <v>7</v>
      </c>
      <c r="C209" s="425" t="s">
        <v>747</v>
      </c>
      <c r="D209" s="979" t="s">
        <v>1351</v>
      </c>
      <c r="E209" s="976" t="s">
        <v>682</v>
      </c>
      <c r="F209" s="980" t="s">
        <v>1364</v>
      </c>
      <c r="G209" s="1184">
        <f t="shared" si="654"/>
        <v>140587</v>
      </c>
      <c r="H209" s="1185">
        <f t="shared" si="655"/>
        <v>132643</v>
      </c>
      <c r="I209" s="1185">
        <f t="shared" si="656"/>
        <v>132643</v>
      </c>
      <c r="J209" s="1860">
        <f t="shared" si="576"/>
        <v>1</v>
      </c>
      <c r="K209" s="1184">
        <f t="shared" si="657"/>
        <v>3446</v>
      </c>
      <c r="L209" s="1185">
        <f t="shared" si="658"/>
        <v>2217</v>
      </c>
      <c r="M209" s="1185">
        <f t="shared" si="659"/>
        <v>2217</v>
      </c>
      <c r="N209" s="1860">
        <f t="shared" si="580"/>
        <v>1</v>
      </c>
      <c r="O209" s="1009"/>
      <c r="P209" s="1010"/>
      <c r="Q209" s="1010"/>
      <c r="R209" s="1458" t="str">
        <f t="shared" si="581"/>
        <v>-</v>
      </c>
      <c r="S209" s="1013"/>
      <c r="T209" s="1010"/>
      <c r="U209" s="1010"/>
      <c r="V209" s="1458" t="str">
        <f t="shared" si="582"/>
        <v>-</v>
      </c>
      <c r="W209" s="1013">
        <v>3446</v>
      </c>
      <c r="X209" s="1010">
        <v>2217</v>
      </c>
      <c r="Y209" s="1010">
        <v>2217</v>
      </c>
      <c r="Z209" s="1458">
        <f t="shared" si="583"/>
        <v>1</v>
      </c>
      <c r="AA209" s="1013"/>
      <c r="AB209" s="1010"/>
      <c r="AC209" s="1010"/>
      <c r="AD209" s="1458" t="str">
        <f t="shared" si="584"/>
        <v>-</v>
      </c>
      <c r="AE209" s="1013"/>
      <c r="AF209" s="1010"/>
      <c r="AG209" s="1010"/>
      <c r="AH209" s="1458" t="str">
        <f t="shared" si="585"/>
        <v>-</v>
      </c>
      <c r="AI209" s="1184">
        <f t="shared" si="660"/>
        <v>137141</v>
      </c>
      <c r="AJ209" s="1185">
        <f t="shared" si="661"/>
        <v>130426</v>
      </c>
      <c r="AK209" s="1185">
        <f t="shared" si="662"/>
        <v>130426</v>
      </c>
      <c r="AL209" s="1860">
        <f t="shared" si="589"/>
        <v>1</v>
      </c>
      <c r="AM209" s="1013">
        <v>6667</v>
      </c>
      <c r="AN209" s="1010"/>
      <c r="AO209" s="1010"/>
      <c r="AP209" s="1458" t="str">
        <f t="shared" si="590"/>
        <v>-</v>
      </c>
      <c r="AQ209" s="1013">
        <v>130474</v>
      </c>
      <c r="AR209" s="1010">
        <v>130426</v>
      </c>
      <c r="AS209" s="1010">
        <v>130426</v>
      </c>
      <c r="AT209" s="1458">
        <f t="shared" si="591"/>
        <v>1</v>
      </c>
      <c r="AU209" s="1013"/>
      <c r="AV209" s="1010"/>
      <c r="AW209" s="1010"/>
      <c r="AX209" s="1458" t="str">
        <f t="shared" si="592"/>
        <v>-</v>
      </c>
      <c r="AY209" s="509"/>
    </row>
    <row r="210" spans="1:51" s="516" customFormat="1" ht="12" customHeight="1">
      <c r="A210" s="552">
        <f t="shared" si="593"/>
        <v>40</v>
      </c>
      <c r="B210" s="1019">
        <v>7</v>
      </c>
      <c r="C210" s="425" t="s">
        <v>747</v>
      </c>
      <c r="D210" s="979" t="s">
        <v>1352</v>
      </c>
      <c r="E210" s="976" t="s">
        <v>682</v>
      </c>
      <c r="F210" s="980" t="s">
        <v>1363</v>
      </c>
      <c r="G210" s="1184">
        <f t="shared" si="654"/>
        <v>443592</v>
      </c>
      <c r="H210" s="1185">
        <f t="shared" si="655"/>
        <v>314996</v>
      </c>
      <c r="I210" s="1185">
        <f t="shared" si="656"/>
        <v>314996</v>
      </c>
      <c r="J210" s="1860">
        <f t="shared" si="576"/>
        <v>1</v>
      </c>
      <c r="K210" s="1184">
        <f t="shared" si="657"/>
        <v>6578</v>
      </c>
      <c r="L210" s="1185">
        <f t="shared" si="658"/>
        <v>9902</v>
      </c>
      <c r="M210" s="1185">
        <f t="shared" si="659"/>
        <v>9902</v>
      </c>
      <c r="N210" s="1860">
        <f t="shared" si="580"/>
        <v>1</v>
      </c>
      <c r="O210" s="1009"/>
      <c r="P210" s="1010"/>
      <c r="Q210" s="1010"/>
      <c r="R210" s="1458" t="str">
        <f t="shared" si="581"/>
        <v>-</v>
      </c>
      <c r="S210" s="1013"/>
      <c r="T210" s="1010"/>
      <c r="U210" s="1010"/>
      <c r="V210" s="1458" t="str">
        <f t="shared" si="582"/>
        <v>-</v>
      </c>
      <c r="W210" s="1013">
        <v>6578</v>
      </c>
      <c r="X210" s="1010">
        <f>61+9841</f>
        <v>9902</v>
      </c>
      <c r="Y210" s="1010">
        <f>61+9841</f>
        <v>9902</v>
      </c>
      <c r="Z210" s="1458">
        <f t="shared" si="583"/>
        <v>1</v>
      </c>
      <c r="AA210" s="1013"/>
      <c r="AB210" s="1010"/>
      <c r="AC210" s="1010"/>
      <c r="AD210" s="1458" t="str">
        <f t="shared" si="584"/>
        <v>-</v>
      </c>
      <c r="AE210" s="1013"/>
      <c r="AF210" s="1010"/>
      <c r="AG210" s="1010"/>
      <c r="AH210" s="1458" t="str">
        <f t="shared" si="585"/>
        <v>-</v>
      </c>
      <c r="AI210" s="1184">
        <f t="shared" si="660"/>
        <v>437014</v>
      </c>
      <c r="AJ210" s="1185">
        <f t="shared" si="661"/>
        <v>305094</v>
      </c>
      <c r="AK210" s="1185">
        <f t="shared" si="662"/>
        <v>305094</v>
      </c>
      <c r="AL210" s="1860">
        <f t="shared" si="589"/>
        <v>1</v>
      </c>
      <c r="AM210" s="1013">
        <v>23583</v>
      </c>
      <c r="AN210" s="1010">
        <f>254005+51088+1</f>
        <v>305094</v>
      </c>
      <c r="AO210" s="1010">
        <f>254005+51088+1</f>
        <v>305094</v>
      </c>
      <c r="AP210" s="1458">
        <f t="shared" si="590"/>
        <v>1</v>
      </c>
      <c r="AQ210" s="1013">
        <v>413431</v>
      </c>
      <c r="AR210" s="1010"/>
      <c r="AS210" s="1010"/>
      <c r="AT210" s="1458" t="str">
        <f t="shared" si="591"/>
        <v>-</v>
      </c>
      <c r="AU210" s="1013"/>
      <c r="AV210" s="1010"/>
      <c r="AW210" s="1010"/>
      <c r="AX210" s="1458" t="str">
        <f t="shared" si="592"/>
        <v>-</v>
      </c>
      <c r="AY210" s="509"/>
    </row>
    <row r="211" spans="1:51" s="516" customFormat="1" ht="12" customHeight="1">
      <c r="A211" s="552">
        <f t="shared" si="593"/>
        <v>41</v>
      </c>
      <c r="B211" s="1019">
        <v>7</v>
      </c>
      <c r="C211" s="425" t="s">
        <v>747</v>
      </c>
      <c r="D211" s="979" t="s">
        <v>1353</v>
      </c>
      <c r="E211" s="976" t="s">
        <v>682</v>
      </c>
      <c r="F211" s="980" t="s">
        <v>1362</v>
      </c>
      <c r="G211" s="1184">
        <f t="shared" si="654"/>
        <v>35510</v>
      </c>
      <c r="H211" s="1185">
        <f t="shared" si="655"/>
        <v>35106</v>
      </c>
      <c r="I211" s="1185">
        <f t="shared" si="656"/>
        <v>35106</v>
      </c>
      <c r="J211" s="1860">
        <f t="shared" si="576"/>
        <v>1</v>
      </c>
      <c r="K211" s="1184">
        <f t="shared" si="657"/>
        <v>1057</v>
      </c>
      <c r="L211" s="1185">
        <f t="shared" si="658"/>
        <v>653</v>
      </c>
      <c r="M211" s="1185">
        <f t="shared" si="659"/>
        <v>653</v>
      </c>
      <c r="N211" s="1860">
        <f t="shared" si="580"/>
        <v>1</v>
      </c>
      <c r="O211" s="1009"/>
      <c r="P211" s="1010"/>
      <c r="Q211" s="1010"/>
      <c r="R211" s="1458" t="str">
        <f t="shared" si="581"/>
        <v>-</v>
      </c>
      <c r="S211" s="1013"/>
      <c r="T211" s="1010"/>
      <c r="U211" s="1010"/>
      <c r="V211" s="1458" t="str">
        <f t="shared" si="582"/>
        <v>-</v>
      </c>
      <c r="W211" s="1013">
        <v>1057</v>
      </c>
      <c r="X211" s="1010">
        <v>653</v>
      </c>
      <c r="Y211" s="1010">
        <v>653</v>
      </c>
      <c r="Z211" s="1458">
        <f t="shared" si="583"/>
        <v>1</v>
      </c>
      <c r="AA211" s="1013"/>
      <c r="AB211" s="1010"/>
      <c r="AC211" s="1010"/>
      <c r="AD211" s="1458" t="str">
        <f t="shared" si="584"/>
        <v>-</v>
      </c>
      <c r="AE211" s="1013"/>
      <c r="AF211" s="1010"/>
      <c r="AG211" s="1010"/>
      <c r="AH211" s="1458" t="str">
        <f t="shared" si="585"/>
        <v>-</v>
      </c>
      <c r="AI211" s="1184">
        <f t="shared" si="660"/>
        <v>34453</v>
      </c>
      <c r="AJ211" s="1185">
        <f t="shared" si="661"/>
        <v>34453</v>
      </c>
      <c r="AK211" s="1185">
        <f t="shared" si="662"/>
        <v>34453</v>
      </c>
      <c r="AL211" s="1860">
        <f t="shared" si="589"/>
        <v>1</v>
      </c>
      <c r="AM211" s="1013"/>
      <c r="AN211" s="1010"/>
      <c r="AO211" s="1010"/>
      <c r="AP211" s="1458" t="str">
        <f t="shared" si="590"/>
        <v>-</v>
      </c>
      <c r="AQ211" s="1013">
        <v>34453</v>
      </c>
      <c r="AR211" s="1010">
        <v>34453</v>
      </c>
      <c r="AS211" s="1010">
        <v>34453</v>
      </c>
      <c r="AT211" s="1458">
        <f t="shared" si="591"/>
        <v>1</v>
      </c>
      <c r="AU211" s="1013"/>
      <c r="AV211" s="1010"/>
      <c r="AW211" s="1010"/>
      <c r="AX211" s="1458" t="str">
        <f t="shared" si="592"/>
        <v>-</v>
      </c>
      <c r="AY211" s="509"/>
    </row>
    <row r="212" spans="1:51" s="516" customFormat="1">
      <c r="A212" s="552">
        <f t="shared" si="593"/>
        <v>42</v>
      </c>
      <c r="B212" s="1019">
        <v>7</v>
      </c>
      <c r="C212" s="360" t="s">
        <v>747</v>
      </c>
      <c r="D212" s="973" t="s">
        <v>1354</v>
      </c>
      <c r="E212" s="976" t="s">
        <v>682</v>
      </c>
      <c r="F212" s="978" t="s">
        <v>1361</v>
      </c>
      <c r="G212" s="1184">
        <f t="shared" si="654"/>
        <v>6957</v>
      </c>
      <c r="H212" s="1185">
        <f t="shared" si="655"/>
        <v>10223</v>
      </c>
      <c r="I212" s="1185">
        <f t="shared" si="656"/>
        <v>10223</v>
      </c>
      <c r="J212" s="1860">
        <f t="shared" si="576"/>
        <v>1</v>
      </c>
      <c r="K212" s="1184">
        <f t="shared" si="657"/>
        <v>6957</v>
      </c>
      <c r="L212" s="1185">
        <f t="shared" si="658"/>
        <v>10223</v>
      </c>
      <c r="M212" s="1185">
        <f t="shared" si="659"/>
        <v>10223</v>
      </c>
      <c r="N212" s="1860">
        <f t="shared" si="580"/>
        <v>1</v>
      </c>
      <c r="O212" s="1009">
        <v>5408</v>
      </c>
      <c r="P212" s="1010">
        <f>900+1800</f>
        <v>2700</v>
      </c>
      <c r="Q212" s="1010">
        <f>900+1800</f>
        <v>2700</v>
      </c>
      <c r="R212" s="1458">
        <f t="shared" si="581"/>
        <v>1</v>
      </c>
      <c r="S212" s="1013">
        <v>1539</v>
      </c>
      <c r="T212" s="1010">
        <f>158+316</f>
        <v>474</v>
      </c>
      <c r="U212" s="1010">
        <f>158+316</f>
        <v>474</v>
      </c>
      <c r="V212" s="1458">
        <f t="shared" si="582"/>
        <v>1</v>
      </c>
      <c r="W212" s="1013">
        <v>10</v>
      </c>
      <c r="X212" s="1010">
        <v>7049</v>
      </c>
      <c r="Y212" s="1010">
        <v>7049</v>
      </c>
      <c r="Z212" s="1458">
        <f t="shared" si="583"/>
        <v>1</v>
      </c>
      <c r="AA212" s="1013"/>
      <c r="AB212" s="1010"/>
      <c r="AC212" s="1010"/>
      <c r="AD212" s="1458" t="str">
        <f t="shared" si="584"/>
        <v>-</v>
      </c>
      <c r="AE212" s="1013"/>
      <c r="AF212" s="1010"/>
      <c r="AG212" s="1010"/>
      <c r="AH212" s="1458" t="str">
        <f t="shared" si="585"/>
        <v>-</v>
      </c>
      <c r="AI212" s="1184">
        <f t="shared" si="660"/>
        <v>0</v>
      </c>
      <c r="AJ212" s="1185">
        <f t="shared" si="661"/>
        <v>0</v>
      </c>
      <c r="AK212" s="1185">
        <f t="shared" si="662"/>
        <v>0</v>
      </c>
      <c r="AL212" s="1860" t="str">
        <f t="shared" si="589"/>
        <v>-</v>
      </c>
      <c r="AM212" s="1013"/>
      <c r="AN212" s="1010"/>
      <c r="AO212" s="1010"/>
      <c r="AP212" s="1458" t="str">
        <f t="shared" si="590"/>
        <v>-</v>
      </c>
      <c r="AQ212" s="1013"/>
      <c r="AR212" s="1010"/>
      <c r="AS212" s="1010"/>
      <c r="AT212" s="1458" t="str">
        <f t="shared" si="591"/>
        <v>-</v>
      </c>
      <c r="AU212" s="1013"/>
      <c r="AV212" s="1010"/>
      <c r="AW212" s="1010"/>
      <c r="AX212" s="1458" t="str">
        <f t="shared" si="592"/>
        <v>-</v>
      </c>
      <c r="AY212" s="509"/>
    </row>
    <row r="213" spans="1:51" s="516" customFormat="1">
      <c r="A213" s="552">
        <f t="shared" si="593"/>
        <v>43</v>
      </c>
      <c r="B213" s="1019">
        <v>7</v>
      </c>
      <c r="C213" s="360" t="s">
        <v>747</v>
      </c>
      <c r="D213" s="973" t="s">
        <v>1355</v>
      </c>
      <c r="E213" s="976" t="s">
        <v>682</v>
      </c>
      <c r="F213" s="978" t="s">
        <v>1360</v>
      </c>
      <c r="G213" s="1184">
        <f t="shared" si="654"/>
        <v>406367</v>
      </c>
      <c r="H213" s="1185">
        <f t="shared" si="655"/>
        <v>7620</v>
      </c>
      <c r="I213" s="1185">
        <f t="shared" si="656"/>
        <v>7620</v>
      </c>
      <c r="J213" s="1860">
        <f t="shared" si="576"/>
        <v>1</v>
      </c>
      <c r="K213" s="1184">
        <f t="shared" si="657"/>
        <v>10597</v>
      </c>
      <c r="L213" s="1185">
        <f t="shared" si="658"/>
        <v>0</v>
      </c>
      <c r="M213" s="1185">
        <f t="shared" si="659"/>
        <v>0</v>
      </c>
      <c r="N213" s="1860" t="str">
        <f t="shared" si="580"/>
        <v>-</v>
      </c>
      <c r="O213" s="1009">
        <v>1654</v>
      </c>
      <c r="P213" s="1010"/>
      <c r="Q213" s="1010"/>
      <c r="R213" s="1458" t="str">
        <f t="shared" si="581"/>
        <v>-</v>
      </c>
      <c r="S213" s="1013">
        <v>446</v>
      </c>
      <c r="T213" s="1010"/>
      <c r="U213" s="1010"/>
      <c r="V213" s="1458" t="str">
        <f t="shared" si="582"/>
        <v>-</v>
      </c>
      <c r="W213" s="1013">
        <v>8497</v>
      </c>
      <c r="X213" s="1010"/>
      <c r="Y213" s="1010"/>
      <c r="Z213" s="1458" t="str">
        <f t="shared" si="583"/>
        <v>-</v>
      </c>
      <c r="AA213" s="1013"/>
      <c r="AB213" s="1010"/>
      <c r="AC213" s="1010"/>
      <c r="AD213" s="1458" t="str">
        <f t="shared" si="584"/>
        <v>-</v>
      </c>
      <c r="AE213" s="1013"/>
      <c r="AF213" s="1010"/>
      <c r="AG213" s="1010"/>
      <c r="AH213" s="1458" t="str">
        <f t="shared" si="585"/>
        <v>-</v>
      </c>
      <c r="AI213" s="1184">
        <f t="shared" si="660"/>
        <v>395770</v>
      </c>
      <c r="AJ213" s="1185">
        <f t="shared" si="661"/>
        <v>7620</v>
      </c>
      <c r="AK213" s="1185">
        <f t="shared" si="662"/>
        <v>7620</v>
      </c>
      <c r="AL213" s="1860">
        <f t="shared" si="589"/>
        <v>1</v>
      </c>
      <c r="AM213" s="1013">
        <v>395770</v>
      </c>
      <c r="AN213" s="1010">
        <v>7620</v>
      </c>
      <c r="AO213" s="1010">
        <v>7620</v>
      </c>
      <c r="AP213" s="1458">
        <f t="shared" si="590"/>
        <v>1</v>
      </c>
      <c r="AQ213" s="1013"/>
      <c r="AR213" s="1010"/>
      <c r="AS213" s="1010"/>
      <c r="AT213" s="1458" t="str">
        <f t="shared" si="591"/>
        <v>-</v>
      </c>
      <c r="AU213" s="1013"/>
      <c r="AV213" s="1010"/>
      <c r="AW213" s="1010"/>
      <c r="AX213" s="1458" t="str">
        <f t="shared" si="592"/>
        <v>-</v>
      </c>
      <c r="AY213" s="509"/>
    </row>
    <row r="214" spans="1:51" s="516" customFormat="1">
      <c r="A214" s="552">
        <f t="shared" si="593"/>
        <v>44</v>
      </c>
      <c r="B214" s="1019">
        <v>7</v>
      </c>
      <c r="C214" s="360" t="s">
        <v>747</v>
      </c>
      <c r="D214" s="973" t="s">
        <v>1356</v>
      </c>
      <c r="E214" s="976" t="s">
        <v>682</v>
      </c>
      <c r="F214" s="978" t="s">
        <v>1359</v>
      </c>
      <c r="G214" s="1184">
        <f t="shared" si="654"/>
        <v>60045</v>
      </c>
      <c r="H214" s="1185">
        <f t="shared" si="655"/>
        <v>2253</v>
      </c>
      <c r="I214" s="1185">
        <f t="shared" si="656"/>
        <v>2253</v>
      </c>
      <c r="J214" s="1860">
        <f t="shared" si="576"/>
        <v>1</v>
      </c>
      <c r="K214" s="1184">
        <f t="shared" si="657"/>
        <v>2269</v>
      </c>
      <c r="L214" s="1185">
        <f t="shared" si="658"/>
        <v>938</v>
      </c>
      <c r="M214" s="1185">
        <f t="shared" si="659"/>
        <v>938</v>
      </c>
      <c r="N214" s="1860">
        <f t="shared" si="580"/>
        <v>1</v>
      </c>
      <c r="O214" s="1009"/>
      <c r="P214" s="1010"/>
      <c r="Q214" s="1010"/>
      <c r="R214" s="1458" t="str">
        <f t="shared" si="581"/>
        <v>-</v>
      </c>
      <c r="S214" s="1013"/>
      <c r="T214" s="1010"/>
      <c r="U214" s="1010"/>
      <c r="V214" s="1458" t="str">
        <f t="shared" si="582"/>
        <v>-</v>
      </c>
      <c r="W214" s="1013">
        <v>2269</v>
      </c>
      <c r="X214" s="1010">
        <v>938</v>
      </c>
      <c r="Y214" s="1010">
        <v>938</v>
      </c>
      <c r="Z214" s="1458">
        <f t="shared" si="583"/>
        <v>1</v>
      </c>
      <c r="AA214" s="1013"/>
      <c r="AB214" s="1010"/>
      <c r="AC214" s="1010"/>
      <c r="AD214" s="1458" t="str">
        <f t="shared" si="584"/>
        <v>-</v>
      </c>
      <c r="AE214" s="1013"/>
      <c r="AF214" s="1010"/>
      <c r="AG214" s="1010"/>
      <c r="AH214" s="1458" t="str">
        <f t="shared" si="585"/>
        <v>-</v>
      </c>
      <c r="AI214" s="1184">
        <f t="shared" si="660"/>
        <v>57776</v>
      </c>
      <c r="AJ214" s="1185">
        <f t="shared" si="661"/>
        <v>1315</v>
      </c>
      <c r="AK214" s="1185">
        <f t="shared" si="662"/>
        <v>1315</v>
      </c>
      <c r="AL214" s="1860">
        <f t="shared" si="589"/>
        <v>1</v>
      </c>
      <c r="AM214" s="1013">
        <v>1796</v>
      </c>
      <c r="AN214" s="1010"/>
      <c r="AO214" s="1010"/>
      <c r="AP214" s="1458" t="str">
        <f t="shared" si="590"/>
        <v>-</v>
      </c>
      <c r="AQ214" s="1013">
        <v>55980</v>
      </c>
      <c r="AR214" s="1010">
        <v>1315</v>
      </c>
      <c r="AS214" s="1010">
        <v>1315</v>
      </c>
      <c r="AT214" s="1458">
        <f t="shared" si="591"/>
        <v>1</v>
      </c>
      <c r="AU214" s="1013"/>
      <c r="AV214" s="1010"/>
      <c r="AW214" s="1010"/>
      <c r="AX214" s="1458" t="str">
        <f t="shared" si="592"/>
        <v>-</v>
      </c>
      <c r="AY214" s="509"/>
    </row>
    <row r="215" spans="1:51" s="516" customFormat="1">
      <c r="A215" s="552">
        <f t="shared" si="593"/>
        <v>45</v>
      </c>
      <c r="B215" s="1019">
        <v>7</v>
      </c>
      <c r="C215" s="360" t="s">
        <v>747</v>
      </c>
      <c r="D215" s="973" t="s">
        <v>1357</v>
      </c>
      <c r="E215" s="984" t="s">
        <v>682</v>
      </c>
      <c r="F215" s="978" t="s">
        <v>1358</v>
      </c>
      <c r="G215" s="1184">
        <f t="shared" si="654"/>
        <v>0</v>
      </c>
      <c r="H215" s="1185">
        <f t="shared" si="655"/>
        <v>0</v>
      </c>
      <c r="I215" s="1185">
        <f t="shared" si="656"/>
        <v>0</v>
      </c>
      <c r="J215" s="1860" t="str">
        <f t="shared" si="576"/>
        <v>-</v>
      </c>
      <c r="K215" s="1184">
        <f t="shared" si="657"/>
        <v>0</v>
      </c>
      <c r="L215" s="1185">
        <f t="shared" si="658"/>
        <v>0</v>
      </c>
      <c r="M215" s="1185">
        <f t="shared" si="659"/>
        <v>0</v>
      </c>
      <c r="N215" s="1860" t="str">
        <f t="shared" si="580"/>
        <v>-</v>
      </c>
      <c r="O215" s="1009"/>
      <c r="P215" s="1010"/>
      <c r="Q215" s="1010"/>
      <c r="R215" s="1458" t="str">
        <f t="shared" si="581"/>
        <v>-</v>
      </c>
      <c r="S215" s="1013"/>
      <c r="T215" s="1010"/>
      <c r="U215" s="1010"/>
      <c r="V215" s="1458" t="str">
        <f t="shared" si="582"/>
        <v>-</v>
      </c>
      <c r="W215" s="1013"/>
      <c r="X215" s="1010"/>
      <c r="Y215" s="1010"/>
      <c r="Z215" s="1458" t="str">
        <f t="shared" si="583"/>
        <v>-</v>
      </c>
      <c r="AA215" s="1013"/>
      <c r="AB215" s="1010"/>
      <c r="AC215" s="1010"/>
      <c r="AD215" s="1458" t="str">
        <f t="shared" si="584"/>
        <v>-</v>
      </c>
      <c r="AE215" s="1013"/>
      <c r="AF215" s="1010"/>
      <c r="AG215" s="1010"/>
      <c r="AH215" s="1458" t="str">
        <f t="shared" si="585"/>
        <v>-</v>
      </c>
      <c r="AI215" s="1184">
        <f t="shared" si="660"/>
        <v>0</v>
      </c>
      <c r="AJ215" s="1185">
        <f t="shared" si="661"/>
        <v>0</v>
      </c>
      <c r="AK215" s="1185">
        <f t="shared" si="662"/>
        <v>0</v>
      </c>
      <c r="AL215" s="1860" t="str">
        <f t="shared" si="589"/>
        <v>-</v>
      </c>
      <c r="AM215" s="1013"/>
      <c r="AN215" s="1010"/>
      <c r="AO215" s="1010"/>
      <c r="AP215" s="1458" t="str">
        <f t="shared" si="590"/>
        <v>-</v>
      </c>
      <c r="AQ215" s="1013"/>
      <c r="AR215" s="1010"/>
      <c r="AS215" s="1010"/>
      <c r="AT215" s="1458" t="str">
        <f t="shared" si="591"/>
        <v>-</v>
      </c>
      <c r="AU215" s="1013"/>
      <c r="AV215" s="1010"/>
      <c r="AW215" s="1010"/>
      <c r="AX215" s="1458" t="str">
        <f t="shared" si="592"/>
        <v>-</v>
      </c>
      <c r="AY215" s="509"/>
    </row>
    <row r="216" spans="1:51" s="516" customFormat="1">
      <c r="A216" s="552">
        <f t="shared" si="593"/>
        <v>46</v>
      </c>
      <c r="B216" s="1019">
        <v>8</v>
      </c>
      <c r="C216" s="360" t="s">
        <v>1087</v>
      </c>
      <c r="D216" s="973" t="s">
        <v>1088</v>
      </c>
      <c r="E216" s="976" t="s">
        <v>1089</v>
      </c>
      <c r="F216" s="978" t="s">
        <v>1090</v>
      </c>
      <c r="G216" s="1184">
        <f t="shared" si="654"/>
        <v>10000</v>
      </c>
      <c r="H216" s="1185">
        <f t="shared" si="655"/>
        <v>0</v>
      </c>
      <c r="I216" s="1185">
        <f t="shared" si="656"/>
        <v>0</v>
      </c>
      <c r="J216" s="1860" t="str">
        <f t="shared" si="576"/>
        <v>-</v>
      </c>
      <c r="K216" s="1184">
        <f t="shared" si="657"/>
        <v>10000</v>
      </c>
      <c r="L216" s="1185">
        <f t="shared" si="658"/>
        <v>0</v>
      </c>
      <c r="M216" s="1185">
        <f t="shared" si="659"/>
        <v>0</v>
      </c>
      <c r="N216" s="1860" t="str">
        <f t="shared" si="580"/>
        <v>-</v>
      </c>
      <c r="O216" s="1009"/>
      <c r="P216" s="1010"/>
      <c r="Q216" s="1010"/>
      <c r="R216" s="1458" t="str">
        <f t="shared" si="581"/>
        <v>-</v>
      </c>
      <c r="S216" s="1013"/>
      <c r="T216" s="1010"/>
      <c r="U216" s="1010"/>
      <c r="V216" s="1458" t="str">
        <f t="shared" si="582"/>
        <v>-</v>
      </c>
      <c r="W216" s="1013"/>
      <c r="X216" s="1010"/>
      <c r="Y216" s="1010"/>
      <c r="Z216" s="1458" t="str">
        <f t="shared" si="583"/>
        <v>-</v>
      </c>
      <c r="AA216" s="1013"/>
      <c r="AB216" s="1010"/>
      <c r="AC216" s="1010"/>
      <c r="AD216" s="1458" t="str">
        <f t="shared" si="584"/>
        <v>-</v>
      </c>
      <c r="AE216" s="1013">
        <v>10000</v>
      </c>
      <c r="AF216" s="1010"/>
      <c r="AG216" s="1010"/>
      <c r="AH216" s="1458" t="str">
        <f t="shared" si="585"/>
        <v>-</v>
      </c>
      <c r="AI216" s="1184">
        <f t="shared" si="660"/>
        <v>0</v>
      </c>
      <c r="AJ216" s="1185">
        <f t="shared" si="661"/>
        <v>0</v>
      </c>
      <c r="AK216" s="1185">
        <f t="shared" si="662"/>
        <v>0</v>
      </c>
      <c r="AL216" s="1860" t="str">
        <f t="shared" si="589"/>
        <v>-</v>
      </c>
      <c r="AM216" s="1013"/>
      <c r="AN216" s="1010"/>
      <c r="AO216" s="1010"/>
      <c r="AP216" s="1458" t="str">
        <f t="shared" si="590"/>
        <v>-</v>
      </c>
      <c r="AQ216" s="1013"/>
      <c r="AR216" s="1010"/>
      <c r="AS216" s="1010"/>
      <c r="AT216" s="1458" t="str">
        <f t="shared" si="591"/>
        <v>-</v>
      </c>
      <c r="AU216" s="1013"/>
      <c r="AV216" s="1010"/>
      <c r="AW216" s="1010"/>
      <c r="AX216" s="1458" t="str">
        <f t="shared" si="592"/>
        <v>-</v>
      </c>
      <c r="AY216" s="509"/>
    </row>
    <row r="217" spans="1:51" s="516" customFormat="1">
      <c r="A217" s="552">
        <f t="shared" si="593"/>
        <v>47</v>
      </c>
      <c r="B217" s="1019">
        <v>8</v>
      </c>
      <c r="C217" s="360" t="s">
        <v>1091</v>
      </c>
      <c r="D217" s="973" t="s">
        <v>1092</v>
      </c>
      <c r="E217" s="976" t="s">
        <v>1093</v>
      </c>
      <c r="F217" s="978" t="s">
        <v>1092</v>
      </c>
      <c r="G217" s="1184">
        <f t="shared" si="654"/>
        <v>8787</v>
      </c>
      <c r="H217" s="1185">
        <f t="shared" si="655"/>
        <v>6718</v>
      </c>
      <c r="I217" s="1185">
        <f t="shared" si="656"/>
        <v>6718</v>
      </c>
      <c r="J217" s="1860">
        <f t="shared" si="576"/>
        <v>1</v>
      </c>
      <c r="K217" s="1184">
        <f t="shared" si="657"/>
        <v>8787</v>
      </c>
      <c r="L217" s="1185">
        <f t="shared" si="658"/>
        <v>6718</v>
      </c>
      <c r="M217" s="1185">
        <f t="shared" si="659"/>
        <v>6718</v>
      </c>
      <c r="N217" s="1860">
        <f t="shared" si="580"/>
        <v>1</v>
      </c>
      <c r="O217" s="1009"/>
      <c r="P217" s="1010"/>
      <c r="Q217" s="1010"/>
      <c r="R217" s="1458" t="str">
        <f t="shared" si="581"/>
        <v>-</v>
      </c>
      <c r="S217" s="1013"/>
      <c r="T217" s="1010"/>
      <c r="U217" s="1010"/>
      <c r="V217" s="1458" t="str">
        <f t="shared" si="582"/>
        <v>-</v>
      </c>
      <c r="W217" s="1013"/>
      <c r="X217" s="1010"/>
      <c r="Y217" s="1010"/>
      <c r="Z217" s="1458" t="str">
        <f t="shared" si="583"/>
        <v>-</v>
      </c>
      <c r="AA217" s="1013"/>
      <c r="AB217" s="1010"/>
      <c r="AC217" s="1010"/>
      <c r="AD217" s="1458" t="str">
        <f t="shared" si="584"/>
        <v>-</v>
      </c>
      <c r="AE217" s="1013">
        <v>8787</v>
      </c>
      <c r="AF217" s="1010">
        <f>2226+1497+2995</f>
        <v>6718</v>
      </c>
      <c r="AG217" s="1010">
        <f>2226+1497+2995</f>
        <v>6718</v>
      </c>
      <c r="AH217" s="1458">
        <f t="shared" si="585"/>
        <v>1</v>
      </c>
      <c r="AI217" s="1184">
        <f t="shared" si="660"/>
        <v>0</v>
      </c>
      <c r="AJ217" s="1185">
        <f t="shared" si="661"/>
        <v>0</v>
      </c>
      <c r="AK217" s="1185">
        <f t="shared" si="662"/>
        <v>0</v>
      </c>
      <c r="AL217" s="1860" t="str">
        <f t="shared" si="589"/>
        <v>-</v>
      </c>
      <c r="AM217" s="1013"/>
      <c r="AN217" s="1010"/>
      <c r="AO217" s="1010"/>
      <c r="AP217" s="1458" t="str">
        <f t="shared" si="590"/>
        <v>-</v>
      </c>
      <c r="AQ217" s="1013"/>
      <c r="AR217" s="1010"/>
      <c r="AS217" s="1010"/>
      <c r="AT217" s="1458" t="str">
        <f t="shared" si="591"/>
        <v>-</v>
      </c>
      <c r="AU217" s="1013"/>
      <c r="AV217" s="1010"/>
      <c r="AW217" s="1010"/>
      <c r="AX217" s="1458" t="str">
        <f t="shared" si="592"/>
        <v>-</v>
      </c>
      <c r="AY217" s="509"/>
    </row>
    <row r="218" spans="1:51" s="516" customFormat="1">
      <c r="A218" s="552">
        <f t="shared" si="593"/>
        <v>48</v>
      </c>
      <c r="B218" s="1019">
        <v>8</v>
      </c>
      <c r="C218" s="360" t="s">
        <v>750</v>
      </c>
      <c r="D218" s="973" t="s">
        <v>751</v>
      </c>
      <c r="E218" s="976" t="s">
        <v>796</v>
      </c>
      <c r="F218" s="978" t="s">
        <v>751</v>
      </c>
      <c r="G218" s="1184">
        <f t="shared" si="654"/>
        <v>16000</v>
      </c>
      <c r="H218" s="1185">
        <f t="shared" si="655"/>
        <v>0</v>
      </c>
      <c r="I218" s="1185">
        <f t="shared" si="656"/>
        <v>0</v>
      </c>
      <c r="J218" s="1860" t="str">
        <f t="shared" si="576"/>
        <v>-</v>
      </c>
      <c r="K218" s="1184">
        <f t="shared" si="657"/>
        <v>16000</v>
      </c>
      <c r="L218" s="1185">
        <f t="shared" si="658"/>
        <v>0</v>
      </c>
      <c r="M218" s="1185">
        <f t="shared" si="659"/>
        <v>0</v>
      </c>
      <c r="N218" s="1860" t="str">
        <f t="shared" si="580"/>
        <v>-</v>
      </c>
      <c r="O218" s="1009"/>
      <c r="P218" s="1010"/>
      <c r="Q218" s="1010"/>
      <c r="R218" s="1458" t="str">
        <f t="shared" si="581"/>
        <v>-</v>
      </c>
      <c r="S218" s="1013"/>
      <c r="T218" s="1010"/>
      <c r="U218" s="1010"/>
      <c r="V218" s="1458" t="str">
        <f t="shared" si="582"/>
        <v>-</v>
      </c>
      <c r="W218" s="1013">
        <v>16000</v>
      </c>
      <c r="X218" s="1010"/>
      <c r="Y218" s="1010"/>
      <c r="Z218" s="1458" t="str">
        <f t="shared" si="583"/>
        <v>-</v>
      </c>
      <c r="AA218" s="1013"/>
      <c r="AB218" s="1010"/>
      <c r="AC218" s="1010"/>
      <c r="AD218" s="1458" t="str">
        <f t="shared" si="584"/>
        <v>-</v>
      </c>
      <c r="AE218" s="1013"/>
      <c r="AF218" s="1010"/>
      <c r="AG218" s="1010"/>
      <c r="AH218" s="1458" t="str">
        <f t="shared" si="585"/>
        <v>-</v>
      </c>
      <c r="AI218" s="1184">
        <f t="shared" si="660"/>
        <v>0</v>
      </c>
      <c r="AJ218" s="1185">
        <f t="shared" si="661"/>
        <v>0</v>
      </c>
      <c r="AK218" s="1185">
        <f t="shared" si="662"/>
        <v>0</v>
      </c>
      <c r="AL218" s="1860" t="str">
        <f t="shared" si="589"/>
        <v>-</v>
      </c>
      <c r="AM218" s="1013"/>
      <c r="AN218" s="1010"/>
      <c r="AO218" s="1010"/>
      <c r="AP218" s="1458" t="str">
        <f t="shared" si="590"/>
        <v>-</v>
      </c>
      <c r="AQ218" s="1013"/>
      <c r="AR218" s="1010"/>
      <c r="AS218" s="1010"/>
      <c r="AT218" s="1458" t="str">
        <f t="shared" si="591"/>
        <v>-</v>
      </c>
      <c r="AU218" s="1013"/>
      <c r="AV218" s="1010"/>
      <c r="AW218" s="1010"/>
      <c r="AX218" s="1458" t="str">
        <f t="shared" si="592"/>
        <v>-</v>
      </c>
      <c r="AY218" s="509"/>
    </row>
    <row r="219" spans="1:51" s="516" customFormat="1">
      <c r="A219" s="552">
        <f t="shared" si="593"/>
        <v>49</v>
      </c>
      <c r="B219" s="1019">
        <v>8</v>
      </c>
      <c r="C219" s="360" t="s">
        <v>1097</v>
      </c>
      <c r="D219" s="973" t="s">
        <v>1094</v>
      </c>
      <c r="E219" s="976" t="s">
        <v>1095</v>
      </c>
      <c r="F219" s="978" t="s">
        <v>1094</v>
      </c>
      <c r="G219" s="1184">
        <f t="shared" si="654"/>
        <v>0</v>
      </c>
      <c r="H219" s="1185">
        <f t="shared" si="655"/>
        <v>0</v>
      </c>
      <c r="I219" s="1185">
        <f t="shared" si="656"/>
        <v>0</v>
      </c>
      <c r="J219" s="1860" t="str">
        <f t="shared" si="576"/>
        <v>-</v>
      </c>
      <c r="K219" s="1184">
        <f t="shared" si="657"/>
        <v>0</v>
      </c>
      <c r="L219" s="1185">
        <f t="shared" si="658"/>
        <v>0</v>
      </c>
      <c r="M219" s="1185">
        <f t="shared" si="659"/>
        <v>0</v>
      </c>
      <c r="N219" s="1860" t="str">
        <f t="shared" si="580"/>
        <v>-</v>
      </c>
      <c r="O219" s="1009"/>
      <c r="P219" s="1010"/>
      <c r="Q219" s="1010"/>
      <c r="R219" s="1458" t="str">
        <f t="shared" si="581"/>
        <v>-</v>
      </c>
      <c r="S219" s="1013"/>
      <c r="T219" s="1010"/>
      <c r="U219" s="1010"/>
      <c r="V219" s="1458" t="str">
        <f t="shared" si="582"/>
        <v>-</v>
      </c>
      <c r="W219" s="1013"/>
      <c r="X219" s="1010"/>
      <c r="Y219" s="1010"/>
      <c r="Z219" s="1458" t="str">
        <f t="shared" si="583"/>
        <v>-</v>
      </c>
      <c r="AA219" s="1013"/>
      <c r="AB219" s="1010"/>
      <c r="AC219" s="1010"/>
      <c r="AD219" s="1458" t="str">
        <f t="shared" si="584"/>
        <v>-</v>
      </c>
      <c r="AE219" s="1013"/>
      <c r="AF219" s="1010"/>
      <c r="AG219" s="1010"/>
      <c r="AH219" s="1458" t="str">
        <f t="shared" si="585"/>
        <v>-</v>
      </c>
      <c r="AI219" s="1184">
        <f t="shared" si="660"/>
        <v>0</v>
      </c>
      <c r="AJ219" s="1185">
        <f t="shared" si="661"/>
        <v>0</v>
      </c>
      <c r="AK219" s="1185">
        <f t="shared" si="662"/>
        <v>0</v>
      </c>
      <c r="AL219" s="1860" t="str">
        <f t="shared" si="589"/>
        <v>-</v>
      </c>
      <c r="AM219" s="1013"/>
      <c r="AN219" s="1010"/>
      <c r="AO219" s="1010"/>
      <c r="AP219" s="1458" t="str">
        <f t="shared" si="590"/>
        <v>-</v>
      </c>
      <c r="AQ219" s="1013"/>
      <c r="AR219" s="1010"/>
      <c r="AS219" s="1010"/>
      <c r="AT219" s="1458" t="str">
        <f t="shared" si="591"/>
        <v>-</v>
      </c>
      <c r="AU219" s="1013"/>
      <c r="AV219" s="1010"/>
      <c r="AW219" s="1010"/>
      <c r="AX219" s="1458" t="str">
        <f t="shared" si="592"/>
        <v>-</v>
      </c>
      <c r="AY219" s="509"/>
    </row>
    <row r="220" spans="1:51" s="516" customFormat="1">
      <c r="A220" s="552">
        <f t="shared" si="593"/>
        <v>50</v>
      </c>
      <c r="B220" s="1019">
        <v>8</v>
      </c>
      <c r="C220" s="360" t="s">
        <v>1098</v>
      </c>
      <c r="D220" s="973" t="s">
        <v>1096</v>
      </c>
      <c r="E220" s="976" t="s">
        <v>1099</v>
      </c>
      <c r="F220" s="978" t="s">
        <v>1100</v>
      </c>
      <c r="G220" s="1184">
        <f t="shared" si="654"/>
        <v>0</v>
      </c>
      <c r="H220" s="1185">
        <f t="shared" si="655"/>
        <v>0</v>
      </c>
      <c r="I220" s="1185">
        <f t="shared" si="656"/>
        <v>0</v>
      </c>
      <c r="J220" s="1860" t="str">
        <f t="shared" si="576"/>
        <v>-</v>
      </c>
      <c r="K220" s="1184">
        <f t="shared" si="657"/>
        <v>0</v>
      </c>
      <c r="L220" s="1185">
        <f t="shared" si="658"/>
        <v>0</v>
      </c>
      <c r="M220" s="1185">
        <f t="shared" si="659"/>
        <v>0</v>
      </c>
      <c r="N220" s="1860" t="str">
        <f t="shared" si="580"/>
        <v>-</v>
      </c>
      <c r="O220" s="1009"/>
      <c r="P220" s="1010"/>
      <c r="Q220" s="1010"/>
      <c r="R220" s="1458" t="str">
        <f t="shared" si="581"/>
        <v>-</v>
      </c>
      <c r="S220" s="1013"/>
      <c r="T220" s="1010"/>
      <c r="U220" s="1010"/>
      <c r="V220" s="1458" t="str">
        <f t="shared" si="582"/>
        <v>-</v>
      </c>
      <c r="W220" s="1013"/>
      <c r="X220" s="1010"/>
      <c r="Y220" s="1010"/>
      <c r="Z220" s="1458" t="str">
        <f t="shared" si="583"/>
        <v>-</v>
      </c>
      <c r="AA220" s="1013"/>
      <c r="AB220" s="1010"/>
      <c r="AC220" s="1010"/>
      <c r="AD220" s="1458" t="str">
        <f t="shared" si="584"/>
        <v>-</v>
      </c>
      <c r="AE220" s="1013"/>
      <c r="AF220" s="1010"/>
      <c r="AG220" s="1010"/>
      <c r="AH220" s="1458" t="str">
        <f t="shared" si="585"/>
        <v>-</v>
      </c>
      <c r="AI220" s="1184">
        <f t="shared" si="660"/>
        <v>0</v>
      </c>
      <c r="AJ220" s="1185">
        <f t="shared" si="661"/>
        <v>0</v>
      </c>
      <c r="AK220" s="1185">
        <f t="shared" si="662"/>
        <v>0</v>
      </c>
      <c r="AL220" s="1860" t="str">
        <f t="shared" si="589"/>
        <v>-</v>
      </c>
      <c r="AM220" s="1013"/>
      <c r="AN220" s="1010"/>
      <c r="AO220" s="1010"/>
      <c r="AP220" s="1458" t="str">
        <f t="shared" si="590"/>
        <v>-</v>
      </c>
      <c r="AQ220" s="1013"/>
      <c r="AR220" s="1010"/>
      <c r="AS220" s="1010"/>
      <c r="AT220" s="1458" t="str">
        <f t="shared" si="591"/>
        <v>-</v>
      </c>
      <c r="AU220" s="1013"/>
      <c r="AV220" s="1010"/>
      <c r="AW220" s="1010"/>
      <c r="AX220" s="1458" t="str">
        <f t="shared" si="592"/>
        <v>-</v>
      </c>
      <c r="AY220" s="509"/>
    </row>
    <row r="221" spans="1:51" s="516" customFormat="1">
      <c r="A221" s="552">
        <f t="shared" si="593"/>
        <v>51</v>
      </c>
      <c r="B221" s="288">
        <v>8</v>
      </c>
      <c r="C221" s="360" t="s">
        <v>1101</v>
      </c>
      <c r="D221" s="973" t="s">
        <v>1102</v>
      </c>
      <c r="E221" s="976" t="s">
        <v>1103</v>
      </c>
      <c r="F221" s="978" t="s">
        <v>1102</v>
      </c>
      <c r="G221" s="1184">
        <f t="shared" si="654"/>
        <v>0</v>
      </c>
      <c r="H221" s="1185">
        <f t="shared" si="655"/>
        <v>0</v>
      </c>
      <c r="I221" s="1185">
        <f t="shared" si="656"/>
        <v>0</v>
      </c>
      <c r="J221" s="1860" t="str">
        <f t="shared" si="576"/>
        <v>-</v>
      </c>
      <c r="K221" s="1184">
        <f t="shared" si="657"/>
        <v>0</v>
      </c>
      <c r="L221" s="1185">
        <f t="shared" si="658"/>
        <v>0</v>
      </c>
      <c r="M221" s="1185">
        <f t="shared" si="659"/>
        <v>0</v>
      </c>
      <c r="N221" s="1860" t="str">
        <f t="shared" si="580"/>
        <v>-</v>
      </c>
      <c r="O221" s="1009"/>
      <c r="P221" s="1010"/>
      <c r="Q221" s="1010"/>
      <c r="R221" s="1458" t="str">
        <f t="shared" si="581"/>
        <v>-</v>
      </c>
      <c r="S221" s="1013"/>
      <c r="T221" s="1010"/>
      <c r="U221" s="1010"/>
      <c r="V221" s="1458" t="str">
        <f t="shared" si="582"/>
        <v>-</v>
      </c>
      <c r="W221" s="1013"/>
      <c r="X221" s="1010"/>
      <c r="Y221" s="1010"/>
      <c r="Z221" s="1458" t="str">
        <f t="shared" si="583"/>
        <v>-</v>
      </c>
      <c r="AA221" s="1013"/>
      <c r="AB221" s="1010"/>
      <c r="AC221" s="1010"/>
      <c r="AD221" s="1458" t="str">
        <f t="shared" si="584"/>
        <v>-</v>
      </c>
      <c r="AE221" s="1013"/>
      <c r="AF221" s="1010"/>
      <c r="AG221" s="1010"/>
      <c r="AH221" s="1458" t="str">
        <f t="shared" si="585"/>
        <v>-</v>
      </c>
      <c r="AI221" s="1184">
        <f t="shared" si="660"/>
        <v>0</v>
      </c>
      <c r="AJ221" s="1185">
        <f t="shared" si="661"/>
        <v>0</v>
      </c>
      <c r="AK221" s="1185">
        <f t="shared" si="662"/>
        <v>0</v>
      </c>
      <c r="AL221" s="1860" t="str">
        <f t="shared" si="589"/>
        <v>-</v>
      </c>
      <c r="AM221" s="1013"/>
      <c r="AN221" s="1010"/>
      <c r="AO221" s="1010"/>
      <c r="AP221" s="1458" t="str">
        <f t="shared" si="590"/>
        <v>-</v>
      </c>
      <c r="AQ221" s="1013"/>
      <c r="AR221" s="1010"/>
      <c r="AS221" s="1010"/>
      <c r="AT221" s="1458" t="str">
        <f t="shared" si="591"/>
        <v>-</v>
      </c>
      <c r="AU221" s="1013"/>
      <c r="AV221" s="1010"/>
      <c r="AW221" s="1010"/>
      <c r="AX221" s="1458" t="str">
        <f t="shared" si="592"/>
        <v>-</v>
      </c>
      <c r="AY221" s="509"/>
    </row>
    <row r="222" spans="1:51" s="511" customFormat="1" ht="24">
      <c r="A222" s="552">
        <f t="shared" si="593"/>
        <v>52</v>
      </c>
      <c r="B222" s="1019">
        <v>7</v>
      </c>
      <c r="C222" s="425" t="s">
        <v>2792</v>
      </c>
      <c r="D222" s="979" t="s">
        <v>2794</v>
      </c>
      <c r="E222" s="1890"/>
      <c r="F222" s="979" t="s">
        <v>2793</v>
      </c>
      <c r="G222" s="1184">
        <f>+K222+AI222</f>
        <v>0</v>
      </c>
      <c r="H222" s="1185">
        <f>+L222+AJ222</f>
        <v>65524</v>
      </c>
      <c r="I222" s="1185">
        <f>+M222+AK222</f>
        <v>65524</v>
      </c>
      <c r="J222" s="1860">
        <f t="shared" ref="J222" si="663">IF(ISERROR(I222/H222),"-",I222/H222)</f>
        <v>1</v>
      </c>
      <c r="K222" s="1184">
        <f>+O222+S222+W222+AA222+AE222</f>
        <v>0</v>
      </c>
      <c r="L222" s="1185">
        <f>+P222+T222+X222+AB222+AF222</f>
        <v>61319</v>
      </c>
      <c r="M222" s="1185">
        <f>+Q222+U222+Y222+AC222+AG222</f>
        <v>61319</v>
      </c>
      <c r="N222" s="1860">
        <f t="shared" ref="N222" si="664">IF(ISERROR(M222/L222),"-",M222/L222)</f>
        <v>1</v>
      </c>
      <c r="O222" s="1009"/>
      <c r="P222" s="1010">
        <f>1262+22763</f>
        <v>24025</v>
      </c>
      <c r="Q222" s="1010">
        <f>1262+22763</f>
        <v>24025</v>
      </c>
      <c r="R222" s="1458">
        <f t="shared" ref="R222" si="665">IF(ISERROR(Q222/P222),"-",Q222/P222)</f>
        <v>1</v>
      </c>
      <c r="S222" s="1013"/>
      <c r="T222" s="1010">
        <f>244+4084</f>
        <v>4328</v>
      </c>
      <c r="U222" s="1010">
        <f>244+4084</f>
        <v>4328</v>
      </c>
      <c r="V222" s="1458">
        <f t="shared" ref="V222" si="666">IF(ISERROR(U222/T222),"-",U222/T222)</f>
        <v>1</v>
      </c>
      <c r="W222" s="1013"/>
      <c r="X222" s="1010">
        <v>32966</v>
      </c>
      <c r="Y222" s="1010">
        <v>32966</v>
      </c>
      <c r="Z222" s="1458">
        <f t="shared" ref="Z222" si="667">IF(ISERROR(Y222/X222),"-",Y222/X222)</f>
        <v>1</v>
      </c>
      <c r="AA222" s="1013"/>
      <c r="AB222" s="1010"/>
      <c r="AC222" s="1010"/>
      <c r="AD222" s="1458" t="str">
        <f t="shared" ref="AD222" si="668">IF(ISERROR(AC222/AB222),"-",AC222/AB222)</f>
        <v>-</v>
      </c>
      <c r="AE222" s="1013"/>
      <c r="AF222" s="1010"/>
      <c r="AG222" s="1010"/>
      <c r="AH222" s="1458" t="str">
        <f t="shared" ref="AH222" si="669">IF(ISERROR(AG222/AF222),"-",AG222/AF222)</f>
        <v>-</v>
      </c>
      <c r="AI222" s="1184">
        <f>+AM222+AQ222+AU222</f>
        <v>0</v>
      </c>
      <c r="AJ222" s="1185">
        <f>+AN222+AR222+AV222</f>
        <v>4205</v>
      </c>
      <c r="AK222" s="1185">
        <f>+AO222+AS222+AW222</f>
        <v>4205</v>
      </c>
      <c r="AL222" s="1860">
        <f t="shared" ref="AL222" si="670">IF(ISERROR(AK222/AJ222),"-",AK222/AJ222)</f>
        <v>1</v>
      </c>
      <c r="AM222" s="1013"/>
      <c r="AN222" s="1010">
        <v>4205</v>
      </c>
      <c r="AO222" s="1010">
        <v>4205</v>
      </c>
      <c r="AP222" s="1458">
        <f t="shared" ref="AP222" si="671">IF(ISERROR(AO222/AN222),"-",AO222/AN222)</f>
        <v>1</v>
      </c>
      <c r="AQ222" s="1013"/>
      <c r="AR222" s="1010"/>
      <c r="AS222" s="1010"/>
      <c r="AT222" s="1458" t="str">
        <f t="shared" ref="AT222" si="672">IF(ISERROR(AS222/AR222),"-",AS222/AR222)</f>
        <v>-</v>
      </c>
      <c r="AU222" s="1013"/>
      <c r="AV222" s="1010"/>
      <c r="AW222" s="1010"/>
      <c r="AX222" s="1458" t="str">
        <f t="shared" ref="AX222" si="673">IF(ISERROR(AW222/AV222),"-",AW222/AV222)</f>
        <v>-</v>
      </c>
      <c r="AY222" s="509"/>
    </row>
    <row r="223" spans="1:51" s="516" customFormat="1">
      <c r="A223" s="552">
        <f t="shared" si="593"/>
        <v>53</v>
      </c>
      <c r="B223" s="288">
        <v>8</v>
      </c>
      <c r="C223" s="357" t="s">
        <v>781</v>
      </c>
      <c r="D223" s="981" t="s">
        <v>779</v>
      </c>
      <c r="E223" s="982" t="s">
        <v>698</v>
      </c>
      <c r="F223" s="983" t="s">
        <v>665</v>
      </c>
      <c r="G223" s="1184">
        <f t="shared" si="654"/>
        <v>15531</v>
      </c>
      <c r="H223" s="1185">
        <f t="shared" si="655"/>
        <v>0</v>
      </c>
      <c r="I223" s="1185">
        <f t="shared" si="656"/>
        <v>0</v>
      </c>
      <c r="J223" s="1860" t="str">
        <f t="shared" si="576"/>
        <v>-</v>
      </c>
      <c r="K223" s="1184">
        <f t="shared" si="657"/>
        <v>15531</v>
      </c>
      <c r="L223" s="1185">
        <f t="shared" si="658"/>
        <v>0</v>
      </c>
      <c r="M223" s="1185">
        <f t="shared" si="659"/>
        <v>0</v>
      </c>
      <c r="N223" s="1860" t="str">
        <f t="shared" si="580"/>
        <v>-</v>
      </c>
      <c r="O223" s="1009"/>
      <c r="P223" s="1010"/>
      <c r="Q223" s="1010"/>
      <c r="R223" s="1458" t="str">
        <f t="shared" si="581"/>
        <v>-</v>
      </c>
      <c r="S223" s="1013"/>
      <c r="T223" s="1010"/>
      <c r="U223" s="1010"/>
      <c r="V223" s="1458" t="str">
        <f t="shared" si="582"/>
        <v>-</v>
      </c>
      <c r="W223" s="1013">
        <v>531</v>
      </c>
      <c r="X223" s="1010"/>
      <c r="Y223" s="1010"/>
      <c r="Z223" s="1458" t="str">
        <f t="shared" si="583"/>
        <v>-</v>
      </c>
      <c r="AA223" s="1013"/>
      <c r="AB223" s="1010"/>
      <c r="AC223" s="1010"/>
      <c r="AD223" s="1458" t="str">
        <f t="shared" si="584"/>
        <v>-</v>
      </c>
      <c r="AE223" s="1013">
        <v>15000</v>
      </c>
      <c r="AF223" s="1010"/>
      <c r="AG223" s="1010"/>
      <c r="AH223" s="1458" t="str">
        <f t="shared" si="585"/>
        <v>-</v>
      </c>
      <c r="AI223" s="1184">
        <f t="shared" si="660"/>
        <v>0</v>
      </c>
      <c r="AJ223" s="1185">
        <f t="shared" si="661"/>
        <v>0</v>
      </c>
      <c r="AK223" s="1185">
        <f t="shared" si="662"/>
        <v>0</v>
      </c>
      <c r="AL223" s="1860" t="str">
        <f t="shared" si="589"/>
        <v>-</v>
      </c>
      <c r="AM223" s="1013"/>
      <c r="AN223" s="1010"/>
      <c r="AO223" s="1010"/>
      <c r="AP223" s="1458" t="str">
        <f t="shared" si="590"/>
        <v>-</v>
      </c>
      <c r="AQ223" s="1013"/>
      <c r="AR223" s="1010"/>
      <c r="AS223" s="1010"/>
      <c r="AT223" s="1458" t="str">
        <f t="shared" si="591"/>
        <v>-</v>
      </c>
      <c r="AU223" s="1013"/>
      <c r="AV223" s="1010"/>
      <c r="AW223" s="1010"/>
      <c r="AX223" s="1458" t="str">
        <f t="shared" si="592"/>
        <v>-</v>
      </c>
      <c r="AY223" s="509"/>
    </row>
    <row r="224" spans="1:51" s="516" customFormat="1">
      <c r="A224" s="552">
        <f t="shared" si="593"/>
        <v>54</v>
      </c>
      <c r="B224" s="288">
        <v>8</v>
      </c>
      <c r="C224" s="357" t="s">
        <v>782</v>
      </c>
      <c r="D224" s="981" t="s">
        <v>780</v>
      </c>
      <c r="E224" s="982" t="s">
        <v>692</v>
      </c>
      <c r="F224" s="983" t="s">
        <v>661</v>
      </c>
      <c r="G224" s="1184">
        <f t="shared" si="654"/>
        <v>13300</v>
      </c>
      <c r="H224" s="1185">
        <f t="shared" si="655"/>
        <v>12312</v>
      </c>
      <c r="I224" s="1185">
        <f t="shared" si="656"/>
        <v>12312</v>
      </c>
      <c r="J224" s="1860">
        <f t="shared" si="576"/>
        <v>1</v>
      </c>
      <c r="K224" s="1184">
        <f t="shared" si="657"/>
        <v>13300</v>
      </c>
      <c r="L224" s="1185">
        <f t="shared" si="658"/>
        <v>12312</v>
      </c>
      <c r="M224" s="1185">
        <f t="shared" si="659"/>
        <v>12312</v>
      </c>
      <c r="N224" s="1860">
        <f t="shared" si="580"/>
        <v>1</v>
      </c>
      <c r="O224" s="1009"/>
      <c r="P224" s="1010"/>
      <c r="Q224" s="1010"/>
      <c r="R224" s="1458" t="str">
        <f t="shared" si="581"/>
        <v>-</v>
      </c>
      <c r="S224" s="1013"/>
      <c r="T224" s="1010"/>
      <c r="U224" s="1010"/>
      <c r="V224" s="1458" t="str">
        <f t="shared" si="582"/>
        <v>-</v>
      </c>
      <c r="W224" s="1013"/>
      <c r="X224" s="1010"/>
      <c r="Y224" s="1010"/>
      <c r="Z224" s="1458" t="str">
        <f t="shared" si="583"/>
        <v>-</v>
      </c>
      <c r="AA224" s="1013"/>
      <c r="AB224" s="1010"/>
      <c r="AC224" s="1010"/>
      <c r="AD224" s="1458" t="str">
        <f t="shared" si="584"/>
        <v>-</v>
      </c>
      <c r="AE224" s="1013">
        <v>13300</v>
      </c>
      <c r="AF224" s="1010">
        <v>12312</v>
      </c>
      <c r="AG224" s="1010">
        <v>12312</v>
      </c>
      <c r="AH224" s="1458">
        <f t="shared" si="585"/>
        <v>1</v>
      </c>
      <c r="AI224" s="1184">
        <f t="shared" si="660"/>
        <v>0</v>
      </c>
      <c r="AJ224" s="1185">
        <f t="shared" si="661"/>
        <v>0</v>
      </c>
      <c r="AK224" s="1185">
        <f t="shared" si="662"/>
        <v>0</v>
      </c>
      <c r="AL224" s="1860" t="str">
        <f t="shared" si="589"/>
        <v>-</v>
      </c>
      <c r="AM224" s="1013"/>
      <c r="AN224" s="1010"/>
      <c r="AO224" s="1010"/>
      <c r="AP224" s="1458" t="str">
        <f t="shared" si="590"/>
        <v>-</v>
      </c>
      <c r="AQ224" s="1013"/>
      <c r="AR224" s="1010"/>
      <c r="AS224" s="1010"/>
      <c r="AT224" s="1458" t="str">
        <f t="shared" si="591"/>
        <v>-</v>
      </c>
      <c r="AU224" s="1013"/>
      <c r="AV224" s="1010"/>
      <c r="AW224" s="1010"/>
      <c r="AX224" s="1458" t="str">
        <f t="shared" si="592"/>
        <v>-</v>
      </c>
      <c r="AY224" s="509"/>
    </row>
    <row r="225" spans="1:51" s="516" customFormat="1">
      <c r="A225" s="552">
        <f t="shared" si="593"/>
        <v>55</v>
      </c>
      <c r="B225" s="288">
        <v>8</v>
      </c>
      <c r="C225" s="360" t="s">
        <v>1104</v>
      </c>
      <c r="D225" s="973" t="s">
        <v>1105</v>
      </c>
      <c r="E225" s="976" t="s">
        <v>1106</v>
      </c>
      <c r="F225" s="978" t="s">
        <v>1105</v>
      </c>
      <c r="G225" s="1184">
        <f t="shared" si="654"/>
        <v>0</v>
      </c>
      <c r="H225" s="1185">
        <f t="shared" si="655"/>
        <v>0</v>
      </c>
      <c r="I225" s="1185">
        <f t="shared" si="656"/>
        <v>0</v>
      </c>
      <c r="J225" s="1860" t="str">
        <f t="shared" si="576"/>
        <v>-</v>
      </c>
      <c r="K225" s="1184">
        <f t="shared" si="657"/>
        <v>0</v>
      </c>
      <c r="L225" s="1185">
        <f t="shared" si="658"/>
        <v>0</v>
      </c>
      <c r="M225" s="1185">
        <f t="shared" si="659"/>
        <v>0</v>
      </c>
      <c r="N225" s="1860" t="str">
        <f t="shared" si="580"/>
        <v>-</v>
      </c>
      <c r="O225" s="1009"/>
      <c r="P225" s="1010"/>
      <c r="Q225" s="1010"/>
      <c r="R225" s="1458" t="str">
        <f t="shared" si="581"/>
        <v>-</v>
      </c>
      <c r="S225" s="1013"/>
      <c r="T225" s="1010"/>
      <c r="U225" s="1010"/>
      <c r="V225" s="1458" t="str">
        <f t="shared" si="582"/>
        <v>-</v>
      </c>
      <c r="W225" s="1013"/>
      <c r="X225" s="1010"/>
      <c r="Y225" s="1010"/>
      <c r="Z225" s="1458" t="str">
        <f t="shared" si="583"/>
        <v>-</v>
      </c>
      <c r="AA225" s="1013"/>
      <c r="AB225" s="1010"/>
      <c r="AC225" s="1010"/>
      <c r="AD225" s="1458" t="str">
        <f t="shared" si="584"/>
        <v>-</v>
      </c>
      <c r="AE225" s="1013"/>
      <c r="AF225" s="1010"/>
      <c r="AG225" s="1010"/>
      <c r="AH225" s="1458" t="str">
        <f t="shared" si="585"/>
        <v>-</v>
      </c>
      <c r="AI225" s="1184">
        <f t="shared" si="660"/>
        <v>0</v>
      </c>
      <c r="AJ225" s="1185">
        <f t="shared" si="661"/>
        <v>0</v>
      </c>
      <c r="AK225" s="1185">
        <f t="shared" si="662"/>
        <v>0</v>
      </c>
      <c r="AL225" s="1860" t="str">
        <f t="shared" si="589"/>
        <v>-</v>
      </c>
      <c r="AM225" s="1013"/>
      <c r="AN225" s="1010"/>
      <c r="AO225" s="1010"/>
      <c r="AP225" s="1458" t="str">
        <f t="shared" si="590"/>
        <v>-</v>
      </c>
      <c r="AQ225" s="1013"/>
      <c r="AR225" s="1010"/>
      <c r="AS225" s="1010"/>
      <c r="AT225" s="1458" t="str">
        <f t="shared" si="591"/>
        <v>-</v>
      </c>
      <c r="AU225" s="1013"/>
      <c r="AV225" s="1010"/>
      <c r="AW225" s="1010"/>
      <c r="AX225" s="1458" t="str">
        <f t="shared" si="592"/>
        <v>-</v>
      </c>
      <c r="AY225" s="509"/>
    </row>
    <row r="226" spans="1:51" s="511" customFormat="1">
      <c r="A226" s="552">
        <f t="shared" si="593"/>
        <v>56</v>
      </c>
      <c r="B226" s="1019">
        <v>8</v>
      </c>
      <c r="C226" s="425" t="s">
        <v>1195</v>
      </c>
      <c r="D226" s="979" t="s">
        <v>1196</v>
      </c>
      <c r="E226" s="974"/>
      <c r="F226" s="1005" t="s">
        <v>1201</v>
      </c>
      <c r="G226" s="1184">
        <f t="shared" si="654"/>
        <v>0</v>
      </c>
      <c r="H226" s="1185">
        <f t="shared" si="655"/>
        <v>6904</v>
      </c>
      <c r="I226" s="1185">
        <f t="shared" si="656"/>
        <v>6904</v>
      </c>
      <c r="J226" s="1860">
        <f t="shared" ref="J226" si="674">IF(ISERROR(I226/H226),"-",I226/H226)</f>
        <v>1</v>
      </c>
      <c r="K226" s="1184">
        <f t="shared" si="657"/>
        <v>0</v>
      </c>
      <c r="L226" s="1185">
        <f t="shared" si="658"/>
        <v>0</v>
      </c>
      <c r="M226" s="1185">
        <f t="shared" si="659"/>
        <v>0</v>
      </c>
      <c r="N226" s="1860" t="str">
        <f t="shared" ref="N226" si="675">IF(ISERROR(M226/L226),"-",M226/L226)</f>
        <v>-</v>
      </c>
      <c r="O226" s="1009"/>
      <c r="P226" s="1010"/>
      <c r="Q226" s="1010"/>
      <c r="R226" s="1458" t="str">
        <f t="shared" ref="R226" si="676">IF(ISERROR(Q226/P226),"-",Q226/P226)</f>
        <v>-</v>
      </c>
      <c r="S226" s="1013"/>
      <c r="T226" s="1010"/>
      <c r="U226" s="1010"/>
      <c r="V226" s="1458" t="str">
        <f t="shared" ref="V226" si="677">IF(ISERROR(U226/T226),"-",U226/T226)</f>
        <v>-</v>
      </c>
      <c r="W226" s="1013"/>
      <c r="X226" s="1010"/>
      <c r="Y226" s="1010"/>
      <c r="Z226" s="1458" t="str">
        <f t="shared" ref="Z226" si="678">IF(ISERROR(Y226/X226),"-",Y226/X226)</f>
        <v>-</v>
      </c>
      <c r="AA226" s="1013"/>
      <c r="AB226" s="1010"/>
      <c r="AC226" s="1010"/>
      <c r="AD226" s="1458" t="str">
        <f t="shared" ref="AD226" si="679">IF(ISERROR(AC226/AB226),"-",AC226/AB226)</f>
        <v>-</v>
      </c>
      <c r="AE226" s="1013"/>
      <c r="AF226" s="1010"/>
      <c r="AG226" s="1010"/>
      <c r="AH226" s="1458" t="str">
        <f t="shared" ref="AH226" si="680">IF(ISERROR(AG226/AF226),"-",AG226/AF226)</f>
        <v>-</v>
      </c>
      <c r="AI226" s="1184">
        <f t="shared" si="660"/>
        <v>0</v>
      </c>
      <c r="AJ226" s="1185">
        <f t="shared" si="661"/>
        <v>6904</v>
      </c>
      <c r="AK226" s="1185">
        <f t="shared" si="662"/>
        <v>6904</v>
      </c>
      <c r="AL226" s="1860">
        <f t="shared" ref="AL226" si="681">IF(ISERROR(AK226/AJ226),"-",AK226/AJ226)</f>
        <v>1</v>
      </c>
      <c r="AM226" s="1013"/>
      <c r="AN226" s="1010">
        <v>6904</v>
      </c>
      <c r="AO226" s="1010">
        <v>6904</v>
      </c>
      <c r="AP226" s="1458">
        <f t="shared" ref="AP226" si="682">IF(ISERROR(AO226/AN226),"-",AO226/AN226)</f>
        <v>1</v>
      </c>
      <c r="AQ226" s="1013"/>
      <c r="AR226" s="1010"/>
      <c r="AS226" s="1010"/>
      <c r="AT226" s="1458" t="str">
        <f t="shared" ref="AT226" si="683">IF(ISERROR(AS226/AR226),"-",AS226/AR226)</f>
        <v>-</v>
      </c>
      <c r="AU226" s="1013"/>
      <c r="AV226" s="1010"/>
      <c r="AW226" s="1010"/>
      <c r="AX226" s="1458" t="str">
        <f t="shared" ref="AX226" si="684">IF(ISERROR(AW226/AV226),"-",AW226/AV226)</f>
        <v>-</v>
      </c>
      <c r="AY226" s="509"/>
    </row>
    <row r="227" spans="1:51" s="511" customFormat="1" ht="24">
      <c r="A227" s="552">
        <f t="shared" si="593"/>
        <v>57</v>
      </c>
      <c r="B227" s="1019">
        <v>7</v>
      </c>
      <c r="C227" s="425" t="s">
        <v>2795</v>
      </c>
      <c r="D227" s="979" t="s">
        <v>2797</v>
      </c>
      <c r="E227" s="1890"/>
      <c r="F227" s="979" t="s">
        <v>2796</v>
      </c>
      <c r="G227" s="1184">
        <f t="shared" ref="G227" si="685">+K227+AI227</f>
        <v>0</v>
      </c>
      <c r="H227" s="1185">
        <f t="shared" ref="H227" si="686">+L227+AJ227</f>
        <v>70028</v>
      </c>
      <c r="I227" s="1185">
        <f t="shared" ref="I227" si="687">+M227+AK227</f>
        <v>70028</v>
      </c>
      <c r="J227" s="1860">
        <f t="shared" si="576"/>
        <v>1</v>
      </c>
      <c r="K227" s="1184">
        <f t="shared" ref="K227" si="688">+O227+S227+W227+AA227+AE227</f>
        <v>0</v>
      </c>
      <c r="L227" s="1185">
        <f t="shared" ref="L227" si="689">+P227+T227+X227+AB227+AF227</f>
        <v>67744</v>
      </c>
      <c r="M227" s="1185">
        <f t="shared" ref="M227" si="690">+Q227+U227+Y227+AC227+AG227</f>
        <v>67744</v>
      </c>
      <c r="N227" s="1860">
        <f t="shared" si="580"/>
        <v>1</v>
      </c>
      <c r="O227" s="1009"/>
      <c r="P227" s="1010">
        <f>1807+11893</f>
        <v>13700</v>
      </c>
      <c r="Q227" s="1010">
        <f>1807+11893</f>
        <v>13700</v>
      </c>
      <c r="R227" s="1458">
        <f t="shared" si="581"/>
        <v>1</v>
      </c>
      <c r="S227" s="1013"/>
      <c r="T227" s="1010">
        <f>328+1833</f>
        <v>2161</v>
      </c>
      <c r="U227" s="1010">
        <f>328+1833</f>
        <v>2161</v>
      </c>
      <c r="V227" s="1458">
        <f t="shared" si="582"/>
        <v>1</v>
      </c>
      <c r="W227" s="1013"/>
      <c r="X227" s="1010">
        <f>39+51724</f>
        <v>51763</v>
      </c>
      <c r="Y227" s="1010">
        <f>39+51724</f>
        <v>51763</v>
      </c>
      <c r="Z227" s="1458">
        <f t="shared" si="583"/>
        <v>1</v>
      </c>
      <c r="AA227" s="1013"/>
      <c r="AB227" s="1010"/>
      <c r="AC227" s="1010"/>
      <c r="AD227" s="1458" t="str">
        <f t="shared" si="584"/>
        <v>-</v>
      </c>
      <c r="AE227" s="1013"/>
      <c r="AF227" s="1010">
        <v>120</v>
      </c>
      <c r="AG227" s="1010">
        <v>120</v>
      </c>
      <c r="AH227" s="1458">
        <f t="shared" si="585"/>
        <v>1</v>
      </c>
      <c r="AI227" s="1184">
        <f t="shared" ref="AI227" si="691">+AM227+AQ227+AU227</f>
        <v>0</v>
      </c>
      <c r="AJ227" s="1185">
        <f t="shared" ref="AJ227" si="692">+AN227+AR227+AV227</f>
        <v>2284</v>
      </c>
      <c r="AK227" s="1185">
        <f t="shared" ref="AK227" si="693">+AO227+AS227+AW227</f>
        <v>2284</v>
      </c>
      <c r="AL227" s="1860">
        <f t="shared" si="589"/>
        <v>1</v>
      </c>
      <c r="AM227" s="1013"/>
      <c r="AN227" s="1010">
        <v>2284</v>
      </c>
      <c r="AO227" s="1010">
        <v>2284</v>
      </c>
      <c r="AP227" s="1458">
        <f t="shared" si="590"/>
        <v>1</v>
      </c>
      <c r="AQ227" s="1013"/>
      <c r="AR227" s="1010"/>
      <c r="AS227" s="1010"/>
      <c r="AT227" s="1458" t="str">
        <f t="shared" si="591"/>
        <v>-</v>
      </c>
      <c r="AU227" s="1013"/>
      <c r="AV227" s="1010"/>
      <c r="AW227" s="1010"/>
      <c r="AX227" s="1458" t="str">
        <f t="shared" si="592"/>
        <v>-</v>
      </c>
      <c r="AY227" s="509"/>
    </row>
    <row r="228" spans="1:51" s="516" customFormat="1">
      <c r="A228" s="552">
        <f t="shared" si="593"/>
        <v>58</v>
      </c>
      <c r="B228" s="288">
        <v>6</v>
      </c>
      <c r="C228" s="357" t="s">
        <v>725</v>
      </c>
      <c r="D228" s="981" t="s">
        <v>724</v>
      </c>
      <c r="E228" s="982" t="s">
        <v>676</v>
      </c>
      <c r="F228" s="983" t="s">
        <v>1119</v>
      </c>
      <c r="G228" s="1184">
        <f>+K228+AI228</f>
        <v>2300</v>
      </c>
      <c r="H228" s="1185">
        <f>+L228+AJ228</f>
        <v>1912</v>
      </c>
      <c r="I228" s="1185">
        <f>+M228+AK228</f>
        <v>1912</v>
      </c>
      <c r="J228" s="1860">
        <f>IF(ISERROR(I228/H228),"-",I228/H228)</f>
        <v>1</v>
      </c>
      <c r="K228" s="1184">
        <f>+O228+S228+W228+AA228+AE228</f>
        <v>2300</v>
      </c>
      <c r="L228" s="1185">
        <f>+P228+T228+X228+AB228+AF228</f>
        <v>1912</v>
      </c>
      <c r="M228" s="1185">
        <f>+Q228+U228+Y228+AC228+AG228</f>
        <v>1912</v>
      </c>
      <c r="N228" s="1860">
        <f>IF(ISERROR(M228/L228),"-",M228/L228)</f>
        <v>1</v>
      </c>
      <c r="O228" s="1009"/>
      <c r="P228" s="1010"/>
      <c r="Q228" s="1010"/>
      <c r="R228" s="1458" t="str">
        <f>IF(ISERROR(Q228/P228),"-",Q228/P228)</f>
        <v>-</v>
      </c>
      <c r="S228" s="1013"/>
      <c r="T228" s="1010"/>
      <c r="U228" s="1010"/>
      <c r="V228" s="1458" t="str">
        <f>IF(ISERROR(U228/T228),"-",U228/T228)</f>
        <v>-</v>
      </c>
      <c r="W228" s="1013"/>
      <c r="X228" s="1010"/>
      <c r="Y228" s="1010"/>
      <c r="Z228" s="1458" t="str">
        <f>IF(ISERROR(Y228/X228),"-",Y228/X228)</f>
        <v>-</v>
      </c>
      <c r="AA228" s="1013">
        <v>2300</v>
      </c>
      <c r="AB228" s="1010">
        <v>1912</v>
      </c>
      <c r="AC228" s="1010">
        <v>1912</v>
      </c>
      <c r="AD228" s="1458">
        <f>IF(ISERROR(AC228/AB228),"-",AC228/AB228)</f>
        <v>1</v>
      </c>
      <c r="AE228" s="1013"/>
      <c r="AF228" s="1010"/>
      <c r="AG228" s="1010"/>
      <c r="AH228" s="1458" t="str">
        <f>IF(ISERROR(AG228/AF228),"-",AG228/AF228)</f>
        <v>-</v>
      </c>
      <c r="AI228" s="1184">
        <f>+AM228+AQ228+AU228</f>
        <v>0</v>
      </c>
      <c r="AJ228" s="1185">
        <f>+AN228+AR228+AV228</f>
        <v>0</v>
      </c>
      <c r="AK228" s="1185">
        <f>+AO228+AS228+AW228</f>
        <v>0</v>
      </c>
      <c r="AL228" s="1860" t="str">
        <f>IF(ISERROR(AK228/AJ228),"-",AK228/AJ228)</f>
        <v>-</v>
      </c>
      <c r="AM228" s="1013"/>
      <c r="AN228" s="1010"/>
      <c r="AO228" s="1010"/>
      <c r="AP228" s="1458" t="str">
        <f>IF(ISERROR(AO228/AN228),"-",AO228/AN228)</f>
        <v>-</v>
      </c>
      <c r="AQ228" s="1013"/>
      <c r="AR228" s="1010"/>
      <c r="AS228" s="1010"/>
      <c r="AT228" s="1458" t="str">
        <f>IF(ISERROR(AS228/AR228),"-",AS228/AR228)</f>
        <v>-</v>
      </c>
      <c r="AU228" s="1013"/>
      <c r="AV228" s="1010"/>
      <c r="AW228" s="1010"/>
      <c r="AX228" s="1458" t="str">
        <f>IF(ISERROR(AW228/AV228),"-",AW228/AV228)</f>
        <v>-</v>
      </c>
      <c r="AY228" s="509"/>
    </row>
    <row r="229" spans="1:51" s="516" customFormat="1">
      <c r="A229" s="552">
        <f t="shared" si="593"/>
        <v>59</v>
      </c>
      <c r="B229" s="288">
        <v>6</v>
      </c>
      <c r="C229" s="357" t="s">
        <v>731</v>
      </c>
      <c r="D229" s="981" t="s">
        <v>730</v>
      </c>
      <c r="E229" s="982" t="s">
        <v>693</v>
      </c>
      <c r="F229" s="983" t="s">
        <v>1121</v>
      </c>
      <c r="G229" s="1184">
        <f t="shared" si="654"/>
        <v>600</v>
      </c>
      <c r="H229" s="1185">
        <f t="shared" si="655"/>
        <v>264</v>
      </c>
      <c r="I229" s="1185">
        <f t="shared" si="656"/>
        <v>264</v>
      </c>
      <c r="J229" s="1860">
        <f t="shared" si="576"/>
        <v>1</v>
      </c>
      <c r="K229" s="1184">
        <f t="shared" si="657"/>
        <v>600</v>
      </c>
      <c r="L229" s="1185">
        <f t="shared" si="658"/>
        <v>264</v>
      </c>
      <c r="M229" s="1185">
        <f t="shared" si="659"/>
        <v>264</v>
      </c>
      <c r="N229" s="1860">
        <f t="shared" si="580"/>
        <v>1</v>
      </c>
      <c r="O229" s="1009"/>
      <c r="P229" s="1010"/>
      <c r="Q229" s="1010"/>
      <c r="R229" s="1458" t="str">
        <f t="shared" si="581"/>
        <v>-</v>
      </c>
      <c r="S229" s="1013"/>
      <c r="T229" s="1010"/>
      <c r="U229" s="1010"/>
      <c r="V229" s="1458" t="str">
        <f t="shared" si="582"/>
        <v>-</v>
      </c>
      <c r="W229" s="1013"/>
      <c r="X229" s="1010"/>
      <c r="Y229" s="1010"/>
      <c r="Z229" s="1458" t="str">
        <f t="shared" si="583"/>
        <v>-</v>
      </c>
      <c r="AA229" s="1013">
        <v>600</v>
      </c>
      <c r="AB229" s="1010">
        <v>264</v>
      </c>
      <c r="AC229" s="1010">
        <v>264</v>
      </c>
      <c r="AD229" s="1458">
        <f t="shared" si="584"/>
        <v>1</v>
      </c>
      <c r="AE229" s="1013"/>
      <c r="AF229" s="1010"/>
      <c r="AG229" s="1010"/>
      <c r="AH229" s="1458" t="str">
        <f t="shared" si="585"/>
        <v>-</v>
      </c>
      <c r="AI229" s="1184">
        <f t="shared" si="660"/>
        <v>0</v>
      </c>
      <c r="AJ229" s="1185">
        <f t="shared" si="661"/>
        <v>0</v>
      </c>
      <c r="AK229" s="1185">
        <f t="shared" si="662"/>
        <v>0</v>
      </c>
      <c r="AL229" s="1860" t="str">
        <f t="shared" si="589"/>
        <v>-</v>
      </c>
      <c r="AM229" s="1013"/>
      <c r="AN229" s="1010"/>
      <c r="AO229" s="1010"/>
      <c r="AP229" s="1458" t="str">
        <f t="shared" si="590"/>
        <v>-</v>
      </c>
      <c r="AQ229" s="1013"/>
      <c r="AR229" s="1010"/>
      <c r="AS229" s="1010"/>
      <c r="AT229" s="1458" t="str">
        <f t="shared" si="591"/>
        <v>-</v>
      </c>
      <c r="AU229" s="1013"/>
      <c r="AV229" s="1010"/>
      <c r="AW229" s="1010"/>
      <c r="AX229" s="1458" t="str">
        <f t="shared" si="592"/>
        <v>-</v>
      </c>
      <c r="AY229" s="509"/>
    </row>
    <row r="230" spans="1:51" s="516" customFormat="1">
      <c r="A230" s="552">
        <f t="shared" si="593"/>
        <v>60</v>
      </c>
      <c r="B230" s="288">
        <v>6</v>
      </c>
      <c r="C230" s="357" t="s">
        <v>1117</v>
      </c>
      <c r="D230" s="981" t="s">
        <v>1116</v>
      </c>
      <c r="E230" s="982" t="s">
        <v>1118</v>
      </c>
      <c r="F230" s="983" t="s">
        <v>1116</v>
      </c>
      <c r="G230" s="1184">
        <f t="shared" si="654"/>
        <v>0</v>
      </c>
      <c r="H230" s="1185">
        <f t="shared" si="655"/>
        <v>9605</v>
      </c>
      <c r="I230" s="1185">
        <f t="shared" si="656"/>
        <v>9605</v>
      </c>
      <c r="J230" s="1860">
        <f t="shared" si="576"/>
        <v>1</v>
      </c>
      <c r="K230" s="1184">
        <f t="shared" si="657"/>
        <v>0</v>
      </c>
      <c r="L230" s="1185">
        <f t="shared" si="658"/>
        <v>9605</v>
      </c>
      <c r="M230" s="1185">
        <f t="shared" si="659"/>
        <v>9605</v>
      </c>
      <c r="N230" s="1860">
        <f t="shared" si="580"/>
        <v>1</v>
      </c>
      <c r="O230" s="1009"/>
      <c r="P230" s="1010"/>
      <c r="Q230" s="1010"/>
      <c r="R230" s="1458" t="str">
        <f t="shared" si="581"/>
        <v>-</v>
      </c>
      <c r="S230" s="1013"/>
      <c r="T230" s="1010"/>
      <c r="U230" s="1010"/>
      <c r="V230" s="1458" t="str">
        <f t="shared" si="582"/>
        <v>-</v>
      </c>
      <c r="W230" s="1013"/>
      <c r="X230" s="1010">
        <v>9605</v>
      </c>
      <c r="Y230" s="1010">
        <v>9605</v>
      </c>
      <c r="Z230" s="1458">
        <f t="shared" si="583"/>
        <v>1</v>
      </c>
      <c r="AA230" s="1013"/>
      <c r="AB230" s="1010"/>
      <c r="AC230" s="1010"/>
      <c r="AD230" s="1458" t="str">
        <f t="shared" si="584"/>
        <v>-</v>
      </c>
      <c r="AE230" s="1013"/>
      <c r="AF230" s="1010"/>
      <c r="AG230" s="1010"/>
      <c r="AH230" s="1458" t="str">
        <f t="shared" si="585"/>
        <v>-</v>
      </c>
      <c r="AI230" s="1184">
        <f t="shared" si="660"/>
        <v>0</v>
      </c>
      <c r="AJ230" s="1185">
        <f t="shared" si="661"/>
        <v>0</v>
      </c>
      <c r="AK230" s="1185">
        <f t="shared" si="662"/>
        <v>0</v>
      </c>
      <c r="AL230" s="1860" t="str">
        <f t="shared" si="589"/>
        <v>-</v>
      </c>
      <c r="AM230" s="1013"/>
      <c r="AN230" s="1010"/>
      <c r="AO230" s="1010"/>
      <c r="AP230" s="1458" t="str">
        <f t="shared" si="590"/>
        <v>-</v>
      </c>
      <c r="AQ230" s="1013"/>
      <c r="AR230" s="1010"/>
      <c r="AS230" s="1010"/>
      <c r="AT230" s="1458" t="str">
        <f t="shared" si="591"/>
        <v>-</v>
      </c>
      <c r="AU230" s="1013"/>
      <c r="AV230" s="1010"/>
      <c r="AW230" s="1010"/>
      <c r="AX230" s="1458" t="str">
        <f t="shared" si="592"/>
        <v>-</v>
      </c>
      <c r="AY230" s="509"/>
    </row>
    <row r="231" spans="1:51" s="516" customFormat="1">
      <c r="A231" s="552">
        <f t="shared" si="593"/>
        <v>61</v>
      </c>
      <c r="B231" s="288">
        <v>6</v>
      </c>
      <c r="C231" s="357" t="s">
        <v>727</v>
      </c>
      <c r="D231" s="981" t="s">
        <v>726</v>
      </c>
      <c r="E231" s="982" t="s">
        <v>672</v>
      </c>
      <c r="F231" s="983" t="s">
        <v>645</v>
      </c>
      <c r="G231" s="1184">
        <f t="shared" si="654"/>
        <v>0</v>
      </c>
      <c r="H231" s="1185">
        <f t="shared" si="655"/>
        <v>0</v>
      </c>
      <c r="I231" s="1185">
        <f t="shared" si="656"/>
        <v>0</v>
      </c>
      <c r="J231" s="1860" t="str">
        <f t="shared" si="576"/>
        <v>-</v>
      </c>
      <c r="K231" s="1184">
        <f t="shared" si="657"/>
        <v>0</v>
      </c>
      <c r="L231" s="1185">
        <f t="shared" si="658"/>
        <v>0</v>
      </c>
      <c r="M231" s="1185">
        <f t="shared" si="659"/>
        <v>0</v>
      </c>
      <c r="N231" s="1860" t="str">
        <f t="shared" si="580"/>
        <v>-</v>
      </c>
      <c r="O231" s="1009"/>
      <c r="P231" s="1010"/>
      <c r="Q231" s="1010"/>
      <c r="R231" s="1458" t="str">
        <f t="shared" si="581"/>
        <v>-</v>
      </c>
      <c r="S231" s="1013"/>
      <c r="T231" s="1010"/>
      <c r="U231" s="1010"/>
      <c r="V231" s="1458" t="str">
        <f t="shared" si="582"/>
        <v>-</v>
      </c>
      <c r="W231" s="1013"/>
      <c r="X231" s="1010"/>
      <c r="Y231" s="1010"/>
      <c r="Z231" s="1458" t="str">
        <f t="shared" si="583"/>
        <v>-</v>
      </c>
      <c r="AA231" s="1013"/>
      <c r="AB231" s="1010"/>
      <c r="AC231" s="1010"/>
      <c r="AD231" s="1458" t="str">
        <f t="shared" si="584"/>
        <v>-</v>
      </c>
      <c r="AE231" s="1013"/>
      <c r="AF231" s="1010"/>
      <c r="AG231" s="1010"/>
      <c r="AH231" s="1458" t="str">
        <f t="shared" si="585"/>
        <v>-</v>
      </c>
      <c r="AI231" s="1184">
        <f t="shared" si="660"/>
        <v>0</v>
      </c>
      <c r="AJ231" s="1185">
        <f t="shared" si="661"/>
        <v>0</v>
      </c>
      <c r="AK231" s="1185">
        <f t="shared" si="662"/>
        <v>0</v>
      </c>
      <c r="AL231" s="1860" t="str">
        <f t="shared" si="589"/>
        <v>-</v>
      </c>
      <c r="AM231" s="1013"/>
      <c r="AN231" s="1010"/>
      <c r="AO231" s="1010"/>
      <c r="AP231" s="1458" t="str">
        <f t="shared" si="590"/>
        <v>-</v>
      </c>
      <c r="AQ231" s="1013"/>
      <c r="AR231" s="1010"/>
      <c r="AS231" s="1010"/>
      <c r="AT231" s="1458" t="str">
        <f t="shared" si="591"/>
        <v>-</v>
      </c>
      <c r="AU231" s="1013"/>
      <c r="AV231" s="1010"/>
      <c r="AW231" s="1010"/>
      <c r="AX231" s="1458" t="str">
        <f t="shared" si="592"/>
        <v>-</v>
      </c>
      <c r="AY231" s="509"/>
    </row>
    <row r="232" spans="1:51" s="516" customFormat="1">
      <c r="A232" s="552">
        <f t="shared" si="593"/>
        <v>62</v>
      </c>
      <c r="B232" s="288">
        <v>6</v>
      </c>
      <c r="C232" s="357" t="s">
        <v>727</v>
      </c>
      <c r="D232" s="981" t="s">
        <v>726</v>
      </c>
      <c r="E232" s="982" t="s">
        <v>673</v>
      </c>
      <c r="F232" s="983" t="s">
        <v>646</v>
      </c>
      <c r="G232" s="1184">
        <f t="shared" si="654"/>
        <v>0</v>
      </c>
      <c r="H232" s="1185">
        <f t="shared" si="655"/>
        <v>0</v>
      </c>
      <c r="I232" s="1185">
        <f t="shared" si="656"/>
        <v>0</v>
      </c>
      <c r="J232" s="1860" t="str">
        <f t="shared" si="576"/>
        <v>-</v>
      </c>
      <c r="K232" s="1184">
        <f t="shared" si="657"/>
        <v>0</v>
      </c>
      <c r="L232" s="1185">
        <f t="shared" si="658"/>
        <v>0</v>
      </c>
      <c r="M232" s="1185">
        <f t="shared" si="659"/>
        <v>0</v>
      </c>
      <c r="N232" s="1860" t="str">
        <f t="shared" si="580"/>
        <v>-</v>
      </c>
      <c r="O232" s="1009"/>
      <c r="P232" s="1010"/>
      <c r="Q232" s="1010"/>
      <c r="R232" s="1458" t="str">
        <f t="shared" si="581"/>
        <v>-</v>
      </c>
      <c r="S232" s="1013"/>
      <c r="T232" s="1010"/>
      <c r="U232" s="1010"/>
      <c r="V232" s="1458" t="str">
        <f t="shared" si="582"/>
        <v>-</v>
      </c>
      <c r="W232" s="1013"/>
      <c r="X232" s="1010"/>
      <c r="Y232" s="1010"/>
      <c r="Z232" s="1458" t="str">
        <f t="shared" si="583"/>
        <v>-</v>
      </c>
      <c r="AA232" s="1013"/>
      <c r="AB232" s="1010"/>
      <c r="AC232" s="1010"/>
      <c r="AD232" s="1458" t="str">
        <f t="shared" si="584"/>
        <v>-</v>
      </c>
      <c r="AE232" s="1013"/>
      <c r="AF232" s="1010"/>
      <c r="AG232" s="1010"/>
      <c r="AH232" s="1458" t="str">
        <f t="shared" si="585"/>
        <v>-</v>
      </c>
      <c r="AI232" s="1184">
        <f t="shared" si="660"/>
        <v>0</v>
      </c>
      <c r="AJ232" s="1185">
        <f t="shared" si="661"/>
        <v>0</v>
      </c>
      <c r="AK232" s="1185">
        <f t="shared" si="662"/>
        <v>0</v>
      </c>
      <c r="AL232" s="1860" t="str">
        <f t="shared" si="589"/>
        <v>-</v>
      </c>
      <c r="AM232" s="1013"/>
      <c r="AN232" s="1010"/>
      <c r="AO232" s="1010"/>
      <c r="AP232" s="1458" t="str">
        <f t="shared" si="590"/>
        <v>-</v>
      </c>
      <c r="AQ232" s="1013"/>
      <c r="AR232" s="1010"/>
      <c r="AS232" s="1010"/>
      <c r="AT232" s="1458" t="str">
        <f t="shared" si="591"/>
        <v>-</v>
      </c>
      <c r="AU232" s="1013"/>
      <c r="AV232" s="1010"/>
      <c r="AW232" s="1010"/>
      <c r="AX232" s="1458" t="str">
        <f t="shared" si="592"/>
        <v>-</v>
      </c>
      <c r="AY232" s="509"/>
    </row>
    <row r="233" spans="1:51" s="516" customFormat="1">
      <c r="A233" s="552">
        <f t="shared" si="593"/>
        <v>63</v>
      </c>
      <c r="B233" s="1020">
        <v>6</v>
      </c>
      <c r="C233" s="357" t="s">
        <v>727</v>
      </c>
      <c r="D233" s="981" t="s">
        <v>726</v>
      </c>
      <c r="E233" s="982" t="s">
        <v>675</v>
      </c>
      <c r="F233" s="983" t="s">
        <v>647</v>
      </c>
      <c r="G233" s="1184">
        <f t="shared" si="654"/>
        <v>3315</v>
      </c>
      <c r="H233" s="1185">
        <f t="shared" si="655"/>
        <v>12775</v>
      </c>
      <c r="I233" s="1185">
        <f t="shared" si="656"/>
        <v>12775</v>
      </c>
      <c r="J233" s="1860">
        <f t="shared" si="576"/>
        <v>1</v>
      </c>
      <c r="K233" s="1184">
        <f t="shared" si="657"/>
        <v>3315</v>
      </c>
      <c r="L233" s="1185">
        <f t="shared" si="658"/>
        <v>12775</v>
      </c>
      <c r="M233" s="1185">
        <f t="shared" si="659"/>
        <v>12775</v>
      </c>
      <c r="N233" s="1860">
        <f t="shared" si="580"/>
        <v>1</v>
      </c>
      <c r="O233" s="1009"/>
      <c r="P233" s="1010"/>
      <c r="Q233" s="1010"/>
      <c r="R233" s="1458" t="str">
        <f t="shared" si="581"/>
        <v>-</v>
      </c>
      <c r="S233" s="1013"/>
      <c r="T233" s="1010"/>
      <c r="U233" s="1010"/>
      <c r="V233" s="1458" t="str">
        <f t="shared" si="582"/>
        <v>-</v>
      </c>
      <c r="W233" s="1013"/>
      <c r="X233" s="1010"/>
      <c r="Y233" s="1010"/>
      <c r="Z233" s="1458" t="str">
        <f t="shared" si="583"/>
        <v>-</v>
      </c>
      <c r="AA233" s="1013">
        <v>3315</v>
      </c>
      <c r="AB233" s="1010">
        <v>12775</v>
      </c>
      <c r="AC233" s="1010">
        <v>12775</v>
      </c>
      <c r="AD233" s="1458">
        <f t="shared" si="584"/>
        <v>1</v>
      </c>
      <c r="AE233" s="1013"/>
      <c r="AF233" s="1010"/>
      <c r="AG233" s="1010"/>
      <c r="AH233" s="1458" t="str">
        <f t="shared" si="585"/>
        <v>-</v>
      </c>
      <c r="AI233" s="1184">
        <f t="shared" si="660"/>
        <v>0</v>
      </c>
      <c r="AJ233" s="1185">
        <f t="shared" si="661"/>
        <v>0</v>
      </c>
      <c r="AK233" s="1185">
        <f t="shared" si="662"/>
        <v>0</v>
      </c>
      <c r="AL233" s="1860" t="str">
        <f t="shared" si="589"/>
        <v>-</v>
      </c>
      <c r="AM233" s="1013"/>
      <c r="AN233" s="1010"/>
      <c r="AO233" s="1010"/>
      <c r="AP233" s="1458" t="str">
        <f t="shared" si="590"/>
        <v>-</v>
      </c>
      <c r="AQ233" s="1013"/>
      <c r="AR233" s="1010"/>
      <c r="AS233" s="1010"/>
      <c r="AT233" s="1458" t="str">
        <f t="shared" si="591"/>
        <v>-</v>
      </c>
      <c r="AU233" s="1013"/>
      <c r="AV233" s="1010"/>
      <c r="AW233" s="1010"/>
      <c r="AX233" s="1458" t="str">
        <f t="shared" si="592"/>
        <v>-</v>
      </c>
      <c r="AY233" s="509"/>
    </row>
    <row r="234" spans="1:51" s="516" customFormat="1">
      <c r="A234" s="552">
        <f t="shared" si="593"/>
        <v>64</v>
      </c>
      <c r="B234" s="1020">
        <v>7</v>
      </c>
      <c r="C234" s="357" t="s">
        <v>1126</v>
      </c>
      <c r="D234" s="981" t="s">
        <v>1128</v>
      </c>
      <c r="E234" s="982" t="s">
        <v>770</v>
      </c>
      <c r="F234" s="983" t="s">
        <v>1367</v>
      </c>
      <c r="G234" s="1184">
        <f t="shared" si="654"/>
        <v>16301</v>
      </c>
      <c r="H234" s="1185">
        <f t="shared" si="655"/>
        <v>14182</v>
      </c>
      <c r="I234" s="1185">
        <f t="shared" si="656"/>
        <v>14182</v>
      </c>
      <c r="J234" s="1860">
        <f t="shared" si="576"/>
        <v>1</v>
      </c>
      <c r="K234" s="1184">
        <f t="shared" si="657"/>
        <v>16301</v>
      </c>
      <c r="L234" s="1185">
        <f t="shared" si="658"/>
        <v>14182</v>
      </c>
      <c r="M234" s="1185">
        <f t="shared" si="659"/>
        <v>14182</v>
      </c>
      <c r="N234" s="1860">
        <f t="shared" si="580"/>
        <v>1</v>
      </c>
      <c r="O234" s="1009">
        <v>9745</v>
      </c>
      <c r="P234" s="1010">
        <f>4900+1047</f>
        <v>5947</v>
      </c>
      <c r="Q234" s="1010">
        <f>4900+1047</f>
        <v>5947</v>
      </c>
      <c r="R234" s="1458">
        <f t="shared" si="581"/>
        <v>1</v>
      </c>
      <c r="S234" s="1013">
        <v>2562</v>
      </c>
      <c r="T234" s="1010">
        <f>886+192</f>
        <v>1078</v>
      </c>
      <c r="U234" s="1010">
        <f>886+192</f>
        <v>1078</v>
      </c>
      <c r="V234" s="1458">
        <f t="shared" si="582"/>
        <v>1</v>
      </c>
      <c r="W234" s="1013">
        <v>3994</v>
      </c>
      <c r="X234" s="1010">
        <f>6434+4+719</f>
        <v>7157</v>
      </c>
      <c r="Y234" s="1010">
        <f>6434+4+719</f>
        <v>7157</v>
      </c>
      <c r="Z234" s="1458">
        <f t="shared" si="583"/>
        <v>1</v>
      </c>
      <c r="AA234" s="1013"/>
      <c r="AB234" s="1010"/>
      <c r="AC234" s="1010"/>
      <c r="AD234" s="1458" t="str">
        <f t="shared" si="584"/>
        <v>-</v>
      </c>
      <c r="AE234" s="1013"/>
      <c r="AF234" s="1010"/>
      <c r="AG234" s="1010"/>
      <c r="AH234" s="1458" t="str">
        <f t="shared" si="585"/>
        <v>-</v>
      </c>
      <c r="AI234" s="1184">
        <f t="shared" si="660"/>
        <v>0</v>
      </c>
      <c r="AJ234" s="1185">
        <f t="shared" si="661"/>
        <v>0</v>
      </c>
      <c r="AK234" s="1185">
        <f t="shared" si="662"/>
        <v>0</v>
      </c>
      <c r="AL234" s="1860" t="str">
        <f t="shared" si="589"/>
        <v>-</v>
      </c>
      <c r="AM234" s="1013"/>
      <c r="AN234" s="1010"/>
      <c r="AO234" s="1010"/>
      <c r="AP234" s="1458" t="str">
        <f t="shared" si="590"/>
        <v>-</v>
      </c>
      <c r="AQ234" s="1013"/>
      <c r="AR234" s="1010"/>
      <c r="AS234" s="1010"/>
      <c r="AT234" s="1458" t="str">
        <f t="shared" si="591"/>
        <v>-</v>
      </c>
      <c r="AU234" s="1013"/>
      <c r="AV234" s="1010"/>
      <c r="AW234" s="1010"/>
      <c r="AX234" s="1458" t="str">
        <f t="shared" si="592"/>
        <v>-</v>
      </c>
      <c r="AY234" s="509"/>
    </row>
    <row r="235" spans="1:51" s="516" customFormat="1">
      <c r="A235" s="552">
        <f t="shared" si="593"/>
        <v>65</v>
      </c>
      <c r="B235" s="1020">
        <v>8</v>
      </c>
      <c r="C235" s="357" t="s">
        <v>1126</v>
      </c>
      <c r="D235" s="981" t="s">
        <v>1128</v>
      </c>
      <c r="E235" s="982" t="s">
        <v>770</v>
      </c>
      <c r="F235" s="983" t="s">
        <v>1127</v>
      </c>
      <c r="G235" s="1184">
        <f t="shared" si="654"/>
        <v>2000</v>
      </c>
      <c r="H235" s="1185">
        <f t="shared" si="655"/>
        <v>942</v>
      </c>
      <c r="I235" s="1185">
        <f t="shared" si="656"/>
        <v>942</v>
      </c>
      <c r="J235" s="1860">
        <f t="shared" si="576"/>
        <v>1</v>
      </c>
      <c r="K235" s="1184">
        <f t="shared" si="657"/>
        <v>2000</v>
      </c>
      <c r="L235" s="1185">
        <f t="shared" si="658"/>
        <v>942</v>
      </c>
      <c r="M235" s="1185">
        <f t="shared" si="659"/>
        <v>942</v>
      </c>
      <c r="N235" s="1860">
        <f t="shared" si="580"/>
        <v>1</v>
      </c>
      <c r="O235" s="1009"/>
      <c r="P235" s="1010">
        <v>730</v>
      </c>
      <c r="Q235" s="1010">
        <v>730</v>
      </c>
      <c r="R235" s="1458">
        <f t="shared" si="581"/>
        <v>1</v>
      </c>
      <c r="S235" s="1013"/>
      <c r="T235" s="1010">
        <v>138</v>
      </c>
      <c r="U235" s="1010">
        <v>138</v>
      </c>
      <c r="V235" s="1458">
        <f t="shared" si="582"/>
        <v>1</v>
      </c>
      <c r="W235" s="1013">
        <v>2000</v>
      </c>
      <c r="X235" s="1010">
        <v>74</v>
      </c>
      <c r="Y235" s="1010">
        <v>74</v>
      </c>
      <c r="Z235" s="1458">
        <f t="shared" si="583"/>
        <v>1</v>
      </c>
      <c r="AA235" s="1013"/>
      <c r="AB235" s="1010"/>
      <c r="AC235" s="1010"/>
      <c r="AD235" s="1458" t="str">
        <f t="shared" si="584"/>
        <v>-</v>
      </c>
      <c r="AE235" s="1013"/>
      <c r="AF235" s="1010"/>
      <c r="AG235" s="1010"/>
      <c r="AH235" s="1458" t="str">
        <f t="shared" si="585"/>
        <v>-</v>
      </c>
      <c r="AI235" s="1184">
        <f t="shared" si="660"/>
        <v>0</v>
      </c>
      <c r="AJ235" s="1185">
        <f t="shared" si="661"/>
        <v>0</v>
      </c>
      <c r="AK235" s="1185">
        <f t="shared" si="662"/>
        <v>0</v>
      </c>
      <c r="AL235" s="1860" t="str">
        <f t="shared" si="589"/>
        <v>-</v>
      </c>
      <c r="AM235" s="1013"/>
      <c r="AN235" s="1010"/>
      <c r="AO235" s="1010"/>
      <c r="AP235" s="1458" t="str">
        <f t="shared" si="590"/>
        <v>-</v>
      </c>
      <c r="AQ235" s="1013"/>
      <c r="AR235" s="1010"/>
      <c r="AS235" s="1010"/>
      <c r="AT235" s="1458" t="str">
        <f t="shared" si="591"/>
        <v>-</v>
      </c>
      <c r="AU235" s="1013"/>
      <c r="AV235" s="1010"/>
      <c r="AW235" s="1010"/>
      <c r="AX235" s="1458" t="str">
        <f t="shared" si="592"/>
        <v>-</v>
      </c>
      <c r="AY235" s="509"/>
    </row>
    <row r="236" spans="1:51" s="516" customFormat="1">
      <c r="A236" s="552">
        <f t="shared" si="593"/>
        <v>66</v>
      </c>
      <c r="B236" s="1020">
        <v>7</v>
      </c>
      <c r="C236" s="357" t="s">
        <v>1126</v>
      </c>
      <c r="D236" s="981" t="s">
        <v>2808</v>
      </c>
      <c r="E236" s="982"/>
      <c r="F236" s="983" t="s">
        <v>2809</v>
      </c>
      <c r="G236" s="1184">
        <f t="shared" ref="G236" si="694">+K236+AI236</f>
        <v>0</v>
      </c>
      <c r="H236" s="1185">
        <f t="shared" ref="H236" si="695">+L236+AJ236</f>
        <v>78730</v>
      </c>
      <c r="I236" s="1185">
        <f t="shared" ref="I236" si="696">+M236+AK236</f>
        <v>78730</v>
      </c>
      <c r="J236" s="1860">
        <f t="shared" ref="J236" si="697">IF(ISERROR(I236/H236),"-",I236/H236)</f>
        <v>1</v>
      </c>
      <c r="K236" s="1184">
        <f t="shared" ref="K236" si="698">+O236+S236+W236+AA236+AE236</f>
        <v>0</v>
      </c>
      <c r="L236" s="1185">
        <f t="shared" ref="L236" si="699">+P236+T236+X236+AB236+AF236</f>
        <v>74544</v>
      </c>
      <c r="M236" s="1185">
        <f t="shared" ref="M236" si="700">+Q236+U236+Y236+AC236+AG236</f>
        <v>74544</v>
      </c>
      <c r="N236" s="1860">
        <f t="shared" ref="N236" si="701">IF(ISERROR(M236/L236),"-",M236/L236)</f>
        <v>1</v>
      </c>
      <c r="O236" s="1009"/>
      <c r="P236" s="1010">
        <f>2+3175+24725</f>
        <v>27902</v>
      </c>
      <c r="Q236" s="1010">
        <f>2+3175+24725</f>
        <v>27902</v>
      </c>
      <c r="R236" s="1458">
        <f t="shared" ref="R236" si="702">IF(ISERROR(Q236/P236),"-",Q236/P236)</f>
        <v>1</v>
      </c>
      <c r="S236" s="1013"/>
      <c r="T236" s="1010">
        <f>599+4074</f>
        <v>4673</v>
      </c>
      <c r="U236" s="1010">
        <f>599+4074</f>
        <v>4673</v>
      </c>
      <c r="V236" s="1458">
        <f t="shared" ref="V236" si="703">IF(ISERROR(U236/T236),"-",U236/T236)</f>
        <v>1</v>
      </c>
      <c r="W236" s="1013"/>
      <c r="X236" s="1010">
        <v>41969</v>
      </c>
      <c r="Y236" s="1010">
        <v>41969</v>
      </c>
      <c r="Z236" s="1458">
        <f t="shared" ref="Z236" si="704">IF(ISERROR(Y236/X236),"-",Y236/X236)</f>
        <v>1</v>
      </c>
      <c r="AA236" s="1013"/>
      <c r="AB236" s="1010"/>
      <c r="AC236" s="1010"/>
      <c r="AD236" s="1458" t="str">
        <f t="shared" ref="AD236" si="705">IF(ISERROR(AC236/AB236),"-",AC236/AB236)</f>
        <v>-</v>
      </c>
      <c r="AE236" s="1013"/>
      <c r="AF236" s="1010"/>
      <c r="AG236" s="1010"/>
      <c r="AH236" s="1458" t="str">
        <f t="shared" ref="AH236" si="706">IF(ISERROR(AG236/AF236),"-",AG236/AF236)</f>
        <v>-</v>
      </c>
      <c r="AI236" s="1184">
        <f t="shared" ref="AI236" si="707">+AM236+AQ236+AU236</f>
        <v>0</v>
      </c>
      <c r="AJ236" s="1185">
        <f t="shared" ref="AJ236" si="708">+AN236+AR236+AV236</f>
        <v>4186</v>
      </c>
      <c r="AK236" s="1185">
        <f t="shared" ref="AK236" si="709">+AO236+AS236+AW236</f>
        <v>4186</v>
      </c>
      <c r="AL236" s="1860">
        <f t="shared" ref="AL236" si="710">IF(ISERROR(AK236/AJ236),"-",AK236/AJ236)</f>
        <v>1</v>
      </c>
      <c r="AM236" s="1013"/>
      <c r="AN236" s="1010">
        <v>4186</v>
      </c>
      <c r="AO236" s="1010">
        <v>4186</v>
      </c>
      <c r="AP236" s="1458">
        <f t="shared" ref="AP236" si="711">IF(ISERROR(AO236/AN236),"-",AO236/AN236)</f>
        <v>1</v>
      </c>
      <c r="AQ236" s="1013"/>
      <c r="AR236" s="1010"/>
      <c r="AS236" s="1010"/>
      <c r="AT236" s="1458" t="str">
        <f t="shared" ref="AT236" si="712">IF(ISERROR(AS236/AR236),"-",AS236/AR236)</f>
        <v>-</v>
      </c>
      <c r="AU236" s="1013"/>
      <c r="AV236" s="1010"/>
      <c r="AW236" s="1010"/>
      <c r="AX236" s="1458" t="str">
        <f t="shared" ref="AX236" si="713">IF(ISERROR(AW236/AV236),"-",AW236/AV236)</f>
        <v>-</v>
      </c>
      <c r="AY236" s="509"/>
    </row>
    <row r="237" spans="1:51" s="516" customFormat="1">
      <c r="A237" s="552">
        <f t="shared" ref="A237:A239" si="714">+A236+1</f>
        <v>67</v>
      </c>
      <c r="B237" s="1020">
        <v>6</v>
      </c>
      <c r="C237" s="357" t="s">
        <v>1148</v>
      </c>
      <c r="D237" s="981" t="s">
        <v>1151</v>
      </c>
      <c r="E237" s="982" t="s">
        <v>1150</v>
      </c>
      <c r="F237" s="983" t="s">
        <v>1151</v>
      </c>
      <c r="G237" s="1184">
        <f t="shared" si="654"/>
        <v>0</v>
      </c>
      <c r="H237" s="1185">
        <f t="shared" si="655"/>
        <v>0</v>
      </c>
      <c r="I237" s="1185">
        <f t="shared" si="656"/>
        <v>0</v>
      </c>
      <c r="J237" s="1860" t="str">
        <f t="shared" si="576"/>
        <v>-</v>
      </c>
      <c r="K237" s="1184">
        <f t="shared" si="657"/>
        <v>0</v>
      </c>
      <c r="L237" s="1185">
        <f t="shared" si="658"/>
        <v>0</v>
      </c>
      <c r="M237" s="1185">
        <f t="shared" si="659"/>
        <v>0</v>
      </c>
      <c r="N237" s="1860" t="str">
        <f t="shared" si="580"/>
        <v>-</v>
      </c>
      <c r="O237" s="1009"/>
      <c r="P237" s="1010"/>
      <c r="Q237" s="1010"/>
      <c r="R237" s="1458" t="str">
        <f t="shared" si="581"/>
        <v>-</v>
      </c>
      <c r="S237" s="1013"/>
      <c r="T237" s="1010"/>
      <c r="U237" s="1010"/>
      <c r="V237" s="1458" t="str">
        <f t="shared" si="582"/>
        <v>-</v>
      </c>
      <c r="W237" s="1013"/>
      <c r="X237" s="1010"/>
      <c r="Y237" s="1010"/>
      <c r="Z237" s="1458" t="str">
        <f t="shared" si="583"/>
        <v>-</v>
      </c>
      <c r="AA237" s="1013"/>
      <c r="AB237" s="1010"/>
      <c r="AC237" s="1010"/>
      <c r="AD237" s="1458" t="str">
        <f t="shared" si="584"/>
        <v>-</v>
      </c>
      <c r="AE237" s="1013"/>
      <c r="AF237" s="1010"/>
      <c r="AG237" s="1010"/>
      <c r="AH237" s="1458" t="str">
        <f t="shared" si="585"/>
        <v>-</v>
      </c>
      <c r="AI237" s="1184">
        <f t="shared" si="660"/>
        <v>0</v>
      </c>
      <c r="AJ237" s="1185">
        <f t="shared" si="661"/>
        <v>0</v>
      </c>
      <c r="AK237" s="1185">
        <f t="shared" si="662"/>
        <v>0</v>
      </c>
      <c r="AL237" s="1860" t="str">
        <f t="shared" si="589"/>
        <v>-</v>
      </c>
      <c r="AM237" s="1013"/>
      <c r="AN237" s="1010"/>
      <c r="AO237" s="1010"/>
      <c r="AP237" s="1458" t="str">
        <f t="shared" si="590"/>
        <v>-</v>
      </c>
      <c r="AQ237" s="1013"/>
      <c r="AR237" s="1010"/>
      <c r="AS237" s="1010"/>
      <c r="AT237" s="1458" t="str">
        <f t="shared" si="591"/>
        <v>-</v>
      </c>
      <c r="AU237" s="1013"/>
      <c r="AV237" s="1010"/>
      <c r="AW237" s="1010"/>
      <c r="AX237" s="1458" t="str">
        <f t="shared" si="592"/>
        <v>-</v>
      </c>
      <c r="AY237" s="509"/>
    </row>
    <row r="238" spans="1:51" s="516" customFormat="1">
      <c r="A238" s="552">
        <f t="shared" si="714"/>
        <v>68</v>
      </c>
      <c r="B238" s="1020">
        <v>6</v>
      </c>
      <c r="C238" s="357" t="s">
        <v>722</v>
      </c>
      <c r="D238" s="981" t="s">
        <v>723</v>
      </c>
      <c r="E238" s="982" t="s">
        <v>1071</v>
      </c>
      <c r="F238" s="983" t="s">
        <v>1120</v>
      </c>
      <c r="G238" s="1184">
        <f t="shared" si="654"/>
        <v>18000</v>
      </c>
      <c r="H238" s="1185">
        <f t="shared" si="655"/>
        <v>20967</v>
      </c>
      <c r="I238" s="1185">
        <f t="shared" si="656"/>
        <v>20967</v>
      </c>
      <c r="J238" s="1860">
        <f t="shared" si="576"/>
        <v>1</v>
      </c>
      <c r="K238" s="1184">
        <f t="shared" si="657"/>
        <v>18000</v>
      </c>
      <c r="L238" s="1185">
        <f t="shared" si="658"/>
        <v>20967</v>
      </c>
      <c r="M238" s="1185">
        <f t="shared" si="659"/>
        <v>20967</v>
      </c>
      <c r="N238" s="1860">
        <f t="shared" si="580"/>
        <v>1</v>
      </c>
      <c r="O238" s="1009"/>
      <c r="P238" s="1010"/>
      <c r="Q238" s="1010"/>
      <c r="R238" s="1458" t="str">
        <f t="shared" si="581"/>
        <v>-</v>
      </c>
      <c r="S238" s="1013"/>
      <c r="T238" s="1010"/>
      <c r="U238" s="1010"/>
      <c r="V238" s="1458" t="str">
        <f t="shared" si="582"/>
        <v>-</v>
      </c>
      <c r="W238" s="1013"/>
      <c r="X238" s="1010"/>
      <c r="Y238" s="1010"/>
      <c r="Z238" s="1458" t="str">
        <f t="shared" si="583"/>
        <v>-</v>
      </c>
      <c r="AA238" s="1013">
        <v>18000</v>
      </c>
      <c r="AB238" s="1010">
        <f>1716+19251</f>
        <v>20967</v>
      </c>
      <c r="AC238" s="1010">
        <f>1716+19251</f>
        <v>20967</v>
      </c>
      <c r="AD238" s="1458">
        <f t="shared" si="584"/>
        <v>1</v>
      </c>
      <c r="AE238" s="1013"/>
      <c r="AF238" s="1010"/>
      <c r="AG238" s="1010"/>
      <c r="AH238" s="1458" t="str">
        <f t="shared" si="585"/>
        <v>-</v>
      </c>
      <c r="AI238" s="1184">
        <f t="shared" si="660"/>
        <v>0</v>
      </c>
      <c r="AJ238" s="1185">
        <f t="shared" si="661"/>
        <v>0</v>
      </c>
      <c r="AK238" s="1185">
        <f t="shared" si="662"/>
        <v>0</v>
      </c>
      <c r="AL238" s="1860" t="str">
        <f t="shared" si="589"/>
        <v>-</v>
      </c>
      <c r="AM238" s="1013"/>
      <c r="AN238" s="1010"/>
      <c r="AO238" s="1010"/>
      <c r="AP238" s="1458" t="str">
        <f t="shared" si="590"/>
        <v>-</v>
      </c>
      <c r="AQ238" s="1013"/>
      <c r="AR238" s="1010"/>
      <c r="AS238" s="1010"/>
      <c r="AT238" s="1458" t="str">
        <f t="shared" si="591"/>
        <v>-</v>
      </c>
      <c r="AU238" s="1013"/>
      <c r="AV238" s="1010"/>
      <c r="AW238" s="1010"/>
      <c r="AX238" s="1458" t="str">
        <f t="shared" si="592"/>
        <v>-</v>
      </c>
      <c r="AY238" s="509"/>
    </row>
    <row r="239" spans="1:51" s="516" customFormat="1">
      <c r="A239" s="552">
        <f t="shared" si="714"/>
        <v>69</v>
      </c>
      <c r="B239" s="1020">
        <v>6</v>
      </c>
      <c r="C239" s="357" t="s">
        <v>728</v>
      </c>
      <c r="D239" s="981" t="s">
        <v>729</v>
      </c>
      <c r="E239" s="982" t="s">
        <v>674</v>
      </c>
      <c r="F239" s="983" t="s">
        <v>1122</v>
      </c>
      <c r="G239" s="1184">
        <f t="shared" si="654"/>
        <v>19250</v>
      </c>
      <c r="H239" s="1185">
        <f t="shared" si="655"/>
        <v>20565</v>
      </c>
      <c r="I239" s="1185">
        <f t="shared" si="656"/>
        <v>18853</v>
      </c>
      <c r="J239" s="1860">
        <f t="shared" si="576"/>
        <v>0.91675176270362269</v>
      </c>
      <c r="K239" s="1184">
        <f t="shared" si="657"/>
        <v>19250</v>
      </c>
      <c r="L239" s="1185">
        <f t="shared" si="658"/>
        <v>20565</v>
      </c>
      <c r="M239" s="1185">
        <f t="shared" si="659"/>
        <v>18853</v>
      </c>
      <c r="N239" s="1860">
        <f t="shared" si="580"/>
        <v>0.91675176270362269</v>
      </c>
      <c r="O239" s="1009"/>
      <c r="P239" s="1010"/>
      <c r="Q239" s="1010"/>
      <c r="R239" s="1458" t="str">
        <f t="shared" si="581"/>
        <v>-</v>
      </c>
      <c r="S239" s="1013"/>
      <c r="T239" s="1010"/>
      <c r="U239" s="1010"/>
      <c r="V239" s="1458" t="str">
        <f t="shared" si="582"/>
        <v>-</v>
      </c>
      <c r="W239" s="1013"/>
      <c r="X239" s="1010">
        <v>70</v>
      </c>
      <c r="Y239" s="1010">
        <v>70</v>
      </c>
      <c r="Z239" s="1458">
        <f t="shared" si="583"/>
        <v>1</v>
      </c>
      <c r="AA239" s="1013">
        <v>19250</v>
      </c>
      <c r="AB239" s="1010">
        <f>39859-721-19251-1912-264+1712</f>
        <v>19423</v>
      </c>
      <c r="AC239" s="1010">
        <f>39859-721-19251-1912-264</f>
        <v>17711</v>
      </c>
      <c r="AD239" s="1458">
        <f t="shared" si="584"/>
        <v>0.9118570766616898</v>
      </c>
      <c r="AE239" s="1013"/>
      <c r="AF239" s="1010">
        <v>1072</v>
      </c>
      <c r="AG239" s="1010">
        <v>1072</v>
      </c>
      <c r="AH239" s="1458">
        <f t="shared" si="585"/>
        <v>1</v>
      </c>
      <c r="AI239" s="1184">
        <f t="shared" si="660"/>
        <v>0</v>
      </c>
      <c r="AJ239" s="1185">
        <f t="shared" si="661"/>
        <v>0</v>
      </c>
      <c r="AK239" s="1185">
        <f t="shared" si="662"/>
        <v>0</v>
      </c>
      <c r="AL239" s="1860" t="str">
        <f t="shared" si="589"/>
        <v>-</v>
      </c>
      <c r="AM239" s="1013"/>
      <c r="AN239" s="1010"/>
      <c r="AO239" s="1010"/>
      <c r="AP239" s="1458" t="str">
        <f t="shared" si="590"/>
        <v>-</v>
      </c>
      <c r="AQ239" s="1013"/>
      <c r="AR239" s="1010"/>
      <c r="AS239" s="1010"/>
      <c r="AT239" s="1458" t="str">
        <f t="shared" si="591"/>
        <v>-</v>
      </c>
      <c r="AU239" s="1013"/>
      <c r="AV239" s="1010"/>
      <c r="AW239" s="1010"/>
      <c r="AX239" s="1458" t="str">
        <f t="shared" si="592"/>
        <v>-</v>
      </c>
      <c r="AY239" s="509"/>
    </row>
    <row r="240" spans="1:51" s="516" customFormat="1">
      <c r="A240" s="552">
        <f t="shared" ref="A240:A243" si="715">+A239+1</f>
        <v>70</v>
      </c>
      <c r="B240" s="288">
        <v>6</v>
      </c>
      <c r="C240" s="360" t="s">
        <v>728</v>
      </c>
      <c r="D240" s="973" t="s">
        <v>735</v>
      </c>
      <c r="E240" s="976" t="s">
        <v>677</v>
      </c>
      <c r="F240" s="978" t="s">
        <v>648</v>
      </c>
      <c r="G240" s="1184">
        <f t="shared" si="654"/>
        <v>1000</v>
      </c>
      <c r="H240" s="1185">
        <f t="shared" si="655"/>
        <v>721</v>
      </c>
      <c r="I240" s="1185">
        <f t="shared" si="656"/>
        <v>721</v>
      </c>
      <c r="J240" s="1860">
        <f t="shared" si="576"/>
        <v>1</v>
      </c>
      <c r="K240" s="1184">
        <f t="shared" si="657"/>
        <v>1000</v>
      </c>
      <c r="L240" s="1185">
        <f t="shared" si="658"/>
        <v>721</v>
      </c>
      <c r="M240" s="1185">
        <f t="shared" si="659"/>
        <v>721</v>
      </c>
      <c r="N240" s="1860">
        <f t="shared" si="580"/>
        <v>1</v>
      </c>
      <c r="O240" s="1009"/>
      <c r="P240" s="1010"/>
      <c r="Q240" s="1010"/>
      <c r="R240" s="1458" t="str">
        <f t="shared" si="581"/>
        <v>-</v>
      </c>
      <c r="S240" s="1013"/>
      <c r="T240" s="1010"/>
      <c r="U240" s="1010"/>
      <c r="V240" s="1458" t="str">
        <f t="shared" si="582"/>
        <v>-</v>
      </c>
      <c r="W240" s="1013"/>
      <c r="X240" s="1010"/>
      <c r="Y240" s="1010"/>
      <c r="Z240" s="1458" t="str">
        <f t="shared" si="583"/>
        <v>-</v>
      </c>
      <c r="AA240" s="1013">
        <v>1000</v>
      </c>
      <c r="AB240" s="1010">
        <v>721</v>
      </c>
      <c r="AC240" s="1010">
        <v>721</v>
      </c>
      <c r="AD240" s="1458">
        <f t="shared" si="584"/>
        <v>1</v>
      </c>
      <c r="AE240" s="1013"/>
      <c r="AF240" s="1010"/>
      <c r="AG240" s="1010"/>
      <c r="AH240" s="1458" t="str">
        <f t="shared" si="585"/>
        <v>-</v>
      </c>
      <c r="AI240" s="1184">
        <f t="shared" si="660"/>
        <v>0</v>
      </c>
      <c r="AJ240" s="1185">
        <f t="shared" si="661"/>
        <v>0</v>
      </c>
      <c r="AK240" s="1185">
        <f t="shared" si="662"/>
        <v>0</v>
      </c>
      <c r="AL240" s="1860" t="str">
        <f t="shared" si="589"/>
        <v>-</v>
      </c>
      <c r="AM240" s="1013"/>
      <c r="AN240" s="1010"/>
      <c r="AO240" s="1010"/>
      <c r="AP240" s="1458" t="str">
        <f t="shared" si="590"/>
        <v>-</v>
      </c>
      <c r="AQ240" s="1013"/>
      <c r="AR240" s="1010"/>
      <c r="AS240" s="1010"/>
      <c r="AT240" s="1458" t="str">
        <f t="shared" si="591"/>
        <v>-</v>
      </c>
      <c r="AU240" s="1013"/>
      <c r="AV240" s="1010"/>
      <c r="AW240" s="1010"/>
      <c r="AX240" s="1458" t="str">
        <f t="shared" si="592"/>
        <v>-</v>
      </c>
      <c r="AY240" s="509"/>
    </row>
    <row r="241" spans="1:54" s="511" customFormat="1" ht="24">
      <c r="A241" s="552">
        <f t="shared" si="715"/>
        <v>71</v>
      </c>
      <c r="B241" s="1019">
        <v>7</v>
      </c>
      <c r="C241" s="425" t="s">
        <v>2798</v>
      </c>
      <c r="D241" s="979" t="s">
        <v>2800</v>
      </c>
      <c r="E241" s="1890"/>
      <c r="F241" s="979" t="s">
        <v>2799</v>
      </c>
      <c r="G241" s="1184">
        <f t="shared" ref="G241" si="716">+K241+AI241</f>
        <v>0</v>
      </c>
      <c r="H241" s="1185">
        <f t="shared" ref="H241" si="717">+L241+AJ241</f>
        <v>78058</v>
      </c>
      <c r="I241" s="1185">
        <f t="shared" ref="I241" si="718">+M241+AK241</f>
        <v>78058</v>
      </c>
      <c r="J241" s="1860">
        <f t="shared" si="576"/>
        <v>1</v>
      </c>
      <c r="K241" s="1184">
        <f t="shared" ref="K241" si="719">+O241+S241+W241+AA241+AE241</f>
        <v>0</v>
      </c>
      <c r="L241" s="1185">
        <f t="shared" ref="L241" si="720">+P241+T241+X241+AB241+AF241</f>
        <v>72469</v>
      </c>
      <c r="M241" s="1185">
        <f t="shared" ref="M241" si="721">+Q241+U241+Y241+AC241+AG241</f>
        <v>72469</v>
      </c>
      <c r="N241" s="1860">
        <f t="shared" si="580"/>
        <v>1</v>
      </c>
      <c r="O241" s="1009"/>
      <c r="P241" s="1010">
        <f>1260+8680</f>
        <v>9940</v>
      </c>
      <c r="Q241" s="1010">
        <f>1260+8680</f>
        <v>9940</v>
      </c>
      <c r="R241" s="1458">
        <f t="shared" si="581"/>
        <v>1</v>
      </c>
      <c r="S241" s="1013"/>
      <c r="T241" s="1010">
        <f>237+1613</f>
        <v>1850</v>
      </c>
      <c r="U241" s="1010">
        <f>237+1613</f>
        <v>1850</v>
      </c>
      <c r="V241" s="1458">
        <f t="shared" si="582"/>
        <v>1</v>
      </c>
      <c r="W241" s="1013"/>
      <c r="X241" s="1010">
        <v>58079</v>
      </c>
      <c r="Y241" s="1010">
        <v>58079</v>
      </c>
      <c r="Z241" s="1458">
        <f t="shared" si="583"/>
        <v>1</v>
      </c>
      <c r="AA241" s="1013"/>
      <c r="AB241" s="1010"/>
      <c r="AC241" s="1010"/>
      <c r="AD241" s="1458" t="str">
        <f t="shared" si="584"/>
        <v>-</v>
      </c>
      <c r="AE241" s="1013"/>
      <c r="AF241" s="1010">
        <v>2600</v>
      </c>
      <c r="AG241" s="1010">
        <v>2600</v>
      </c>
      <c r="AH241" s="1458">
        <f t="shared" si="585"/>
        <v>1</v>
      </c>
      <c r="AI241" s="1184">
        <f t="shared" ref="AI241" si="722">+AM241+AQ241+AU241</f>
        <v>0</v>
      </c>
      <c r="AJ241" s="1185">
        <f t="shared" ref="AJ241" si="723">+AN241+AR241+AV241</f>
        <v>5589</v>
      </c>
      <c r="AK241" s="1185">
        <f t="shared" ref="AK241" si="724">+AO241+AS241+AW241</f>
        <v>5589</v>
      </c>
      <c r="AL241" s="1860">
        <f t="shared" si="589"/>
        <v>1</v>
      </c>
      <c r="AM241" s="1013"/>
      <c r="AN241" s="1010">
        <v>5589</v>
      </c>
      <c r="AO241" s="1010">
        <v>5589</v>
      </c>
      <c r="AP241" s="1458">
        <f t="shared" si="590"/>
        <v>1</v>
      </c>
      <c r="AQ241" s="1013"/>
      <c r="AR241" s="1010"/>
      <c r="AS241" s="1010"/>
      <c r="AT241" s="1458" t="str">
        <f t="shared" si="591"/>
        <v>-</v>
      </c>
      <c r="AU241" s="1013"/>
      <c r="AV241" s="1010"/>
      <c r="AW241" s="1010"/>
      <c r="AX241" s="1458" t="str">
        <f t="shared" si="592"/>
        <v>-</v>
      </c>
      <c r="AY241" s="509"/>
    </row>
    <row r="242" spans="1:54" s="511" customFormat="1" ht="24">
      <c r="A242" s="552">
        <f t="shared" si="715"/>
        <v>72</v>
      </c>
      <c r="B242" s="1019">
        <v>7</v>
      </c>
      <c r="C242" s="425" t="s">
        <v>2798</v>
      </c>
      <c r="D242" s="979" t="s">
        <v>2802</v>
      </c>
      <c r="E242" s="1890"/>
      <c r="F242" s="979" t="s">
        <v>2801</v>
      </c>
      <c r="G242" s="1184">
        <f t="shared" si="654"/>
        <v>0</v>
      </c>
      <c r="H242" s="1185">
        <f t="shared" si="655"/>
        <v>0</v>
      </c>
      <c r="I242" s="1185">
        <f t="shared" si="656"/>
        <v>0</v>
      </c>
      <c r="J242" s="1860" t="str">
        <f t="shared" ref="J242" si="725">IF(ISERROR(I242/H242),"-",I242/H242)</f>
        <v>-</v>
      </c>
      <c r="K242" s="1184">
        <f t="shared" si="657"/>
        <v>0</v>
      </c>
      <c r="L242" s="1185">
        <f t="shared" si="658"/>
        <v>0</v>
      </c>
      <c r="M242" s="1185">
        <f t="shared" si="659"/>
        <v>0</v>
      </c>
      <c r="N242" s="1860" t="str">
        <f t="shared" ref="N242" si="726">IF(ISERROR(M242/L242),"-",M242/L242)</f>
        <v>-</v>
      </c>
      <c r="O242" s="1009"/>
      <c r="P242" s="1010"/>
      <c r="Q242" s="1010"/>
      <c r="R242" s="1458" t="str">
        <f t="shared" ref="R242" si="727">IF(ISERROR(Q242/P242),"-",Q242/P242)</f>
        <v>-</v>
      </c>
      <c r="S242" s="1013"/>
      <c r="T242" s="1010"/>
      <c r="U242" s="1010"/>
      <c r="V242" s="1458" t="str">
        <f t="shared" ref="V242" si="728">IF(ISERROR(U242/T242),"-",U242/T242)</f>
        <v>-</v>
      </c>
      <c r="W242" s="1013"/>
      <c r="X242" s="1010"/>
      <c r="Y242" s="1010"/>
      <c r="Z242" s="1458" t="str">
        <f t="shared" ref="Z242" si="729">IF(ISERROR(Y242/X242),"-",Y242/X242)</f>
        <v>-</v>
      </c>
      <c r="AA242" s="1013"/>
      <c r="AB242" s="1010"/>
      <c r="AC242" s="1010"/>
      <c r="AD242" s="1458" t="str">
        <f t="shared" ref="AD242" si="730">IF(ISERROR(AC242/AB242),"-",AC242/AB242)</f>
        <v>-</v>
      </c>
      <c r="AE242" s="1013"/>
      <c r="AF242" s="1010"/>
      <c r="AG242" s="1010"/>
      <c r="AH242" s="1458" t="str">
        <f t="shared" ref="AH242" si="731">IF(ISERROR(AG242/AF242),"-",AG242/AF242)</f>
        <v>-</v>
      </c>
      <c r="AI242" s="1184">
        <f t="shared" si="660"/>
        <v>0</v>
      </c>
      <c r="AJ242" s="1185">
        <f t="shared" si="661"/>
        <v>0</v>
      </c>
      <c r="AK242" s="1185">
        <f t="shared" si="662"/>
        <v>0</v>
      </c>
      <c r="AL242" s="1860" t="str">
        <f t="shared" ref="AL242" si="732">IF(ISERROR(AK242/AJ242),"-",AK242/AJ242)</f>
        <v>-</v>
      </c>
      <c r="AM242" s="1013"/>
      <c r="AN242" s="1010"/>
      <c r="AO242" s="1010"/>
      <c r="AP242" s="1458" t="str">
        <f t="shared" ref="AP242" si="733">IF(ISERROR(AO242/AN242),"-",AO242/AN242)</f>
        <v>-</v>
      </c>
      <c r="AQ242" s="1013"/>
      <c r="AR242" s="1010"/>
      <c r="AS242" s="1010"/>
      <c r="AT242" s="1458" t="str">
        <f t="shared" ref="AT242" si="734">IF(ISERROR(AS242/AR242),"-",AS242/AR242)</f>
        <v>-</v>
      </c>
      <c r="AU242" s="1013"/>
      <c r="AV242" s="1010"/>
      <c r="AW242" s="1010"/>
      <c r="AX242" s="1458" t="str">
        <f t="shared" ref="AX242" si="735">IF(ISERROR(AW242/AV242),"-",AW242/AV242)</f>
        <v>-</v>
      </c>
      <c r="AY242" s="509"/>
    </row>
    <row r="243" spans="1:54" s="516" customFormat="1" ht="12.75" thickBot="1">
      <c r="A243" s="552">
        <f t="shared" si="715"/>
        <v>73</v>
      </c>
      <c r="B243" s="1020">
        <v>8</v>
      </c>
      <c r="C243" s="357" t="s">
        <v>716</v>
      </c>
      <c r="D243" s="981" t="s">
        <v>715</v>
      </c>
      <c r="E243" s="982" t="s">
        <v>670</v>
      </c>
      <c r="F243" s="983" t="s">
        <v>643</v>
      </c>
      <c r="G243" s="1184">
        <f t="shared" si="654"/>
        <v>2500</v>
      </c>
      <c r="H243" s="1185">
        <f t="shared" si="655"/>
        <v>266</v>
      </c>
      <c r="I243" s="1185">
        <f t="shared" si="656"/>
        <v>266</v>
      </c>
      <c r="J243" s="1865">
        <f t="shared" si="576"/>
        <v>1</v>
      </c>
      <c r="K243" s="1184">
        <f t="shared" si="657"/>
        <v>2500</v>
      </c>
      <c r="L243" s="1185">
        <f t="shared" si="658"/>
        <v>266</v>
      </c>
      <c r="M243" s="1185">
        <f t="shared" si="659"/>
        <v>266</v>
      </c>
      <c r="N243" s="1865">
        <f t="shared" si="580"/>
        <v>1</v>
      </c>
      <c r="O243" s="1009"/>
      <c r="P243" s="1010"/>
      <c r="Q243" s="1010"/>
      <c r="R243" s="1870" t="str">
        <f t="shared" si="581"/>
        <v>-</v>
      </c>
      <c r="S243" s="1013"/>
      <c r="T243" s="1010"/>
      <c r="U243" s="1010"/>
      <c r="V243" s="1870" t="str">
        <f t="shared" si="582"/>
        <v>-</v>
      </c>
      <c r="W243" s="1013">
        <v>2500</v>
      </c>
      <c r="X243" s="1010">
        <v>266</v>
      </c>
      <c r="Y243" s="1010">
        <v>266</v>
      </c>
      <c r="Z243" s="1870">
        <f t="shared" si="583"/>
        <v>1</v>
      </c>
      <c r="AA243" s="1013"/>
      <c r="AB243" s="1010"/>
      <c r="AC243" s="1010"/>
      <c r="AD243" s="1870" t="str">
        <f t="shared" si="584"/>
        <v>-</v>
      </c>
      <c r="AE243" s="1013"/>
      <c r="AF243" s="1010"/>
      <c r="AG243" s="1010"/>
      <c r="AH243" s="1870" t="str">
        <f t="shared" si="585"/>
        <v>-</v>
      </c>
      <c r="AI243" s="1184">
        <f t="shared" si="660"/>
        <v>0</v>
      </c>
      <c r="AJ243" s="1185">
        <f t="shared" si="661"/>
        <v>0</v>
      </c>
      <c r="AK243" s="1185">
        <f t="shared" si="662"/>
        <v>0</v>
      </c>
      <c r="AL243" s="1865" t="str">
        <f t="shared" si="589"/>
        <v>-</v>
      </c>
      <c r="AM243" s="1013"/>
      <c r="AN243" s="1010"/>
      <c r="AO243" s="1010"/>
      <c r="AP243" s="1870" t="str">
        <f t="shared" si="590"/>
        <v>-</v>
      </c>
      <c r="AQ243" s="1013"/>
      <c r="AR243" s="1010"/>
      <c r="AS243" s="1010"/>
      <c r="AT243" s="1870" t="str">
        <f t="shared" si="591"/>
        <v>-</v>
      </c>
      <c r="AU243" s="1013"/>
      <c r="AV243" s="1010"/>
      <c r="AW243" s="1010"/>
      <c r="AX243" s="1870" t="str">
        <f t="shared" si="592"/>
        <v>-</v>
      </c>
      <c r="AY243" s="509"/>
    </row>
    <row r="244" spans="1:54" ht="12.75" thickBot="1">
      <c r="A244" s="548" t="s">
        <v>596</v>
      </c>
      <c r="B244" s="1204"/>
      <c r="C244" s="1327" t="s">
        <v>411</v>
      </c>
      <c r="D244" s="1328"/>
      <c r="E244" s="1328"/>
      <c r="F244" s="1329"/>
      <c r="G244" s="538">
        <f t="shared" ref="G244" si="736">SUM(G171:G243)</f>
        <v>2427626</v>
      </c>
      <c r="H244" s="539">
        <f t="shared" ref="H244:I244" si="737">SUM(H171:H243)</f>
        <v>4876089</v>
      </c>
      <c r="I244" s="539">
        <f t="shared" si="737"/>
        <v>1641680</v>
      </c>
      <c r="J244" s="1459">
        <f t="shared" si="576"/>
        <v>0.33667966273790328</v>
      </c>
      <c r="K244" s="538">
        <f t="shared" ref="K244:AU244" si="738">SUM(K171:K243)</f>
        <v>720280</v>
      </c>
      <c r="L244" s="539">
        <f t="shared" ref="L244:M244" si="739">SUM(L171:L243)</f>
        <v>4140893</v>
      </c>
      <c r="M244" s="539">
        <f t="shared" si="739"/>
        <v>960123</v>
      </c>
      <c r="N244" s="1459">
        <f t="shared" si="580"/>
        <v>0.23186375499197878</v>
      </c>
      <c r="O244" s="538">
        <f t="shared" si="738"/>
        <v>86232</v>
      </c>
      <c r="P244" s="368">
        <f t="shared" ref="P244:Q244" si="740">SUM(P171:P243)</f>
        <v>299142</v>
      </c>
      <c r="Q244" s="368">
        <f t="shared" si="740"/>
        <v>299142</v>
      </c>
      <c r="R244" s="1459">
        <f t="shared" si="581"/>
        <v>1</v>
      </c>
      <c r="S244" s="538">
        <f t="shared" si="738"/>
        <v>14878</v>
      </c>
      <c r="T244" s="368">
        <f t="shared" ref="T244:U244" si="741">SUM(T171:T243)</f>
        <v>40556</v>
      </c>
      <c r="U244" s="368">
        <f t="shared" si="741"/>
        <v>40556</v>
      </c>
      <c r="V244" s="1459">
        <f t="shared" si="582"/>
        <v>1</v>
      </c>
      <c r="W244" s="538">
        <f t="shared" si="738"/>
        <v>245257</v>
      </c>
      <c r="X244" s="368">
        <f t="shared" ref="X244:Y244" si="742">SUM(X171:X243)</f>
        <v>537524</v>
      </c>
      <c r="Y244" s="368">
        <f t="shared" si="742"/>
        <v>498788</v>
      </c>
      <c r="Z244" s="1459">
        <f t="shared" si="583"/>
        <v>0.927936240986449</v>
      </c>
      <c r="AA244" s="538">
        <f t="shared" si="738"/>
        <v>44465</v>
      </c>
      <c r="AB244" s="368">
        <f t="shared" ref="AB244:AC244" si="743">SUM(AB171:AB243)</f>
        <v>56062</v>
      </c>
      <c r="AC244" s="368">
        <f t="shared" si="743"/>
        <v>54350</v>
      </c>
      <c r="AD244" s="1459">
        <f t="shared" si="584"/>
        <v>0.96946238093539294</v>
      </c>
      <c r="AE244" s="538">
        <f t="shared" si="738"/>
        <v>329448</v>
      </c>
      <c r="AF244" s="368">
        <f t="shared" ref="AF244:AG244" si="744">SUM(AF171:AF243)</f>
        <v>3207609</v>
      </c>
      <c r="AG244" s="368">
        <f t="shared" si="744"/>
        <v>67287</v>
      </c>
      <c r="AH244" s="1459">
        <f t="shared" si="585"/>
        <v>2.0977307396256837E-2</v>
      </c>
      <c r="AI244" s="538">
        <f t="shared" si="738"/>
        <v>1707346</v>
      </c>
      <c r="AJ244" s="539">
        <f t="shared" ref="AJ244:AK244" si="745">SUM(AJ171:AJ243)</f>
        <v>735196</v>
      </c>
      <c r="AK244" s="539">
        <f t="shared" si="745"/>
        <v>681557</v>
      </c>
      <c r="AL244" s="1459">
        <f t="shared" si="589"/>
        <v>0.92704122438098135</v>
      </c>
      <c r="AM244" s="538">
        <f t="shared" si="738"/>
        <v>901473</v>
      </c>
      <c r="AN244" s="368">
        <f t="shared" ref="AN244:AO244" si="746">SUM(AN171:AN243)</f>
        <v>505196</v>
      </c>
      <c r="AO244" s="368">
        <f t="shared" si="746"/>
        <v>451557</v>
      </c>
      <c r="AP244" s="1459">
        <f t="shared" si="590"/>
        <v>0.89382536678833557</v>
      </c>
      <c r="AQ244" s="538">
        <f t="shared" si="738"/>
        <v>805873</v>
      </c>
      <c r="AR244" s="368">
        <f t="shared" ref="AR244:AS244" si="747">SUM(AR171:AR243)</f>
        <v>228800</v>
      </c>
      <c r="AS244" s="368">
        <f t="shared" si="747"/>
        <v>228800</v>
      </c>
      <c r="AT244" s="1459">
        <f t="shared" si="591"/>
        <v>1</v>
      </c>
      <c r="AU244" s="538">
        <f t="shared" si="738"/>
        <v>0</v>
      </c>
      <c r="AV244" s="368">
        <f t="shared" ref="AV244:AW244" si="748">SUM(AV171:AV243)</f>
        <v>1200</v>
      </c>
      <c r="AW244" s="368">
        <f t="shared" si="748"/>
        <v>1200</v>
      </c>
      <c r="AX244" s="1459">
        <f t="shared" si="592"/>
        <v>1</v>
      </c>
      <c r="AY244" s="838"/>
    </row>
    <row r="245" spans="1:54">
      <c r="A245" s="552">
        <f>A243+1</f>
        <v>74</v>
      </c>
      <c r="B245" s="1019">
        <v>9</v>
      </c>
      <c r="C245" s="425" t="s">
        <v>1117</v>
      </c>
      <c r="D245" s="979" t="s">
        <v>1116</v>
      </c>
      <c r="E245" s="974" t="s">
        <v>1118</v>
      </c>
      <c r="F245" s="1000" t="s">
        <v>1202</v>
      </c>
      <c r="G245" s="1184">
        <f t="shared" ref="G245:J251" si="749">+K245+AI245</f>
        <v>6000</v>
      </c>
      <c r="H245" s="1185">
        <f t="shared" si="749"/>
        <v>0</v>
      </c>
      <c r="I245" s="1185">
        <f t="shared" si="749"/>
        <v>0</v>
      </c>
      <c r="J245" s="1860" t="str">
        <f t="shared" si="576"/>
        <v>-</v>
      </c>
      <c r="K245" s="1184">
        <f t="shared" ref="K245:N251" si="750">+O245+S245+W245+AA245+AE245</f>
        <v>6000</v>
      </c>
      <c r="L245" s="1185">
        <f t="shared" si="750"/>
        <v>0</v>
      </c>
      <c r="M245" s="1185">
        <f t="shared" si="750"/>
        <v>0</v>
      </c>
      <c r="N245" s="1860" t="str">
        <f t="shared" si="580"/>
        <v>-</v>
      </c>
      <c r="O245" s="1009"/>
      <c r="P245" s="1010"/>
      <c r="Q245" s="1010"/>
      <c r="R245" s="1458" t="str">
        <f t="shared" si="581"/>
        <v>-</v>
      </c>
      <c r="S245" s="1009"/>
      <c r="T245" s="1010"/>
      <c r="U245" s="1010"/>
      <c r="V245" s="1458" t="str">
        <f t="shared" si="582"/>
        <v>-</v>
      </c>
      <c r="W245" s="1009"/>
      <c r="X245" s="1010"/>
      <c r="Y245" s="1010"/>
      <c r="Z245" s="1458" t="str">
        <f t="shared" si="583"/>
        <v>-</v>
      </c>
      <c r="AA245" s="1009">
        <v>6000</v>
      </c>
      <c r="AB245" s="1010"/>
      <c r="AC245" s="1010"/>
      <c r="AD245" s="1458" t="str">
        <f t="shared" si="584"/>
        <v>-</v>
      </c>
      <c r="AE245" s="1009"/>
      <c r="AF245" s="1010"/>
      <c r="AG245" s="1010"/>
      <c r="AH245" s="1458" t="str">
        <f t="shared" si="585"/>
        <v>-</v>
      </c>
      <c r="AI245" s="1184">
        <f t="shared" ref="AI245:AL251" si="751">+AM245+AQ245+AU245</f>
        <v>0</v>
      </c>
      <c r="AJ245" s="1185">
        <f t="shared" si="751"/>
        <v>0</v>
      </c>
      <c r="AK245" s="1185">
        <f t="shared" si="751"/>
        <v>0</v>
      </c>
      <c r="AL245" s="1860" t="str">
        <f t="shared" si="589"/>
        <v>-</v>
      </c>
      <c r="AM245" s="1009"/>
      <c r="AN245" s="1010"/>
      <c r="AO245" s="1010"/>
      <c r="AP245" s="1458" t="str">
        <f t="shared" si="590"/>
        <v>-</v>
      </c>
      <c r="AQ245" s="1009"/>
      <c r="AR245" s="1010"/>
      <c r="AS245" s="1010"/>
      <c r="AT245" s="1458" t="str">
        <f t="shared" si="591"/>
        <v>-</v>
      </c>
      <c r="AU245" s="1009"/>
      <c r="AV245" s="1010"/>
      <c r="AW245" s="1010"/>
      <c r="AX245" s="1458" t="str">
        <f t="shared" si="592"/>
        <v>-</v>
      </c>
      <c r="AY245" s="509"/>
    </row>
    <row r="246" spans="1:54" s="511" customFormat="1">
      <c r="A246" s="552">
        <f t="shared" ref="A246:A251" si="752">+A245+1</f>
        <v>75</v>
      </c>
      <c r="B246" s="288">
        <v>10</v>
      </c>
      <c r="C246" s="360" t="s">
        <v>1170</v>
      </c>
      <c r="D246" s="973" t="s">
        <v>1171</v>
      </c>
      <c r="E246" s="976"/>
      <c r="F246" s="1888" t="s">
        <v>2807</v>
      </c>
      <c r="G246" s="1184">
        <f t="shared" si="749"/>
        <v>0</v>
      </c>
      <c r="H246" s="1185">
        <f t="shared" si="749"/>
        <v>0</v>
      </c>
      <c r="I246" s="1185">
        <f t="shared" si="749"/>
        <v>0</v>
      </c>
      <c r="J246" s="1860" t="str">
        <f t="shared" ref="J246" si="753">IF(ISERROR(I246/H246),"-",I246/H246)</f>
        <v>-</v>
      </c>
      <c r="K246" s="1184">
        <f t="shared" si="750"/>
        <v>0</v>
      </c>
      <c r="L246" s="1185">
        <f t="shared" si="750"/>
        <v>0</v>
      </c>
      <c r="M246" s="1185">
        <f t="shared" si="750"/>
        <v>0</v>
      </c>
      <c r="N246" s="1860" t="str">
        <f t="shared" ref="N246" si="754">IF(ISERROR(M246/L246),"-",M246/L246)</f>
        <v>-</v>
      </c>
      <c r="O246" s="1009"/>
      <c r="P246" s="1010"/>
      <c r="Q246" s="1010"/>
      <c r="R246" s="1458" t="str">
        <f t="shared" ref="R246" si="755">IF(ISERROR(Q246/P246),"-",Q246/P246)</f>
        <v>-</v>
      </c>
      <c r="S246" s="1013"/>
      <c r="T246" s="1010"/>
      <c r="U246" s="1010"/>
      <c r="V246" s="1458" t="str">
        <f t="shared" ref="V246" si="756">IF(ISERROR(U246/T246),"-",U246/T246)</f>
        <v>-</v>
      </c>
      <c r="W246" s="1013"/>
      <c r="X246" s="1010"/>
      <c r="Y246" s="1010"/>
      <c r="Z246" s="1458" t="str">
        <f t="shared" ref="Z246" si="757">IF(ISERROR(Y246/X246),"-",Y246/X246)</f>
        <v>-</v>
      </c>
      <c r="AA246" s="1013"/>
      <c r="AB246" s="1010"/>
      <c r="AC246" s="1010"/>
      <c r="AD246" s="1458" t="str">
        <f t="shared" ref="AD246" si="758">IF(ISERROR(AC246/AB246),"-",AC246/AB246)</f>
        <v>-</v>
      </c>
      <c r="AE246" s="1013"/>
      <c r="AF246" s="1010"/>
      <c r="AG246" s="1010"/>
      <c r="AH246" s="1458" t="str">
        <f t="shared" ref="AH246" si="759">IF(ISERROR(AG246/AF246),"-",AG246/AF246)</f>
        <v>-</v>
      </c>
      <c r="AI246" s="1184">
        <f t="shared" si="751"/>
        <v>0</v>
      </c>
      <c r="AJ246" s="1185">
        <f t="shared" si="751"/>
        <v>0</v>
      </c>
      <c r="AK246" s="1185">
        <f t="shared" si="751"/>
        <v>0</v>
      </c>
      <c r="AL246" s="1860" t="str">
        <f t="shared" ref="AL246" si="760">IF(ISERROR(AK246/AJ246),"-",AK246/AJ246)</f>
        <v>-</v>
      </c>
      <c r="AM246" s="1013"/>
      <c r="AN246" s="1010"/>
      <c r="AO246" s="1010"/>
      <c r="AP246" s="1458" t="str">
        <f t="shared" ref="AP246" si="761">IF(ISERROR(AO246/AN246),"-",AO246/AN246)</f>
        <v>-</v>
      </c>
      <c r="AQ246" s="1013"/>
      <c r="AR246" s="1010"/>
      <c r="AS246" s="1010"/>
      <c r="AT246" s="1458" t="str">
        <f t="shared" ref="AT246" si="762">IF(ISERROR(AS246/AR246),"-",AS246/AR246)</f>
        <v>-</v>
      </c>
      <c r="AU246" s="1013"/>
      <c r="AV246" s="1010"/>
      <c r="AW246" s="1010"/>
      <c r="AX246" s="1458" t="str">
        <f t="shared" ref="AX246" si="763">IF(ISERROR(AW246/AV246),"-",AW246/AV246)</f>
        <v>-</v>
      </c>
      <c r="AY246" s="509"/>
    </row>
    <row r="247" spans="1:54">
      <c r="A247" s="552">
        <f t="shared" si="752"/>
        <v>76</v>
      </c>
      <c r="B247" s="288">
        <v>10</v>
      </c>
      <c r="C247" s="360" t="s">
        <v>786</v>
      </c>
      <c r="D247" s="973" t="s">
        <v>787</v>
      </c>
      <c r="E247" s="976" t="s">
        <v>696</v>
      </c>
      <c r="F247" s="1001" t="s">
        <v>664</v>
      </c>
      <c r="G247" s="1184">
        <f t="shared" si="749"/>
        <v>0</v>
      </c>
      <c r="H247" s="1185">
        <f t="shared" si="749"/>
        <v>0</v>
      </c>
      <c r="I247" s="1185">
        <f t="shared" si="749"/>
        <v>0</v>
      </c>
      <c r="J247" s="1860" t="str">
        <f t="shared" ref="J247:J255" si="764">IF(ISERROR(I247/H247),"-",I247/H247)</f>
        <v>-</v>
      </c>
      <c r="K247" s="1184">
        <f t="shared" si="750"/>
        <v>0</v>
      </c>
      <c r="L247" s="1185">
        <f t="shared" si="750"/>
        <v>0</v>
      </c>
      <c r="M247" s="1185">
        <f t="shared" si="750"/>
        <v>0</v>
      </c>
      <c r="N247" s="1860" t="str">
        <f t="shared" ref="N247:N255" si="765">IF(ISERROR(M247/L247),"-",M247/L247)</f>
        <v>-</v>
      </c>
      <c r="O247" s="1009"/>
      <c r="P247" s="1010"/>
      <c r="Q247" s="1010"/>
      <c r="R247" s="1458" t="str">
        <f t="shared" ref="R247:R255" si="766">IF(ISERROR(Q247/P247),"-",Q247/P247)</f>
        <v>-</v>
      </c>
      <c r="S247" s="1013"/>
      <c r="T247" s="1010"/>
      <c r="U247" s="1010"/>
      <c r="V247" s="1458" t="str">
        <f t="shared" ref="V247:V255" si="767">IF(ISERROR(U247/T247),"-",U247/T247)</f>
        <v>-</v>
      </c>
      <c r="W247" s="1013"/>
      <c r="X247" s="1010"/>
      <c r="Y247" s="1010"/>
      <c r="Z247" s="1458" t="str">
        <f t="shared" ref="Z247:Z255" si="768">IF(ISERROR(Y247/X247),"-",Y247/X247)</f>
        <v>-</v>
      </c>
      <c r="AA247" s="1013"/>
      <c r="AB247" s="1010"/>
      <c r="AC247" s="1010"/>
      <c r="AD247" s="1458" t="str">
        <f t="shared" ref="AD247:AD255" si="769">IF(ISERROR(AC247/AB247),"-",AC247/AB247)</f>
        <v>-</v>
      </c>
      <c r="AE247" s="1013"/>
      <c r="AF247" s="1010"/>
      <c r="AG247" s="1010"/>
      <c r="AH247" s="1458" t="str">
        <f t="shared" ref="AH247:AH255" si="770">IF(ISERROR(AG247/AF247),"-",AG247/AF247)</f>
        <v>-</v>
      </c>
      <c r="AI247" s="1184">
        <f t="shared" si="751"/>
        <v>0</v>
      </c>
      <c r="AJ247" s="1185">
        <f t="shared" si="751"/>
        <v>0</v>
      </c>
      <c r="AK247" s="1185">
        <f t="shared" si="751"/>
        <v>0</v>
      </c>
      <c r="AL247" s="1860" t="str">
        <f t="shared" ref="AL247:AL255" si="771">IF(ISERROR(AK247/AJ247),"-",AK247/AJ247)</f>
        <v>-</v>
      </c>
      <c r="AM247" s="1013"/>
      <c r="AN247" s="1010"/>
      <c r="AO247" s="1010"/>
      <c r="AP247" s="1458" t="str">
        <f t="shared" ref="AP247:AP255" si="772">IF(ISERROR(AO247/AN247),"-",AO247/AN247)</f>
        <v>-</v>
      </c>
      <c r="AQ247" s="1013"/>
      <c r="AR247" s="1010"/>
      <c r="AS247" s="1010"/>
      <c r="AT247" s="1458" t="str">
        <f t="shared" ref="AT247:AT255" si="773">IF(ISERROR(AS247/AR247),"-",AS247/AR247)</f>
        <v>-</v>
      </c>
      <c r="AU247" s="1013"/>
      <c r="AV247" s="1010"/>
      <c r="AW247" s="1010"/>
      <c r="AX247" s="1458" t="str">
        <f t="shared" ref="AX247:AX255" si="774">IF(ISERROR(AW247/AV247),"-",AW247/AV247)</f>
        <v>-</v>
      </c>
      <c r="AY247" s="509"/>
    </row>
    <row r="248" spans="1:54">
      <c r="A248" s="552">
        <f t="shared" si="752"/>
        <v>77</v>
      </c>
      <c r="B248" s="1019">
        <v>10</v>
      </c>
      <c r="C248" s="425" t="s">
        <v>785</v>
      </c>
      <c r="D248" s="979" t="s">
        <v>1107</v>
      </c>
      <c r="E248" s="976" t="s">
        <v>695</v>
      </c>
      <c r="F248" s="1002" t="s">
        <v>663</v>
      </c>
      <c r="G248" s="1184">
        <f t="shared" si="749"/>
        <v>0</v>
      </c>
      <c r="H248" s="1185">
        <f t="shared" si="749"/>
        <v>0</v>
      </c>
      <c r="I248" s="1185">
        <f t="shared" si="749"/>
        <v>0</v>
      </c>
      <c r="J248" s="1860" t="str">
        <f t="shared" si="764"/>
        <v>-</v>
      </c>
      <c r="K248" s="1184">
        <f t="shared" si="750"/>
        <v>0</v>
      </c>
      <c r="L248" s="1185">
        <f t="shared" si="750"/>
        <v>0</v>
      </c>
      <c r="M248" s="1185">
        <f t="shared" si="750"/>
        <v>0</v>
      </c>
      <c r="N248" s="1860" t="str">
        <f t="shared" si="765"/>
        <v>-</v>
      </c>
      <c r="O248" s="1009"/>
      <c r="P248" s="1010"/>
      <c r="Q248" s="1010"/>
      <c r="R248" s="1458" t="str">
        <f t="shared" si="766"/>
        <v>-</v>
      </c>
      <c r="S248" s="1013"/>
      <c r="T248" s="1010"/>
      <c r="U248" s="1010"/>
      <c r="V248" s="1458" t="str">
        <f t="shared" si="767"/>
        <v>-</v>
      </c>
      <c r="W248" s="1013"/>
      <c r="X248" s="1010"/>
      <c r="Y248" s="1010"/>
      <c r="Z248" s="1458" t="str">
        <f t="shared" si="768"/>
        <v>-</v>
      </c>
      <c r="AA248" s="1013"/>
      <c r="AB248" s="1010"/>
      <c r="AC248" s="1010"/>
      <c r="AD248" s="1458" t="str">
        <f t="shared" si="769"/>
        <v>-</v>
      </c>
      <c r="AE248" s="1013"/>
      <c r="AF248" s="1010"/>
      <c r="AG248" s="1010"/>
      <c r="AH248" s="1458" t="str">
        <f t="shared" si="770"/>
        <v>-</v>
      </c>
      <c r="AI248" s="1184">
        <f t="shared" si="751"/>
        <v>0</v>
      </c>
      <c r="AJ248" s="1185">
        <f t="shared" si="751"/>
        <v>0</v>
      </c>
      <c r="AK248" s="1185">
        <f t="shared" si="751"/>
        <v>0</v>
      </c>
      <c r="AL248" s="1860" t="str">
        <f t="shared" si="771"/>
        <v>-</v>
      </c>
      <c r="AM248" s="1013"/>
      <c r="AN248" s="1010"/>
      <c r="AO248" s="1010"/>
      <c r="AP248" s="1458" t="str">
        <f t="shared" si="772"/>
        <v>-</v>
      </c>
      <c r="AQ248" s="1013"/>
      <c r="AR248" s="1010"/>
      <c r="AS248" s="1010"/>
      <c r="AT248" s="1458" t="str">
        <f t="shared" si="773"/>
        <v>-</v>
      </c>
      <c r="AU248" s="1013"/>
      <c r="AV248" s="1010"/>
      <c r="AW248" s="1010"/>
      <c r="AX248" s="1458" t="str">
        <f t="shared" si="774"/>
        <v>-</v>
      </c>
      <c r="AY248" s="509"/>
    </row>
    <row r="249" spans="1:54" s="516" customFormat="1">
      <c r="A249" s="552">
        <f t="shared" si="752"/>
        <v>78</v>
      </c>
      <c r="B249" s="288">
        <v>10</v>
      </c>
      <c r="C249" s="360" t="s">
        <v>789</v>
      </c>
      <c r="D249" s="973" t="s">
        <v>788</v>
      </c>
      <c r="E249" s="976" t="s">
        <v>697</v>
      </c>
      <c r="F249" s="1002" t="s">
        <v>709</v>
      </c>
      <c r="G249" s="1184">
        <f t="shared" si="749"/>
        <v>800</v>
      </c>
      <c r="H249" s="1185">
        <f t="shared" si="749"/>
        <v>0</v>
      </c>
      <c r="I249" s="1185">
        <f t="shared" si="749"/>
        <v>0</v>
      </c>
      <c r="J249" s="1860" t="str">
        <f t="shared" si="764"/>
        <v>-</v>
      </c>
      <c r="K249" s="1184">
        <f t="shared" si="750"/>
        <v>800</v>
      </c>
      <c r="L249" s="1185">
        <f t="shared" si="750"/>
        <v>0</v>
      </c>
      <c r="M249" s="1185">
        <f t="shared" si="750"/>
        <v>0</v>
      </c>
      <c r="N249" s="1860" t="str">
        <f t="shared" si="765"/>
        <v>-</v>
      </c>
      <c r="O249" s="1009"/>
      <c r="P249" s="1010"/>
      <c r="Q249" s="1010"/>
      <c r="R249" s="1458" t="str">
        <f t="shared" si="766"/>
        <v>-</v>
      </c>
      <c r="S249" s="1013"/>
      <c r="T249" s="1010"/>
      <c r="U249" s="1010"/>
      <c r="V249" s="1458" t="str">
        <f t="shared" si="767"/>
        <v>-</v>
      </c>
      <c r="W249" s="1013"/>
      <c r="X249" s="1010"/>
      <c r="Y249" s="1010"/>
      <c r="Z249" s="1458" t="str">
        <f t="shared" si="768"/>
        <v>-</v>
      </c>
      <c r="AA249" s="1013"/>
      <c r="AB249" s="1010"/>
      <c r="AC249" s="1010"/>
      <c r="AD249" s="1458" t="str">
        <f t="shared" si="769"/>
        <v>-</v>
      </c>
      <c r="AE249" s="1013">
        <v>800</v>
      </c>
      <c r="AF249" s="1010"/>
      <c r="AG249" s="1010"/>
      <c r="AH249" s="1458" t="str">
        <f t="shared" si="770"/>
        <v>-</v>
      </c>
      <c r="AI249" s="1184">
        <f t="shared" si="751"/>
        <v>0</v>
      </c>
      <c r="AJ249" s="1185">
        <f t="shared" si="751"/>
        <v>0</v>
      </c>
      <c r="AK249" s="1185">
        <f t="shared" si="751"/>
        <v>0</v>
      </c>
      <c r="AL249" s="1860" t="str">
        <f t="shared" si="771"/>
        <v>-</v>
      </c>
      <c r="AM249" s="1013"/>
      <c r="AN249" s="1010"/>
      <c r="AO249" s="1010"/>
      <c r="AP249" s="1458" t="str">
        <f t="shared" si="772"/>
        <v>-</v>
      </c>
      <c r="AQ249" s="1013"/>
      <c r="AR249" s="1010"/>
      <c r="AS249" s="1010"/>
      <c r="AT249" s="1458" t="str">
        <f t="shared" si="773"/>
        <v>-</v>
      </c>
      <c r="AU249" s="1013"/>
      <c r="AV249" s="1010"/>
      <c r="AW249" s="1010"/>
      <c r="AX249" s="1458" t="str">
        <f t="shared" si="774"/>
        <v>-</v>
      </c>
      <c r="AY249" s="509"/>
      <c r="AZ249" s="302"/>
      <c r="BA249" s="302"/>
      <c r="BB249" s="302"/>
    </row>
    <row r="250" spans="1:54">
      <c r="A250" s="552">
        <f t="shared" si="752"/>
        <v>79</v>
      </c>
      <c r="B250" s="1019">
        <v>10</v>
      </c>
      <c r="C250" s="425" t="s">
        <v>1124</v>
      </c>
      <c r="D250" s="979" t="s">
        <v>1125</v>
      </c>
      <c r="E250" s="976" t="s">
        <v>1123</v>
      </c>
      <c r="F250" s="1002" t="s">
        <v>662</v>
      </c>
      <c r="G250" s="1184">
        <f t="shared" si="749"/>
        <v>2000</v>
      </c>
      <c r="H250" s="1185">
        <f t="shared" si="749"/>
        <v>110</v>
      </c>
      <c r="I250" s="1185">
        <f t="shared" si="749"/>
        <v>110</v>
      </c>
      <c r="J250" s="1860">
        <f t="shared" si="764"/>
        <v>1</v>
      </c>
      <c r="K250" s="1184">
        <f t="shared" si="750"/>
        <v>2000</v>
      </c>
      <c r="L250" s="1185">
        <f t="shared" si="750"/>
        <v>110</v>
      </c>
      <c r="M250" s="1185">
        <f t="shared" si="750"/>
        <v>110</v>
      </c>
      <c r="N250" s="1860">
        <f t="shared" si="765"/>
        <v>1</v>
      </c>
      <c r="O250" s="1009"/>
      <c r="P250" s="1010">
        <v>10</v>
      </c>
      <c r="Q250" s="1010">
        <v>10</v>
      </c>
      <c r="R250" s="1458">
        <f t="shared" si="766"/>
        <v>1</v>
      </c>
      <c r="S250" s="1013"/>
      <c r="T250" s="1010"/>
      <c r="U250" s="1010"/>
      <c r="V250" s="1458" t="str">
        <f t="shared" si="767"/>
        <v>-</v>
      </c>
      <c r="W250" s="1013">
        <v>2000</v>
      </c>
      <c r="X250" s="1010">
        <v>100</v>
      </c>
      <c r="Y250" s="1010">
        <v>100</v>
      </c>
      <c r="Z250" s="1458">
        <f t="shared" si="768"/>
        <v>1</v>
      </c>
      <c r="AA250" s="1013"/>
      <c r="AB250" s="1010"/>
      <c r="AC250" s="1010"/>
      <c r="AD250" s="1458" t="str">
        <f t="shared" si="769"/>
        <v>-</v>
      </c>
      <c r="AE250" s="1013"/>
      <c r="AF250" s="1010"/>
      <c r="AG250" s="1010"/>
      <c r="AH250" s="1458" t="str">
        <f t="shared" si="770"/>
        <v>-</v>
      </c>
      <c r="AI250" s="1184">
        <f t="shared" si="751"/>
        <v>0</v>
      </c>
      <c r="AJ250" s="1185">
        <f t="shared" si="751"/>
        <v>0</v>
      </c>
      <c r="AK250" s="1185">
        <f t="shared" si="751"/>
        <v>0</v>
      </c>
      <c r="AL250" s="1860" t="str">
        <f t="shared" si="771"/>
        <v>-</v>
      </c>
      <c r="AM250" s="1013"/>
      <c r="AN250" s="1010"/>
      <c r="AO250" s="1010"/>
      <c r="AP250" s="1458" t="str">
        <f t="shared" si="772"/>
        <v>-</v>
      </c>
      <c r="AQ250" s="1013"/>
      <c r="AR250" s="1010"/>
      <c r="AS250" s="1010"/>
      <c r="AT250" s="1458" t="str">
        <f t="shared" si="773"/>
        <v>-</v>
      </c>
      <c r="AU250" s="1013"/>
      <c r="AV250" s="1010"/>
      <c r="AW250" s="1010"/>
      <c r="AX250" s="1458" t="str">
        <f t="shared" si="774"/>
        <v>-</v>
      </c>
      <c r="AY250" s="509"/>
    </row>
    <row r="251" spans="1:54" ht="12.75" thickBot="1">
      <c r="A251" s="552">
        <f t="shared" si="752"/>
        <v>80</v>
      </c>
      <c r="B251" s="288">
        <v>9</v>
      </c>
      <c r="C251" s="360" t="s">
        <v>733</v>
      </c>
      <c r="D251" s="973" t="s">
        <v>734</v>
      </c>
      <c r="E251" s="976" t="s">
        <v>694</v>
      </c>
      <c r="F251" s="1002" t="s">
        <v>732</v>
      </c>
      <c r="G251" s="1184">
        <f t="shared" si="749"/>
        <v>1170</v>
      </c>
      <c r="H251" s="1185">
        <f t="shared" si="749"/>
        <v>0</v>
      </c>
      <c r="I251" s="1185">
        <f t="shared" si="749"/>
        <v>0</v>
      </c>
      <c r="J251" s="1860" t="str">
        <f t="shared" si="764"/>
        <v>-</v>
      </c>
      <c r="K251" s="1184">
        <f t="shared" si="750"/>
        <v>1170</v>
      </c>
      <c r="L251" s="1185">
        <f t="shared" si="750"/>
        <v>0</v>
      </c>
      <c r="M251" s="1185">
        <f t="shared" si="750"/>
        <v>0</v>
      </c>
      <c r="N251" s="1860" t="str">
        <f t="shared" si="765"/>
        <v>-</v>
      </c>
      <c r="O251" s="1009"/>
      <c r="P251" s="1010"/>
      <c r="Q251" s="1010"/>
      <c r="R251" s="1458" t="str">
        <f t="shared" si="766"/>
        <v>-</v>
      </c>
      <c r="S251" s="1013"/>
      <c r="T251" s="1010"/>
      <c r="U251" s="1010"/>
      <c r="V251" s="1458" t="str">
        <f t="shared" si="767"/>
        <v>-</v>
      </c>
      <c r="W251" s="1013"/>
      <c r="X251" s="1010"/>
      <c r="Y251" s="1010"/>
      <c r="Z251" s="1458" t="str">
        <f t="shared" si="768"/>
        <v>-</v>
      </c>
      <c r="AA251" s="1013">
        <v>1170</v>
      </c>
      <c r="AB251" s="1010"/>
      <c r="AC251" s="1010"/>
      <c r="AD251" s="1458" t="str">
        <f t="shared" si="769"/>
        <v>-</v>
      </c>
      <c r="AE251" s="1013"/>
      <c r="AF251" s="1010"/>
      <c r="AG251" s="1010"/>
      <c r="AH251" s="1458" t="str">
        <f t="shared" si="770"/>
        <v>-</v>
      </c>
      <c r="AI251" s="1184">
        <f t="shared" si="751"/>
        <v>0</v>
      </c>
      <c r="AJ251" s="1185">
        <f t="shared" si="751"/>
        <v>0</v>
      </c>
      <c r="AK251" s="1185">
        <f t="shared" si="751"/>
        <v>0</v>
      </c>
      <c r="AL251" s="1860" t="str">
        <f t="shared" si="771"/>
        <v>-</v>
      </c>
      <c r="AM251" s="1013"/>
      <c r="AN251" s="1010"/>
      <c r="AO251" s="1010"/>
      <c r="AP251" s="1458" t="str">
        <f t="shared" si="772"/>
        <v>-</v>
      </c>
      <c r="AQ251" s="1013"/>
      <c r="AR251" s="1010"/>
      <c r="AS251" s="1010"/>
      <c r="AT251" s="1458" t="str">
        <f t="shared" si="773"/>
        <v>-</v>
      </c>
      <c r="AU251" s="1013"/>
      <c r="AV251" s="1010"/>
      <c r="AW251" s="1010"/>
      <c r="AX251" s="1458" t="str">
        <f t="shared" si="774"/>
        <v>-</v>
      </c>
      <c r="AY251" s="509"/>
    </row>
    <row r="252" spans="1:54" ht="12.75" thickBot="1">
      <c r="A252" s="548" t="s">
        <v>597</v>
      </c>
      <c r="B252" s="1204"/>
      <c r="C252" s="1327" t="s">
        <v>412</v>
      </c>
      <c r="D252" s="1328"/>
      <c r="E252" s="1328"/>
      <c r="F252" s="1329"/>
      <c r="G252" s="538">
        <f t="shared" ref="G252" si="775">SUM(G245:G251)</f>
        <v>9970</v>
      </c>
      <c r="H252" s="539">
        <f t="shared" ref="H252:I252" si="776">SUM(H245:H251)</f>
        <v>110</v>
      </c>
      <c r="I252" s="539">
        <f t="shared" si="776"/>
        <v>110</v>
      </c>
      <c r="J252" s="1459">
        <f t="shared" si="764"/>
        <v>1</v>
      </c>
      <c r="K252" s="538">
        <f t="shared" ref="J252:AV252" si="777">SUM(K245:K251)</f>
        <v>9970</v>
      </c>
      <c r="L252" s="539">
        <f t="shared" ref="L252:M252" si="778">SUM(L245:L251)</f>
        <v>110</v>
      </c>
      <c r="M252" s="539">
        <f t="shared" si="778"/>
        <v>110</v>
      </c>
      <c r="N252" s="1459">
        <f t="shared" si="765"/>
        <v>1</v>
      </c>
      <c r="O252" s="538">
        <f t="shared" si="777"/>
        <v>0</v>
      </c>
      <c r="P252" s="368">
        <f t="shared" si="777"/>
        <v>10</v>
      </c>
      <c r="Q252" s="368">
        <f t="shared" ref="Q252:R252" si="779">SUM(Q245:Q251)</f>
        <v>10</v>
      </c>
      <c r="R252" s="1459">
        <f t="shared" si="766"/>
        <v>1</v>
      </c>
      <c r="S252" s="538">
        <f t="shared" si="777"/>
        <v>0</v>
      </c>
      <c r="T252" s="368">
        <f t="shared" si="777"/>
        <v>0</v>
      </c>
      <c r="U252" s="368">
        <f t="shared" ref="U252:V252" si="780">SUM(U245:U251)</f>
        <v>0</v>
      </c>
      <c r="V252" s="1459" t="str">
        <f t="shared" si="767"/>
        <v>-</v>
      </c>
      <c r="W252" s="538">
        <f t="shared" si="777"/>
        <v>2000</v>
      </c>
      <c r="X252" s="368">
        <f t="shared" si="777"/>
        <v>100</v>
      </c>
      <c r="Y252" s="368">
        <f t="shared" ref="Y252:Z252" si="781">SUM(Y245:Y251)</f>
        <v>100</v>
      </c>
      <c r="Z252" s="1459">
        <f t="shared" si="768"/>
        <v>1</v>
      </c>
      <c r="AA252" s="538">
        <f t="shared" si="777"/>
        <v>7170</v>
      </c>
      <c r="AB252" s="368">
        <f t="shared" si="777"/>
        <v>0</v>
      </c>
      <c r="AC252" s="368">
        <f t="shared" ref="AC252:AD252" si="782">SUM(AC245:AC251)</f>
        <v>0</v>
      </c>
      <c r="AD252" s="1459" t="str">
        <f t="shared" si="769"/>
        <v>-</v>
      </c>
      <c r="AE252" s="538">
        <f t="shared" si="777"/>
        <v>800</v>
      </c>
      <c r="AF252" s="368">
        <f t="shared" si="777"/>
        <v>0</v>
      </c>
      <c r="AG252" s="368">
        <f t="shared" ref="AG252:AH252" si="783">SUM(AG245:AG251)</f>
        <v>0</v>
      </c>
      <c r="AH252" s="1459" t="str">
        <f t="shared" si="770"/>
        <v>-</v>
      </c>
      <c r="AI252" s="538">
        <f t="shared" si="777"/>
        <v>0</v>
      </c>
      <c r="AJ252" s="539">
        <f t="shared" ref="AJ252:AK252" si="784">SUM(AJ245:AJ251)</f>
        <v>0</v>
      </c>
      <c r="AK252" s="539">
        <f t="shared" si="784"/>
        <v>0</v>
      </c>
      <c r="AL252" s="1459" t="str">
        <f t="shared" si="771"/>
        <v>-</v>
      </c>
      <c r="AM252" s="538">
        <f t="shared" si="777"/>
        <v>0</v>
      </c>
      <c r="AN252" s="368">
        <f t="shared" si="777"/>
        <v>0</v>
      </c>
      <c r="AO252" s="368">
        <f t="shared" ref="AO252:AP252" si="785">SUM(AO245:AO251)</f>
        <v>0</v>
      </c>
      <c r="AP252" s="1459" t="str">
        <f t="shared" si="772"/>
        <v>-</v>
      </c>
      <c r="AQ252" s="538">
        <f t="shared" si="777"/>
        <v>0</v>
      </c>
      <c r="AR252" s="368">
        <f t="shared" si="777"/>
        <v>0</v>
      </c>
      <c r="AS252" s="368">
        <f t="shared" ref="AS252:AT252" si="786">SUM(AS245:AS251)</f>
        <v>0</v>
      </c>
      <c r="AT252" s="1459" t="str">
        <f t="shared" si="773"/>
        <v>-</v>
      </c>
      <c r="AU252" s="538">
        <f t="shared" si="777"/>
        <v>0</v>
      </c>
      <c r="AV252" s="368">
        <f t="shared" si="777"/>
        <v>0</v>
      </c>
      <c r="AW252" s="368">
        <f t="shared" ref="AW252:AX252" si="787">SUM(AW245:AW251)</f>
        <v>0</v>
      </c>
      <c r="AX252" s="1459" t="str">
        <f t="shared" si="774"/>
        <v>-</v>
      </c>
      <c r="AY252" s="838"/>
    </row>
    <row r="253" spans="1:54" ht="12.75" customHeight="1" thickBot="1">
      <c r="A253" s="552">
        <f>+A251+1</f>
        <v>81</v>
      </c>
      <c r="B253" s="288">
        <v>11</v>
      </c>
      <c r="C253" s="360" t="s">
        <v>19</v>
      </c>
      <c r="D253" s="1003" t="s">
        <v>19</v>
      </c>
      <c r="E253" s="974" t="s">
        <v>19</v>
      </c>
      <c r="F253" s="1003" t="s">
        <v>19</v>
      </c>
      <c r="G253" s="1180">
        <f>+K253+AI253</f>
        <v>0</v>
      </c>
      <c r="H253" s="1181">
        <f>+L253+AJ253</f>
        <v>0</v>
      </c>
      <c r="I253" s="1181">
        <f>+M253+AK253</f>
        <v>0</v>
      </c>
      <c r="J253" s="1860" t="str">
        <f t="shared" si="764"/>
        <v>-</v>
      </c>
      <c r="K253" s="1180">
        <f>+O253+S253+W253+AA253+AE253</f>
        <v>0</v>
      </c>
      <c r="L253" s="1181">
        <f>+P253+T253+X253+AB253+AF253</f>
        <v>0</v>
      </c>
      <c r="M253" s="1181">
        <f>+Q253+U253+Y253+AC253+AG253</f>
        <v>0</v>
      </c>
      <c r="N253" s="1860" t="str">
        <f t="shared" si="765"/>
        <v>-</v>
      </c>
      <c r="O253" s="1009"/>
      <c r="P253" s="1010"/>
      <c r="Q253" s="1010"/>
      <c r="R253" s="1458" t="str">
        <f t="shared" si="766"/>
        <v>-</v>
      </c>
      <c r="S253" s="1013"/>
      <c r="T253" s="1010"/>
      <c r="U253" s="1010"/>
      <c r="V253" s="1458" t="str">
        <f t="shared" si="767"/>
        <v>-</v>
      </c>
      <c r="W253" s="1013"/>
      <c r="X253" s="1010"/>
      <c r="Y253" s="1010"/>
      <c r="Z253" s="1458" t="str">
        <f t="shared" si="768"/>
        <v>-</v>
      </c>
      <c r="AA253" s="1013"/>
      <c r="AB253" s="1010"/>
      <c r="AC253" s="1010"/>
      <c r="AD253" s="1458" t="str">
        <f t="shared" si="769"/>
        <v>-</v>
      </c>
      <c r="AE253" s="1013"/>
      <c r="AF253" s="1010"/>
      <c r="AG253" s="1010"/>
      <c r="AH253" s="1458" t="str">
        <f t="shared" si="770"/>
        <v>-</v>
      </c>
      <c r="AI253" s="1180">
        <f>+AM253+AQ253+AU253</f>
        <v>0</v>
      </c>
      <c r="AJ253" s="1181">
        <f>+AN253+AR253+AV253</f>
        <v>0</v>
      </c>
      <c r="AK253" s="1181">
        <f>+AO253+AS253+AW253</f>
        <v>0</v>
      </c>
      <c r="AL253" s="1860" t="str">
        <f t="shared" si="771"/>
        <v>-</v>
      </c>
      <c r="AM253" s="1013"/>
      <c r="AN253" s="1010"/>
      <c r="AO253" s="1010"/>
      <c r="AP253" s="1458" t="str">
        <f t="shared" si="772"/>
        <v>-</v>
      </c>
      <c r="AQ253" s="1013"/>
      <c r="AR253" s="1010"/>
      <c r="AS253" s="1010"/>
      <c r="AT253" s="1458" t="str">
        <f t="shared" si="773"/>
        <v>-</v>
      </c>
      <c r="AU253" s="1013"/>
      <c r="AV253" s="1010"/>
      <c r="AW253" s="1010"/>
      <c r="AX253" s="1458" t="str">
        <f t="shared" si="774"/>
        <v>-</v>
      </c>
      <c r="AY253" s="509"/>
      <c r="AZ253" s="516"/>
      <c r="BA253" s="516"/>
      <c r="BB253" s="516"/>
    </row>
    <row r="254" spans="1:54" ht="12.75" thickBot="1">
      <c r="A254" s="548" t="s">
        <v>598</v>
      </c>
      <c r="B254" s="1204"/>
      <c r="C254" s="1327" t="s">
        <v>413</v>
      </c>
      <c r="D254" s="1328"/>
      <c r="E254" s="1328"/>
      <c r="F254" s="1329"/>
      <c r="G254" s="538">
        <f t="shared" ref="G254" si="788">SUM(G253:G253)</f>
        <v>0</v>
      </c>
      <c r="H254" s="539">
        <f t="shared" ref="H254:I254" si="789">SUM(H253:H253)</f>
        <v>0</v>
      </c>
      <c r="I254" s="539">
        <f t="shared" si="789"/>
        <v>0</v>
      </c>
      <c r="J254" s="1459" t="str">
        <f t="shared" si="764"/>
        <v>-</v>
      </c>
      <c r="K254" s="538">
        <f t="shared" ref="J254:AV254" si="790">SUM(K253:K253)</f>
        <v>0</v>
      </c>
      <c r="L254" s="539">
        <f t="shared" ref="L254:M254" si="791">SUM(L253:L253)</f>
        <v>0</v>
      </c>
      <c r="M254" s="539">
        <f t="shared" si="791"/>
        <v>0</v>
      </c>
      <c r="N254" s="1459" t="str">
        <f t="shared" si="765"/>
        <v>-</v>
      </c>
      <c r="O254" s="538">
        <f t="shared" si="790"/>
        <v>0</v>
      </c>
      <c r="P254" s="368">
        <f t="shared" si="790"/>
        <v>0</v>
      </c>
      <c r="Q254" s="368">
        <f t="shared" ref="Q254:R254" si="792">SUM(Q253:Q253)</f>
        <v>0</v>
      </c>
      <c r="R254" s="1459" t="str">
        <f t="shared" si="766"/>
        <v>-</v>
      </c>
      <c r="S254" s="538">
        <f t="shared" si="790"/>
        <v>0</v>
      </c>
      <c r="T254" s="368">
        <f t="shared" si="790"/>
        <v>0</v>
      </c>
      <c r="U254" s="368">
        <f t="shared" ref="U254:V254" si="793">SUM(U253:U253)</f>
        <v>0</v>
      </c>
      <c r="V254" s="1459" t="str">
        <f t="shared" si="767"/>
        <v>-</v>
      </c>
      <c r="W254" s="538">
        <f t="shared" si="790"/>
        <v>0</v>
      </c>
      <c r="X254" s="368">
        <f t="shared" si="790"/>
        <v>0</v>
      </c>
      <c r="Y254" s="368">
        <f t="shared" ref="Y254:Z254" si="794">SUM(Y253:Y253)</f>
        <v>0</v>
      </c>
      <c r="Z254" s="1459" t="str">
        <f t="shared" si="768"/>
        <v>-</v>
      </c>
      <c r="AA254" s="538">
        <f t="shared" si="790"/>
        <v>0</v>
      </c>
      <c r="AB254" s="368">
        <f t="shared" si="790"/>
        <v>0</v>
      </c>
      <c r="AC254" s="368">
        <f t="shared" ref="AC254:AD254" si="795">SUM(AC253:AC253)</f>
        <v>0</v>
      </c>
      <c r="AD254" s="1459" t="str">
        <f t="shared" si="769"/>
        <v>-</v>
      </c>
      <c r="AE254" s="538">
        <f t="shared" si="790"/>
        <v>0</v>
      </c>
      <c r="AF254" s="368">
        <f t="shared" si="790"/>
        <v>0</v>
      </c>
      <c r="AG254" s="368">
        <f t="shared" ref="AG254:AH254" si="796">SUM(AG253:AG253)</f>
        <v>0</v>
      </c>
      <c r="AH254" s="1459" t="str">
        <f t="shared" si="770"/>
        <v>-</v>
      </c>
      <c r="AI254" s="538">
        <f t="shared" si="790"/>
        <v>0</v>
      </c>
      <c r="AJ254" s="539">
        <f t="shared" ref="AJ254:AK254" si="797">SUM(AJ253:AJ253)</f>
        <v>0</v>
      </c>
      <c r="AK254" s="539">
        <f t="shared" si="797"/>
        <v>0</v>
      </c>
      <c r="AL254" s="1459" t="str">
        <f t="shared" si="771"/>
        <v>-</v>
      </c>
      <c r="AM254" s="538">
        <f t="shared" si="790"/>
        <v>0</v>
      </c>
      <c r="AN254" s="368">
        <f t="shared" si="790"/>
        <v>0</v>
      </c>
      <c r="AO254" s="368">
        <f t="shared" ref="AO254:AP254" si="798">SUM(AO253:AO253)</f>
        <v>0</v>
      </c>
      <c r="AP254" s="1459" t="str">
        <f t="shared" si="772"/>
        <v>-</v>
      </c>
      <c r="AQ254" s="538">
        <f t="shared" si="790"/>
        <v>0</v>
      </c>
      <c r="AR254" s="368">
        <f t="shared" si="790"/>
        <v>0</v>
      </c>
      <c r="AS254" s="368">
        <f t="shared" ref="AS254:AT254" si="799">SUM(AS253:AS253)</f>
        <v>0</v>
      </c>
      <c r="AT254" s="1459" t="str">
        <f t="shared" si="773"/>
        <v>-</v>
      </c>
      <c r="AU254" s="538">
        <f t="shared" si="790"/>
        <v>0</v>
      </c>
      <c r="AV254" s="368">
        <f t="shared" si="790"/>
        <v>0</v>
      </c>
      <c r="AW254" s="368">
        <f t="shared" ref="AW254:AX254" si="800">SUM(AW253:AW253)</f>
        <v>0</v>
      </c>
      <c r="AX254" s="1459" t="str">
        <f t="shared" si="774"/>
        <v>-</v>
      </c>
      <c r="AY254" s="838"/>
    </row>
    <row r="255" spans="1:54" s="507" customFormat="1" ht="12.75" thickBot="1">
      <c r="A255" s="549" t="s">
        <v>23</v>
      </c>
      <c r="B255" s="1021"/>
      <c r="C255" s="1336" t="s">
        <v>414</v>
      </c>
      <c r="D255" s="1337"/>
      <c r="E255" s="1337"/>
      <c r="F255" s="1338"/>
      <c r="G255" s="521">
        <f t="shared" ref="G255" si="801">+G244+G252+G254</f>
        <v>2437596</v>
      </c>
      <c r="H255" s="522">
        <f t="shared" ref="H255:I255" si="802">+H244+H252+H254</f>
        <v>4876199</v>
      </c>
      <c r="I255" s="522">
        <f t="shared" si="802"/>
        <v>1641790</v>
      </c>
      <c r="J255" s="1869">
        <f t="shared" si="764"/>
        <v>0.33669462628576069</v>
      </c>
      <c r="K255" s="521">
        <f t="shared" ref="J255:AV255" si="803">+K244+K252+K254</f>
        <v>730250</v>
      </c>
      <c r="L255" s="522">
        <f t="shared" ref="L255:M255" si="804">+L244+L252+L254</f>
        <v>4141003</v>
      </c>
      <c r="M255" s="522">
        <f t="shared" si="804"/>
        <v>960233</v>
      </c>
      <c r="N255" s="1869">
        <f t="shared" si="765"/>
        <v>0.23188415946571397</v>
      </c>
      <c r="O255" s="540">
        <f t="shared" si="803"/>
        <v>86232</v>
      </c>
      <c r="P255" s="522">
        <f t="shared" si="803"/>
        <v>299152</v>
      </c>
      <c r="Q255" s="522">
        <f t="shared" ref="P255:R255" si="805">+Q244+Q252+Q254</f>
        <v>299152</v>
      </c>
      <c r="R255" s="1869">
        <f t="shared" si="766"/>
        <v>1</v>
      </c>
      <c r="S255" s="540">
        <f t="shared" si="803"/>
        <v>14878</v>
      </c>
      <c r="T255" s="522">
        <f t="shared" si="803"/>
        <v>40556</v>
      </c>
      <c r="U255" s="522">
        <f t="shared" ref="T255:V255" si="806">+U244+U252+U254</f>
        <v>40556</v>
      </c>
      <c r="V255" s="1869">
        <f t="shared" si="767"/>
        <v>1</v>
      </c>
      <c r="W255" s="540">
        <f t="shared" si="803"/>
        <v>247257</v>
      </c>
      <c r="X255" s="522">
        <f t="shared" si="803"/>
        <v>537624</v>
      </c>
      <c r="Y255" s="522">
        <f t="shared" ref="X255:Z255" si="807">+Y244+Y252+Y254</f>
        <v>498888</v>
      </c>
      <c r="Z255" s="1869">
        <f t="shared" si="768"/>
        <v>0.92794964510512923</v>
      </c>
      <c r="AA255" s="540">
        <f t="shared" si="803"/>
        <v>51635</v>
      </c>
      <c r="AB255" s="522">
        <f t="shared" si="803"/>
        <v>56062</v>
      </c>
      <c r="AC255" s="522">
        <f t="shared" ref="AB255:AD255" si="808">+AC244+AC252+AC254</f>
        <v>54350</v>
      </c>
      <c r="AD255" s="1869">
        <f t="shared" si="769"/>
        <v>0.96946238093539294</v>
      </c>
      <c r="AE255" s="540">
        <f t="shared" si="803"/>
        <v>330248</v>
      </c>
      <c r="AF255" s="522">
        <f t="shared" si="803"/>
        <v>3207609</v>
      </c>
      <c r="AG255" s="522">
        <f t="shared" ref="AF255:AH255" si="809">+AG244+AG252+AG254</f>
        <v>67287</v>
      </c>
      <c r="AH255" s="1869">
        <f t="shared" si="770"/>
        <v>2.0977307396256837E-2</v>
      </c>
      <c r="AI255" s="521">
        <f t="shared" si="803"/>
        <v>1707346</v>
      </c>
      <c r="AJ255" s="522">
        <f t="shared" ref="AJ255:AK255" si="810">+AJ244+AJ252+AJ254</f>
        <v>735196</v>
      </c>
      <c r="AK255" s="522">
        <f t="shared" si="810"/>
        <v>681557</v>
      </c>
      <c r="AL255" s="1869">
        <f t="shared" si="771"/>
        <v>0.92704122438098135</v>
      </c>
      <c r="AM255" s="540">
        <f t="shared" si="803"/>
        <v>901473</v>
      </c>
      <c r="AN255" s="522">
        <f t="shared" si="803"/>
        <v>505196</v>
      </c>
      <c r="AO255" s="522">
        <f t="shared" ref="AN255:AP255" si="811">+AO244+AO252+AO254</f>
        <v>451557</v>
      </c>
      <c r="AP255" s="1869">
        <f t="shared" si="772"/>
        <v>0.89382536678833557</v>
      </c>
      <c r="AQ255" s="540">
        <f t="shared" si="803"/>
        <v>805873</v>
      </c>
      <c r="AR255" s="522">
        <f t="shared" si="803"/>
        <v>228800</v>
      </c>
      <c r="AS255" s="522">
        <f t="shared" ref="AR255:AT255" si="812">+AS244+AS252+AS254</f>
        <v>228800</v>
      </c>
      <c r="AT255" s="1869">
        <f t="shared" si="773"/>
        <v>1</v>
      </c>
      <c r="AU255" s="540">
        <f t="shared" si="803"/>
        <v>0</v>
      </c>
      <c r="AV255" s="522">
        <f t="shared" si="803"/>
        <v>1200</v>
      </c>
      <c r="AW255" s="522">
        <f t="shared" ref="AV255:AX255" si="813">+AW244+AW252+AW254</f>
        <v>1200</v>
      </c>
      <c r="AX255" s="1869">
        <f t="shared" si="774"/>
        <v>1</v>
      </c>
      <c r="AY255" s="838"/>
      <c r="AZ255" s="302"/>
      <c r="BA255" s="302"/>
      <c r="BB255" s="302"/>
    </row>
    <row r="256" spans="1:54" ht="12.75" thickBot="1">
      <c r="A256" s="852"/>
      <c r="B256" s="1022"/>
      <c r="C256" s="557"/>
      <c r="D256" s="546"/>
      <c r="E256" s="524"/>
      <c r="F256" s="523"/>
      <c r="G256" s="525"/>
      <c r="H256" s="526"/>
      <c r="I256" s="526"/>
      <c r="J256" s="437"/>
      <c r="K256" s="525"/>
      <c r="L256" s="526"/>
      <c r="M256" s="526"/>
      <c r="N256" s="437"/>
      <c r="O256" s="525"/>
      <c r="P256" s="526"/>
      <c r="Q256" s="526"/>
      <c r="R256" s="437"/>
      <c r="S256" s="525"/>
      <c r="T256" s="526"/>
      <c r="U256" s="526"/>
      <c r="V256" s="437"/>
      <c r="W256" s="525"/>
      <c r="X256" s="526"/>
      <c r="Y256" s="526"/>
      <c r="Z256" s="437"/>
      <c r="AA256" s="525"/>
      <c r="AB256" s="526"/>
      <c r="AC256" s="526"/>
      <c r="AD256" s="437"/>
      <c r="AE256" s="525"/>
      <c r="AF256" s="526"/>
      <c r="AG256" s="526"/>
      <c r="AH256" s="437"/>
      <c r="AI256" s="525"/>
      <c r="AJ256" s="526"/>
      <c r="AK256" s="526"/>
      <c r="AL256" s="437"/>
      <c r="AM256" s="525"/>
      <c r="AN256" s="526"/>
      <c r="AO256" s="526"/>
      <c r="AP256" s="437"/>
      <c r="AQ256" s="525"/>
      <c r="AR256" s="526"/>
      <c r="AS256" s="526"/>
      <c r="AT256" s="437"/>
      <c r="AU256" s="525"/>
      <c r="AV256" s="526"/>
      <c r="AW256" s="526"/>
      <c r="AX256" s="437"/>
      <c r="AY256" s="838"/>
    </row>
    <row r="257" spans="1:54" s="516" customFormat="1">
      <c r="A257" s="553">
        <f>A253+1</f>
        <v>82</v>
      </c>
      <c r="B257" s="1023">
        <v>12</v>
      </c>
      <c r="C257" s="362" t="s">
        <v>712</v>
      </c>
      <c r="D257" s="985" t="s">
        <v>711</v>
      </c>
      <c r="E257" s="986" t="s">
        <v>704</v>
      </c>
      <c r="F257" s="1004" t="s">
        <v>1072</v>
      </c>
      <c r="G257" s="1188">
        <f t="shared" ref="G257:J261" si="814">+K257+AI257</f>
        <v>194791</v>
      </c>
      <c r="H257" s="1189">
        <f t="shared" si="814"/>
        <v>223373</v>
      </c>
      <c r="I257" s="1189">
        <f t="shared" si="814"/>
        <v>220458</v>
      </c>
      <c r="J257" s="1860">
        <f t="shared" ref="J257:J275" si="815">IF(ISERROR(I257/H257),"-",I257/H257)</f>
        <v>0.98695007901581655</v>
      </c>
      <c r="K257" s="1188">
        <f t="shared" ref="K257:N261" si="816">+O257+S257+W257+AA257+AE257</f>
        <v>194791</v>
      </c>
      <c r="L257" s="1189">
        <f t="shared" si="816"/>
        <v>222309</v>
      </c>
      <c r="M257" s="1189">
        <f t="shared" si="816"/>
        <v>219437</v>
      </c>
      <c r="N257" s="1860">
        <f t="shared" ref="N257:N275" si="817">IF(ISERROR(M257/L257),"-",M257/L257)</f>
        <v>0.98708104485198533</v>
      </c>
      <c r="O257" s="1011">
        <v>140735</v>
      </c>
      <c r="P257" s="1012">
        <f>139039+15381+2551+1343-12648</f>
        <v>145666</v>
      </c>
      <c r="Q257" s="1012">
        <f>139039+15381+2551+1343-12648</f>
        <v>145666</v>
      </c>
      <c r="R257" s="1458">
        <f t="shared" ref="R257:R275" si="818">IF(ISERROR(Q257/P257),"-",Q257/P257)</f>
        <v>1</v>
      </c>
      <c r="S257" s="1011">
        <v>30020</v>
      </c>
      <c r="T257" s="1012">
        <f>32226+2917+271+482+1-2380</f>
        <v>33517</v>
      </c>
      <c r="U257" s="1012">
        <f>32226+2917+271+482+1-2380</f>
        <v>33517</v>
      </c>
      <c r="V257" s="1458">
        <f t="shared" ref="V257:V275" si="819">IF(ISERROR(U257/T257),"-",U257/T257)</f>
        <v>1</v>
      </c>
      <c r="W257" s="1011">
        <v>24036</v>
      </c>
      <c r="X257" s="1012">
        <f>-962+41087+5+123+1+2872</f>
        <v>43126</v>
      </c>
      <c r="Y257" s="1012">
        <f>-962+41087+5+123+1</f>
        <v>40254</v>
      </c>
      <c r="Z257" s="1458">
        <f t="shared" ref="Z257:Z275" si="820">IF(ISERROR(Y257/X257),"-",Y257/X257)</f>
        <v>0.93340444279552937</v>
      </c>
      <c r="AA257" s="1011"/>
      <c r="AB257" s="1012"/>
      <c r="AC257" s="1012"/>
      <c r="AD257" s="1458" t="str">
        <f t="shared" ref="AD257:AD275" si="821">IF(ISERROR(AC257/AB257),"-",AC257/AB257)</f>
        <v>-</v>
      </c>
      <c r="AE257" s="1011"/>
      <c r="AF257" s="1012"/>
      <c r="AG257" s="1012"/>
      <c r="AH257" s="1458" t="str">
        <f t="shared" ref="AH257:AH275" si="822">IF(ISERROR(AG257/AF257),"-",AG257/AF257)</f>
        <v>-</v>
      </c>
      <c r="AI257" s="1188">
        <f t="shared" ref="AI257:AL261" si="823">+AM257+AQ257+AU257</f>
        <v>0</v>
      </c>
      <c r="AJ257" s="1189">
        <f t="shared" si="823"/>
        <v>1064</v>
      </c>
      <c r="AK257" s="1189">
        <f t="shared" si="823"/>
        <v>1021</v>
      </c>
      <c r="AL257" s="1860">
        <f t="shared" ref="AL257:AL275" si="824">IF(ISERROR(AK257/AJ257),"-",AK257/AJ257)</f>
        <v>0.95958646616541354</v>
      </c>
      <c r="AM257" s="1011"/>
      <c r="AN257" s="1012">
        <f>-13002+10510+3514-1+43</f>
        <v>1064</v>
      </c>
      <c r="AO257" s="1012">
        <f>-13002+10510+3514-1</f>
        <v>1021</v>
      </c>
      <c r="AP257" s="1458">
        <f t="shared" ref="AP257:AP275" si="825">IF(ISERROR(AO257/AN257),"-",AO257/AN257)</f>
        <v>0.95958646616541354</v>
      </c>
      <c r="AQ257" s="1011"/>
      <c r="AR257" s="1012"/>
      <c r="AS257" s="1012"/>
      <c r="AT257" s="1458" t="str">
        <f t="shared" ref="AT257:AT275" si="826">IF(ISERROR(AS257/AR257),"-",AS257/AR257)</f>
        <v>-</v>
      </c>
      <c r="AU257" s="1011"/>
      <c r="AV257" s="1012"/>
      <c r="AW257" s="1012"/>
      <c r="AX257" s="1458" t="str">
        <f t="shared" ref="AX257:AX275" si="827">IF(ISERROR(AW257/AV257),"-",AW257/AV257)</f>
        <v>-</v>
      </c>
      <c r="AY257" s="509"/>
      <c r="AZ257" s="302"/>
      <c r="BA257" s="302"/>
      <c r="BB257" s="302"/>
    </row>
    <row r="258" spans="1:54" s="511" customFormat="1" ht="24">
      <c r="A258" s="552">
        <f>+A257+1</f>
        <v>83</v>
      </c>
      <c r="B258" s="288">
        <v>12</v>
      </c>
      <c r="C258" s="360" t="s">
        <v>712</v>
      </c>
      <c r="D258" s="973" t="s">
        <v>1369</v>
      </c>
      <c r="E258" s="974" t="s">
        <v>704</v>
      </c>
      <c r="F258" s="1003" t="s">
        <v>1368</v>
      </c>
      <c r="G258" s="1180">
        <f t="shared" si="814"/>
        <v>0</v>
      </c>
      <c r="H258" s="1181">
        <f t="shared" si="814"/>
        <v>28992</v>
      </c>
      <c r="I258" s="1181">
        <f t="shared" si="814"/>
        <v>28992</v>
      </c>
      <c r="J258" s="1860">
        <f t="shared" si="815"/>
        <v>1</v>
      </c>
      <c r="K258" s="1180">
        <f t="shared" si="816"/>
        <v>0</v>
      </c>
      <c r="L258" s="1181">
        <f t="shared" si="816"/>
        <v>15990</v>
      </c>
      <c r="M258" s="1181">
        <f t="shared" si="816"/>
        <v>15990</v>
      </c>
      <c r="N258" s="1860">
        <f t="shared" si="817"/>
        <v>1</v>
      </c>
      <c r="O258" s="1013"/>
      <c r="P258" s="1014">
        <v>12648</v>
      </c>
      <c r="Q258" s="1014">
        <v>12648</v>
      </c>
      <c r="R258" s="1458">
        <f t="shared" si="818"/>
        <v>1</v>
      </c>
      <c r="S258" s="1013"/>
      <c r="T258" s="1014">
        <v>2380</v>
      </c>
      <c r="U258" s="1014">
        <v>2380</v>
      </c>
      <c r="V258" s="1458">
        <f t="shared" si="819"/>
        <v>1</v>
      </c>
      <c r="W258" s="1013"/>
      <c r="X258" s="1014">
        <v>962</v>
      </c>
      <c r="Y258" s="1014">
        <v>962</v>
      </c>
      <c r="Z258" s="1458">
        <f t="shared" si="820"/>
        <v>1</v>
      </c>
      <c r="AA258" s="1013"/>
      <c r="AB258" s="1014"/>
      <c r="AC258" s="1014"/>
      <c r="AD258" s="1458" t="str">
        <f t="shared" si="821"/>
        <v>-</v>
      </c>
      <c r="AE258" s="1013"/>
      <c r="AF258" s="1014"/>
      <c r="AG258" s="1014"/>
      <c r="AH258" s="1458" t="str">
        <f t="shared" si="822"/>
        <v>-</v>
      </c>
      <c r="AI258" s="1180">
        <f t="shared" si="823"/>
        <v>0</v>
      </c>
      <c r="AJ258" s="1181">
        <f t="shared" si="823"/>
        <v>13002</v>
      </c>
      <c r="AK258" s="1181">
        <f t="shared" si="823"/>
        <v>13002</v>
      </c>
      <c r="AL258" s="1860">
        <f t="shared" si="824"/>
        <v>1</v>
      </c>
      <c r="AM258" s="1013"/>
      <c r="AN258" s="1014">
        <v>13002</v>
      </c>
      <c r="AO258" s="1014">
        <v>13002</v>
      </c>
      <c r="AP258" s="1458">
        <f t="shared" si="825"/>
        <v>1</v>
      </c>
      <c r="AQ258" s="1013"/>
      <c r="AR258" s="1014"/>
      <c r="AS258" s="1014"/>
      <c r="AT258" s="1458" t="str">
        <f t="shared" si="826"/>
        <v>-</v>
      </c>
      <c r="AU258" s="1013"/>
      <c r="AV258" s="1014"/>
      <c r="AW258" s="1014"/>
      <c r="AX258" s="1458" t="str">
        <f t="shared" si="827"/>
        <v>-</v>
      </c>
      <c r="AY258" s="509"/>
    </row>
    <row r="259" spans="1:54" s="511" customFormat="1">
      <c r="A259" s="552">
        <f>+A258+1</f>
        <v>84</v>
      </c>
      <c r="B259" s="288">
        <v>14</v>
      </c>
      <c r="C259" s="360" t="s">
        <v>749</v>
      </c>
      <c r="D259" s="973" t="s">
        <v>748</v>
      </c>
      <c r="E259" s="976" t="s">
        <v>794</v>
      </c>
      <c r="F259" s="1001" t="s">
        <v>833</v>
      </c>
      <c r="G259" s="1180">
        <f t="shared" si="814"/>
        <v>61253</v>
      </c>
      <c r="H259" s="1181">
        <f t="shared" si="814"/>
        <v>113039</v>
      </c>
      <c r="I259" s="1181">
        <f t="shared" si="814"/>
        <v>113039</v>
      </c>
      <c r="J259" s="1860">
        <f t="shared" si="815"/>
        <v>1</v>
      </c>
      <c r="K259" s="1180">
        <f t="shared" si="816"/>
        <v>61253</v>
      </c>
      <c r="L259" s="1181">
        <f t="shared" si="816"/>
        <v>113039</v>
      </c>
      <c r="M259" s="1181">
        <f t="shared" si="816"/>
        <v>113039</v>
      </c>
      <c r="N259" s="1860">
        <f t="shared" si="817"/>
        <v>1</v>
      </c>
      <c r="O259" s="1013">
        <v>44224</v>
      </c>
      <c r="P259" s="1014">
        <v>87815</v>
      </c>
      <c r="Q259" s="1014">
        <v>87815</v>
      </c>
      <c r="R259" s="1458">
        <f t="shared" si="818"/>
        <v>1</v>
      </c>
      <c r="S259" s="1013">
        <v>8719</v>
      </c>
      <c r="T259" s="1014">
        <v>17084</v>
      </c>
      <c r="U259" s="1014">
        <v>17084</v>
      </c>
      <c r="V259" s="1458">
        <f t="shared" si="819"/>
        <v>1</v>
      </c>
      <c r="W259" s="1013">
        <v>8310</v>
      </c>
      <c r="X259" s="1014">
        <v>8140</v>
      </c>
      <c r="Y259" s="1014">
        <v>8140</v>
      </c>
      <c r="Z259" s="1458">
        <f t="shared" si="820"/>
        <v>1</v>
      </c>
      <c r="AA259" s="1013"/>
      <c r="AB259" s="1014"/>
      <c r="AC259" s="1014"/>
      <c r="AD259" s="1458" t="str">
        <f t="shared" si="821"/>
        <v>-</v>
      </c>
      <c r="AE259" s="1013"/>
      <c r="AF259" s="1014"/>
      <c r="AG259" s="1014"/>
      <c r="AH259" s="1458" t="str">
        <f t="shared" si="822"/>
        <v>-</v>
      </c>
      <c r="AI259" s="1180">
        <f t="shared" si="823"/>
        <v>0</v>
      </c>
      <c r="AJ259" s="1181">
        <f t="shared" si="823"/>
        <v>0</v>
      </c>
      <c r="AK259" s="1181">
        <f t="shared" si="823"/>
        <v>0</v>
      </c>
      <c r="AL259" s="1860" t="str">
        <f t="shared" si="824"/>
        <v>-</v>
      </c>
      <c r="AM259" s="1013"/>
      <c r="AN259" s="1014"/>
      <c r="AO259" s="1014"/>
      <c r="AP259" s="1458" t="str">
        <f t="shared" si="825"/>
        <v>-</v>
      </c>
      <c r="AQ259" s="1013"/>
      <c r="AR259" s="1014"/>
      <c r="AS259" s="1014"/>
      <c r="AT259" s="1458" t="str">
        <f t="shared" si="826"/>
        <v>-</v>
      </c>
      <c r="AU259" s="1013"/>
      <c r="AV259" s="1014"/>
      <c r="AW259" s="1014"/>
      <c r="AX259" s="1458" t="str">
        <f t="shared" si="827"/>
        <v>-</v>
      </c>
      <c r="AY259" s="509"/>
    </row>
    <row r="260" spans="1:54" s="511" customFormat="1">
      <c r="A260" s="552">
        <f>+A259+1</f>
        <v>85</v>
      </c>
      <c r="B260" s="288">
        <v>14</v>
      </c>
      <c r="C260" s="360" t="s">
        <v>749</v>
      </c>
      <c r="D260" s="973" t="s">
        <v>748</v>
      </c>
      <c r="E260" s="976" t="s">
        <v>794</v>
      </c>
      <c r="F260" s="1001" t="s">
        <v>1129</v>
      </c>
      <c r="G260" s="1180">
        <f t="shared" si="814"/>
        <v>60015</v>
      </c>
      <c r="H260" s="1181">
        <f t="shared" si="814"/>
        <v>0</v>
      </c>
      <c r="I260" s="1181">
        <f t="shared" si="814"/>
        <v>0</v>
      </c>
      <c r="J260" s="1860" t="str">
        <f t="shared" si="815"/>
        <v>-</v>
      </c>
      <c r="K260" s="1180">
        <f t="shared" si="816"/>
        <v>60015</v>
      </c>
      <c r="L260" s="1181">
        <f t="shared" si="816"/>
        <v>0</v>
      </c>
      <c r="M260" s="1181">
        <f t="shared" si="816"/>
        <v>0</v>
      </c>
      <c r="N260" s="1860" t="str">
        <f t="shared" si="817"/>
        <v>-</v>
      </c>
      <c r="O260" s="1013">
        <v>46215</v>
      </c>
      <c r="P260" s="1014"/>
      <c r="Q260" s="1014"/>
      <c r="R260" s="1458" t="str">
        <f t="shared" si="818"/>
        <v>-</v>
      </c>
      <c r="S260" s="1013">
        <v>9101</v>
      </c>
      <c r="T260" s="1014"/>
      <c r="U260" s="1014"/>
      <c r="V260" s="1458" t="str">
        <f t="shared" si="819"/>
        <v>-</v>
      </c>
      <c r="W260" s="1013">
        <v>4699</v>
      </c>
      <c r="X260" s="1014"/>
      <c r="Y260" s="1014"/>
      <c r="Z260" s="1458" t="str">
        <f t="shared" si="820"/>
        <v>-</v>
      </c>
      <c r="AA260" s="1013"/>
      <c r="AB260" s="1014"/>
      <c r="AC260" s="1014"/>
      <c r="AD260" s="1458" t="str">
        <f t="shared" si="821"/>
        <v>-</v>
      </c>
      <c r="AE260" s="1013"/>
      <c r="AF260" s="1014"/>
      <c r="AG260" s="1014"/>
      <c r="AH260" s="1458" t="str">
        <f t="shared" si="822"/>
        <v>-</v>
      </c>
      <c r="AI260" s="1180">
        <f t="shared" si="823"/>
        <v>0</v>
      </c>
      <c r="AJ260" s="1181">
        <f t="shared" si="823"/>
        <v>0</v>
      </c>
      <c r="AK260" s="1181">
        <f t="shared" si="823"/>
        <v>0</v>
      </c>
      <c r="AL260" s="1860" t="str">
        <f t="shared" si="824"/>
        <v>-</v>
      </c>
      <c r="AM260" s="1013"/>
      <c r="AN260" s="1014"/>
      <c r="AO260" s="1014"/>
      <c r="AP260" s="1458" t="str">
        <f t="shared" si="825"/>
        <v>-</v>
      </c>
      <c r="AQ260" s="1013"/>
      <c r="AR260" s="1014"/>
      <c r="AS260" s="1014"/>
      <c r="AT260" s="1458" t="str">
        <f t="shared" si="826"/>
        <v>-</v>
      </c>
      <c r="AU260" s="1013"/>
      <c r="AV260" s="1014"/>
      <c r="AW260" s="1014"/>
      <c r="AX260" s="1458" t="str">
        <f t="shared" si="827"/>
        <v>-</v>
      </c>
      <c r="AY260" s="509"/>
    </row>
    <row r="261" spans="1:54" s="511" customFormat="1" ht="12.75" thickBot="1">
      <c r="A261" s="552">
        <f>+A260+1</f>
        <v>86</v>
      </c>
      <c r="B261" s="288">
        <v>14</v>
      </c>
      <c r="C261" s="360" t="s">
        <v>1081</v>
      </c>
      <c r="D261" s="973" t="s">
        <v>1082</v>
      </c>
      <c r="E261" s="976" t="s">
        <v>704</v>
      </c>
      <c r="F261" s="1001" t="s">
        <v>1072</v>
      </c>
      <c r="G261" s="1180">
        <f t="shared" si="814"/>
        <v>0</v>
      </c>
      <c r="H261" s="1181">
        <f t="shared" si="814"/>
        <v>1298</v>
      </c>
      <c r="I261" s="1181">
        <f t="shared" si="814"/>
        <v>1298</v>
      </c>
      <c r="J261" s="1860">
        <f t="shared" si="815"/>
        <v>1</v>
      </c>
      <c r="K261" s="1180">
        <f t="shared" si="816"/>
        <v>0</v>
      </c>
      <c r="L261" s="1181">
        <f t="shared" si="816"/>
        <v>1298</v>
      </c>
      <c r="M261" s="1181">
        <f t="shared" si="816"/>
        <v>1298</v>
      </c>
      <c r="N261" s="1860">
        <f t="shared" si="817"/>
        <v>1</v>
      </c>
      <c r="O261" s="1013"/>
      <c r="P261" s="1014"/>
      <c r="Q261" s="1014"/>
      <c r="R261" s="1458" t="str">
        <f t="shared" si="818"/>
        <v>-</v>
      </c>
      <c r="S261" s="1013"/>
      <c r="T261" s="1014"/>
      <c r="U261" s="1014"/>
      <c r="V261" s="1458" t="str">
        <f t="shared" si="819"/>
        <v>-</v>
      </c>
      <c r="W261" s="1013"/>
      <c r="X261" s="1014"/>
      <c r="Y261" s="1014"/>
      <c r="Z261" s="1458" t="str">
        <f t="shared" si="820"/>
        <v>-</v>
      </c>
      <c r="AA261" s="1013"/>
      <c r="AB261" s="1014"/>
      <c r="AC261" s="1014"/>
      <c r="AD261" s="1458" t="str">
        <f t="shared" si="821"/>
        <v>-</v>
      </c>
      <c r="AE261" s="1013"/>
      <c r="AF261" s="1014">
        <v>1298</v>
      </c>
      <c r="AG261" s="1014">
        <v>1298</v>
      </c>
      <c r="AH261" s="1458">
        <f t="shared" si="822"/>
        <v>1</v>
      </c>
      <c r="AI261" s="1180">
        <f t="shared" si="823"/>
        <v>0</v>
      </c>
      <c r="AJ261" s="1181">
        <f t="shared" si="823"/>
        <v>0</v>
      </c>
      <c r="AK261" s="1181">
        <f t="shared" si="823"/>
        <v>0</v>
      </c>
      <c r="AL261" s="1860" t="str">
        <f t="shared" si="824"/>
        <v>-</v>
      </c>
      <c r="AM261" s="1013"/>
      <c r="AN261" s="1014"/>
      <c r="AO261" s="1014"/>
      <c r="AP261" s="1458" t="str">
        <f t="shared" si="825"/>
        <v>-</v>
      </c>
      <c r="AQ261" s="1013"/>
      <c r="AR261" s="1014"/>
      <c r="AS261" s="1014"/>
      <c r="AT261" s="1458" t="str">
        <f t="shared" si="826"/>
        <v>-</v>
      </c>
      <c r="AU261" s="1013"/>
      <c r="AV261" s="1014"/>
      <c r="AW261" s="1014"/>
      <c r="AX261" s="1458" t="str">
        <f t="shared" si="827"/>
        <v>-</v>
      </c>
      <c r="AY261" s="509"/>
    </row>
    <row r="262" spans="1:54" s="511" customFormat="1" ht="12.75" thickBot="1">
      <c r="A262" s="548" t="s">
        <v>599</v>
      </c>
      <c r="B262" s="1204"/>
      <c r="C262" s="1327" t="s">
        <v>932</v>
      </c>
      <c r="D262" s="1328"/>
      <c r="E262" s="1328"/>
      <c r="F262" s="1329"/>
      <c r="G262" s="538">
        <f>SUM(G257:G261)</f>
        <v>316059</v>
      </c>
      <c r="H262" s="539">
        <f>SUM(H257:H261)</f>
        <v>366702</v>
      </c>
      <c r="I262" s="539">
        <f>SUM(I257:I261)</f>
        <v>363787</v>
      </c>
      <c r="J262" s="1459">
        <f t="shared" si="815"/>
        <v>0.99205076601709286</v>
      </c>
      <c r="K262" s="538">
        <f t="shared" ref="K262" si="828">SUM(K257:K261)</f>
        <v>316059</v>
      </c>
      <c r="L262" s="539">
        <f t="shared" ref="L262:M262" si="829">SUM(L257:L261)</f>
        <v>352636</v>
      </c>
      <c r="M262" s="539">
        <f t="shared" si="829"/>
        <v>349764</v>
      </c>
      <c r="N262" s="1459">
        <f t="shared" si="817"/>
        <v>0.9918556244966481</v>
      </c>
      <c r="O262" s="538">
        <f t="shared" ref="N262:AV262" si="830">SUM(O257:O261)</f>
        <v>231174</v>
      </c>
      <c r="P262" s="368">
        <f t="shared" si="830"/>
        <v>246129</v>
      </c>
      <c r="Q262" s="368">
        <f t="shared" ref="Q262:R262" si="831">SUM(Q257:Q261)</f>
        <v>246129</v>
      </c>
      <c r="R262" s="1459">
        <f t="shared" si="818"/>
        <v>1</v>
      </c>
      <c r="S262" s="538">
        <f t="shared" si="830"/>
        <v>47840</v>
      </c>
      <c r="T262" s="368">
        <f t="shared" si="830"/>
        <v>52981</v>
      </c>
      <c r="U262" s="368">
        <f t="shared" ref="U262:V262" si="832">SUM(U257:U261)</f>
        <v>52981</v>
      </c>
      <c r="V262" s="1459">
        <f t="shared" si="819"/>
        <v>1</v>
      </c>
      <c r="W262" s="538">
        <f t="shared" si="830"/>
        <v>37045</v>
      </c>
      <c r="X262" s="368">
        <f t="shared" si="830"/>
        <v>52228</v>
      </c>
      <c r="Y262" s="368">
        <f t="shared" ref="Y262:Z262" si="833">SUM(Y257:Y261)</f>
        <v>49356</v>
      </c>
      <c r="Z262" s="1459">
        <f t="shared" si="820"/>
        <v>0.94501033928161138</v>
      </c>
      <c r="AA262" s="538">
        <f t="shared" si="830"/>
        <v>0</v>
      </c>
      <c r="AB262" s="368">
        <f t="shared" si="830"/>
        <v>0</v>
      </c>
      <c r="AC262" s="368">
        <f t="shared" ref="AC262:AD262" si="834">SUM(AC257:AC261)</f>
        <v>0</v>
      </c>
      <c r="AD262" s="1459" t="str">
        <f t="shared" si="821"/>
        <v>-</v>
      </c>
      <c r="AE262" s="538">
        <f t="shared" si="830"/>
        <v>0</v>
      </c>
      <c r="AF262" s="368">
        <f t="shared" si="830"/>
        <v>1298</v>
      </c>
      <c r="AG262" s="368">
        <f t="shared" ref="AG262:AH262" si="835">SUM(AG257:AG261)</f>
        <v>1298</v>
      </c>
      <c r="AH262" s="1459">
        <f t="shared" si="822"/>
        <v>1</v>
      </c>
      <c r="AI262" s="538">
        <f t="shared" si="830"/>
        <v>0</v>
      </c>
      <c r="AJ262" s="539">
        <f t="shared" ref="AJ262:AK262" si="836">SUM(AJ257:AJ261)</f>
        <v>14066</v>
      </c>
      <c r="AK262" s="539">
        <f t="shared" si="836"/>
        <v>14023</v>
      </c>
      <c r="AL262" s="1459">
        <f t="shared" si="824"/>
        <v>0.99694298307976681</v>
      </c>
      <c r="AM262" s="538">
        <f t="shared" si="830"/>
        <v>0</v>
      </c>
      <c r="AN262" s="368">
        <f t="shared" si="830"/>
        <v>14066</v>
      </c>
      <c r="AO262" s="368">
        <f t="shared" ref="AO262:AP262" si="837">SUM(AO257:AO261)</f>
        <v>14023</v>
      </c>
      <c r="AP262" s="1459">
        <f t="shared" si="825"/>
        <v>0.99694298307976681</v>
      </c>
      <c r="AQ262" s="538">
        <f t="shared" si="830"/>
        <v>0</v>
      </c>
      <c r="AR262" s="368">
        <f t="shared" si="830"/>
        <v>0</v>
      </c>
      <c r="AS262" s="368">
        <f t="shared" ref="AS262:AT262" si="838">SUM(AS257:AS261)</f>
        <v>0</v>
      </c>
      <c r="AT262" s="1459" t="str">
        <f t="shared" si="826"/>
        <v>-</v>
      </c>
      <c r="AU262" s="538">
        <f t="shared" si="830"/>
        <v>0</v>
      </c>
      <c r="AV262" s="368">
        <f t="shared" si="830"/>
        <v>0</v>
      </c>
      <c r="AW262" s="368">
        <f t="shared" ref="AW262:AX262" si="839">SUM(AW257:AW261)</f>
        <v>0</v>
      </c>
      <c r="AX262" s="1459" t="str">
        <f t="shared" si="827"/>
        <v>-</v>
      </c>
      <c r="AY262" s="838"/>
    </row>
    <row r="263" spans="1:54" s="511" customFormat="1">
      <c r="A263" s="552">
        <f>+A261+1</f>
        <v>87</v>
      </c>
      <c r="B263" s="288">
        <v>15</v>
      </c>
      <c r="C263" s="360" t="s">
        <v>2683</v>
      </c>
      <c r="D263" s="973" t="s">
        <v>2682</v>
      </c>
      <c r="E263" s="976" t="s">
        <v>795</v>
      </c>
      <c r="F263" s="1001" t="s">
        <v>417</v>
      </c>
      <c r="G263" s="1184">
        <f t="shared" ref="G263:J265" si="840">+K263+AI263</f>
        <v>28463</v>
      </c>
      <c r="H263" s="1185">
        <f t="shared" si="840"/>
        <v>29317</v>
      </c>
      <c r="I263" s="1185">
        <f t="shared" si="840"/>
        <v>29317</v>
      </c>
      <c r="J263" s="1860">
        <f t="shared" si="815"/>
        <v>1</v>
      </c>
      <c r="K263" s="1184">
        <f>+O263+S263+W263+AE263</f>
        <v>28463</v>
      </c>
      <c r="L263" s="1185">
        <f>+P263+T263+X263+AF263</f>
        <v>28895</v>
      </c>
      <c r="M263" s="1185">
        <f>+Q263+U263+Y263+AG263</f>
        <v>28895</v>
      </c>
      <c r="N263" s="1860">
        <f t="shared" si="817"/>
        <v>1</v>
      </c>
      <c r="O263" s="1009">
        <v>6078</v>
      </c>
      <c r="P263" s="1014">
        <v>5583</v>
      </c>
      <c r="Q263" s="1014">
        <v>5583</v>
      </c>
      <c r="R263" s="1458">
        <f t="shared" si="818"/>
        <v>1</v>
      </c>
      <c r="S263" s="1009">
        <v>1193</v>
      </c>
      <c r="T263" s="1014">
        <v>1191</v>
      </c>
      <c r="U263" s="1014">
        <v>1191</v>
      </c>
      <c r="V263" s="1458">
        <f t="shared" si="819"/>
        <v>1</v>
      </c>
      <c r="W263" s="1009">
        <v>21192</v>
      </c>
      <c r="X263" s="1014">
        <v>22121</v>
      </c>
      <c r="Y263" s="1014">
        <v>22121</v>
      </c>
      <c r="Z263" s="1458">
        <f t="shared" si="820"/>
        <v>1</v>
      </c>
      <c r="AA263" s="1009"/>
      <c r="AB263" s="1014"/>
      <c r="AC263" s="1014"/>
      <c r="AD263" s="1458" t="str">
        <f t="shared" si="821"/>
        <v>-</v>
      </c>
      <c r="AE263" s="1009"/>
      <c r="AF263" s="1014"/>
      <c r="AG263" s="1014"/>
      <c r="AH263" s="1458" t="str">
        <f t="shared" si="822"/>
        <v>-</v>
      </c>
      <c r="AI263" s="1184">
        <f t="shared" ref="AI263:AL265" si="841">+AM263+AQ263+AU263</f>
        <v>0</v>
      </c>
      <c r="AJ263" s="1185">
        <f t="shared" si="841"/>
        <v>422</v>
      </c>
      <c r="AK263" s="1185">
        <f t="shared" si="841"/>
        <v>422</v>
      </c>
      <c r="AL263" s="1860">
        <f t="shared" si="824"/>
        <v>1</v>
      </c>
      <c r="AM263" s="1009"/>
      <c r="AN263" s="1014">
        <v>422</v>
      </c>
      <c r="AO263" s="1014">
        <v>422</v>
      </c>
      <c r="AP263" s="1458">
        <f t="shared" si="825"/>
        <v>1</v>
      </c>
      <c r="AQ263" s="1009"/>
      <c r="AR263" s="1014"/>
      <c r="AS263" s="1014"/>
      <c r="AT263" s="1458" t="str">
        <f t="shared" si="826"/>
        <v>-</v>
      </c>
      <c r="AU263" s="1009"/>
      <c r="AV263" s="1014"/>
      <c r="AW263" s="1014"/>
      <c r="AX263" s="1458" t="str">
        <f t="shared" si="827"/>
        <v>-</v>
      </c>
      <c r="AY263" s="509"/>
      <c r="AZ263" s="507"/>
      <c r="BA263" s="507"/>
      <c r="BB263" s="507"/>
    </row>
    <row r="264" spans="1:54" s="511" customFormat="1">
      <c r="A264" s="552">
        <f>+A263+1</f>
        <v>88</v>
      </c>
      <c r="B264" s="288">
        <v>16</v>
      </c>
      <c r="C264" s="360" t="s">
        <v>783</v>
      </c>
      <c r="D264" s="973" t="s">
        <v>784</v>
      </c>
      <c r="E264" s="976" t="s">
        <v>685</v>
      </c>
      <c r="F264" s="1001" t="s">
        <v>655</v>
      </c>
      <c r="G264" s="1180">
        <f t="shared" si="840"/>
        <v>7964</v>
      </c>
      <c r="H264" s="1181">
        <f t="shared" si="840"/>
        <v>0</v>
      </c>
      <c r="I264" s="1181">
        <f t="shared" si="840"/>
        <v>0</v>
      </c>
      <c r="J264" s="1860" t="str">
        <f t="shared" si="815"/>
        <v>-</v>
      </c>
      <c r="K264" s="1180">
        <f>+O264+S264+W264+AA264+AE264</f>
        <v>7964</v>
      </c>
      <c r="L264" s="1181">
        <f>+P264+T264+X264+AB264+AF264</f>
        <v>0</v>
      </c>
      <c r="M264" s="1181">
        <f>+Q264+U264+Y264+AC264+AG264</f>
        <v>0</v>
      </c>
      <c r="N264" s="1860" t="str">
        <f t="shared" si="817"/>
        <v>-</v>
      </c>
      <c r="O264" s="1013">
        <v>6401</v>
      </c>
      <c r="P264" s="1014"/>
      <c r="Q264" s="1014"/>
      <c r="R264" s="1458" t="str">
        <f t="shared" si="818"/>
        <v>-</v>
      </c>
      <c r="S264" s="1013">
        <v>1182</v>
      </c>
      <c r="T264" s="1014"/>
      <c r="U264" s="1014"/>
      <c r="V264" s="1458" t="str">
        <f t="shared" si="819"/>
        <v>-</v>
      </c>
      <c r="W264" s="1013">
        <v>381</v>
      </c>
      <c r="X264" s="1014"/>
      <c r="Y264" s="1014"/>
      <c r="Z264" s="1458" t="str">
        <f t="shared" si="820"/>
        <v>-</v>
      </c>
      <c r="AA264" s="1013"/>
      <c r="AB264" s="1014"/>
      <c r="AC264" s="1014"/>
      <c r="AD264" s="1458" t="str">
        <f t="shared" si="821"/>
        <v>-</v>
      </c>
      <c r="AE264" s="1013"/>
      <c r="AF264" s="1014"/>
      <c r="AG264" s="1014"/>
      <c r="AH264" s="1458" t="str">
        <f t="shared" si="822"/>
        <v>-</v>
      </c>
      <c r="AI264" s="1180">
        <f t="shared" si="841"/>
        <v>0</v>
      </c>
      <c r="AJ264" s="1181">
        <f t="shared" si="841"/>
        <v>0</v>
      </c>
      <c r="AK264" s="1181">
        <f t="shared" si="841"/>
        <v>0</v>
      </c>
      <c r="AL264" s="1860" t="str">
        <f t="shared" si="824"/>
        <v>-</v>
      </c>
      <c r="AM264" s="1013"/>
      <c r="AN264" s="1014"/>
      <c r="AO264" s="1014"/>
      <c r="AP264" s="1458" t="str">
        <f t="shared" si="825"/>
        <v>-</v>
      </c>
      <c r="AQ264" s="1013"/>
      <c r="AR264" s="1014"/>
      <c r="AS264" s="1014"/>
      <c r="AT264" s="1458" t="str">
        <f t="shared" si="826"/>
        <v>-</v>
      </c>
      <c r="AU264" s="1013"/>
      <c r="AV264" s="1014"/>
      <c r="AW264" s="1014"/>
      <c r="AX264" s="1458" t="str">
        <f t="shared" si="827"/>
        <v>-</v>
      </c>
      <c r="AY264" s="509"/>
    </row>
    <row r="265" spans="1:54" s="511" customFormat="1" ht="12.75" thickBot="1">
      <c r="A265" s="552">
        <f>+A264+1</f>
        <v>89</v>
      </c>
      <c r="B265" s="288">
        <v>17</v>
      </c>
      <c r="C265" s="360" t="s">
        <v>786</v>
      </c>
      <c r="D265" s="973" t="s">
        <v>787</v>
      </c>
      <c r="E265" s="976" t="s">
        <v>705</v>
      </c>
      <c r="F265" s="1001" t="s">
        <v>668</v>
      </c>
      <c r="G265" s="1184">
        <f t="shared" si="840"/>
        <v>0</v>
      </c>
      <c r="H265" s="1185">
        <f t="shared" si="840"/>
        <v>0</v>
      </c>
      <c r="I265" s="1185">
        <f t="shared" si="840"/>
        <v>0</v>
      </c>
      <c r="J265" s="1860" t="str">
        <f t="shared" si="815"/>
        <v>-</v>
      </c>
      <c r="K265" s="1184">
        <f>+O265+S265+W265+AE265</f>
        <v>0</v>
      </c>
      <c r="L265" s="1185">
        <f>+P265+T265+X265+AF265</f>
        <v>0</v>
      </c>
      <c r="M265" s="1185">
        <f>+Q265+U265+Y265+AG265</f>
        <v>0</v>
      </c>
      <c r="N265" s="1860" t="str">
        <f t="shared" si="817"/>
        <v>-</v>
      </c>
      <c r="O265" s="1013"/>
      <c r="P265" s="1014"/>
      <c r="Q265" s="1014"/>
      <c r="R265" s="1458" t="str">
        <f t="shared" si="818"/>
        <v>-</v>
      </c>
      <c r="S265" s="1013"/>
      <c r="T265" s="1014"/>
      <c r="U265" s="1014"/>
      <c r="V265" s="1458" t="str">
        <f t="shared" si="819"/>
        <v>-</v>
      </c>
      <c r="W265" s="1013"/>
      <c r="X265" s="1014"/>
      <c r="Y265" s="1014"/>
      <c r="Z265" s="1458" t="str">
        <f t="shared" si="820"/>
        <v>-</v>
      </c>
      <c r="AA265" s="1013"/>
      <c r="AB265" s="1014"/>
      <c r="AC265" s="1014"/>
      <c r="AD265" s="1458" t="str">
        <f t="shared" si="821"/>
        <v>-</v>
      </c>
      <c r="AE265" s="1013"/>
      <c r="AF265" s="1014"/>
      <c r="AG265" s="1014"/>
      <c r="AH265" s="1458" t="str">
        <f t="shared" si="822"/>
        <v>-</v>
      </c>
      <c r="AI265" s="1184">
        <f t="shared" si="841"/>
        <v>0</v>
      </c>
      <c r="AJ265" s="1185">
        <f t="shared" si="841"/>
        <v>0</v>
      </c>
      <c r="AK265" s="1185">
        <f t="shared" si="841"/>
        <v>0</v>
      </c>
      <c r="AL265" s="1860" t="str">
        <f t="shared" si="824"/>
        <v>-</v>
      </c>
      <c r="AM265" s="1013"/>
      <c r="AN265" s="1014"/>
      <c r="AO265" s="1014"/>
      <c r="AP265" s="1458" t="str">
        <f t="shared" si="825"/>
        <v>-</v>
      </c>
      <c r="AQ265" s="1013"/>
      <c r="AR265" s="1014"/>
      <c r="AS265" s="1014"/>
      <c r="AT265" s="1458" t="str">
        <f t="shared" si="826"/>
        <v>-</v>
      </c>
      <c r="AU265" s="1013"/>
      <c r="AV265" s="1014"/>
      <c r="AW265" s="1014"/>
      <c r="AX265" s="1458" t="str">
        <f t="shared" si="827"/>
        <v>-</v>
      </c>
      <c r="AY265" s="509"/>
      <c r="AZ265" s="302"/>
      <c r="BA265" s="302"/>
      <c r="BB265" s="302"/>
    </row>
    <row r="266" spans="1:54" s="516" customFormat="1" ht="12.75" thickBot="1">
      <c r="A266" s="548" t="s">
        <v>640</v>
      </c>
      <c r="B266" s="1204"/>
      <c r="C266" s="1327" t="s">
        <v>933</v>
      </c>
      <c r="D266" s="1328"/>
      <c r="E266" s="1328"/>
      <c r="F266" s="1329"/>
      <c r="G266" s="538">
        <f>SUM(G263:G265)</f>
        <v>36427</v>
      </c>
      <c r="H266" s="539">
        <f>SUM(H263:H265)</f>
        <v>29317</v>
      </c>
      <c r="I266" s="539">
        <f>SUM(I263:I265)</f>
        <v>29317</v>
      </c>
      <c r="J266" s="1459">
        <f t="shared" si="815"/>
        <v>1</v>
      </c>
      <c r="K266" s="538">
        <f t="shared" ref="K266" si="842">SUM(K263:K265)</f>
        <v>36427</v>
      </c>
      <c r="L266" s="539">
        <f t="shared" ref="L266:M266" si="843">SUM(L263:L265)</f>
        <v>28895</v>
      </c>
      <c r="M266" s="539">
        <f t="shared" si="843"/>
        <v>28895</v>
      </c>
      <c r="N266" s="1459">
        <f t="shared" si="817"/>
        <v>1</v>
      </c>
      <c r="O266" s="538">
        <f t="shared" ref="N266:AV266" si="844">SUM(O263:O265)</f>
        <v>12479</v>
      </c>
      <c r="P266" s="368">
        <f t="shared" si="844"/>
        <v>5583</v>
      </c>
      <c r="Q266" s="368">
        <f t="shared" ref="Q266:R266" si="845">SUM(Q263:Q265)</f>
        <v>5583</v>
      </c>
      <c r="R266" s="1459">
        <f t="shared" si="818"/>
        <v>1</v>
      </c>
      <c r="S266" s="538">
        <f t="shared" si="844"/>
        <v>2375</v>
      </c>
      <c r="T266" s="368">
        <f t="shared" si="844"/>
        <v>1191</v>
      </c>
      <c r="U266" s="368">
        <f t="shared" ref="U266:V266" si="846">SUM(U263:U265)</f>
        <v>1191</v>
      </c>
      <c r="V266" s="1459">
        <f t="shared" si="819"/>
        <v>1</v>
      </c>
      <c r="W266" s="538">
        <f t="shared" si="844"/>
        <v>21573</v>
      </c>
      <c r="X266" s="368">
        <f t="shared" si="844"/>
        <v>22121</v>
      </c>
      <c r="Y266" s="368">
        <f t="shared" ref="Y266:Z266" si="847">SUM(Y263:Y265)</f>
        <v>22121</v>
      </c>
      <c r="Z266" s="1459">
        <f t="shared" si="820"/>
        <v>1</v>
      </c>
      <c r="AA266" s="538">
        <f t="shared" si="844"/>
        <v>0</v>
      </c>
      <c r="AB266" s="368">
        <f t="shared" si="844"/>
        <v>0</v>
      </c>
      <c r="AC266" s="368">
        <f t="shared" ref="AC266:AD266" si="848">SUM(AC263:AC265)</f>
        <v>0</v>
      </c>
      <c r="AD266" s="1459" t="str">
        <f t="shared" si="821"/>
        <v>-</v>
      </c>
      <c r="AE266" s="538">
        <f t="shared" si="844"/>
        <v>0</v>
      </c>
      <c r="AF266" s="368">
        <f t="shared" si="844"/>
        <v>0</v>
      </c>
      <c r="AG266" s="368">
        <f t="shared" ref="AG266:AH266" si="849">SUM(AG263:AG265)</f>
        <v>0</v>
      </c>
      <c r="AH266" s="1459" t="str">
        <f t="shared" si="822"/>
        <v>-</v>
      </c>
      <c r="AI266" s="538">
        <f t="shared" si="844"/>
        <v>0</v>
      </c>
      <c r="AJ266" s="539">
        <f t="shared" ref="AJ266:AK266" si="850">SUM(AJ263:AJ265)</f>
        <v>422</v>
      </c>
      <c r="AK266" s="539">
        <f t="shared" si="850"/>
        <v>422</v>
      </c>
      <c r="AL266" s="1459">
        <f t="shared" si="824"/>
        <v>1</v>
      </c>
      <c r="AM266" s="538">
        <f t="shared" si="844"/>
        <v>0</v>
      </c>
      <c r="AN266" s="368">
        <f t="shared" si="844"/>
        <v>422</v>
      </c>
      <c r="AO266" s="368">
        <f t="shared" ref="AO266:AP266" si="851">SUM(AO263:AO265)</f>
        <v>422</v>
      </c>
      <c r="AP266" s="1459">
        <f t="shared" si="825"/>
        <v>1</v>
      </c>
      <c r="AQ266" s="538">
        <f t="shared" si="844"/>
        <v>0</v>
      </c>
      <c r="AR266" s="368">
        <f t="shared" si="844"/>
        <v>0</v>
      </c>
      <c r="AS266" s="368">
        <f t="shared" ref="AS266:AT266" si="852">SUM(AS263:AS265)</f>
        <v>0</v>
      </c>
      <c r="AT266" s="1459" t="str">
        <f t="shared" si="826"/>
        <v>-</v>
      </c>
      <c r="AU266" s="538">
        <f t="shared" si="844"/>
        <v>0</v>
      </c>
      <c r="AV266" s="368">
        <f t="shared" si="844"/>
        <v>0</v>
      </c>
      <c r="AW266" s="368">
        <f t="shared" ref="AW266:AX266" si="853">SUM(AW263:AW265)</f>
        <v>0</v>
      </c>
      <c r="AX266" s="1459" t="str">
        <f t="shared" si="827"/>
        <v>-</v>
      </c>
      <c r="AY266" s="838"/>
      <c r="AZ266" s="507"/>
      <c r="BA266" s="507"/>
      <c r="BB266" s="507"/>
    </row>
    <row r="267" spans="1:54" s="516" customFormat="1">
      <c r="A267" s="552">
        <f>+A265+1</f>
        <v>90</v>
      </c>
      <c r="B267" s="1019">
        <v>18</v>
      </c>
      <c r="C267" s="425" t="s">
        <v>793</v>
      </c>
      <c r="D267" s="979" t="s">
        <v>792</v>
      </c>
      <c r="E267" s="974" t="s">
        <v>699</v>
      </c>
      <c r="F267" s="1005" t="s">
        <v>666</v>
      </c>
      <c r="G267" s="1188">
        <f t="shared" ref="G267:J273" si="854">+K267+AI267</f>
        <v>0</v>
      </c>
      <c r="H267" s="1189">
        <f t="shared" si="854"/>
        <v>3336</v>
      </c>
      <c r="I267" s="1189">
        <f t="shared" si="854"/>
        <v>3336</v>
      </c>
      <c r="J267" s="1860">
        <f t="shared" si="815"/>
        <v>1</v>
      </c>
      <c r="K267" s="1188">
        <f t="shared" ref="K267:N273" si="855">+O267+S267+W267+AA267+AE267</f>
        <v>0</v>
      </c>
      <c r="L267" s="1189">
        <f t="shared" si="855"/>
        <v>3336</v>
      </c>
      <c r="M267" s="1189">
        <f t="shared" si="855"/>
        <v>3336</v>
      </c>
      <c r="N267" s="1860">
        <f t="shared" si="817"/>
        <v>1</v>
      </c>
      <c r="O267" s="1011"/>
      <c r="P267" s="1010">
        <f>2484+19</f>
        <v>2503</v>
      </c>
      <c r="Q267" s="1010">
        <f>2484+19</f>
        <v>2503</v>
      </c>
      <c r="R267" s="1458">
        <f t="shared" si="818"/>
        <v>1</v>
      </c>
      <c r="S267" s="1011"/>
      <c r="T267" s="1010">
        <v>561</v>
      </c>
      <c r="U267" s="1010">
        <v>561</v>
      </c>
      <c r="V267" s="1458">
        <f t="shared" si="819"/>
        <v>1</v>
      </c>
      <c r="W267" s="1011"/>
      <c r="X267" s="1010">
        <f>250+22</f>
        <v>272</v>
      </c>
      <c r="Y267" s="1010">
        <f>250+22</f>
        <v>272</v>
      </c>
      <c r="Z267" s="1458">
        <f t="shared" si="820"/>
        <v>1</v>
      </c>
      <c r="AA267" s="1011"/>
      <c r="AB267" s="1010"/>
      <c r="AC267" s="1010"/>
      <c r="AD267" s="1458" t="str">
        <f t="shared" si="821"/>
        <v>-</v>
      </c>
      <c r="AE267" s="1011"/>
      <c r="AF267" s="1010"/>
      <c r="AG267" s="1010"/>
      <c r="AH267" s="1458" t="str">
        <f t="shared" si="822"/>
        <v>-</v>
      </c>
      <c r="AI267" s="1188">
        <f t="shared" ref="AI267:AL273" si="856">+AM267+AQ267+AU267</f>
        <v>0</v>
      </c>
      <c r="AJ267" s="1189">
        <f t="shared" si="856"/>
        <v>0</v>
      </c>
      <c r="AK267" s="1189">
        <f t="shared" si="856"/>
        <v>0</v>
      </c>
      <c r="AL267" s="1860" t="str">
        <f t="shared" si="824"/>
        <v>-</v>
      </c>
      <c r="AM267" s="1011"/>
      <c r="AN267" s="1010"/>
      <c r="AO267" s="1010"/>
      <c r="AP267" s="1458" t="str">
        <f t="shared" si="825"/>
        <v>-</v>
      </c>
      <c r="AQ267" s="1011"/>
      <c r="AR267" s="1010"/>
      <c r="AS267" s="1010"/>
      <c r="AT267" s="1458" t="str">
        <f t="shared" si="826"/>
        <v>-</v>
      </c>
      <c r="AU267" s="1011"/>
      <c r="AV267" s="1010"/>
      <c r="AW267" s="1010"/>
      <c r="AX267" s="1458" t="str">
        <f t="shared" si="827"/>
        <v>-</v>
      </c>
      <c r="AY267" s="509"/>
      <c r="AZ267" s="302"/>
      <c r="BA267" s="302"/>
      <c r="BB267" s="302"/>
    </row>
    <row r="268" spans="1:54" s="511" customFormat="1">
      <c r="A268" s="552">
        <f t="shared" ref="A268:A273" si="857">+A267+1</f>
        <v>91</v>
      </c>
      <c r="B268" s="1019">
        <v>18</v>
      </c>
      <c r="C268" s="425" t="s">
        <v>793</v>
      </c>
      <c r="D268" s="979" t="s">
        <v>792</v>
      </c>
      <c r="E268" s="974" t="s">
        <v>700</v>
      </c>
      <c r="F268" s="1005" t="s">
        <v>667</v>
      </c>
      <c r="G268" s="1180">
        <f t="shared" si="854"/>
        <v>0</v>
      </c>
      <c r="H268" s="1181">
        <f t="shared" si="854"/>
        <v>0</v>
      </c>
      <c r="I268" s="1181">
        <f t="shared" si="854"/>
        <v>0</v>
      </c>
      <c r="J268" s="1860" t="str">
        <f t="shared" si="815"/>
        <v>-</v>
      </c>
      <c r="K268" s="1180">
        <f t="shared" si="855"/>
        <v>0</v>
      </c>
      <c r="L268" s="1181">
        <f t="shared" si="855"/>
        <v>0</v>
      </c>
      <c r="M268" s="1181">
        <f t="shared" si="855"/>
        <v>0</v>
      </c>
      <c r="N268" s="1860" t="str">
        <f t="shared" si="817"/>
        <v>-</v>
      </c>
      <c r="O268" s="1013"/>
      <c r="P268" s="1010"/>
      <c r="Q268" s="1010"/>
      <c r="R268" s="1458" t="str">
        <f t="shared" si="818"/>
        <v>-</v>
      </c>
      <c r="S268" s="1013"/>
      <c r="T268" s="1010"/>
      <c r="U268" s="1010"/>
      <c r="V268" s="1458" t="str">
        <f t="shared" si="819"/>
        <v>-</v>
      </c>
      <c r="W268" s="1013"/>
      <c r="X268" s="1010"/>
      <c r="Y268" s="1010"/>
      <c r="Z268" s="1458" t="str">
        <f t="shared" si="820"/>
        <v>-</v>
      </c>
      <c r="AA268" s="1013"/>
      <c r="AB268" s="1010"/>
      <c r="AC268" s="1010"/>
      <c r="AD268" s="1458" t="str">
        <f t="shared" si="821"/>
        <v>-</v>
      </c>
      <c r="AE268" s="1013"/>
      <c r="AF268" s="1010"/>
      <c r="AG268" s="1010"/>
      <c r="AH268" s="1458" t="str">
        <f t="shared" si="822"/>
        <v>-</v>
      </c>
      <c r="AI268" s="1180">
        <f t="shared" si="856"/>
        <v>0</v>
      </c>
      <c r="AJ268" s="1181">
        <f t="shared" si="856"/>
        <v>0</v>
      </c>
      <c r="AK268" s="1181">
        <f t="shared" si="856"/>
        <v>0</v>
      </c>
      <c r="AL268" s="1860" t="str">
        <f t="shared" si="824"/>
        <v>-</v>
      </c>
      <c r="AM268" s="1013"/>
      <c r="AN268" s="1010"/>
      <c r="AO268" s="1010"/>
      <c r="AP268" s="1458" t="str">
        <f t="shared" si="825"/>
        <v>-</v>
      </c>
      <c r="AQ268" s="1013"/>
      <c r="AR268" s="1010"/>
      <c r="AS268" s="1010"/>
      <c r="AT268" s="1458" t="str">
        <f t="shared" si="826"/>
        <v>-</v>
      </c>
      <c r="AU268" s="1013"/>
      <c r="AV268" s="1010"/>
      <c r="AW268" s="1010"/>
      <c r="AX268" s="1458" t="str">
        <f t="shared" si="827"/>
        <v>-</v>
      </c>
      <c r="AY268" s="509"/>
    </row>
    <row r="269" spans="1:54" s="511" customFormat="1">
      <c r="A269" s="552">
        <f t="shared" si="857"/>
        <v>92</v>
      </c>
      <c r="B269" s="1019">
        <v>18</v>
      </c>
      <c r="C269" s="425" t="s">
        <v>793</v>
      </c>
      <c r="D269" s="979" t="s">
        <v>792</v>
      </c>
      <c r="E269" s="974" t="s">
        <v>701</v>
      </c>
      <c r="F269" s="1005" t="s">
        <v>790</v>
      </c>
      <c r="G269" s="1180">
        <f t="shared" si="854"/>
        <v>0</v>
      </c>
      <c r="H269" s="1181">
        <f t="shared" si="854"/>
        <v>0</v>
      </c>
      <c r="I269" s="1181">
        <f t="shared" si="854"/>
        <v>0</v>
      </c>
      <c r="J269" s="1860" t="str">
        <f t="shared" si="815"/>
        <v>-</v>
      </c>
      <c r="K269" s="1180">
        <f t="shared" si="855"/>
        <v>0</v>
      </c>
      <c r="L269" s="1181">
        <f t="shared" si="855"/>
        <v>0</v>
      </c>
      <c r="M269" s="1181">
        <f t="shared" si="855"/>
        <v>0</v>
      </c>
      <c r="N269" s="1860" t="str">
        <f t="shared" si="817"/>
        <v>-</v>
      </c>
      <c r="O269" s="1013"/>
      <c r="P269" s="1010"/>
      <c r="Q269" s="1010"/>
      <c r="R269" s="1458" t="str">
        <f t="shared" si="818"/>
        <v>-</v>
      </c>
      <c r="S269" s="1013"/>
      <c r="T269" s="1010"/>
      <c r="U269" s="1010"/>
      <c r="V269" s="1458" t="str">
        <f t="shared" si="819"/>
        <v>-</v>
      </c>
      <c r="W269" s="1013"/>
      <c r="X269" s="1010"/>
      <c r="Y269" s="1010"/>
      <c r="Z269" s="1458" t="str">
        <f t="shared" si="820"/>
        <v>-</v>
      </c>
      <c r="AA269" s="1013"/>
      <c r="AB269" s="1010"/>
      <c r="AC269" s="1010"/>
      <c r="AD269" s="1458" t="str">
        <f t="shared" si="821"/>
        <v>-</v>
      </c>
      <c r="AE269" s="1013"/>
      <c r="AF269" s="1010"/>
      <c r="AG269" s="1010"/>
      <c r="AH269" s="1458" t="str">
        <f t="shared" si="822"/>
        <v>-</v>
      </c>
      <c r="AI269" s="1180">
        <f t="shared" si="856"/>
        <v>0</v>
      </c>
      <c r="AJ269" s="1181">
        <f t="shared" si="856"/>
        <v>0</v>
      </c>
      <c r="AK269" s="1181">
        <f t="shared" si="856"/>
        <v>0</v>
      </c>
      <c r="AL269" s="1860" t="str">
        <f t="shared" si="824"/>
        <v>-</v>
      </c>
      <c r="AM269" s="1013"/>
      <c r="AN269" s="1010"/>
      <c r="AO269" s="1010"/>
      <c r="AP269" s="1458" t="str">
        <f t="shared" si="825"/>
        <v>-</v>
      </c>
      <c r="AQ269" s="1013"/>
      <c r="AR269" s="1010"/>
      <c r="AS269" s="1010"/>
      <c r="AT269" s="1458" t="str">
        <f t="shared" si="826"/>
        <v>-</v>
      </c>
      <c r="AU269" s="1013"/>
      <c r="AV269" s="1010"/>
      <c r="AW269" s="1010"/>
      <c r="AX269" s="1458" t="str">
        <f t="shared" si="827"/>
        <v>-</v>
      </c>
      <c r="AY269" s="509"/>
    </row>
    <row r="270" spans="1:54" s="511" customFormat="1">
      <c r="A270" s="552">
        <f t="shared" si="857"/>
        <v>93</v>
      </c>
      <c r="B270" s="1019">
        <v>18</v>
      </c>
      <c r="C270" s="425" t="s">
        <v>793</v>
      </c>
      <c r="D270" s="979" t="s">
        <v>792</v>
      </c>
      <c r="E270" s="974" t="s">
        <v>702</v>
      </c>
      <c r="F270" s="1005" t="s">
        <v>791</v>
      </c>
      <c r="G270" s="1180">
        <f t="shared" si="854"/>
        <v>0</v>
      </c>
      <c r="H270" s="1181">
        <f t="shared" si="854"/>
        <v>0</v>
      </c>
      <c r="I270" s="1181">
        <f t="shared" si="854"/>
        <v>0</v>
      </c>
      <c r="J270" s="1860" t="str">
        <f t="shared" si="815"/>
        <v>-</v>
      </c>
      <c r="K270" s="1180">
        <f t="shared" si="855"/>
        <v>0</v>
      </c>
      <c r="L270" s="1181">
        <f t="shared" si="855"/>
        <v>0</v>
      </c>
      <c r="M270" s="1181">
        <f t="shared" si="855"/>
        <v>0</v>
      </c>
      <c r="N270" s="1860" t="str">
        <f t="shared" si="817"/>
        <v>-</v>
      </c>
      <c r="O270" s="1013"/>
      <c r="P270" s="1010"/>
      <c r="Q270" s="1010"/>
      <c r="R270" s="1458" t="str">
        <f t="shared" si="818"/>
        <v>-</v>
      </c>
      <c r="S270" s="1013"/>
      <c r="T270" s="1010"/>
      <c r="U270" s="1010"/>
      <c r="V270" s="1458" t="str">
        <f t="shared" si="819"/>
        <v>-</v>
      </c>
      <c r="W270" s="1013"/>
      <c r="X270" s="1010"/>
      <c r="Y270" s="1010"/>
      <c r="Z270" s="1458" t="str">
        <f t="shared" si="820"/>
        <v>-</v>
      </c>
      <c r="AA270" s="1013"/>
      <c r="AB270" s="1010"/>
      <c r="AC270" s="1010"/>
      <c r="AD270" s="1458" t="str">
        <f t="shared" si="821"/>
        <v>-</v>
      </c>
      <c r="AE270" s="1013"/>
      <c r="AF270" s="1010"/>
      <c r="AG270" s="1010"/>
      <c r="AH270" s="1458" t="str">
        <f t="shared" si="822"/>
        <v>-</v>
      </c>
      <c r="AI270" s="1180">
        <f t="shared" si="856"/>
        <v>0</v>
      </c>
      <c r="AJ270" s="1181">
        <f t="shared" si="856"/>
        <v>0</v>
      </c>
      <c r="AK270" s="1181">
        <f t="shared" si="856"/>
        <v>0</v>
      </c>
      <c r="AL270" s="1860" t="str">
        <f t="shared" si="824"/>
        <v>-</v>
      </c>
      <c r="AM270" s="1013"/>
      <c r="AN270" s="1010"/>
      <c r="AO270" s="1010"/>
      <c r="AP270" s="1458" t="str">
        <f t="shared" si="825"/>
        <v>-</v>
      </c>
      <c r="AQ270" s="1013"/>
      <c r="AR270" s="1010"/>
      <c r="AS270" s="1010"/>
      <c r="AT270" s="1458" t="str">
        <f t="shared" si="826"/>
        <v>-</v>
      </c>
      <c r="AU270" s="1013"/>
      <c r="AV270" s="1010"/>
      <c r="AW270" s="1010"/>
      <c r="AX270" s="1458" t="str">
        <f t="shared" si="827"/>
        <v>-</v>
      </c>
      <c r="AY270" s="509"/>
    </row>
    <row r="271" spans="1:54" s="511" customFormat="1">
      <c r="A271" s="552">
        <f t="shared" si="857"/>
        <v>94</v>
      </c>
      <c r="B271" s="1019">
        <v>18</v>
      </c>
      <c r="C271" s="425" t="s">
        <v>718</v>
      </c>
      <c r="D271" s="979" t="s">
        <v>717</v>
      </c>
      <c r="E271" s="974" t="s">
        <v>671</v>
      </c>
      <c r="F271" s="1005" t="s">
        <v>644</v>
      </c>
      <c r="G271" s="1180">
        <f t="shared" si="854"/>
        <v>0</v>
      </c>
      <c r="H271" s="1181">
        <f t="shared" si="854"/>
        <v>0</v>
      </c>
      <c r="I271" s="1181">
        <f t="shared" si="854"/>
        <v>0</v>
      </c>
      <c r="J271" s="1860" t="str">
        <f t="shared" si="815"/>
        <v>-</v>
      </c>
      <c r="K271" s="1180">
        <f t="shared" si="855"/>
        <v>0</v>
      </c>
      <c r="L271" s="1181">
        <f t="shared" si="855"/>
        <v>0</v>
      </c>
      <c r="M271" s="1181">
        <f t="shared" si="855"/>
        <v>0</v>
      </c>
      <c r="N271" s="1860" t="str">
        <f t="shared" si="817"/>
        <v>-</v>
      </c>
      <c r="O271" s="1013"/>
      <c r="P271" s="1010"/>
      <c r="Q271" s="1010"/>
      <c r="R271" s="1458" t="str">
        <f t="shared" si="818"/>
        <v>-</v>
      </c>
      <c r="S271" s="1013"/>
      <c r="T271" s="1010"/>
      <c r="U271" s="1010"/>
      <c r="V271" s="1458" t="str">
        <f t="shared" si="819"/>
        <v>-</v>
      </c>
      <c r="W271" s="1013"/>
      <c r="X271" s="1010"/>
      <c r="Y271" s="1010"/>
      <c r="Z271" s="1458" t="str">
        <f t="shared" si="820"/>
        <v>-</v>
      </c>
      <c r="AA271" s="1013"/>
      <c r="AB271" s="1010"/>
      <c r="AC271" s="1010"/>
      <c r="AD271" s="1458" t="str">
        <f t="shared" si="821"/>
        <v>-</v>
      </c>
      <c r="AE271" s="1013"/>
      <c r="AF271" s="1010"/>
      <c r="AG271" s="1010"/>
      <c r="AH271" s="1458" t="str">
        <f t="shared" si="822"/>
        <v>-</v>
      </c>
      <c r="AI271" s="1180">
        <f t="shared" si="856"/>
        <v>0</v>
      </c>
      <c r="AJ271" s="1181">
        <f t="shared" si="856"/>
        <v>0</v>
      </c>
      <c r="AK271" s="1181">
        <f t="shared" si="856"/>
        <v>0</v>
      </c>
      <c r="AL271" s="1860" t="str">
        <f t="shared" si="824"/>
        <v>-</v>
      </c>
      <c r="AM271" s="1013"/>
      <c r="AN271" s="1010"/>
      <c r="AO271" s="1010"/>
      <c r="AP271" s="1458" t="str">
        <f t="shared" si="825"/>
        <v>-</v>
      </c>
      <c r="AQ271" s="1013"/>
      <c r="AR271" s="1010"/>
      <c r="AS271" s="1010"/>
      <c r="AT271" s="1458" t="str">
        <f t="shared" si="826"/>
        <v>-</v>
      </c>
      <c r="AU271" s="1013"/>
      <c r="AV271" s="1010"/>
      <c r="AW271" s="1010"/>
      <c r="AX271" s="1458" t="str">
        <f t="shared" si="827"/>
        <v>-</v>
      </c>
      <c r="AY271" s="509"/>
    </row>
    <row r="272" spans="1:54" s="511" customFormat="1">
      <c r="A272" s="552">
        <f t="shared" si="857"/>
        <v>95</v>
      </c>
      <c r="B272" s="1019">
        <v>18</v>
      </c>
      <c r="C272" s="425" t="s">
        <v>1073</v>
      </c>
      <c r="D272" s="979" t="s">
        <v>1074</v>
      </c>
      <c r="E272" s="974" t="s">
        <v>1075</v>
      </c>
      <c r="F272" s="1005" t="s">
        <v>1076</v>
      </c>
      <c r="G272" s="1180">
        <f t="shared" si="854"/>
        <v>0</v>
      </c>
      <c r="H272" s="1181">
        <f t="shared" si="854"/>
        <v>0</v>
      </c>
      <c r="I272" s="1181">
        <f t="shared" si="854"/>
        <v>0</v>
      </c>
      <c r="J272" s="1860" t="str">
        <f t="shared" si="815"/>
        <v>-</v>
      </c>
      <c r="K272" s="1180">
        <f t="shared" si="855"/>
        <v>0</v>
      </c>
      <c r="L272" s="1181">
        <f t="shared" si="855"/>
        <v>0</v>
      </c>
      <c r="M272" s="1181">
        <f t="shared" si="855"/>
        <v>0</v>
      </c>
      <c r="N272" s="1860" t="str">
        <f t="shared" si="817"/>
        <v>-</v>
      </c>
      <c r="O272" s="1013"/>
      <c r="P272" s="1010"/>
      <c r="Q272" s="1010"/>
      <c r="R272" s="1458" t="str">
        <f t="shared" si="818"/>
        <v>-</v>
      </c>
      <c r="S272" s="1013"/>
      <c r="T272" s="1010"/>
      <c r="U272" s="1010"/>
      <c r="V272" s="1458" t="str">
        <f t="shared" si="819"/>
        <v>-</v>
      </c>
      <c r="W272" s="1013"/>
      <c r="X272" s="1010"/>
      <c r="Y272" s="1010"/>
      <c r="Z272" s="1458" t="str">
        <f t="shared" si="820"/>
        <v>-</v>
      </c>
      <c r="AA272" s="1013"/>
      <c r="AB272" s="1010"/>
      <c r="AC272" s="1010"/>
      <c r="AD272" s="1458" t="str">
        <f t="shared" si="821"/>
        <v>-</v>
      </c>
      <c r="AE272" s="1013"/>
      <c r="AF272" s="1010"/>
      <c r="AG272" s="1010"/>
      <c r="AH272" s="1458" t="str">
        <f t="shared" si="822"/>
        <v>-</v>
      </c>
      <c r="AI272" s="1180">
        <f t="shared" si="856"/>
        <v>0</v>
      </c>
      <c r="AJ272" s="1181">
        <f t="shared" si="856"/>
        <v>0</v>
      </c>
      <c r="AK272" s="1181">
        <f t="shared" si="856"/>
        <v>0</v>
      </c>
      <c r="AL272" s="1860" t="str">
        <f t="shared" si="824"/>
        <v>-</v>
      </c>
      <c r="AM272" s="1013"/>
      <c r="AN272" s="1010"/>
      <c r="AO272" s="1010"/>
      <c r="AP272" s="1458" t="str">
        <f t="shared" si="825"/>
        <v>-</v>
      </c>
      <c r="AQ272" s="1013"/>
      <c r="AR272" s="1010"/>
      <c r="AS272" s="1010"/>
      <c r="AT272" s="1458" t="str">
        <f t="shared" si="826"/>
        <v>-</v>
      </c>
      <c r="AU272" s="1013"/>
      <c r="AV272" s="1010"/>
      <c r="AW272" s="1010"/>
      <c r="AX272" s="1458" t="str">
        <f t="shared" si="827"/>
        <v>-</v>
      </c>
      <c r="AY272" s="509"/>
    </row>
    <row r="273" spans="1:54" s="516" customFormat="1" ht="12.75" thickBot="1">
      <c r="A273" s="552">
        <f t="shared" si="857"/>
        <v>96</v>
      </c>
      <c r="B273" s="1019">
        <v>18</v>
      </c>
      <c r="C273" s="425" t="s">
        <v>1085</v>
      </c>
      <c r="D273" s="979" t="s">
        <v>1084</v>
      </c>
      <c r="E273" s="974" t="s">
        <v>1075</v>
      </c>
      <c r="F273" s="1005" t="s">
        <v>1076</v>
      </c>
      <c r="G273" s="1186">
        <f t="shared" si="854"/>
        <v>0</v>
      </c>
      <c r="H273" s="1187">
        <f t="shared" si="854"/>
        <v>0</v>
      </c>
      <c r="I273" s="1187">
        <f t="shared" si="854"/>
        <v>0</v>
      </c>
      <c r="J273" s="1861" t="str">
        <f t="shared" si="815"/>
        <v>-</v>
      </c>
      <c r="K273" s="1186">
        <f t="shared" si="855"/>
        <v>0</v>
      </c>
      <c r="L273" s="1187">
        <f t="shared" si="855"/>
        <v>0</v>
      </c>
      <c r="M273" s="1187">
        <f t="shared" si="855"/>
        <v>0</v>
      </c>
      <c r="N273" s="1861" t="str">
        <f t="shared" si="817"/>
        <v>-</v>
      </c>
      <c r="O273" s="515"/>
      <c r="P273" s="1010"/>
      <c r="Q273" s="1010"/>
      <c r="R273" s="1458" t="str">
        <f t="shared" si="818"/>
        <v>-</v>
      </c>
      <c r="S273" s="515"/>
      <c r="T273" s="1010"/>
      <c r="U273" s="1010"/>
      <c r="V273" s="1458" t="str">
        <f t="shared" si="819"/>
        <v>-</v>
      </c>
      <c r="W273" s="515"/>
      <c r="X273" s="1010"/>
      <c r="Y273" s="1010"/>
      <c r="Z273" s="1458" t="str">
        <f t="shared" si="820"/>
        <v>-</v>
      </c>
      <c r="AA273" s="515"/>
      <c r="AB273" s="1010"/>
      <c r="AC273" s="1010"/>
      <c r="AD273" s="1458" t="str">
        <f t="shared" si="821"/>
        <v>-</v>
      </c>
      <c r="AE273" s="515"/>
      <c r="AF273" s="1010"/>
      <c r="AG273" s="1010"/>
      <c r="AH273" s="1458" t="str">
        <f t="shared" si="822"/>
        <v>-</v>
      </c>
      <c r="AI273" s="1186">
        <f t="shared" si="856"/>
        <v>0</v>
      </c>
      <c r="AJ273" s="1187">
        <f t="shared" si="856"/>
        <v>0</v>
      </c>
      <c r="AK273" s="1187">
        <f t="shared" si="856"/>
        <v>0</v>
      </c>
      <c r="AL273" s="1860" t="str">
        <f t="shared" si="824"/>
        <v>-</v>
      </c>
      <c r="AM273" s="515"/>
      <c r="AN273" s="1010"/>
      <c r="AO273" s="1010"/>
      <c r="AP273" s="1458" t="str">
        <f t="shared" si="825"/>
        <v>-</v>
      </c>
      <c r="AQ273" s="515"/>
      <c r="AR273" s="1010"/>
      <c r="AS273" s="1010"/>
      <c r="AT273" s="1458" t="str">
        <f t="shared" si="826"/>
        <v>-</v>
      </c>
      <c r="AU273" s="515"/>
      <c r="AV273" s="1010"/>
      <c r="AW273" s="1010"/>
      <c r="AX273" s="1458" t="str">
        <f t="shared" si="827"/>
        <v>-</v>
      </c>
      <c r="AY273" s="509"/>
      <c r="AZ273" s="302"/>
      <c r="BA273" s="302"/>
      <c r="BB273" s="302"/>
    </row>
    <row r="274" spans="1:54" s="516" customFormat="1" ht="12.75" thickBot="1">
      <c r="A274" s="548" t="s">
        <v>801</v>
      </c>
      <c r="B274" s="1204"/>
      <c r="C274" s="1327" t="s">
        <v>934</v>
      </c>
      <c r="D274" s="1328"/>
      <c r="E274" s="1328"/>
      <c r="F274" s="1329"/>
      <c r="G274" s="538">
        <f t="shared" ref="G274" si="858">+K274+AI274</f>
        <v>0</v>
      </c>
      <c r="H274" s="539">
        <f t="shared" ref="H274" si="859">+L274+AJ274</f>
        <v>3336</v>
      </c>
      <c r="I274" s="539">
        <f t="shared" ref="I274" si="860">+M274+AK274</f>
        <v>3336</v>
      </c>
      <c r="J274" s="1459">
        <f t="shared" ref="J274" si="861">IF(ISERROR(I274/H274),"-",I274/H274)</f>
        <v>1</v>
      </c>
      <c r="K274" s="538">
        <f t="shared" ref="K274" si="862">+O274+S274+W274+AA274+AE274</f>
        <v>0</v>
      </c>
      <c r="L274" s="539">
        <f t="shared" ref="L274" si="863">+P274+T274+X274+AB274+AF274</f>
        <v>3336</v>
      </c>
      <c r="M274" s="539">
        <f t="shared" ref="M274" si="864">+Q274+U274+Y274+AC274+AG274</f>
        <v>3336</v>
      </c>
      <c r="N274" s="1459">
        <f t="shared" si="817"/>
        <v>1</v>
      </c>
      <c r="O274" s="538">
        <f t="shared" ref="N274:AU274" si="865">SUM(O273)</f>
        <v>0</v>
      </c>
      <c r="P274" s="368">
        <f t="shared" ref="P274" si="866">SUM(P267:P273)</f>
        <v>2503</v>
      </c>
      <c r="Q274" s="368">
        <f t="shared" ref="Q274:R274" si="867">SUM(Q267:Q273)</f>
        <v>2503</v>
      </c>
      <c r="R274" s="1459">
        <f t="shared" si="818"/>
        <v>1</v>
      </c>
      <c r="S274" s="538">
        <f t="shared" si="865"/>
        <v>0</v>
      </c>
      <c r="T274" s="368">
        <f t="shared" ref="T274" si="868">SUM(T267:T273)</f>
        <v>561</v>
      </c>
      <c r="U274" s="368">
        <f t="shared" ref="U274:V274" si="869">SUM(U267:U273)</f>
        <v>561</v>
      </c>
      <c r="V274" s="1459">
        <f t="shared" si="819"/>
        <v>1</v>
      </c>
      <c r="W274" s="538">
        <f t="shared" si="865"/>
        <v>0</v>
      </c>
      <c r="X274" s="368">
        <f t="shared" ref="X274" si="870">SUM(X267:X273)</f>
        <v>272</v>
      </c>
      <c r="Y274" s="368">
        <f t="shared" ref="Y274:Z274" si="871">SUM(Y267:Y273)</f>
        <v>272</v>
      </c>
      <c r="Z274" s="1459">
        <f t="shared" si="820"/>
        <v>1</v>
      </c>
      <c r="AA274" s="538">
        <f>SUM(AA273)</f>
        <v>0</v>
      </c>
      <c r="AB274" s="368">
        <f t="shared" ref="AB274" si="872">SUM(AB267:AB273)</f>
        <v>0</v>
      </c>
      <c r="AC274" s="368">
        <f t="shared" ref="AC274:AD274" si="873">SUM(AC267:AC273)</f>
        <v>0</v>
      </c>
      <c r="AD274" s="1459" t="str">
        <f t="shared" si="821"/>
        <v>-</v>
      </c>
      <c r="AE274" s="538">
        <f t="shared" ref="AE274" si="874">SUM(AE273)</f>
        <v>0</v>
      </c>
      <c r="AF274" s="368">
        <f t="shared" ref="AF274" si="875">SUM(AF267:AF273)</f>
        <v>0</v>
      </c>
      <c r="AG274" s="368">
        <f t="shared" ref="AG274:AH274" si="876">SUM(AG267:AG273)</f>
        <v>0</v>
      </c>
      <c r="AH274" s="1459" t="str">
        <f t="shared" si="822"/>
        <v>-</v>
      </c>
      <c r="AI274" s="538">
        <f t="shared" si="865"/>
        <v>0</v>
      </c>
      <c r="AJ274" s="539">
        <f t="shared" ref="AJ274:AK274" si="877">SUM(AJ273)</f>
        <v>0</v>
      </c>
      <c r="AK274" s="539">
        <f t="shared" si="877"/>
        <v>0</v>
      </c>
      <c r="AL274" s="1459" t="str">
        <f t="shared" si="824"/>
        <v>-</v>
      </c>
      <c r="AM274" s="538">
        <f t="shared" si="865"/>
        <v>0</v>
      </c>
      <c r="AN274" s="368">
        <f t="shared" ref="AN274" si="878">SUM(AN267:AN273)</f>
        <v>0</v>
      </c>
      <c r="AO274" s="368">
        <f t="shared" ref="AO274:AP274" si="879">SUM(AO267:AO273)</f>
        <v>0</v>
      </c>
      <c r="AP274" s="1459" t="str">
        <f t="shared" si="825"/>
        <v>-</v>
      </c>
      <c r="AQ274" s="538">
        <f t="shared" si="865"/>
        <v>0</v>
      </c>
      <c r="AR274" s="368">
        <f t="shared" ref="AR274" si="880">SUM(AR267:AR273)</f>
        <v>0</v>
      </c>
      <c r="AS274" s="368">
        <f t="shared" ref="AS274:AT274" si="881">SUM(AS267:AS273)</f>
        <v>0</v>
      </c>
      <c r="AT274" s="1459" t="str">
        <f t="shared" si="826"/>
        <v>-</v>
      </c>
      <c r="AU274" s="538">
        <f t="shared" si="865"/>
        <v>0</v>
      </c>
      <c r="AV274" s="368">
        <f t="shared" ref="AV274" si="882">SUM(AV267:AV273)</f>
        <v>0</v>
      </c>
      <c r="AW274" s="368">
        <f t="shared" ref="AW274:AX274" si="883">SUM(AW267:AW273)</f>
        <v>0</v>
      </c>
      <c r="AX274" s="1459" t="str">
        <f t="shared" si="827"/>
        <v>-</v>
      </c>
      <c r="AY274" s="838"/>
    </row>
    <row r="275" spans="1:54" s="516" customFormat="1" ht="12.75" thickBot="1">
      <c r="A275" s="549" t="s">
        <v>22</v>
      </c>
      <c r="B275" s="1021"/>
      <c r="C275" s="1336" t="s">
        <v>935</v>
      </c>
      <c r="D275" s="1337"/>
      <c r="E275" s="1337"/>
      <c r="F275" s="1338"/>
      <c r="G275" s="540">
        <f t="shared" ref="G275" si="884">+G262+G266+G274</f>
        <v>352486</v>
      </c>
      <c r="H275" s="541">
        <f t="shared" ref="H275:I275" si="885">+H262+H266+H274</f>
        <v>399355</v>
      </c>
      <c r="I275" s="541">
        <f t="shared" si="885"/>
        <v>396440</v>
      </c>
      <c r="J275" s="1879">
        <f t="shared" si="815"/>
        <v>0.99270072992700731</v>
      </c>
      <c r="K275" s="540">
        <f t="shared" ref="J275:AV275" si="886">+K262+K266+K274</f>
        <v>352486</v>
      </c>
      <c r="L275" s="541">
        <f t="shared" ref="L275:M275" si="887">+L262+L266+L274</f>
        <v>384867</v>
      </c>
      <c r="M275" s="541">
        <f t="shared" si="887"/>
        <v>381995</v>
      </c>
      <c r="N275" s="1879">
        <f t="shared" si="817"/>
        <v>0.99253768184853464</v>
      </c>
      <c r="O275" s="540">
        <f t="shared" si="886"/>
        <v>243653</v>
      </c>
      <c r="P275" s="522">
        <f t="shared" si="886"/>
        <v>254215</v>
      </c>
      <c r="Q275" s="522">
        <f t="shared" ref="P275:R275" si="888">+Q262+Q266+Q274</f>
        <v>254215</v>
      </c>
      <c r="R275" s="1869">
        <f t="shared" si="818"/>
        <v>1</v>
      </c>
      <c r="S275" s="540">
        <f t="shared" si="886"/>
        <v>50215</v>
      </c>
      <c r="T275" s="522">
        <f t="shared" si="886"/>
        <v>54733</v>
      </c>
      <c r="U275" s="522">
        <f t="shared" ref="T275:V275" si="889">+U262+U266+U274</f>
        <v>54733</v>
      </c>
      <c r="V275" s="1869">
        <f t="shared" si="819"/>
        <v>1</v>
      </c>
      <c r="W275" s="540">
        <f t="shared" si="886"/>
        <v>58618</v>
      </c>
      <c r="X275" s="522">
        <f t="shared" si="886"/>
        <v>74621</v>
      </c>
      <c r="Y275" s="522">
        <f t="shared" ref="X275:Z275" si="890">+Y262+Y266+Y274</f>
        <v>71749</v>
      </c>
      <c r="Z275" s="1869">
        <f t="shared" si="820"/>
        <v>0.96151217485694374</v>
      </c>
      <c r="AA275" s="540">
        <f t="shared" si="886"/>
        <v>0</v>
      </c>
      <c r="AB275" s="522">
        <f t="shared" si="886"/>
        <v>0</v>
      </c>
      <c r="AC275" s="522">
        <f t="shared" ref="AB275:AD275" si="891">+AC262+AC266+AC274</f>
        <v>0</v>
      </c>
      <c r="AD275" s="1869" t="str">
        <f t="shared" si="821"/>
        <v>-</v>
      </c>
      <c r="AE275" s="540">
        <f t="shared" si="886"/>
        <v>0</v>
      </c>
      <c r="AF275" s="522">
        <f t="shared" si="886"/>
        <v>1298</v>
      </c>
      <c r="AG275" s="522">
        <f t="shared" ref="AF275:AH275" si="892">+AG262+AG266+AG274</f>
        <v>1298</v>
      </c>
      <c r="AH275" s="1869">
        <f t="shared" si="822"/>
        <v>1</v>
      </c>
      <c r="AI275" s="540">
        <f t="shared" si="886"/>
        <v>0</v>
      </c>
      <c r="AJ275" s="541">
        <f t="shared" ref="AJ275:AK275" si="893">+AJ262+AJ266+AJ274</f>
        <v>14488</v>
      </c>
      <c r="AK275" s="541">
        <f t="shared" si="893"/>
        <v>14445</v>
      </c>
      <c r="AL275" s="1869">
        <f t="shared" si="824"/>
        <v>0.99703202650469358</v>
      </c>
      <c r="AM275" s="540">
        <f t="shared" si="886"/>
        <v>0</v>
      </c>
      <c r="AN275" s="522">
        <f t="shared" si="886"/>
        <v>14488</v>
      </c>
      <c r="AO275" s="522">
        <f t="shared" ref="AN275:AP275" si="894">+AO262+AO266+AO274</f>
        <v>14445</v>
      </c>
      <c r="AP275" s="1869">
        <f t="shared" si="825"/>
        <v>0.99703202650469358</v>
      </c>
      <c r="AQ275" s="540">
        <f t="shared" si="886"/>
        <v>0</v>
      </c>
      <c r="AR275" s="522">
        <f t="shared" si="886"/>
        <v>0</v>
      </c>
      <c r="AS275" s="522">
        <f t="shared" ref="AR275:AT275" si="895">+AS262+AS266+AS274</f>
        <v>0</v>
      </c>
      <c r="AT275" s="1869" t="str">
        <f t="shared" si="826"/>
        <v>-</v>
      </c>
      <c r="AU275" s="540">
        <f t="shared" si="886"/>
        <v>0</v>
      </c>
      <c r="AV275" s="522">
        <f t="shared" si="886"/>
        <v>0</v>
      </c>
      <c r="AW275" s="522">
        <f t="shared" ref="AV275:AX275" si="896">+AW262+AW266+AW274</f>
        <v>0</v>
      </c>
      <c r="AX275" s="1869" t="str">
        <f t="shared" si="827"/>
        <v>-</v>
      </c>
      <c r="AY275" s="838"/>
      <c r="AZ275" s="511"/>
      <c r="BA275" s="511"/>
      <c r="BB275" s="511"/>
    </row>
    <row r="276" spans="1:54" s="516" customFormat="1" ht="12.75" thickBot="1">
      <c r="A276" s="548"/>
      <c r="B276" s="1211"/>
      <c r="C276" s="356"/>
      <c r="D276" s="547"/>
      <c r="E276" s="518"/>
      <c r="F276" s="517"/>
      <c r="G276" s="538"/>
      <c r="H276" s="539"/>
      <c r="I276" s="539"/>
      <c r="J276" s="437"/>
      <c r="K276" s="538"/>
      <c r="L276" s="539"/>
      <c r="M276" s="539"/>
      <c r="N276" s="437"/>
      <c r="O276" s="519"/>
      <c r="P276" s="368"/>
      <c r="Q276" s="368"/>
      <c r="R276" s="437"/>
      <c r="S276" s="519"/>
      <c r="T276" s="368"/>
      <c r="U276" s="368"/>
      <c r="V276" s="437"/>
      <c r="W276" s="519"/>
      <c r="X276" s="368"/>
      <c r="Y276" s="368"/>
      <c r="Z276" s="437"/>
      <c r="AA276" s="519"/>
      <c r="AB276" s="368"/>
      <c r="AC276" s="368"/>
      <c r="AD276" s="437"/>
      <c r="AE276" s="519"/>
      <c r="AF276" s="368"/>
      <c r="AG276" s="368"/>
      <c r="AH276" s="437"/>
      <c r="AI276" s="538"/>
      <c r="AJ276" s="539"/>
      <c r="AK276" s="539"/>
      <c r="AL276" s="437"/>
      <c r="AM276" s="519"/>
      <c r="AN276" s="368"/>
      <c r="AO276" s="368"/>
      <c r="AP276" s="437"/>
      <c r="AQ276" s="519"/>
      <c r="AR276" s="368"/>
      <c r="AS276" s="368"/>
      <c r="AT276" s="437"/>
      <c r="AU276" s="519"/>
      <c r="AV276" s="368"/>
      <c r="AW276" s="368"/>
      <c r="AX276" s="437"/>
      <c r="AY276" s="510"/>
      <c r="AZ276" s="511"/>
      <c r="BA276" s="511"/>
      <c r="BB276" s="511"/>
    </row>
    <row r="277" spans="1:54">
      <c r="A277" s="552">
        <f>+A273+1</f>
        <v>97</v>
      </c>
      <c r="B277" s="1019">
        <v>19</v>
      </c>
      <c r="C277" s="425" t="s">
        <v>1173</v>
      </c>
      <c r="D277" s="979" t="s">
        <v>1174</v>
      </c>
      <c r="E277" s="974" t="s">
        <v>1188</v>
      </c>
      <c r="F277" s="1005" t="s">
        <v>1175</v>
      </c>
      <c r="G277" s="1184">
        <f t="shared" ref="G277:J282" si="897">+K277+AI277</f>
        <v>262940</v>
      </c>
      <c r="H277" s="1185">
        <f t="shared" si="897"/>
        <v>258607</v>
      </c>
      <c r="I277" s="1185">
        <f t="shared" si="897"/>
        <v>247401</v>
      </c>
      <c r="J277" s="1860">
        <f t="shared" ref="J277:J288" si="898">IF(ISERROR(I277/H277),"-",I277/H277)</f>
        <v>0.95666783961764379</v>
      </c>
      <c r="K277" s="1184">
        <f t="shared" ref="K277:N282" si="899">+O277+S277+W277+AA277+AE277</f>
        <v>261940</v>
      </c>
      <c r="L277" s="1185">
        <f t="shared" si="899"/>
        <v>258288</v>
      </c>
      <c r="M277" s="1185">
        <f t="shared" si="899"/>
        <v>247082</v>
      </c>
      <c r="N277" s="1860">
        <f t="shared" ref="N277:N288" si="900">IF(ISERROR(M277/L277),"-",M277/L277)</f>
        <v>0.95661432199715046</v>
      </c>
      <c r="O277" s="1009">
        <v>194602</v>
      </c>
      <c r="P277" s="1010">
        <v>187477</v>
      </c>
      <c r="Q277" s="1010">
        <v>187477</v>
      </c>
      <c r="R277" s="1458">
        <f t="shared" ref="R277:R288" si="901">IF(ISERROR(Q277/P277),"-",Q277/P277)</f>
        <v>1</v>
      </c>
      <c r="S277" s="1009">
        <v>42378</v>
      </c>
      <c r="T277" s="1010">
        <f>39763+827</f>
        <v>40590</v>
      </c>
      <c r="U277" s="1010">
        <v>39763</v>
      </c>
      <c r="V277" s="1458">
        <f t="shared" ref="V277:V288" si="902">IF(ISERROR(U277/T277),"-",U277/T277)</f>
        <v>0.97962552352796251</v>
      </c>
      <c r="W277" s="1009">
        <v>24960</v>
      </c>
      <c r="X277" s="1010">
        <f>19842+10379</f>
        <v>30221</v>
      </c>
      <c r="Y277" s="1010">
        <v>19842</v>
      </c>
      <c r="Z277" s="1458">
        <f t="shared" ref="Z277:Z288" si="903">IF(ISERROR(Y277/X277),"-",Y277/X277)</f>
        <v>0.65656331689884517</v>
      </c>
      <c r="AA277" s="1009"/>
      <c r="AB277" s="1010"/>
      <c r="AC277" s="1010"/>
      <c r="AD277" s="1458" t="str">
        <f t="shared" ref="AD277:AD288" si="904">IF(ISERROR(AC277/AB277),"-",AC277/AB277)</f>
        <v>-</v>
      </c>
      <c r="AE277" s="1009"/>
      <c r="AF277" s="1010"/>
      <c r="AG277" s="1010"/>
      <c r="AH277" s="1458" t="str">
        <f t="shared" ref="AH277:AH288" si="905">IF(ISERROR(AG277/AF277),"-",AG277/AF277)</f>
        <v>-</v>
      </c>
      <c r="AI277" s="1184">
        <f t="shared" ref="AI277:AL282" si="906">+AM277+AQ277+AU277</f>
        <v>1000</v>
      </c>
      <c r="AJ277" s="1185">
        <f t="shared" si="906"/>
        <v>319</v>
      </c>
      <c r="AK277" s="1185">
        <f t="shared" si="906"/>
        <v>319</v>
      </c>
      <c r="AL277" s="1860">
        <f t="shared" ref="AL277:AL288" si="907">IF(ISERROR(AK277/AJ277),"-",AK277/AJ277)</f>
        <v>1</v>
      </c>
      <c r="AM277" s="1009">
        <v>1000</v>
      </c>
      <c r="AN277" s="1010">
        <v>319</v>
      </c>
      <c r="AO277" s="1010">
        <v>319</v>
      </c>
      <c r="AP277" s="1458">
        <f t="shared" ref="AP277:AP288" si="908">IF(ISERROR(AO277/AN277),"-",AO277/AN277)</f>
        <v>1</v>
      </c>
      <c r="AQ277" s="1009"/>
      <c r="AR277" s="1010"/>
      <c r="AS277" s="1010"/>
      <c r="AT277" s="1458" t="str">
        <f t="shared" ref="AT277:AT288" si="909">IF(ISERROR(AS277/AR277),"-",AS277/AR277)</f>
        <v>-</v>
      </c>
      <c r="AU277" s="1009"/>
      <c r="AV277" s="1010"/>
      <c r="AW277" s="1010"/>
      <c r="AX277" s="1458" t="str">
        <f t="shared" ref="AX277:AX288" si="910">IF(ISERROR(AW277/AV277),"-",AW277/AV277)</f>
        <v>-</v>
      </c>
      <c r="AY277" s="509"/>
    </row>
    <row r="278" spans="1:54">
      <c r="A278" s="552">
        <f>+A277+1</f>
        <v>98</v>
      </c>
      <c r="B278" s="1019">
        <v>20</v>
      </c>
      <c r="C278" s="425" t="s">
        <v>1176</v>
      </c>
      <c r="D278" s="979" t="s">
        <v>1177</v>
      </c>
      <c r="E278" s="974" t="s">
        <v>1184</v>
      </c>
      <c r="F278" s="1005" t="s">
        <v>1186</v>
      </c>
      <c r="G278" s="1184">
        <f t="shared" si="897"/>
        <v>29917</v>
      </c>
      <c r="H278" s="1185">
        <f t="shared" si="897"/>
        <v>79410</v>
      </c>
      <c r="I278" s="1185">
        <f t="shared" si="897"/>
        <v>79410</v>
      </c>
      <c r="J278" s="1860">
        <f t="shared" si="898"/>
        <v>1</v>
      </c>
      <c r="K278" s="1184">
        <f t="shared" si="899"/>
        <v>29917</v>
      </c>
      <c r="L278" s="1185">
        <f t="shared" si="899"/>
        <v>79410</v>
      </c>
      <c r="M278" s="1185">
        <f t="shared" si="899"/>
        <v>79410</v>
      </c>
      <c r="N278" s="1860">
        <f t="shared" si="900"/>
        <v>1</v>
      </c>
      <c r="O278" s="1009"/>
      <c r="P278" s="1010"/>
      <c r="Q278" s="1010"/>
      <c r="R278" s="1458" t="str">
        <f t="shared" si="901"/>
        <v>-</v>
      </c>
      <c r="S278" s="1013"/>
      <c r="T278" s="1010"/>
      <c r="U278" s="1010"/>
      <c r="V278" s="1458" t="str">
        <f t="shared" si="902"/>
        <v>-</v>
      </c>
      <c r="W278" s="1013">
        <v>29917</v>
      </c>
      <c r="X278" s="1010">
        <v>79410</v>
      </c>
      <c r="Y278" s="1010">
        <v>79410</v>
      </c>
      <c r="Z278" s="1458">
        <f t="shared" si="903"/>
        <v>1</v>
      </c>
      <c r="AA278" s="1013"/>
      <c r="AB278" s="1010"/>
      <c r="AC278" s="1010"/>
      <c r="AD278" s="1458" t="str">
        <f t="shared" si="904"/>
        <v>-</v>
      </c>
      <c r="AE278" s="1013"/>
      <c r="AF278" s="1010"/>
      <c r="AG278" s="1010"/>
      <c r="AH278" s="1458" t="str">
        <f t="shared" si="905"/>
        <v>-</v>
      </c>
      <c r="AI278" s="1184">
        <f t="shared" si="906"/>
        <v>0</v>
      </c>
      <c r="AJ278" s="1185">
        <f t="shared" si="906"/>
        <v>0</v>
      </c>
      <c r="AK278" s="1185">
        <f t="shared" si="906"/>
        <v>0</v>
      </c>
      <c r="AL278" s="1860" t="str">
        <f t="shared" si="907"/>
        <v>-</v>
      </c>
      <c r="AM278" s="1013"/>
      <c r="AN278" s="1010"/>
      <c r="AO278" s="1010"/>
      <c r="AP278" s="1458" t="str">
        <f t="shared" si="908"/>
        <v>-</v>
      </c>
      <c r="AQ278" s="1013"/>
      <c r="AR278" s="1010"/>
      <c r="AS278" s="1010"/>
      <c r="AT278" s="1458" t="str">
        <f t="shared" si="909"/>
        <v>-</v>
      </c>
      <c r="AU278" s="1013"/>
      <c r="AV278" s="1010"/>
      <c r="AW278" s="1010"/>
      <c r="AX278" s="1458" t="str">
        <f t="shared" si="910"/>
        <v>-</v>
      </c>
      <c r="AY278" s="509"/>
    </row>
    <row r="279" spans="1:54">
      <c r="A279" s="552">
        <f>+A278+1</f>
        <v>99</v>
      </c>
      <c r="B279" s="1019">
        <v>20</v>
      </c>
      <c r="C279" s="425" t="s">
        <v>1176</v>
      </c>
      <c r="D279" s="979" t="s">
        <v>1177</v>
      </c>
      <c r="E279" s="974" t="s">
        <v>1185</v>
      </c>
      <c r="F279" s="1005" t="s">
        <v>1187</v>
      </c>
      <c r="G279" s="1184">
        <f t="shared" si="897"/>
        <v>56590</v>
      </c>
      <c r="H279" s="1185">
        <f t="shared" si="897"/>
        <v>0</v>
      </c>
      <c r="I279" s="1185">
        <f t="shared" si="897"/>
        <v>0</v>
      </c>
      <c r="J279" s="1860" t="str">
        <f t="shared" si="898"/>
        <v>-</v>
      </c>
      <c r="K279" s="1184">
        <f t="shared" si="899"/>
        <v>56590</v>
      </c>
      <c r="L279" s="1185">
        <f t="shared" si="899"/>
        <v>0</v>
      </c>
      <c r="M279" s="1185">
        <f t="shared" si="899"/>
        <v>0</v>
      </c>
      <c r="N279" s="1860" t="str">
        <f t="shared" si="900"/>
        <v>-</v>
      </c>
      <c r="O279" s="1009"/>
      <c r="P279" s="1010"/>
      <c r="Q279" s="1010"/>
      <c r="R279" s="1458" t="str">
        <f t="shared" si="901"/>
        <v>-</v>
      </c>
      <c r="S279" s="1013"/>
      <c r="T279" s="1010"/>
      <c r="U279" s="1010"/>
      <c r="V279" s="1458" t="str">
        <f t="shared" si="902"/>
        <v>-</v>
      </c>
      <c r="W279" s="1013">
        <v>56590</v>
      </c>
      <c r="X279" s="1010"/>
      <c r="Y279" s="1010"/>
      <c r="Z279" s="1458" t="str">
        <f t="shared" si="903"/>
        <v>-</v>
      </c>
      <c r="AA279" s="1013"/>
      <c r="AB279" s="1010"/>
      <c r="AC279" s="1010"/>
      <c r="AD279" s="1458" t="str">
        <f t="shared" si="904"/>
        <v>-</v>
      </c>
      <c r="AE279" s="1013"/>
      <c r="AF279" s="1010"/>
      <c r="AG279" s="1010"/>
      <c r="AH279" s="1458" t="str">
        <f t="shared" si="905"/>
        <v>-</v>
      </c>
      <c r="AI279" s="1184">
        <f t="shared" si="906"/>
        <v>0</v>
      </c>
      <c r="AJ279" s="1185">
        <f t="shared" si="906"/>
        <v>0</v>
      </c>
      <c r="AK279" s="1185">
        <f t="shared" si="906"/>
        <v>0</v>
      </c>
      <c r="AL279" s="1860" t="str">
        <f t="shared" si="907"/>
        <v>-</v>
      </c>
      <c r="AM279" s="1013"/>
      <c r="AN279" s="1010"/>
      <c r="AO279" s="1010"/>
      <c r="AP279" s="1458" t="str">
        <f t="shared" si="908"/>
        <v>-</v>
      </c>
      <c r="AQ279" s="1013"/>
      <c r="AR279" s="1010"/>
      <c r="AS279" s="1010"/>
      <c r="AT279" s="1458" t="str">
        <f t="shared" si="909"/>
        <v>-</v>
      </c>
      <c r="AU279" s="1013"/>
      <c r="AV279" s="1010"/>
      <c r="AW279" s="1010"/>
      <c r="AX279" s="1458" t="str">
        <f t="shared" si="910"/>
        <v>-</v>
      </c>
      <c r="AY279" s="509"/>
    </row>
    <row r="280" spans="1:54" s="516" customFormat="1">
      <c r="A280" s="552">
        <f>+A279+1</f>
        <v>100</v>
      </c>
      <c r="B280" s="1019">
        <v>21</v>
      </c>
      <c r="C280" s="425" t="s">
        <v>1178</v>
      </c>
      <c r="D280" s="979" t="s">
        <v>1345</v>
      </c>
      <c r="E280" s="974" t="s">
        <v>1181</v>
      </c>
      <c r="F280" s="1005" t="s">
        <v>581</v>
      </c>
      <c r="G280" s="1184">
        <f t="shared" si="897"/>
        <v>35236</v>
      </c>
      <c r="H280" s="1185">
        <f t="shared" si="897"/>
        <v>32856</v>
      </c>
      <c r="I280" s="1185">
        <f t="shared" si="897"/>
        <v>32856</v>
      </c>
      <c r="J280" s="1860">
        <f t="shared" si="898"/>
        <v>1</v>
      </c>
      <c r="K280" s="1184">
        <f t="shared" si="899"/>
        <v>35236</v>
      </c>
      <c r="L280" s="1185">
        <f t="shared" si="899"/>
        <v>32856</v>
      </c>
      <c r="M280" s="1185">
        <f t="shared" si="899"/>
        <v>32856</v>
      </c>
      <c r="N280" s="1860">
        <f t="shared" si="900"/>
        <v>1</v>
      </c>
      <c r="O280" s="1009">
        <v>26180</v>
      </c>
      <c r="P280" s="1010">
        <v>25151</v>
      </c>
      <c r="Q280" s="1010">
        <v>25151</v>
      </c>
      <c r="R280" s="1458">
        <f t="shared" si="901"/>
        <v>1</v>
      </c>
      <c r="S280" s="1013">
        <v>5115</v>
      </c>
      <c r="T280" s="1010">
        <v>5162</v>
      </c>
      <c r="U280" s="1010">
        <v>5162</v>
      </c>
      <c r="V280" s="1458">
        <f t="shared" si="902"/>
        <v>1</v>
      </c>
      <c r="W280" s="1013">
        <v>3941</v>
      </c>
      <c r="X280" s="1010">
        <v>2543</v>
      </c>
      <c r="Y280" s="1010">
        <v>2543</v>
      </c>
      <c r="Z280" s="1458">
        <f t="shared" si="903"/>
        <v>1</v>
      </c>
      <c r="AA280" s="1013"/>
      <c r="AB280" s="1010"/>
      <c r="AC280" s="1010"/>
      <c r="AD280" s="1458" t="str">
        <f t="shared" si="904"/>
        <v>-</v>
      </c>
      <c r="AE280" s="1013"/>
      <c r="AF280" s="1010"/>
      <c r="AG280" s="1010"/>
      <c r="AH280" s="1458" t="str">
        <f t="shared" si="905"/>
        <v>-</v>
      </c>
      <c r="AI280" s="1184">
        <f t="shared" si="906"/>
        <v>0</v>
      </c>
      <c r="AJ280" s="1185">
        <f t="shared" si="906"/>
        <v>0</v>
      </c>
      <c r="AK280" s="1185">
        <f t="shared" si="906"/>
        <v>0</v>
      </c>
      <c r="AL280" s="1860" t="str">
        <f t="shared" si="907"/>
        <v>-</v>
      </c>
      <c r="AM280" s="1013"/>
      <c r="AN280" s="1010"/>
      <c r="AO280" s="1010"/>
      <c r="AP280" s="1458" t="str">
        <f t="shared" si="908"/>
        <v>-</v>
      </c>
      <c r="AQ280" s="1013"/>
      <c r="AR280" s="1010"/>
      <c r="AS280" s="1010"/>
      <c r="AT280" s="1458" t="str">
        <f t="shared" si="909"/>
        <v>-</v>
      </c>
      <c r="AU280" s="1013"/>
      <c r="AV280" s="1010"/>
      <c r="AW280" s="1010"/>
      <c r="AX280" s="1458" t="str">
        <f t="shared" si="910"/>
        <v>-</v>
      </c>
      <c r="AY280" s="509"/>
      <c r="AZ280" s="302"/>
      <c r="BA280" s="302"/>
      <c r="BB280" s="302"/>
    </row>
    <row r="281" spans="1:54">
      <c r="A281" s="552">
        <f>+A280+1</f>
        <v>101</v>
      </c>
      <c r="B281" s="1019">
        <v>20</v>
      </c>
      <c r="C281" s="425" t="s">
        <v>1179</v>
      </c>
      <c r="D281" s="979" t="s">
        <v>1180</v>
      </c>
      <c r="E281" s="974" t="s">
        <v>1182</v>
      </c>
      <c r="F281" s="1005" t="s">
        <v>1183</v>
      </c>
      <c r="G281" s="1184">
        <f t="shared" si="897"/>
        <v>3151</v>
      </c>
      <c r="H281" s="1185">
        <f t="shared" si="897"/>
        <v>2978</v>
      </c>
      <c r="I281" s="1185">
        <f t="shared" si="897"/>
        <v>2978</v>
      </c>
      <c r="J281" s="1860">
        <f t="shared" si="898"/>
        <v>1</v>
      </c>
      <c r="K281" s="1184">
        <f t="shared" si="899"/>
        <v>3151</v>
      </c>
      <c r="L281" s="1185">
        <f t="shared" si="899"/>
        <v>2978</v>
      </c>
      <c r="M281" s="1185">
        <f t="shared" si="899"/>
        <v>2978</v>
      </c>
      <c r="N281" s="1860">
        <f t="shared" si="900"/>
        <v>1</v>
      </c>
      <c r="O281" s="1009"/>
      <c r="P281" s="1010"/>
      <c r="Q281" s="1010"/>
      <c r="R281" s="1458" t="str">
        <f t="shared" si="901"/>
        <v>-</v>
      </c>
      <c r="S281" s="1013"/>
      <c r="T281" s="1010"/>
      <c r="U281" s="1010"/>
      <c r="V281" s="1458" t="str">
        <f t="shared" si="902"/>
        <v>-</v>
      </c>
      <c r="W281" s="1013">
        <v>3151</v>
      </c>
      <c r="X281" s="1010">
        <v>2978</v>
      </c>
      <c r="Y281" s="1010">
        <v>2978</v>
      </c>
      <c r="Z281" s="1458">
        <f t="shared" si="903"/>
        <v>1</v>
      </c>
      <c r="AA281" s="1013"/>
      <c r="AB281" s="1010"/>
      <c r="AC281" s="1010"/>
      <c r="AD281" s="1458" t="str">
        <f t="shared" si="904"/>
        <v>-</v>
      </c>
      <c r="AE281" s="1013"/>
      <c r="AF281" s="1010"/>
      <c r="AG281" s="1010"/>
      <c r="AH281" s="1458" t="str">
        <f t="shared" si="905"/>
        <v>-</v>
      </c>
      <c r="AI281" s="1184">
        <f t="shared" si="906"/>
        <v>0</v>
      </c>
      <c r="AJ281" s="1185">
        <f t="shared" si="906"/>
        <v>0</v>
      </c>
      <c r="AK281" s="1185">
        <f t="shared" si="906"/>
        <v>0</v>
      </c>
      <c r="AL281" s="1860" t="str">
        <f t="shared" si="907"/>
        <v>-</v>
      </c>
      <c r="AM281" s="1013"/>
      <c r="AN281" s="1010"/>
      <c r="AO281" s="1010"/>
      <c r="AP281" s="1458" t="str">
        <f t="shared" si="908"/>
        <v>-</v>
      </c>
      <c r="AQ281" s="1013"/>
      <c r="AR281" s="1010"/>
      <c r="AS281" s="1010"/>
      <c r="AT281" s="1458" t="str">
        <f t="shared" si="909"/>
        <v>-</v>
      </c>
      <c r="AU281" s="1013"/>
      <c r="AV281" s="1010"/>
      <c r="AW281" s="1010"/>
      <c r="AX281" s="1458" t="str">
        <f t="shared" si="910"/>
        <v>-</v>
      </c>
      <c r="AY281" s="509"/>
    </row>
    <row r="282" spans="1:54" ht="12.75" thickBot="1">
      <c r="A282" s="552">
        <f>+A281+1</f>
        <v>102</v>
      </c>
      <c r="B282" s="1019">
        <v>19</v>
      </c>
      <c r="C282" s="425" t="s">
        <v>1081</v>
      </c>
      <c r="D282" s="979" t="s">
        <v>1082</v>
      </c>
      <c r="E282" s="974" t="s">
        <v>1188</v>
      </c>
      <c r="F282" s="1005" t="s">
        <v>1175</v>
      </c>
      <c r="G282" s="1184">
        <f t="shared" si="897"/>
        <v>0</v>
      </c>
      <c r="H282" s="1185">
        <f t="shared" si="897"/>
        <v>1294</v>
      </c>
      <c r="I282" s="1185">
        <f t="shared" si="897"/>
        <v>1294</v>
      </c>
      <c r="J282" s="1860">
        <f t="shared" si="898"/>
        <v>1</v>
      </c>
      <c r="K282" s="1184">
        <f t="shared" si="899"/>
        <v>0</v>
      </c>
      <c r="L282" s="1185">
        <f t="shared" si="899"/>
        <v>1294</v>
      </c>
      <c r="M282" s="1185">
        <f t="shared" si="899"/>
        <v>1294</v>
      </c>
      <c r="N282" s="1860">
        <f t="shared" si="900"/>
        <v>1</v>
      </c>
      <c r="O282" s="1009"/>
      <c r="P282" s="1010"/>
      <c r="Q282" s="1010"/>
      <c r="R282" s="1458" t="str">
        <f t="shared" si="901"/>
        <v>-</v>
      </c>
      <c r="S282" s="1013"/>
      <c r="T282" s="1010"/>
      <c r="U282" s="1010"/>
      <c r="V282" s="1458" t="str">
        <f t="shared" si="902"/>
        <v>-</v>
      </c>
      <c r="W282" s="1013"/>
      <c r="X282" s="1010">
        <v>1221</v>
      </c>
      <c r="Y282" s="1010">
        <v>1221</v>
      </c>
      <c r="Z282" s="1458">
        <f t="shared" si="903"/>
        <v>1</v>
      </c>
      <c r="AA282" s="1013"/>
      <c r="AB282" s="1010"/>
      <c r="AC282" s="1010"/>
      <c r="AD282" s="1458" t="str">
        <f t="shared" si="904"/>
        <v>-</v>
      </c>
      <c r="AE282" s="1013"/>
      <c r="AF282" s="1010">
        <v>73</v>
      </c>
      <c r="AG282" s="1010">
        <v>73</v>
      </c>
      <c r="AH282" s="1458">
        <f t="shared" si="905"/>
        <v>1</v>
      </c>
      <c r="AI282" s="1184">
        <f t="shared" si="906"/>
        <v>0</v>
      </c>
      <c r="AJ282" s="1185">
        <f t="shared" si="906"/>
        <v>0</v>
      </c>
      <c r="AK282" s="1185">
        <f t="shared" si="906"/>
        <v>0</v>
      </c>
      <c r="AL282" s="1860" t="str">
        <f t="shared" si="907"/>
        <v>-</v>
      </c>
      <c r="AM282" s="1013"/>
      <c r="AN282" s="1010"/>
      <c r="AO282" s="1010"/>
      <c r="AP282" s="1458" t="str">
        <f t="shared" si="908"/>
        <v>-</v>
      </c>
      <c r="AQ282" s="1013"/>
      <c r="AR282" s="1010"/>
      <c r="AS282" s="1010"/>
      <c r="AT282" s="1458" t="str">
        <f t="shared" si="909"/>
        <v>-</v>
      </c>
      <c r="AU282" s="1013"/>
      <c r="AV282" s="1010"/>
      <c r="AW282" s="1010"/>
      <c r="AX282" s="1458" t="str">
        <f t="shared" si="910"/>
        <v>-</v>
      </c>
      <c r="AY282" s="509"/>
    </row>
    <row r="283" spans="1:54" ht="12.75" customHeight="1" thickBot="1">
      <c r="A283" s="548" t="s">
        <v>802</v>
      </c>
      <c r="B283" s="1204"/>
      <c r="C283" s="1321" t="s">
        <v>418</v>
      </c>
      <c r="D283" s="1322"/>
      <c r="E283" s="1322"/>
      <c r="F283" s="1323"/>
      <c r="G283" s="538">
        <f>SUM(G277:G282)</f>
        <v>387834</v>
      </c>
      <c r="H283" s="539">
        <f>SUM(H277:H282)</f>
        <v>375145</v>
      </c>
      <c r="I283" s="539">
        <f>SUM(I277:I282)</f>
        <v>363939</v>
      </c>
      <c r="J283" s="1459">
        <f t="shared" si="898"/>
        <v>0.97012888349838067</v>
      </c>
      <c r="K283" s="538">
        <f t="shared" ref="K283" si="911">SUM(K277:K282)</f>
        <v>386834</v>
      </c>
      <c r="L283" s="539">
        <f t="shared" ref="L283:M283" si="912">SUM(L277:L282)</f>
        <v>374826</v>
      </c>
      <c r="M283" s="539">
        <f t="shared" si="912"/>
        <v>363620</v>
      </c>
      <c r="N283" s="1459">
        <f t="shared" si="900"/>
        <v>0.97010346133939485</v>
      </c>
      <c r="O283" s="519">
        <f t="shared" ref="N283:AV283" si="913">SUM(O277:O282)</f>
        <v>220782</v>
      </c>
      <c r="P283" s="368">
        <f t="shared" si="913"/>
        <v>212628</v>
      </c>
      <c r="Q283" s="368">
        <f t="shared" ref="P283:R283" si="914">SUM(Q277:Q282)</f>
        <v>212628</v>
      </c>
      <c r="R283" s="1459">
        <f t="shared" si="901"/>
        <v>1</v>
      </c>
      <c r="S283" s="519">
        <f t="shared" si="913"/>
        <v>47493</v>
      </c>
      <c r="T283" s="368">
        <f t="shared" si="913"/>
        <v>45752</v>
      </c>
      <c r="U283" s="368">
        <f t="shared" ref="T283:V283" si="915">SUM(U277:U282)</f>
        <v>44925</v>
      </c>
      <c r="V283" s="1459">
        <f t="shared" si="902"/>
        <v>0.9819242874628431</v>
      </c>
      <c r="W283" s="519">
        <f t="shared" si="913"/>
        <v>118559</v>
      </c>
      <c r="X283" s="368">
        <f t="shared" si="913"/>
        <v>116373</v>
      </c>
      <c r="Y283" s="368">
        <f t="shared" ref="X283:Z283" si="916">SUM(Y277:Y282)</f>
        <v>105994</v>
      </c>
      <c r="Z283" s="1459">
        <f t="shared" si="903"/>
        <v>0.9108126455449288</v>
      </c>
      <c r="AA283" s="519">
        <f t="shared" si="913"/>
        <v>0</v>
      </c>
      <c r="AB283" s="368">
        <f t="shared" si="913"/>
        <v>0</v>
      </c>
      <c r="AC283" s="368">
        <f t="shared" ref="AB283:AD283" si="917">SUM(AC277:AC282)</f>
        <v>0</v>
      </c>
      <c r="AD283" s="1459" t="str">
        <f t="shared" si="904"/>
        <v>-</v>
      </c>
      <c r="AE283" s="519">
        <f t="shared" si="913"/>
        <v>0</v>
      </c>
      <c r="AF283" s="368">
        <f t="shared" si="913"/>
        <v>73</v>
      </c>
      <c r="AG283" s="368">
        <f t="shared" ref="AF283:AH283" si="918">SUM(AG277:AG282)</f>
        <v>73</v>
      </c>
      <c r="AH283" s="1459">
        <f t="shared" si="905"/>
        <v>1</v>
      </c>
      <c r="AI283" s="538">
        <f t="shared" si="913"/>
        <v>1000</v>
      </c>
      <c r="AJ283" s="539">
        <f t="shared" ref="AJ283:AK283" si="919">SUM(AJ277:AJ282)</f>
        <v>319</v>
      </c>
      <c r="AK283" s="539">
        <f t="shared" si="919"/>
        <v>319</v>
      </c>
      <c r="AL283" s="1459">
        <f t="shared" si="907"/>
        <v>1</v>
      </c>
      <c r="AM283" s="519">
        <f t="shared" si="913"/>
        <v>1000</v>
      </c>
      <c r="AN283" s="368">
        <f t="shared" si="913"/>
        <v>319</v>
      </c>
      <c r="AO283" s="368">
        <f t="shared" ref="AN283:AP283" si="920">SUM(AO277:AO282)</f>
        <v>319</v>
      </c>
      <c r="AP283" s="1459">
        <f t="shared" si="908"/>
        <v>1</v>
      </c>
      <c r="AQ283" s="519">
        <f t="shared" si="913"/>
        <v>0</v>
      </c>
      <c r="AR283" s="368">
        <f t="shared" si="913"/>
        <v>0</v>
      </c>
      <c r="AS283" s="368">
        <f t="shared" ref="AR283:AT283" si="921">SUM(AS277:AS282)</f>
        <v>0</v>
      </c>
      <c r="AT283" s="1459" t="str">
        <f t="shared" si="909"/>
        <v>-</v>
      </c>
      <c r="AU283" s="519">
        <f t="shared" si="913"/>
        <v>0</v>
      </c>
      <c r="AV283" s="368">
        <f t="shared" si="913"/>
        <v>0</v>
      </c>
      <c r="AW283" s="368">
        <f t="shared" ref="AV283:AX283" si="922">SUM(AW277:AW282)</f>
        <v>0</v>
      </c>
      <c r="AX283" s="1459" t="str">
        <f t="shared" si="910"/>
        <v>-</v>
      </c>
      <c r="AY283" s="510"/>
      <c r="AZ283" s="516"/>
      <c r="BA283" s="516"/>
      <c r="BB283" s="516"/>
    </row>
    <row r="284" spans="1:54" ht="12.75" customHeight="1" thickBot="1">
      <c r="A284" s="554">
        <f>+A282+1</f>
        <v>103</v>
      </c>
      <c r="B284" s="1024">
        <v>22</v>
      </c>
      <c r="C284" s="439" t="s">
        <v>19</v>
      </c>
      <c r="D284" s="1006" t="s">
        <v>19</v>
      </c>
      <c r="E284" s="534" t="s">
        <v>19</v>
      </c>
      <c r="F284" s="1006" t="s">
        <v>19</v>
      </c>
      <c r="G284" s="1190">
        <f>+K284+AI284</f>
        <v>0</v>
      </c>
      <c r="H284" s="1191">
        <f>+L284+AJ284</f>
        <v>0</v>
      </c>
      <c r="I284" s="1191">
        <f>+M284+AK284</f>
        <v>0</v>
      </c>
      <c r="J284" s="1860" t="str">
        <f t="shared" si="898"/>
        <v>-</v>
      </c>
      <c r="K284" s="1190">
        <f>+O284+S284+W284+AA284+AE284</f>
        <v>0</v>
      </c>
      <c r="L284" s="1191">
        <f>+P284+T284+X284+AB284+AF284</f>
        <v>0</v>
      </c>
      <c r="M284" s="1191">
        <f>+Q284+U284+Y284+AC284+AG284</f>
        <v>0</v>
      </c>
      <c r="N284" s="1860" t="str">
        <f t="shared" si="900"/>
        <v>-</v>
      </c>
      <c r="O284" s="515"/>
      <c r="P284" s="514"/>
      <c r="Q284" s="514"/>
      <c r="R284" s="1458" t="str">
        <f t="shared" si="901"/>
        <v>-</v>
      </c>
      <c r="S284" s="515"/>
      <c r="T284" s="514"/>
      <c r="U284" s="514"/>
      <c r="V284" s="1458" t="str">
        <f t="shared" si="902"/>
        <v>-</v>
      </c>
      <c r="W284" s="515"/>
      <c r="X284" s="514"/>
      <c r="Y284" s="514"/>
      <c r="Z284" s="1458" t="str">
        <f t="shared" si="903"/>
        <v>-</v>
      </c>
      <c r="AA284" s="515"/>
      <c r="AB284" s="514"/>
      <c r="AC284" s="514"/>
      <c r="AD284" s="1458" t="str">
        <f t="shared" si="904"/>
        <v>-</v>
      </c>
      <c r="AE284" s="515"/>
      <c r="AF284" s="514"/>
      <c r="AG284" s="514"/>
      <c r="AH284" s="1458" t="str">
        <f t="shared" si="905"/>
        <v>-</v>
      </c>
      <c r="AI284" s="1190">
        <f>+AM284+AQ284+AU284</f>
        <v>0</v>
      </c>
      <c r="AJ284" s="1191">
        <f>+AN284+AR284+AV284</f>
        <v>0</v>
      </c>
      <c r="AK284" s="1191">
        <f>+AO284+AS284+AW284</f>
        <v>0</v>
      </c>
      <c r="AL284" s="1860" t="str">
        <f t="shared" si="907"/>
        <v>-</v>
      </c>
      <c r="AM284" s="515"/>
      <c r="AN284" s="514"/>
      <c r="AO284" s="514"/>
      <c r="AP284" s="1458" t="str">
        <f t="shared" si="908"/>
        <v>-</v>
      </c>
      <c r="AQ284" s="515"/>
      <c r="AR284" s="514"/>
      <c r="AS284" s="514"/>
      <c r="AT284" s="1458" t="str">
        <f t="shared" si="909"/>
        <v>-</v>
      </c>
      <c r="AU284" s="515"/>
      <c r="AV284" s="514"/>
      <c r="AW284" s="514"/>
      <c r="AX284" s="1458" t="str">
        <f t="shared" si="910"/>
        <v>-</v>
      </c>
      <c r="AY284" s="509"/>
      <c r="AZ284" s="516"/>
      <c r="BA284" s="516"/>
      <c r="BB284" s="516"/>
    </row>
    <row r="285" spans="1:54" s="507" customFormat="1" ht="12.75" customHeight="1" thickBot="1">
      <c r="A285" s="894" t="s">
        <v>803</v>
      </c>
      <c r="B285" s="1204"/>
      <c r="C285" s="1321" t="s">
        <v>419</v>
      </c>
      <c r="D285" s="1322"/>
      <c r="E285" s="1322"/>
      <c r="F285" s="1323"/>
      <c r="G285" s="538">
        <f>SUM(G284)</f>
        <v>0</v>
      </c>
      <c r="H285" s="539">
        <f>SUM(H284)</f>
        <v>0</v>
      </c>
      <c r="I285" s="539">
        <f>SUM(I284)</f>
        <v>0</v>
      </c>
      <c r="J285" s="1459" t="str">
        <f t="shared" si="898"/>
        <v>-</v>
      </c>
      <c r="K285" s="538">
        <f t="shared" ref="K285" si="923">SUM(K284)</f>
        <v>0</v>
      </c>
      <c r="L285" s="539">
        <f t="shared" ref="L285:M285" si="924">SUM(L284)</f>
        <v>0</v>
      </c>
      <c r="M285" s="539">
        <f t="shared" si="924"/>
        <v>0</v>
      </c>
      <c r="N285" s="1459" t="str">
        <f t="shared" si="900"/>
        <v>-</v>
      </c>
      <c r="O285" s="519">
        <f t="shared" ref="N285:AV285" si="925">SUM(O284)</f>
        <v>0</v>
      </c>
      <c r="P285" s="368">
        <f t="shared" si="925"/>
        <v>0</v>
      </c>
      <c r="Q285" s="368">
        <f t="shared" ref="P285:R285" si="926">SUM(Q284)</f>
        <v>0</v>
      </c>
      <c r="R285" s="1459" t="str">
        <f t="shared" si="901"/>
        <v>-</v>
      </c>
      <c r="S285" s="519">
        <f t="shared" si="925"/>
        <v>0</v>
      </c>
      <c r="T285" s="368">
        <f t="shared" si="925"/>
        <v>0</v>
      </c>
      <c r="U285" s="368">
        <f t="shared" ref="T285:V285" si="927">SUM(U284)</f>
        <v>0</v>
      </c>
      <c r="V285" s="1459" t="str">
        <f t="shared" si="902"/>
        <v>-</v>
      </c>
      <c r="W285" s="519">
        <f t="shared" si="925"/>
        <v>0</v>
      </c>
      <c r="X285" s="368">
        <f t="shared" si="925"/>
        <v>0</v>
      </c>
      <c r="Y285" s="368">
        <f t="shared" ref="X285:Z285" si="928">SUM(Y284)</f>
        <v>0</v>
      </c>
      <c r="Z285" s="1459" t="str">
        <f t="shared" si="903"/>
        <v>-</v>
      </c>
      <c r="AA285" s="519">
        <f t="shared" si="925"/>
        <v>0</v>
      </c>
      <c r="AB285" s="368">
        <f t="shared" si="925"/>
        <v>0</v>
      </c>
      <c r="AC285" s="368">
        <f t="shared" ref="AB285:AD285" si="929">SUM(AC284)</f>
        <v>0</v>
      </c>
      <c r="AD285" s="1459" t="str">
        <f t="shared" si="904"/>
        <v>-</v>
      </c>
      <c r="AE285" s="519">
        <f t="shared" si="925"/>
        <v>0</v>
      </c>
      <c r="AF285" s="368">
        <f t="shared" si="925"/>
        <v>0</v>
      </c>
      <c r="AG285" s="368">
        <f t="shared" ref="AF285:AH285" si="930">SUM(AG284)</f>
        <v>0</v>
      </c>
      <c r="AH285" s="1459" t="str">
        <f t="shared" si="905"/>
        <v>-</v>
      </c>
      <c r="AI285" s="538">
        <f t="shared" si="925"/>
        <v>0</v>
      </c>
      <c r="AJ285" s="539">
        <f t="shared" ref="AJ285:AK285" si="931">SUM(AJ284)</f>
        <v>0</v>
      </c>
      <c r="AK285" s="539">
        <f t="shared" si="931"/>
        <v>0</v>
      </c>
      <c r="AL285" s="1459" t="str">
        <f t="shared" si="907"/>
        <v>-</v>
      </c>
      <c r="AM285" s="519">
        <f t="shared" si="925"/>
        <v>0</v>
      </c>
      <c r="AN285" s="368">
        <f t="shared" si="925"/>
        <v>0</v>
      </c>
      <c r="AO285" s="368">
        <f t="shared" ref="AN285:AP285" si="932">SUM(AO284)</f>
        <v>0</v>
      </c>
      <c r="AP285" s="1459" t="str">
        <f t="shared" si="908"/>
        <v>-</v>
      </c>
      <c r="AQ285" s="519">
        <f t="shared" si="925"/>
        <v>0</v>
      </c>
      <c r="AR285" s="368">
        <f t="shared" si="925"/>
        <v>0</v>
      </c>
      <c r="AS285" s="368">
        <f t="shared" ref="AR285:AT285" si="933">SUM(AS284)</f>
        <v>0</v>
      </c>
      <c r="AT285" s="1459" t="str">
        <f t="shared" si="909"/>
        <v>-</v>
      </c>
      <c r="AU285" s="519">
        <f t="shared" si="925"/>
        <v>0</v>
      </c>
      <c r="AV285" s="368">
        <f t="shared" si="925"/>
        <v>0</v>
      </c>
      <c r="AW285" s="368">
        <f t="shared" ref="AV285:AX285" si="934">SUM(AW284)</f>
        <v>0</v>
      </c>
      <c r="AX285" s="1459" t="str">
        <f t="shared" si="910"/>
        <v>-</v>
      </c>
      <c r="AY285" s="510"/>
      <c r="AZ285" s="516"/>
      <c r="BA285" s="516"/>
      <c r="BB285" s="516"/>
    </row>
    <row r="286" spans="1:54" ht="12.75" customHeight="1" thickBot="1">
      <c r="A286" s="554">
        <f>+A284+1</f>
        <v>104</v>
      </c>
      <c r="B286" s="1024">
        <v>23</v>
      </c>
      <c r="C286" s="439" t="s">
        <v>19</v>
      </c>
      <c r="D286" s="1006" t="s">
        <v>19</v>
      </c>
      <c r="E286" s="534" t="s">
        <v>19</v>
      </c>
      <c r="F286" s="1006" t="s">
        <v>19</v>
      </c>
      <c r="G286" s="1190">
        <f>+K286+AI286</f>
        <v>0</v>
      </c>
      <c r="H286" s="1191">
        <f>+L286+AJ286</f>
        <v>0</v>
      </c>
      <c r="I286" s="1191">
        <f>+M286+AK286</f>
        <v>0</v>
      </c>
      <c r="J286" s="1860" t="str">
        <f t="shared" si="898"/>
        <v>-</v>
      </c>
      <c r="K286" s="1190">
        <f>+O286+S286+W286+AA286+AE286</f>
        <v>0</v>
      </c>
      <c r="L286" s="1191">
        <f>+P286+T286+X286+AB286+AF286</f>
        <v>0</v>
      </c>
      <c r="M286" s="1191">
        <f>+Q286+U286+Y286+AC286+AG286</f>
        <v>0</v>
      </c>
      <c r="N286" s="1860" t="str">
        <f t="shared" si="900"/>
        <v>-</v>
      </c>
      <c r="O286" s="515"/>
      <c r="P286" s="514"/>
      <c r="Q286" s="514"/>
      <c r="R286" s="1458" t="str">
        <f t="shared" si="901"/>
        <v>-</v>
      </c>
      <c r="S286" s="515"/>
      <c r="T286" s="514"/>
      <c r="U286" s="514"/>
      <c r="V286" s="1458" t="str">
        <f t="shared" si="902"/>
        <v>-</v>
      </c>
      <c r="W286" s="515"/>
      <c r="X286" s="514"/>
      <c r="Y286" s="514"/>
      <c r="Z286" s="1458" t="str">
        <f t="shared" si="903"/>
        <v>-</v>
      </c>
      <c r="AA286" s="515"/>
      <c r="AB286" s="514"/>
      <c r="AC286" s="514"/>
      <c r="AD286" s="1458" t="str">
        <f t="shared" si="904"/>
        <v>-</v>
      </c>
      <c r="AE286" s="515"/>
      <c r="AF286" s="514"/>
      <c r="AG286" s="514"/>
      <c r="AH286" s="1458" t="str">
        <f t="shared" si="905"/>
        <v>-</v>
      </c>
      <c r="AI286" s="1190">
        <f>+AM286+AQ286+AU286</f>
        <v>0</v>
      </c>
      <c r="AJ286" s="1191">
        <f>+AN286+AR286+AV286</f>
        <v>0</v>
      </c>
      <c r="AK286" s="1191">
        <f>+AO286+AS286+AW286</f>
        <v>0</v>
      </c>
      <c r="AL286" s="1860" t="str">
        <f t="shared" si="907"/>
        <v>-</v>
      </c>
      <c r="AM286" s="515"/>
      <c r="AN286" s="514"/>
      <c r="AO286" s="514"/>
      <c r="AP286" s="1458" t="str">
        <f t="shared" si="908"/>
        <v>-</v>
      </c>
      <c r="AQ286" s="515"/>
      <c r="AR286" s="514"/>
      <c r="AS286" s="514"/>
      <c r="AT286" s="1458" t="str">
        <f t="shared" si="909"/>
        <v>-</v>
      </c>
      <c r="AU286" s="515"/>
      <c r="AV286" s="514"/>
      <c r="AW286" s="514"/>
      <c r="AX286" s="1458" t="str">
        <f t="shared" si="910"/>
        <v>-</v>
      </c>
      <c r="AY286" s="509"/>
      <c r="AZ286" s="516"/>
      <c r="BA286" s="516"/>
      <c r="BB286" s="516"/>
    </row>
    <row r="287" spans="1:54" s="507" customFormat="1" ht="12.75" customHeight="1" thickBot="1">
      <c r="A287" s="548" t="s">
        <v>804</v>
      </c>
      <c r="B287" s="1204"/>
      <c r="C287" s="1321" t="s">
        <v>821</v>
      </c>
      <c r="D287" s="1322"/>
      <c r="E287" s="1322"/>
      <c r="F287" s="1323"/>
      <c r="G287" s="538">
        <f>SUM(G286)</f>
        <v>0</v>
      </c>
      <c r="H287" s="539">
        <f>SUM(H286)</f>
        <v>0</v>
      </c>
      <c r="I287" s="539">
        <f>SUM(I286)</f>
        <v>0</v>
      </c>
      <c r="J287" s="1459" t="str">
        <f t="shared" si="898"/>
        <v>-</v>
      </c>
      <c r="K287" s="538">
        <f t="shared" ref="K287" si="935">SUM(K286)</f>
        <v>0</v>
      </c>
      <c r="L287" s="539">
        <f t="shared" ref="L287:M287" si="936">SUM(L286)</f>
        <v>0</v>
      </c>
      <c r="M287" s="539">
        <f t="shared" si="936"/>
        <v>0</v>
      </c>
      <c r="N287" s="1459" t="str">
        <f t="shared" si="900"/>
        <v>-</v>
      </c>
      <c r="O287" s="519">
        <f t="shared" ref="N287:AV287" si="937">SUM(O286)</f>
        <v>0</v>
      </c>
      <c r="P287" s="368">
        <f t="shared" si="937"/>
        <v>0</v>
      </c>
      <c r="Q287" s="368">
        <f t="shared" ref="P287:R287" si="938">SUM(Q286)</f>
        <v>0</v>
      </c>
      <c r="R287" s="1459" t="str">
        <f t="shared" si="901"/>
        <v>-</v>
      </c>
      <c r="S287" s="519">
        <f t="shared" si="937"/>
        <v>0</v>
      </c>
      <c r="T287" s="368">
        <f t="shared" si="937"/>
        <v>0</v>
      </c>
      <c r="U287" s="368">
        <f t="shared" ref="T287:V287" si="939">SUM(U286)</f>
        <v>0</v>
      </c>
      <c r="V287" s="1459" t="str">
        <f t="shared" si="902"/>
        <v>-</v>
      </c>
      <c r="W287" s="519">
        <f t="shared" si="937"/>
        <v>0</v>
      </c>
      <c r="X287" s="368">
        <f t="shared" si="937"/>
        <v>0</v>
      </c>
      <c r="Y287" s="368">
        <f t="shared" ref="X287:Z287" si="940">SUM(Y286)</f>
        <v>0</v>
      </c>
      <c r="Z287" s="1459" t="str">
        <f t="shared" si="903"/>
        <v>-</v>
      </c>
      <c r="AA287" s="519">
        <f t="shared" si="937"/>
        <v>0</v>
      </c>
      <c r="AB287" s="368">
        <f t="shared" si="937"/>
        <v>0</v>
      </c>
      <c r="AC287" s="368">
        <f t="shared" ref="AB287:AD287" si="941">SUM(AC286)</f>
        <v>0</v>
      </c>
      <c r="AD287" s="1459" t="str">
        <f t="shared" si="904"/>
        <v>-</v>
      </c>
      <c r="AE287" s="519">
        <f t="shared" si="937"/>
        <v>0</v>
      </c>
      <c r="AF287" s="368">
        <f t="shared" si="937"/>
        <v>0</v>
      </c>
      <c r="AG287" s="368">
        <f t="shared" ref="AF287:AH287" si="942">SUM(AG286)</f>
        <v>0</v>
      </c>
      <c r="AH287" s="1459" t="str">
        <f t="shared" si="905"/>
        <v>-</v>
      </c>
      <c r="AI287" s="538">
        <f t="shared" si="937"/>
        <v>0</v>
      </c>
      <c r="AJ287" s="539">
        <f t="shared" ref="AJ287:AK287" si="943">SUM(AJ286)</f>
        <v>0</v>
      </c>
      <c r="AK287" s="539">
        <f t="shared" si="943"/>
        <v>0</v>
      </c>
      <c r="AL287" s="1459" t="str">
        <f t="shared" si="907"/>
        <v>-</v>
      </c>
      <c r="AM287" s="519">
        <f t="shared" si="937"/>
        <v>0</v>
      </c>
      <c r="AN287" s="368">
        <f t="shared" si="937"/>
        <v>0</v>
      </c>
      <c r="AO287" s="368">
        <f t="shared" ref="AN287:AP287" si="944">SUM(AO286)</f>
        <v>0</v>
      </c>
      <c r="AP287" s="1459" t="str">
        <f t="shared" si="908"/>
        <v>-</v>
      </c>
      <c r="AQ287" s="519">
        <f t="shared" si="937"/>
        <v>0</v>
      </c>
      <c r="AR287" s="368">
        <f t="shared" si="937"/>
        <v>0</v>
      </c>
      <c r="AS287" s="368">
        <f t="shared" ref="AR287:AT287" si="945">SUM(AS286)</f>
        <v>0</v>
      </c>
      <c r="AT287" s="1459" t="str">
        <f t="shared" si="909"/>
        <v>-</v>
      </c>
      <c r="AU287" s="519">
        <f t="shared" si="937"/>
        <v>0</v>
      </c>
      <c r="AV287" s="368">
        <f t="shared" si="937"/>
        <v>0</v>
      </c>
      <c r="AW287" s="368">
        <f t="shared" ref="AV287:AX287" si="946">SUM(AW286)</f>
        <v>0</v>
      </c>
      <c r="AX287" s="1459" t="str">
        <f t="shared" si="910"/>
        <v>-</v>
      </c>
      <c r="AY287" s="510"/>
      <c r="AZ287" s="516"/>
      <c r="BA287" s="516"/>
      <c r="BB287" s="516"/>
    </row>
    <row r="288" spans="1:54" s="507" customFormat="1" ht="12.75" customHeight="1" thickBot="1">
      <c r="A288" s="549" t="s">
        <v>21</v>
      </c>
      <c r="B288" s="1021"/>
      <c r="C288" s="1324" t="s">
        <v>420</v>
      </c>
      <c r="D288" s="1325"/>
      <c r="E288" s="1325"/>
      <c r="F288" s="1326"/>
      <c r="G288" s="521">
        <f>+G283+G285+G287</f>
        <v>387834</v>
      </c>
      <c r="H288" s="522">
        <f>+H283+H285+H287</f>
        <v>375145</v>
      </c>
      <c r="I288" s="522">
        <f>+I283+I285+I287</f>
        <v>363939</v>
      </c>
      <c r="J288" s="1869">
        <f t="shared" si="898"/>
        <v>0.97012888349838067</v>
      </c>
      <c r="K288" s="521">
        <f t="shared" ref="K288" si="947">+K283+K285+K287</f>
        <v>386834</v>
      </c>
      <c r="L288" s="522">
        <f t="shared" ref="L288:M288" si="948">+L283+L285+L287</f>
        <v>374826</v>
      </c>
      <c r="M288" s="522">
        <f t="shared" si="948"/>
        <v>363620</v>
      </c>
      <c r="N288" s="1869">
        <f t="shared" si="900"/>
        <v>0.97010346133939485</v>
      </c>
      <c r="O288" s="521">
        <f t="shared" ref="N288:AV288" si="949">+O283+O285+O287</f>
        <v>220782</v>
      </c>
      <c r="P288" s="532">
        <f t="shared" si="949"/>
        <v>212628</v>
      </c>
      <c r="Q288" s="532">
        <f t="shared" ref="P288:R288" si="950">+Q283+Q285+Q287</f>
        <v>212628</v>
      </c>
      <c r="R288" s="1869">
        <f t="shared" si="901"/>
        <v>1</v>
      </c>
      <c r="S288" s="521">
        <f t="shared" si="949"/>
        <v>47493</v>
      </c>
      <c r="T288" s="532">
        <f t="shared" si="949"/>
        <v>45752</v>
      </c>
      <c r="U288" s="532">
        <f t="shared" ref="T288:V288" si="951">+U283+U285+U287</f>
        <v>44925</v>
      </c>
      <c r="V288" s="1869">
        <f t="shared" si="902"/>
        <v>0.9819242874628431</v>
      </c>
      <c r="W288" s="521">
        <f t="shared" si="949"/>
        <v>118559</v>
      </c>
      <c r="X288" s="532">
        <f t="shared" si="949"/>
        <v>116373</v>
      </c>
      <c r="Y288" s="532">
        <f t="shared" ref="X288:Z288" si="952">+Y283+Y285+Y287</f>
        <v>105994</v>
      </c>
      <c r="Z288" s="1869">
        <f t="shared" si="903"/>
        <v>0.9108126455449288</v>
      </c>
      <c r="AA288" s="521">
        <f t="shared" si="949"/>
        <v>0</v>
      </c>
      <c r="AB288" s="532">
        <f t="shared" si="949"/>
        <v>0</v>
      </c>
      <c r="AC288" s="532">
        <f t="shared" ref="AB288:AD288" si="953">+AC283+AC285+AC287</f>
        <v>0</v>
      </c>
      <c r="AD288" s="1869" t="str">
        <f t="shared" si="904"/>
        <v>-</v>
      </c>
      <c r="AE288" s="521">
        <f t="shared" si="949"/>
        <v>0</v>
      </c>
      <c r="AF288" s="532">
        <f t="shared" si="949"/>
        <v>73</v>
      </c>
      <c r="AG288" s="532">
        <f t="shared" ref="AF288:AH288" si="954">+AG283+AG285+AG287</f>
        <v>73</v>
      </c>
      <c r="AH288" s="1869">
        <f t="shared" si="905"/>
        <v>1</v>
      </c>
      <c r="AI288" s="521">
        <f t="shared" si="949"/>
        <v>1000</v>
      </c>
      <c r="AJ288" s="522">
        <f t="shared" ref="AJ288:AK288" si="955">+AJ283+AJ285+AJ287</f>
        <v>319</v>
      </c>
      <c r="AK288" s="522">
        <f t="shared" si="955"/>
        <v>319</v>
      </c>
      <c r="AL288" s="1869">
        <f t="shared" si="907"/>
        <v>1</v>
      </c>
      <c r="AM288" s="521">
        <f t="shared" si="949"/>
        <v>1000</v>
      </c>
      <c r="AN288" s="532">
        <f t="shared" si="949"/>
        <v>319</v>
      </c>
      <c r="AO288" s="532">
        <f t="shared" ref="AN288:AP288" si="956">+AO283+AO285+AO287</f>
        <v>319</v>
      </c>
      <c r="AP288" s="1869">
        <f t="shared" si="908"/>
        <v>1</v>
      </c>
      <c r="AQ288" s="521">
        <f t="shared" si="949"/>
        <v>0</v>
      </c>
      <c r="AR288" s="532">
        <f t="shared" si="949"/>
        <v>0</v>
      </c>
      <c r="AS288" s="532">
        <f t="shared" ref="AR288:AT288" si="957">+AS283+AS285+AS287</f>
        <v>0</v>
      </c>
      <c r="AT288" s="1869" t="str">
        <f t="shared" si="909"/>
        <v>-</v>
      </c>
      <c r="AU288" s="521">
        <f t="shared" si="949"/>
        <v>0</v>
      </c>
      <c r="AV288" s="532">
        <f t="shared" si="949"/>
        <v>0</v>
      </c>
      <c r="AW288" s="532">
        <f t="shared" ref="AV288:AX288" si="958">+AW283+AW285+AW287</f>
        <v>0</v>
      </c>
      <c r="AX288" s="1869" t="str">
        <f t="shared" si="910"/>
        <v>-</v>
      </c>
      <c r="AY288" s="838"/>
      <c r="AZ288" s="516"/>
      <c r="BA288" s="516"/>
      <c r="BB288" s="516"/>
    </row>
    <row r="289" spans="1:54" s="507" customFormat="1" ht="12.75" customHeight="1" thickBot="1">
      <c r="A289" s="548"/>
      <c r="B289" s="1211"/>
      <c r="C289" s="356"/>
      <c r="D289" s="547"/>
      <c r="E289" s="518"/>
      <c r="F289" s="517"/>
      <c r="G289" s="538"/>
      <c r="H289" s="539"/>
      <c r="I289" s="539"/>
      <c r="J289" s="437"/>
      <c r="K289" s="538"/>
      <c r="L289" s="539"/>
      <c r="M289" s="539"/>
      <c r="N289" s="437"/>
      <c r="O289" s="529"/>
      <c r="P289" s="368"/>
      <c r="Q289" s="368"/>
      <c r="R289" s="437"/>
      <c r="S289" s="529"/>
      <c r="T289" s="368"/>
      <c r="U289" s="368"/>
      <c r="V289" s="437"/>
      <c r="W289" s="529"/>
      <c r="X289" s="368"/>
      <c r="Y289" s="368"/>
      <c r="Z289" s="437"/>
      <c r="AA289" s="529"/>
      <c r="AB289" s="368"/>
      <c r="AC289" s="368"/>
      <c r="AD289" s="437"/>
      <c r="AE289" s="529"/>
      <c r="AF289" s="368"/>
      <c r="AG289" s="368"/>
      <c r="AH289" s="437"/>
      <c r="AI289" s="538"/>
      <c r="AJ289" s="539"/>
      <c r="AK289" s="539"/>
      <c r="AL289" s="437"/>
      <c r="AM289" s="529"/>
      <c r="AN289" s="368"/>
      <c r="AO289" s="368"/>
      <c r="AP289" s="437"/>
      <c r="AQ289" s="529"/>
      <c r="AR289" s="368"/>
      <c r="AS289" s="368"/>
      <c r="AT289" s="437"/>
      <c r="AU289" s="529"/>
      <c r="AV289" s="368"/>
      <c r="AW289" s="368"/>
      <c r="AX289" s="437"/>
      <c r="AY289" s="510"/>
      <c r="AZ289" s="302"/>
      <c r="BA289" s="302"/>
      <c r="BB289" s="302"/>
    </row>
    <row r="290" spans="1:54">
      <c r="A290" s="552">
        <f>+A286+1</f>
        <v>105</v>
      </c>
      <c r="B290" s="1019">
        <v>24</v>
      </c>
      <c r="C290" s="425" t="s">
        <v>1189</v>
      </c>
      <c r="D290" s="979" t="s">
        <v>1190</v>
      </c>
      <c r="E290" s="974" t="s">
        <v>1197</v>
      </c>
      <c r="F290" s="1005" t="s">
        <v>1190</v>
      </c>
      <c r="G290" s="1184">
        <f t="shared" ref="G290:J294" si="959">+K290+AI290</f>
        <v>1365</v>
      </c>
      <c r="H290" s="1185">
        <f t="shared" si="959"/>
        <v>1749</v>
      </c>
      <c r="I290" s="1185">
        <f t="shared" si="959"/>
        <v>1749</v>
      </c>
      <c r="J290" s="1860">
        <f t="shared" ref="J290:J300" si="960">IF(ISERROR(I290/H290),"-",I290/H290)</f>
        <v>1</v>
      </c>
      <c r="K290" s="1184">
        <f t="shared" ref="K290:N294" si="961">+O290+S290+W290+AA290+AE290</f>
        <v>1365</v>
      </c>
      <c r="L290" s="1185">
        <f t="shared" si="961"/>
        <v>1749</v>
      </c>
      <c r="M290" s="1185">
        <f t="shared" si="961"/>
        <v>1749</v>
      </c>
      <c r="N290" s="1860">
        <f t="shared" ref="N290:N300" si="962">IF(ISERROR(M290/L290),"-",M290/L290)</f>
        <v>1</v>
      </c>
      <c r="O290" s="1009"/>
      <c r="P290" s="1010"/>
      <c r="Q290" s="1010"/>
      <c r="R290" s="1458" t="str">
        <f t="shared" ref="R290:R300" si="963">IF(ISERROR(Q290/P290),"-",Q290/P290)</f>
        <v>-</v>
      </c>
      <c r="S290" s="1009"/>
      <c r="T290" s="1010"/>
      <c r="U290" s="1010"/>
      <c r="V290" s="1458" t="str">
        <f t="shared" ref="V290:V300" si="964">IF(ISERROR(U290/T290),"-",U290/T290)</f>
        <v>-</v>
      </c>
      <c r="W290" s="1009">
        <v>1365</v>
      </c>
      <c r="X290" s="1010">
        <v>1749</v>
      </c>
      <c r="Y290" s="1010">
        <v>1749</v>
      </c>
      <c r="Z290" s="1458">
        <f t="shared" ref="Z290:Z300" si="965">IF(ISERROR(Y290/X290),"-",Y290/X290)</f>
        <v>1</v>
      </c>
      <c r="AA290" s="1009"/>
      <c r="AB290" s="1010"/>
      <c r="AC290" s="1010"/>
      <c r="AD290" s="1458" t="str">
        <f t="shared" ref="AD290:AD300" si="966">IF(ISERROR(AC290/AB290),"-",AC290/AB290)</f>
        <v>-</v>
      </c>
      <c r="AE290" s="1009"/>
      <c r="AF290" s="1010"/>
      <c r="AG290" s="1010"/>
      <c r="AH290" s="1458" t="str">
        <f t="shared" ref="AH290:AH300" si="967">IF(ISERROR(AG290/AF290),"-",AG290/AF290)</f>
        <v>-</v>
      </c>
      <c r="AI290" s="1184">
        <f t="shared" ref="AI290:AL294" si="968">+AM290+AQ290+AU290</f>
        <v>0</v>
      </c>
      <c r="AJ290" s="1185">
        <f t="shared" si="968"/>
        <v>0</v>
      </c>
      <c r="AK290" s="1185">
        <f t="shared" si="968"/>
        <v>0</v>
      </c>
      <c r="AL290" s="1860" t="str">
        <f t="shared" ref="AL290:AL300" si="969">IF(ISERROR(AK290/AJ290),"-",AK290/AJ290)</f>
        <v>-</v>
      </c>
      <c r="AM290" s="1009"/>
      <c r="AN290" s="1010"/>
      <c r="AO290" s="1010"/>
      <c r="AP290" s="1458" t="str">
        <f t="shared" ref="AP290:AP300" si="970">IF(ISERROR(AO290/AN290),"-",AO290/AN290)</f>
        <v>-</v>
      </c>
      <c r="AQ290" s="1009"/>
      <c r="AR290" s="1010"/>
      <c r="AS290" s="1010"/>
      <c r="AT290" s="1458" t="str">
        <f t="shared" ref="AT290:AT300" si="971">IF(ISERROR(AS290/AR290),"-",AS290/AR290)</f>
        <v>-</v>
      </c>
      <c r="AU290" s="1009"/>
      <c r="AV290" s="1010"/>
      <c r="AW290" s="1010"/>
      <c r="AX290" s="1458" t="str">
        <f t="shared" ref="AX290:AX300" si="972">IF(ISERROR(AW290/AV290),"-",AW290/AV290)</f>
        <v>-</v>
      </c>
      <c r="AY290" s="509"/>
    </row>
    <row r="291" spans="1:54">
      <c r="A291" s="552">
        <f>+A290+1</f>
        <v>106</v>
      </c>
      <c r="B291" s="1019">
        <v>25</v>
      </c>
      <c r="C291" s="425" t="s">
        <v>1192</v>
      </c>
      <c r="D291" s="979" t="s">
        <v>1191</v>
      </c>
      <c r="E291" s="974" t="s">
        <v>1198</v>
      </c>
      <c r="F291" s="1005" t="s">
        <v>1191</v>
      </c>
      <c r="G291" s="1184">
        <f t="shared" si="959"/>
        <v>16690</v>
      </c>
      <c r="H291" s="1185">
        <f t="shared" si="959"/>
        <v>20578</v>
      </c>
      <c r="I291" s="1185">
        <f t="shared" si="959"/>
        <v>19100</v>
      </c>
      <c r="J291" s="1860">
        <f t="shared" si="960"/>
        <v>0.9281757216444747</v>
      </c>
      <c r="K291" s="1184">
        <f t="shared" si="961"/>
        <v>16690</v>
      </c>
      <c r="L291" s="1185">
        <f t="shared" si="961"/>
        <v>20578</v>
      </c>
      <c r="M291" s="1185">
        <f t="shared" si="961"/>
        <v>19100</v>
      </c>
      <c r="N291" s="1860">
        <f t="shared" si="962"/>
        <v>0.9281757216444747</v>
      </c>
      <c r="O291" s="1009">
        <v>9978</v>
      </c>
      <c r="P291" s="1010">
        <v>12137</v>
      </c>
      <c r="Q291" s="1010">
        <v>12137</v>
      </c>
      <c r="R291" s="1458">
        <f t="shared" si="963"/>
        <v>1</v>
      </c>
      <c r="S291" s="1013">
        <v>1890</v>
      </c>
      <c r="T291" s="1010">
        <v>2303</v>
      </c>
      <c r="U291" s="1010">
        <v>2303</v>
      </c>
      <c r="V291" s="1458">
        <f t="shared" si="964"/>
        <v>1</v>
      </c>
      <c r="W291" s="1013">
        <v>4822</v>
      </c>
      <c r="X291" s="1010">
        <f>4660+1478</f>
        <v>6138</v>
      </c>
      <c r="Y291" s="1010">
        <v>4660</v>
      </c>
      <c r="Z291" s="1458">
        <f t="shared" si="965"/>
        <v>0.75920495275333988</v>
      </c>
      <c r="AA291" s="1013"/>
      <c r="AB291" s="1010"/>
      <c r="AC291" s="1010"/>
      <c r="AD291" s="1458" t="str">
        <f t="shared" si="966"/>
        <v>-</v>
      </c>
      <c r="AE291" s="1013"/>
      <c r="AF291" s="1010"/>
      <c r="AG291" s="1010"/>
      <c r="AH291" s="1458" t="str">
        <f t="shared" si="967"/>
        <v>-</v>
      </c>
      <c r="AI291" s="1184">
        <f t="shared" si="968"/>
        <v>0</v>
      </c>
      <c r="AJ291" s="1185">
        <f t="shared" si="968"/>
        <v>0</v>
      </c>
      <c r="AK291" s="1185">
        <f t="shared" si="968"/>
        <v>0</v>
      </c>
      <c r="AL291" s="1860" t="str">
        <f t="shared" si="969"/>
        <v>-</v>
      </c>
      <c r="AM291" s="1013"/>
      <c r="AN291" s="1010"/>
      <c r="AO291" s="1010"/>
      <c r="AP291" s="1458" t="str">
        <f t="shared" si="970"/>
        <v>-</v>
      </c>
      <c r="AQ291" s="1013"/>
      <c r="AR291" s="1010"/>
      <c r="AS291" s="1010"/>
      <c r="AT291" s="1458" t="str">
        <f t="shared" si="971"/>
        <v>-</v>
      </c>
      <c r="AU291" s="1013"/>
      <c r="AV291" s="1010"/>
      <c r="AW291" s="1010"/>
      <c r="AX291" s="1458" t="str">
        <f t="shared" si="972"/>
        <v>-</v>
      </c>
      <c r="AY291" s="509"/>
    </row>
    <row r="292" spans="1:54">
      <c r="A292" s="552">
        <f>+A291+1</f>
        <v>107</v>
      </c>
      <c r="B292" s="1019">
        <v>26</v>
      </c>
      <c r="C292" s="425" t="s">
        <v>1194</v>
      </c>
      <c r="D292" s="979" t="s">
        <v>1193</v>
      </c>
      <c r="E292" s="974" t="s">
        <v>1275</v>
      </c>
      <c r="F292" s="1005" t="s">
        <v>1199</v>
      </c>
      <c r="G292" s="1184">
        <f t="shared" si="959"/>
        <v>6570</v>
      </c>
      <c r="H292" s="1185">
        <f t="shared" si="959"/>
        <v>6799</v>
      </c>
      <c r="I292" s="1185">
        <f t="shared" si="959"/>
        <v>6799</v>
      </c>
      <c r="J292" s="1860">
        <f t="shared" si="960"/>
        <v>1</v>
      </c>
      <c r="K292" s="1184">
        <f t="shared" si="961"/>
        <v>6570</v>
      </c>
      <c r="L292" s="1185">
        <f t="shared" si="961"/>
        <v>6780</v>
      </c>
      <c r="M292" s="1185">
        <f t="shared" si="961"/>
        <v>6780</v>
      </c>
      <c r="N292" s="1860">
        <f t="shared" si="962"/>
        <v>1</v>
      </c>
      <c r="O292" s="1009">
        <v>3065</v>
      </c>
      <c r="P292" s="1010">
        <v>3863</v>
      </c>
      <c r="Q292" s="1010">
        <v>3863</v>
      </c>
      <c r="R292" s="1458">
        <f t="shared" si="963"/>
        <v>1</v>
      </c>
      <c r="S292" s="1013">
        <v>604</v>
      </c>
      <c r="T292" s="1010">
        <v>761</v>
      </c>
      <c r="U292" s="1010">
        <v>761</v>
      </c>
      <c r="V292" s="1458">
        <f t="shared" si="964"/>
        <v>1</v>
      </c>
      <c r="W292" s="1013">
        <v>2901</v>
      </c>
      <c r="X292" s="1010">
        <v>2156</v>
      </c>
      <c r="Y292" s="1010">
        <v>2156</v>
      </c>
      <c r="Z292" s="1458">
        <f t="shared" si="965"/>
        <v>1</v>
      </c>
      <c r="AA292" s="1013"/>
      <c r="AB292" s="1010"/>
      <c r="AC292" s="1010"/>
      <c r="AD292" s="1458" t="str">
        <f t="shared" si="966"/>
        <v>-</v>
      </c>
      <c r="AE292" s="1013"/>
      <c r="AF292" s="1010"/>
      <c r="AG292" s="1010"/>
      <c r="AH292" s="1458" t="str">
        <f t="shared" si="967"/>
        <v>-</v>
      </c>
      <c r="AI292" s="1184">
        <f t="shared" si="968"/>
        <v>0</v>
      </c>
      <c r="AJ292" s="1185">
        <f t="shared" si="968"/>
        <v>19</v>
      </c>
      <c r="AK292" s="1185">
        <f t="shared" si="968"/>
        <v>19</v>
      </c>
      <c r="AL292" s="1860">
        <f t="shared" si="969"/>
        <v>1</v>
      </c>
      <c r="AM292" s="1013"/>
      <c r="AN292" s="1010">
        <v>19</v>
      </c>
      <c r="AO292" s="1010">
        <v>19</v>
      </c>
      <c r="AP292" s="1458">
        <f t="shared" si="970"/>
        <v>1</v>
      </c>
      <c r="AQ292" s="1013"/>
      <c r="AR292" s="1010"/>
      <c r="AS292" s="1010"/>
      <c r="AT292" s="1458" t="str">
        <f t="shared" si="971"/>
        <v>-</v>
      </c>
      <c r="AU292" s="1013"/>
      <c r="AV292" s="1010"/>
      <c r="AW292" s="1010"/>
      <c r="AX292" s="1458" t="str">
        <f t="shared" si="972"/>
        <v>-</v>
      </c>
      <c r="AY292" s="509"/>
    </row>
    <row r="293" spans="1:54" s="516" customFormat="1">
      <c r="A293" s="552">
        <f>+A292+1</f>
        <v>108</v>
      </c>
      <c r="B293" s="1019">
        <v>25</v>
      </c>
      <c r="C293" s="425" t="s">
        <v>1195</v>
      </c>
      <c r="D293" s="979" t="s">
        <v>1196</v>
      </c>
      <c r="E293" s="974" t="s">
        <v>1200</v>
      </c>
      <c r="F293" s="1005" t="s">
        <v>1201</v>
      </c>
      <c r="G293" s="1184">
        <f t="shared" si="959"/>
        <v>15016</v>
      </c>
      <c r="H293" s="1185">
        <f t="shared" si="959"/>
        <v>5217</v>
      </c>
      <c r="I293" s="1185">
        <f t="shared" si="959"/>
        <v>5217</v>
      </c>
      <c r="J293" s="1860">
        <f t="shared" si="960"/>
        <v>1</v>
      </c>
      <c r="K293" s="1184">
        <f t="shared" si="961"/>
        <v>6484</v>
      </c>
      <c r="L293" s="1185">
        <f t="shared" si="961"/>
        <v>5217</v>
      </c>
      <c r="M293" s="1185">
        <f t="shared" si="961"/>
        <v>5217</v>
      </c>
      <c r="N293" s="1860">
        <f t="shared" si="962"/>
        <v>1</v>
      </c>
      <c r="O293" s="1009">
        <v>4120</v>
      </c>
      <c r="P293" s="1010">
        <v>3464</v>
      </c>
      <c r="Q293" s="1010">
        <v>3464</v>
      </c>
      <c r="R293" s="1458">
        <f t="shared" si="963"/>
        <v>1</v>
      </c>
      <c r="S293" s="1013">
        <v>810</v>
      </c>
      <c r="T293" s="1010">
        <v>666</v>
      </c>
      <c r="U293" s="1010">
        <v>666</v>
      </c>
      <c r="V293" s="1458">
        <f t="shared" si="964"/>
        <v>1</v>
      </c>
      <c r="W293" s="1013">
        <v>1554</v>
      </c>
      <c r="X293" s="1010">
        <v>1087</v>
      </c>
      <c r="Y293" s="1010">
        <v>1087</v>
      </c>
      <c r="Z293" s="1458">
        <f t="shared" si="965"/>
        <v>1</v>
      </c>
      <c r="AA293" s="1013"/>
      <c r="AB293" s="1010"/>
      <c r="AC293" s="1010"/>
      <c r="AD293" s="1458" t="str">
        <f t="shared" si="966"/>
        <v>-</v>
      </c>
      <c r="AE293" s="1013"/>
      <c r="AF293" s="1010"/>
      <c r="AG293" s="1010"/>
      <c r="AH293" s="1458" t="str">
        <f t="shared" si="967"/>
        <v>-</v>
      </c>
      <c r="AI293" s="1184">
        <f t="shared" si="968"/>
        <v>8532</v>
      </c>
      <c r="AJ293" s="1185">
        <f t="shared" si="968"/>
        <v>0</v>
      </c>
      <c r="AK293" s="1185">
        <f t="shared" si="968"/>
        <v>0</v>
      </c>
      <c r="AL293" s="1860" t="str">
        <f t="shared" si="969"/>
        <v>-</v>
      </c>
      <c r="AM293" s="1013">
        <v>6181</v>
      </c>
      <c r="AN293" s="1010"/>
      <c r="AO293" s="1010"/>
      <c r="AP293" s="1458" t="str">
        <f t="shared" si="970"/>
        <v>-</v>
      </c>
      <c r="AQ293" s="1013">
        <v>2351</v>
      </c>
      <c r="AR293" s="1010"/>
      <c r="AS293" s="1010"/>
      <c r="AT293" s="1458" t="str">
        <f t="shared" si="971"/>
        <v>-</v>
      </c>
      <c r="AU293" s="1013"/>
      <c r="AV293" s="1010"/>
      <c r="AW293" s="1010"/>
      <c r="AX293" s="1458" t="str">
        <f t="shared" si="972"/>
        <v>-</v>
      </c>
      <c r="AY293" s="509"/>
      <c r="AZ293" s="302"/>
      <c r="BA293" s="302"/>
      <c r="BB293" s="302"/>
    </row>
    <row r="294" spans="1:54" s="516" customFormat="1" ht="12.75" thickBot="1">
      <c r="A294" s="552">
        <f>+A293+1</f>
        <v>109</v>
      </c>
      <c r="B294" s="1019">
        <v>25</v>
      </c>
      <c r="C294" s="425" t="s">
        <v>1081</v>
      </c>
      <c r="D294" s="979" t="s">
        <v>1082</v>
      </c>
      <c r="E294" s="974" t="s">
        <v>1198</v>
      </c>
      <c r="F294" s="1005" t="s">
        <v>1191</v>
      </c>
      <c r="G294" s="1184">
        <f t="shared" si="959"/>
        <v>0</v>
      </c>
      <c r="H294" s="1185">
        <f t="shared" si="959"/>
        <v>116</v>
      </c>
      <c r="I294" s="1185">
        <f t="shared" si="959"/>
        <v>116</v>
      </c>
      <c r="J294" s="1860">
        <f t="shared" si="960"/>
        <v>1</v>
      </c>
      <c r="K294" s="1184">
        <f t="shared" si="961"/>
        <v>0</v>
      </c>
      <c r="L294" s="1185">
        <f t="shared" si="961"/>
        <v>116</v>
      </c>
      <c r="M294" s="1185">
        <f t="shared" si="961"/>
        <v>116</v>
      </c>
      <c r="N294" s="1860">
        <f t="shared" si="962"/>
        <v>1</v>
      </c>
      <c r="O294" s="1009"/>
      <c r="P294" s="1010"/>
      <c r="Q294" s="1010"/>
      <c r="R294" s="1458" t="str">
        <f t="shared" si="963"/>
        <v>-</v>
      </c>
      <c r="S294" s="1013"/>
      <c r="T294" s="1010"/>
      <c r="U294" s="1010"/>
      <c r="V294" s="1458" t="str">
        <f t="shared" si="964"/>
        <v>-</v>
      </c>
      <c r="W294" s="1013"/>
      <c r="X294" s="1010"/>
      <c r="Y294" s="1010"/>
      <c r="Z294" s="1458" t="str">
        <f t="shared" si="965"/>
        <v>-</v>
      </c>
      <c r="AA294" s="1013"/>
      <c r="AB294" s="1010"/>
      <c r="AC294" s="1010"/>
      <c r="AD294" s="1458" t="str">
        <f t="shared" si="966"/>
        <v>-</v>
      </c>
      <c r="AE294" s="1013"/>
      <c r="AF294" s="1010">
        <v>116</v>
      </c>
      <c r="AG294" s="1010">
        <v>116</v>
      </c>
      <c r="AH294" s="1458">
        <f t="shared" si="967"/>
        <v>1</v>
      </c>
      <c r="AI294" s="1184">
        <f t="shared" si="968"/>
        <v>0</v>
      </c>
      <c r="AJ294" s="1185">
        <f t="shared" si="968"/>
        <v>0</v>
      </c>
      <c r="AK294" s="1185">
        <f t="shared" si="968"/>
        <v>0</v>
      </c>
      <c r="AL294" s="1860" t="str">
        <f t="shared" si="969"/>
        <v>-</v>
      </c>
      <c r="AM294" s="1013"/>
      <c r="AN294" s="1010"/>
      <c r="AO294" s="1010"/>
      <c r="AP294" s="1458" t="str">
        <f t="shared" si="970"/>
        <v>-</v>
      </c>
      <c r="AQ294" s="1013"/>
      <c r="AR294" s="1010"/>
      <c r="AS294" s="1010"/>
      <c r="AT294" s="1458" t="str">
        <f t="shared" si="971"/>
        <v>-</v>
      </c>
      <c r="AU294" s="1013"/>
      <c r="AV294" s="1010"/>
      <c r="AW294" s="1010"/>
      <c r="AX294" s="1458" t="str">
        <f t="shared" si="972"/>
        <v>-</v>
      </c>
      <c r="AY294" s="509"/>
      <c r="AZ294" s="302"/>
      <c r="BA294" s="302"/>
      <c r="BB294" s="302"/>
    </row>
    <row r="295" spans="1:54" s="507" customFormat="1" ht="12.75" customHeight="1" thickBot="1">
      <c r="A295" s="548" t="s">
        <v>805</v>
      </c>
      <c r="B295" s="1204"/>
      <c r="C295" s="1321" t="s">
        <v>421</v>
      </c>
      <c r="D295" s="1322"/>
      <c r="E295" s="1322"/>
      <c r="F295" s="1323"/>
      <c r="G295" s="538">
        <f>SUM(G290:G294)</f>
        <v>39641</v>
      </c>
      <c r="H295" s="539">
        <f>SUM(H290:H294)</f>
        <v>34459</v>
      </c>
      <c r="I295" s="539">
        <f>SUM(I290:I294)</f>
        <v>32981</v>
      </c>
      <c r="J295" s="1459">
        <f t="shared" si="960"/>
        <v>0.95710844772047943</v>
      </c>
      <c r="K295" s="538">
        <f t="shared" ref="K295" si="973">SUM(K290:K294)</f>
        <v>31109</v>
      </c>
      <c r="L295" s="539">
        <f t="shared" ref="L295:M295" si="974">SUM(L290:L294)</f>
        <v>34440</v>
      </c>
      <c r="M295" s="539">
        <f t="shared" si="974"/>
        <v>32962</v>
      </c>
      <c r="N295" s="1459">
        <f t="shared" si="962"/>
        <v>0.95708478513356565</v>
      </c>
      <c r="O295" s="519">
        <f t="shared" ref="N295:AV295" si="975">SUM(O290:O294)</f>
        <v>17163</v>
      </c>
      <c r="P295" s="368">
        <f t="shared" si="975"/>
        <v>19464</v>
      </c>
      <c r="Q295" s="368">
        <f t="shared" ref="Q295:R295" si="976">SUM(Q290:Q294)</f>
        <v>19464</v>
      </c>
      <c r="R295" s="1459">
        <f t="shared" si="963"/>
        <v>1</v>
      </c>
      <c r="S295" s="519">
        <f t="shared" si="975"/>
        <v>3304</v>
      </c>
      <c r="T295" s="368">
        <f t="shared" si="975"/>
        <v>3730</v>
      </c>
      <c r="U295" s="368">
        <f t="shared" ref="U295:V295" si="977">SUM(U290:U294)</f>
        <v>3730</v>
      </c>
      <c r="V295" s="1459">
        <f t="shared" si="964"/>
        <v>1</v>
      </c>
      <c r="W295" s="519">
        <f t="shared" si="975"/>
        <v>10642</v>
      </c>
      <c r="X295" s="368">
        <f t="shared" si="975"/>
        <v>11130</v>
      </c>
      <c r="Y295" s="368">
        <f t="shared" ref="Y295:Z295" si="978">SUM(Y290:Y294)</f>
        <v>9652</v>
      </c>
      <c r="Z295" s="1459">
        <f t="shared" si="965"/>
        <v>0.8672057502246181</v>
      </c>
      <c r="AA295" s="519">
        <f t="shared" si="975"/>
        <v>0</v>
      </c>
      <c r="AB295" s="368">
        <f t="shared" si="975"/>
        <v>0</v>
      </c>
      <c r="AC295" s="368">
        <f t="shared" ref="AC295:AD295" si="979">SUM(AC290:AC294)</f>
        <v>0</v>
      </c>
      <c r="AD295" s="1459" t="str">
        <f t="shared" si="966"/>
        <v>-</v>
      </c>
      <c r="AE295" s="519">
        <f t="shared" si="975"/>
        <v>0</v>
      </c>
      <c r="AF295" s="368">
        <f t="shared" si="975"/>
        <v>116</v>
      </c>
      <c r="AG295" s="368">
        <f t="shared" ref="AG295:AH295" si="980">SUM(AG290:AG294)</f>
        <v>116</v>
      </c>
      <c r="AH295" s="1459">
        <f t="shared" si="967"/>
        <v>1</v>
      </c>
      <c r="AI295" s="538">
        <f t="shared" si="975"/>
        <v>8532</v>
      </c>
      <c r="AJ295" s="539">
        <f t="shared" ref="AJ295:AK295" si="981">SUM(AJ290:AJ294)</f>
        <v>19</v>
      </c>
      <c r="AK295" s="539">
        <f t="shared" si="981"/>
        <v>19</v>
      </c>
      <c r="AL295" s="1459">
        <f t="shared" si="969"/>
        <v>1</v>
      </c>
      <c r="AM295" s="519">
        <f t="shared" si="975"/>
        <v>6181</v>
      </c>
      <c r="AN295" s="368">
        <f t="shared" si="975"/>
        <v>19</v>
      </c>
      <c r="AO295" s="368">
        <f t="shared" ref="AO295:AP295" si="982">SUM(AO290:AO294)</f>
        <v>19</v>
      </c>
      <c r="AP295" s="1459">
        <f t="shared" si="970"/>
        <v>1</v>
      </c>
      <c r="AQ295" s="519">
        <f t="shared" si="975"/>
        <v>2351</v>
      </c>
      <c r="AR295" s="368">
        <f t="shared" si="975"/>
        <v>0</v>
      </c>
      <c r="AS295" s="368">
        <f t="shared" ref="AS295:AT295" si="983">SUM(AS290:AS294)</f>
        <v>0</v>
      </c>
      <c r="AT295" s="1459" t="str">
        <f t="shared" si="971"/>
        <v>-</v>
      </c>
      <c r="AU295" s="519">
        <f t="shared" si="975"/>
        <v>0</v>
      </c>
      <c r="AV295" s="368">
        <f t="shared" si="975"/>
        <v>0</v>
      </c>
      <c r="AW295" s="368">
        <f t="shared" ref="AW295:AX295" si="984">SUM(AW290:AW294)</f>
        <v>0</v>
      </c>
      <c r="AX295" s="1459" t="str">
        <f t="shared" si="972"/>
        <v>-</v>
      </c>
      <c r="AY295" s="510"/>
      <c r="AZ295" s="302"/>
      <c r="BA295" s="302"/>
      <c r="BB295" s="302"/>
    </row>
    <row r="296" spans="1:54" ht="12.75" customHeight="1" thickBot="1">
      <c r="A296" s="554">
        <f>A294+1</f>
        <v>110</v>
      </c>
      <c r="B296" s="1024">
        <v>27</v>
      </c>
      <c r="C296" s="439" t="s">
        <v>19</v>
      </c>
      <c r="D296" s="545" t="s">
        <v>19</v>
      </c>
      <c r="E296" s="534" t="s">
        <v>19</v>
      </c>
      <c r="F296" s="1007" t="s">
        <v>19</v>
      </c>
      <c r="G296" s="1190">
        <f>+K296+AI296</f>
        <v>0</v>
      </c>
      <c r="H296" s="1191">
        <f>+L296+AJ296</f>
        <v>0</v>
      </c>
      <c r="I296" s="1191">
        <f>+M296+AK296</f>
        <v>0</v>
      </c>
      <c r="J296" s="1860" t="str">
        <f t="shared" si="960"/>
        <v>-</v>
      </c>
      <c r="K296" s="1190">
        <f>+O296+S296+W296+AA296+AE296</f>
        <v>0</v>
      </c>
      <c r="L296" s="1191">
        <f>+P296+T296+X296+AB296+AF296</f>
        <v>0</v>
      </c>
      <c r="M296" s="1191">
        <f>+Q296+U296+Y296+AC296+AG296</f>
        <v>0</v>
      </c>
      <c r="N296" s="1860" t="str">
        <f t="shared" si="962"/>
        <v>-</v>
      </c>
      <c r="O296" s="515"/>
      <c r="P296" s="514"/>
      <c r="Q296" s="514"/>
      <c r="R296" s="1458" t="str">
        <f t="shared" si="963"/>
        <v>-</v>
      </c>
      <c r="S296" s="515"/>
      <c r="T296" s="514"/>
      <c r="U296" s="514"/>
      <c r="V296" s="1458" t="str">
        <f t="shared" si="964"/>
        <v>-</v>
      </c>
      <c r="W296" s="515"/>
      <c r="X296" s="514"/>
      <c r="Y296" s="514"/>
      <c r="Z296" s="1458" t="str">
        <f t="shared" si="965"/>
        <v>-</v>
      </c>
      <c r="AA296" s="515"/>
      <c r="AB296" s="514"/>
      <c r="AC296" s="514"/>
      <c r="AD296" s="1458" t="str">
        <f t="shared" si="966"/>
        <v>-</v>
      </c>
      <c r="AE296" s="515"/>
      <c r="AF296" s="514"/>
      <c r="AG296" s="514"/>
      <c r="AH296" s="1458" t="str">
        <f t="shared" si="967"/>
        <v>-</v>
      </c>
      <c r="AI296" s="1190">
        <f>+AM296+AQ296+AU296</f>
        <v>0</v>
      </c>
      <c r="AJ296" s="1191">
        <f>+AN296+AR296+AV296</f>
        <v>0</v>
      </c>
      <c r="AK296" s="1191">
        <f>+AO296+AS296+AW296</f>
        <v>0</v>
      </c>
      <c r="AL296" s="1860" t="str">
        <f t="shared" si="969"/>
        <v>-</v>
      </c>
      <c r="AM296" s="515"/>
      <c r="AN296" s="514"/>
      <c r="AO296" s="514"/>
      <c r="AP296" s="1458" t="str">
        <f t="shared" si="970"/>
        <v>-</v>
      </c>
      <c r="AQ296" s="515"/>
      <c r="AR296" s="514"/>
      <c r="AS296" s="514"/>
      <c r="AT296" s="1458" t="str">
        <f t="shared" si="971"/>
        <v>-</v>
      </c>
      <c r="AU296" s="515"/>
      <c r="AV296" s="514"/>
      <c r="AW296" s="514"/>
      <c r="AX296" s="1458" t="str">
        <f t="shared" si="972"/>
        <v>-</v>
      </c>
      <c r="AY296" s="509"/>
      <c r="AZ296" s="516"/>
      <c r="BA296" s="516"/>
      <c r="BB296" s="516"/>
    </row>
    <row r="297" spans="1:54" s="507" customFormat="1" ht="12.75" customHeight="1" thickBot="1">
      <c r="A297" s="548" t="s">
        <v>641</v>
      </c>
      <c r="B297" s="1204"/>
      <c r="C297" s="1321" t="s">
        <v>807</v>
      </c>
      <c r="D297" s="1322"/>
      <c r="E297" s="1322"/>
      <c r="F297" s="1323"/>
      <c r="G297" s="538">
        <f>SUM(G296)</f>
        <v>0</v>
      </c>
      <c r="H297" s="539">
        <f>SUM(H296)</f>
        <v>0</v>
      </c>
      <c r="I297" s="539">
        <f>SUM(I296)</f>
        <v>0</v>
      </c>
      <c r="J297" s="1459" t="str">
        <f t="shared" si="960"/>
        <v>-</v>
      </c>
      <c r="K297" s="538">
        <f t="shared" ref="K297" si="985">SUM(K296)</f>
        <v>0</v>
      </c>
      <c r="L297" s="539">
        <f t="shared" ref="L297:M297" si="986">SUM(L296)</f>
        <v>0</v>
      </c>
      <c r="M297" s="539">
        <f t="shared" si="986"/>
        <v>0</v>
      </c>
      <c r="N297" s="1459" t="str">
        <f t="shared" si="962"/>
        <v>-</v>
      </c>
      <c r="O297" s="519">
        <f t="shared" ref="N297:AU299" si="987">SUM(O296)</f>
        <v>0</v>
      </c>
      <c r="P297" s="368">
        <f t="shared" si="987"/>
        <v>0</v>
      </c>
      <c r="Q297" s="368">
        <f t="shared" ref="P297:R297" si="988">SUM(Q296)</f>
        <v>0</v>
      </c>
      <c r="R297" s="1459" t="str">
        <f t="shared" si="963"/>
        <v>-</v>
      </c>
      <c r="S297" s="519">
        <f t="shared" si="987"/>
        <v>0</v>
      </c>
      <c r="T297" s="368">
        <f t="shared" si="987"/>
        <v>0</v>
      </c>
      <c r="U297" s="368">
        <f t="shared" ref="T297:V297" si="989">SUM(U296)</f>
        <v>0</v>
      </c>
      <c r="V297" s="1459" t="str">
        <f t="shared" si="964"/>
        <v>-</v>
      </c>
      <c r="W297" s="519">
        <f t="shared" si="987"/>
        <v>0</v>
      </c>
      <c r="X297" s="368">
        <f t="shared" si="987"/>
        <v>0</v>
      </c>
      <c r="Y297" s="368">
        <f t="shared" ref="X297:Z297" si="990">SUM(Y296)</f>
        <v>0</v>
      </c>
      <c r="Z297" s="1459" t="str">
        <f t="shared" si="965"/>
        <v>-</v>
      </c>
      <c r="AA297" s="519">
        <f t="shared" si="987"/>
        <v>0</v>
      </c>
      <c r="AB297" s="368">
        <f t="shared" si="987"/>
        <v>0</v>
      </c>
      <c r="AC297" s="368">
        <f t="shared" ref="AB297:AD297" si="991">SUM(AC296)</f>
        <v>0</v>
      </c>
      <c r="AD297" s="1459" t="str">
        <f t="shared" si="966"/>
        <v>-</v>
      </c>
      <c r="AE297" s="519">
        <f t="shared" si="987"/>
        <v>0</v>
      </c>
      <c r="AF297" s="368">
        <f t="shared" si="987"/>
        <v>0</v>
      </c>
      <c r="AG297" s="368">
        <f t="shared" ref="AF297:AH297" si="992">SUM(AG296)</f>
        <v>0</v>
      </c>
      <c r="AH297" s="1459" t="str">
        <f t="shared" si="967"/>
        <v>-</v>
      </c>
      <c r="AI297" s="538">
        <f t="shared" si="987"/>
        <v>0</v>
      </c>
      <c r="AJ297" s="539">
        <f t="shared" ref="AJ297:AK297" si="993">SUM(AJ296)</f>
        <v>0</v>
      </c>
      <c r="AK297" s="539">
        <f t="shared" si="993"/>
        <v>0</v>
      </c>
      <c r="AL297" s="1459" t="str">
        <f t="shared" si="969"/>
        <v>-</v>
      </c>
      <c r="AM297" s="519">
        <f t="shared" si="987"/>
        <v>0</v>
      </c>
      <c r="AN297" s="368">
        <f t="shared" si="987"/>
        <v>0</v>
      </c>
      <c r="AO297" s="368">
        <f t="shared" ref="AN297:AP297" si="994">SUM(AO296)</f>
        <v>0</v>
      </c>
      <c r="AP297" s="1459" t="str">
        <f t="shared" si="970"/>
        <v>-</v>
      </c>
      <c r="AQ297" s="519">
        <f t="shared" si="987"/>
        <v>0</v>
      </c>
      <c r="AR297" s="368">
        <f t="shared" si="987"/>
        <v>0</v>
      </c>
      <c r="AS297" s="368">
        <f t="shared" ref="AR297:AT297" si="995">SUM(AS296)</f>
        <v>0</v>
      </c>
      <c r="AT297" s="1459" t="str">
        <f t="shared" si="971"/>
        <v>-</v>
      </c>
      <c r="AU297" s="519">
        <f t="shared" si="987"/>
        <v>0</v>
      </c>
      <c r="AV297" s="368">
        <f t="shared" ref="AV297" si="996">SUM(AV296)</f>
        <v>0</v>
      </c>
      <c r="AW297" s="368">
        <f t="shared" ref="AV297:AX297" si="997">SUM(AW296)</f>
        <v>0</v>
      </c>
      <c r="AX297" s="1459" t="str">
        <f t="shared" si="972"/>
        <v>-</v>
      </c>
      <c r="AY297" s="510"/>
    </row>
    <row r="298" spans="1:54" ht="12.75" customHeight="1" thickBot="1">
      <c r="A298" s="554">
        <f>+A296+1</f>
        <v>111</v>
      </c>
      <c r="B298" s="1024">
        <v>28</v>
      </c>
      <c r="C298" s="439" t="s">
        <v>19</v>
      </c>
      <c r="D298" s="545" t="s">
        <v>19</v>
      </c>
      <c r="E298" s="534" t="s">
        <v>19</v>
      </c>
      <c r="F298" s="1007" t="s">
        <v>19</v>
      </c>
      <c r="G298" s="1190">
        <f>+K298+AI298</f>
        <v>0</v>
      </c>
      <c r="H298" s="1191">
        <f>+L298+AJ298</f>
        <v>0</v>
      </c>
      <c r="I298" s="1191">
        <f>+M298+AK298</f>
        <v>0</v>
      </c>
      <c r="J298" s="1860" t="str">
        <f t="shared" si="960"/>
        <v>-</v>
      </c>
      <c r="K298" s="1190">
        <f>+O298+S298+W298+AA298+AE298</f>
        <v>0</v>
      </c>
      <c r="L298" s="1191">
        <f>+P298+T298+X298+AB298+AF298</f>
        <v>0</v>
      </c>
      <c r="M298" s="1191">
        <f>+Q298+U298+Y298+AC298+AG298</f>
        <v>0</v>
      </c>
      <c r="N298" s="1860" t="str">
        <f t="shared" si="962"/>
        <v>-</v>
      </c>
      <c r="O298" s="515"/>
      <c r="P298" s="514"/>
      <c r="Q298" s="514"/>
      <c r="R298" s="1458" t="str">
        <f t="shared" si="963"/>
        <v>-</v>
      </c>
      <c r="S298" s="515"/>
      <c r="T298" s="514"/>
      <c r="U298" s="514"/>
      <c r="V298" s="1458" t="str">
        <f t="shared" si="964"/>
        <v>-</v>
      </c>
      <c r="W298" s="515"/>
      <c r="X298" s="514"/>
      <c r="Y298" s="514"/>
      <c r="Z298" s="1458" t="str">
        <f t="shared" si="965"/>
        <v>-</v>
      </c>
      <c r="AA298" s="515"/>
      <c r="AB298" s="514"/>
      <c r="AC298" s="514"/>
      <c r="AD298" s="1458" t="str">
        <f t="shared" si="966"/>
        <v>-</v>
      </c>
      <c r="AE298" s="515"/>
      <c r="AF298" s="514"/>
      <c r="AG298" s="514"/>
      <c r="AH298" s="1458" t="str">
        <f t="shared" si="967"/>
        <v>-</v>
      </c>
      <c r="AI298" s="1190">
        <f>+AM298+AQ298+AU298</f>
        <v>0</v>
      </c>
      <c r="AJ298" s="1191">
        <f>+AN298+AR298+AV298</f>
        <v>0</v>
      </c>
      <c r="AK298" s="1191">
        <f>+AO298+AS298+AW298</f>
        <v>0</v>
      </c>
      <c r="AL298" s="1860" t="str">
        <f t="shared" si="969"/>
        <v>-</v>
      </c>
      <c r="AM298" s="515"/>
      <c r="AN298" s="514"/>
      <c r="AO298" s="514"/>
      <c r="AP298" s="1458" t="str">
        <f t="shared" si="970"/>
        <v>-</v>
      </c>
      <c r="AQ298" s="515"/>
      <c r="AR298" s="514"/>
      <c r="AS298" s="514"/>
      <c r="AT298" s="1458" t="str">
        <f t="shared" si="971"/>
        <v>-</v>
      </c>
      <c r="AU298" s="515"/>
      <c r="AV298" s="514"/>
      <c r="AW298" s="514"/>
      <c r="AX298" s="1458" t="str">
        <f t="shared" si="972"/>
        <v>-</v>
      </c>
      <c r="AY298" s="509"/>
      <c r="AZ298" s="516"/>
      <c r="BA298" s="516"/>
      <c r="BB298" s="516"/>
    </row>
    <row r="299" spans="1:54" s="507" customFormat="1" ht="12.75" customHeight="1" thickBot="1">
      <c r="A299" s="548" t="s">
        <v>806</v>
      </c>
      <c r="B299" s="1204"/>
      <c r="C299" s="1321" t="s">
        <v>822</v>
      </c>
      <c r="D299" s="1322"/>
      <c r="E299" s="1322"/>
      <c r="F299" s="1323"/>
      <c r="G299" s="538">
        <f>SUM(G298)</f>
        <v>0</v>
      </c>
      <c r="H299" s="539">
        <f>SUM(H298)</f>
        <v>0</v>
      </c>
      <c r="I299" s="539">
        <f>SUM(I298)</f>
        <v>0</v>
      </c>
      <c r="J299" s="1459" t="str">
        <f t="shared" si="960"/>
        <v>-</v>
      </c>
      <c r="K299" s="538">
        <f t="shared" ref="K299" si="998">SUM(K298)</f>
        <v>0</v>
      </c>
      <c r="L299" s="539">
        <f t="shared" ref="L299:M299" si="999">SUM(L298)</f>
        <v>0</v>
      </c>
      <c r="M299" s="539">
        <f t="shared" si="999"/>
        <v>0</v>
      </c>
      <c r="N299" s="1459" t="str">
        <f t="shared" si="962"/>
        <v>-</v>
      </c>
      <c r="O299" s="519">
        <f t="shared" si="987"/>
        <v>0</v>
      </c>
      <c r="P299" s="368">
        <f t="shared" si="987"/>
        <v>0</v>
      </c>
      <c r="Q299" s="368">
        <f t="shared" ref="P299:R299" si="1000">SUM(Q298)</f>
        <v>0</v>
      </c>
      <c r="R299" s="1459" t="str">
        <f t="shared" si="963"/>
        <v>-</v>
      </c>
      <c r="S299" s="519">
        <f t="shared" si="987"/>
        <v>0</v>
      </c>
      <c r="T299" s="368">
        <f t="shared" si="987"/>
        <v>0</v>
      </c>
      <c r="U299" s="368">
        <f t="shared" ref="T299:V299" si="1001">SUM(U298)</f>
        <v>0</v>
      </c>
      <c r="V299" s="1459" t="str">
        <f t="shared" si="964"/>
        <v>-</v>
      </c>
      <c r="W299" s="519">
        <f t="shared" si="987"/>
        <v>0</v>
      </c>
      <c r="X299" s="368">
        <f t="shared" si="987"/>
        <v>0</v>
      </c>
      <c r="Y299" s="368">
        <f t="shared" ref="X299:Z299" si="1002">SUM(Y298)</f>
        <v>0</v>
      </c>
      <c r="Z299" s="1459" t="str">
        <f t="shared" si="965"/>
        <v>-</v>
      </c>
      <c r="AA299" s="519">
        <f t="shared" si="987"/>
        <v>0</v>
      </c>
      <c r="AB299" s="368">
        <f t="shared" si="987"/>
        <v>0</v>
      </c>
      <c r="AC299" s="368">
        <f t="shared" ref="AB299:AD299" si="1003">SUM(AC298)</f>
        <v>0</v>
      </c>
      <c r="AD299" s="1459" t="str">
        <f t="shared" si="966"/>
        <v>-</v>
      </c>
      <c r="AE299" s="519">
        <f t="shared" si="987"/>
        <v>0</v>
      </c>
      <c r="AF299" s="368">
        <f t="shared" si="987"/>
        <v>0</v>
      </c>
      <c r="AG299" s="368">
        <f t="shared" ref="AF299:AH299" si="1004">SUM(AG298)</f>
        <v>0</v>
      </c>
      <c r="AH299" s="1459" t="str">
        <f t="shared" si="967"/>
        <v>-</v>
      </c>
      <c r="AI299" s="538">
        <f t="shared" si="987"/>
        <v>0</v>
      </c>
      <c r="AJ299" s="539">
        <f t="shared" ref="AJ299:AK299" si="1005">SUM(AJ298)</f>
        <v>0</v>
      </c>
      <c r="AK299" s="539">
        <f t="shared" si="1005"/>
        <v>0</v>
      </c>
      <c r="AL299" s="1459" t="str">
        <f t="shared" si="969"/>
        <v>-</v>
      </c>
      <c r="AM299" s="519">
        <f t="shared" si="987"/>
        <v>0</v>
      </c>
      <c r="AN299" s="368">
        <f t="shared" si="987"/>
        <v>0</v>
      </c>
      <c r="AO299" s="368">
        <f t="shared" ref="AN299:AP299" si="1006">SUM(AO298)</f>
        <v>0</v>
      </c>
      <c r="AP299" s="1459" t="str">
        <f t="shared" si="970"/>
        <v>-</v>
      </c>
      <c r="AQ299" s="519">
        <f t="shared" si="987"/>
        <v>0</v>
      </c>
      <c r="AR299" s="368">
        <f t="shared" si="987"/>
        <v>0</v>
      </c>
      <c r="AS299" s="368">
        <f t="shared" ref="AR299:AT299" si="1007">SUM(AS298)</f>
        <v>0</v>
      </c>
      <c r="AT299" s="1459" t="str">
        <f t="shared" si="971"/>
        <v>-</v>
      </c>
      <c r="AU299" s="519">
        <f t="shared" si="987"/>
        <v>0</v>
      </c>
      <c r="AV299" s="368">
        <f t="shared" ref="AV299" si="1008">SUM(AV298)</f>
        <v>0</v>
      </c>
      <c r="AW299" s="368">
        <f t="shared" ref="AV299:AX299" si="1009">SUM(AW298)</f>
        <v>0</v>
      </c>
      <c r="AX299" s="1459" t="str">
        <f t="shared" si="972"/>
        <v>-</v>
      </c>
      <c r="AY299" s="510"/>
    </row>
    <row r="300" spans="1:54" s="516" customFormat="1" ht="12.75" customHeight="1" thickBot="1">
      <c r="A300" s="549" t="s">
        <v>20</v>
      </c>
      <c r="B300" s="1021"/>
      <c r="C300" s="1324" t="s">
        <v>423</v>
      </c>
      <c r="D300" s="1325"/>
      <c r="E300" s="1325"/>
      <c r="F300" s="1326"/>
      <c r="G300" s="521">
        <f>+G295+G297+G299</f>
        <v>39641</v>
      </c>
      <c r="H300" s="522">
        <f>+H295+H297+H299</f>
        <v>34459</v>
      </c>
      <c r="I300" s="522">
        <f>+I295+I297+I299</f>
        <v>32981</v>
      </c>
      <c r="J300" s="1869">
        <f t="shared" si="960"/>
        <v>0.95710844772047943</v>
      </c>
      <c r="K300" s="521">
        <f t="shared" ref="K300" si="1010">+K295+K297+K299</f>
        <v>31109</v>
      </c>
      <c r="L300" s="522">
        <f t="shared" ref="L300:M300" si="1011">+L295+L297+L299</f>
        <v>34440</v>
      </c>
      <c r="M300" s="522">
        <f t="shared" si="1011"/>
        <v>32962</v>
      </c>
      <c r="N300" s="1869">
        <f t="shared" si="962"/>
        <v>0.95708478513356565</v>
      </c>
      <c r="O300" s="521">
        <f t="shared" ref="N300:AV300" si="1012">+O295+O297+O299</f>
        <v>17163</v>
      </c>
      <c r="P300" s="532">
        <f t="shared" si="1012"/>
        <v>19464</v>
      </c>
      <c r="Q300" s="532">
        <f t="shared" ref="P300:R300" si="1013">+Q295+Q297+Q299</f>
        <v>19464</v>
      </c>
      <c r="R300" s="1869">
        <f t="shared" si="963"/>
        <v>1</v>
      </c>
      <c r="S300" s="521">
        <f t="shared" si="1012"/>
        <v>3304</v>
      </c>
      <c r="T300" s="532">
        <f t="shared" si="1012"/>
        <v>3730</v>
      </c>
      <c r="U300" s="532">
        <f t="shared" ref="T300:V300" si="1014">+U295+U297+U299</f>
        <v>3730</v>
      </c>
      <c r="V300" s="1869">
        <f t="shared" si="964"/>
        <v>1</v>
      </c>
      <c r="W300" s="521">
        <f t="shared" si="1012"/>
        <v>10642</v>
      </c>
      <c r="X300" s="532">
        <f t="shared" si="1012"/>
        <v>11130</v>
      </c>
      <c r="Y300" s="532">
        <f t="shared" ref="X300:Z300" si="1015">+Y295+Y297+Y299</f>
        <v>9652</v>
      </c>
      <c r="Z300" s="1869">
        <f t="shared" si="965"/>
        <v>0.8672057502246181</v>
      </c>
      <c r="AA300" s="521">
        <f t="shared" si="1012"/>
        <v>0</v>
      </c>
      <c r="AB300" s="532">
        <f t="shared" si="1012"/>
        <v>0</v>
      </c>
      <c r="AC300" s="532">
        <f t="shared" ref="AB300:AD300" si="1016">+AC295+AC297+AC299</f>
        <v>0</v>
      </c>
      <c r="AD300" s="1869" t="str">
        <f t="shared" si="966"/>
        <v>-</v>
      </c>
      <c r="AE300" s="521">
        <f t="shared" si="1012"/>
        <v>0</v>
      </c>
      <c r="AF300" s="532">
        <f t="shared" si="1012"/>
        <v>116</v>
      </c>
      <c r="AG300" s="532">
        <f t="shared" ref="AF300:AH300" si="1017">+AG295+AG297+AG299</f>
        <v>116</v>
      </c>
      <c r="AH300" s="1869">
        <f t="shared" si="967"/>
        <v>1</v>
      </c>
      <c r="AI300" s="521">
        <f t="shared" si="1012"/>
        <v>8532</v>
      </c>
      <c r="AJ300" s="522">
        <f t="shared" ref="AJ300:AK300" si="1018">+AJ295+AJ297+AJ299</f>
        <v>19</v>
      </c>
      <c r="AK300" s="522">
        <f t="shared" si="1018"/>
        <v>19</v>
      </c>
      <c r="AL300" s="1869">
        <f t="shared" si="969"/>
        <v>1</v>
      </c>
      <c r="AM300" s="521">
        <f t="shared" si="1012"/>
        <v>6181</v>
      </c>
      <c r="AN300" s="532">
        <f t="shared" si="1012"/>
        <v>19</v>
      </c>
      <c r="AO300" s="532">
        <f t="shared" ref="AN300:AP300" si="1019">+AO295+AO297+AO299</f>
        <v>19</v>
      </c>
      <c r="AP300" s="1869">
        <f t="shared" si="970"/>
        <v>1</v>
      </c>
      <c r="AQ300" s="521">
        <f t="shared" si="1012"/>
        <v>2351</v>
      </c>
      <c r="AR300" s="532">
        <f t="shared" si="1012"/>
        <v>0</v>
      </c>
      <c r="AS300" s="532">
        <f t="shared" ref="AR300:AT300" si="1020">+AS295+AS297+AS299</f>
        <v>0</v>
      </c>
      <c r="AT300" s="1869" t="str">
        <f t="shared" si="971"/>
        <v>-</v>
      </c>
      <c r="AU300" s="521">
        <f t="shared" si="1012"/>
        <v>0</v>
      </c>
      <c r="AV300" s="532">
        <f t="shared" si="1012"/>
        <v>0</v>
      </c>
      <c r="AW300" s="532">
        <f t="shared" ref="AV300:AX300" si="1021">+AW295+AW297+AW299</f>
        <v>0</v>
      </c>
      <c r="AX300" s="1869" t="str">
        <f t="shared" si="972"/>
        <v>-</v>
      </c>
      <c r="AY300" s="838"/>
      <c r="AZ300" s="507"/>
      <c r="BA300" s="507"/>
      <c r="BB300" s="507"/>
    </row>
    <row r="301" spans="1:54" ht="12.75" customHeight="1" thickBot="1">
      <c r="A301" s="548"/>
      <c r="B301" s="1211"/>
      <c r="C301" s="356"/>
      <c r="D301" s="547"/>
      <c r="E301" s="518"/>
      <c r="F301" s="517"/>
      <c r="G301" s="538"/>
      <c r="H301" s="539"/>
      <c r="I301" s="539"/>
      <c r="J301" s="437"/>
      <c r="K301" s="538"/>
      <c r="L301" s="539"/>
      <c r="M301" s="539"/>
      <c r="N301" s="437"/>
      <c r="O301" s="895"/>
      <c r="P301" s="368"/>
      <c r="Q301" s="368"/>
      <c r="R301" s="437"/>
      <c r="S301" s="895"/>
      <c r="T301" s="368"/>
      <c r="U301" s="368"/>
      <c r="V301" s="437"/>
      <c r="W301" s="895"/>
      <c r="X301" s="368"/>
      <c r="Y301" s="368"/>
      <c r="Z301" s="437"/>
      <c r="AA301" s="895"/>
      <c r="AB301" s="368"/>
      <c r="AC301" s="368"/>
      <c r="AD301" s="437"/>
      <c r="AE301" s="895"/>
      <c r="AF301" s="368"/>
      <c r="AG301" s="368"/>
      <c r="AH301" s="437"/>
      <c r="AI301" s="538"/>
      <c r="AJ301" s="539"/>
      <c r="AK301" s="539"/>
      <c r="AL301" s="437"/>
      <c r="AM301" s="895"/>
      <c r="AN301" s="368"/>
      <c r="AO301" s="368"/>
      <c r="AP301" s="437"/>
      <c r="AQ301" s="895"/>
      <c r="AR301" s="368"/>
      <c r="AS301" s="368"/>
      <c r="AT301" s="437"/>
      <c r="AU301" s="895"/>
      <c r="AV301" s="368"/>
      <c r="AW301" s="368"/>
      <c r="AX301" s="437"/>
      <c r="AY301" s="509"/>
      <c r="AZ301" s="507"/>
      <c r="BA301" s="507"/>
      <c r="BB301" s="507"/>
    </row>
    <row r="302" spans="1:54" ht="12.75" customHeight="1" thickBot="1">
      <c r="A302" s="552">
        <f>A298+1</f>
        <v>112</v>
      </c>
      <c r="B302" s="288">
        <v>29</v>
      </c>
      <c r="C302" s="425" t="s">
        <v>19</v>
      </c>
      <c r="D302" s="979" t="s">
        <v>19</v>
      </c>
      <c r="E302" s="974" t="s">
        <v>19</v>
      </c>
      <c r="F302" s="1005" t="s">
        <v>19</v>
      </c>
      <c r="G302" s="1180">
        <f>+K302+AI302</f>
        <v>0</v>
      </c>
      <c r="H302" s="1181">
        <f>+L302+AJ302</f>
        <v>0</v>
      </c>
      <c r="I302" s="1181">
        <f>+M302+AK302</f>
        <v>0</v>
      </c>
      <c r="J302" s="1860" t="str">
        <f t="shared" ref="J302:J309" si="1022">IF(ISERROR(I302/H302),"-",I302/H302)</f>
        <v>-</v>
      </c>
      <c r="K302" s="1180">
        <f>+O302+S302+W302+AA302+AE302</f>
        <v>0</v>
      </c>
      <c r="L302" s="1181">
        <f>+P302+T302+X302+AB302+AF302</f>
        <v>0</v>
      </c>
      <c r="M302" s="1181">
        <f>+Q302+U302+Y302+AC302+AG302</f>
        <v>0</v>
      </c>
      <c r="N302" s="1860" t="str">
        <f t="shared" ref="N302:N309" si="1023">IF(ISERROR(M302/L302),"-",M302/L302)</f>
        <v>-</v>
      </c>
      <c r="O302" s="1009"/>
      <c r="P302" s="1010"/>
      <c r="Q302" s="1010"/>
      <c r="R302" s="1458" t="str">
        <f t="shared" ref="R302:R309" si="1024">IF(ISERROR(Q302/P302),"-",Q302/P302)</f>
        <v>-</v>
      </c>
      <c r="S302" s="1009"/>
      <c r="T302" s="1010"/>
      <c r="U302" s="1010"/>
      <c r="V302" s="1458" t="str">
        <f t="shared" ref="V302:V309" si="1025">IF(ISERROR(U302/T302),"-",U302/T302)</f>
        <v>-</v>
      </c>
      <c r="W302" s="1009"/>
      <c r="X302" s="1010"/>
      <c r="Y302" s="1010"/>
      <c r="Z302" s="1458" t="str">
        <f t="shared" ref="Z302:Z309" si="1026">IF(ISERROR(Y302/X302),"-",Y302/X302)</f>
        <v>-</v>
      </c>
      <c r="AA302" s="1009"/>
      <c r="AB302" s="1010"/>
      <c r="AC302" s="1010"/>
      <c r="AD302" s="1458" t="str">
        <f t="shared" ref="AD302:AD309" si="1027">IF(ISERROR(AC302/AB302),"-",AC302/AB302)</f>
        <v>-</v>
      </c>
      <c r="AE302" s="1009"/>
      <c r="AF302" s="1010"/>
      <c r="AG302" s="1010"/>
      <c r="AH302" s="1458" t="str">
        <f t="shared" ref="AH302:AH309" si="1028">IF(ISERROR(AG302/AF302),"-",AG302/AF302)</f>
        <v>-</v>
      </c>
      <c r="AI302" s="1180">
        <f>+AM302+AQ302+AU302</f>
        <v>0</v>
      </c>
      <c r="AJ302" s="1181">
        <f>+AN302+AR302+AV302</f>
        <v>0</v>
      </c>
      <c r="AK302" s="1181">
        <f>+AO302+AS302+AW302</f>
        <v>0</v>
      </c>
      <c r="AL302" s="1860" t="str">
        <f t="shared" ref="AL302:AL309" si="1029">IF(ISERROR(AK302/AJ302),"-",AK302/AJ302)</f>
        <v>-</v>
      </c>
      <c r="AM302" s="1009"/>
      <c r="AN302" s="1010"/>
      <c r="AO302" s="1010"/>
      <c r="AP302" s="1458" t="str">
        <f t="shared" ref="AP302:AP309" si="1030">IF(ISERROR(AO302/AN302),"-",AO302/AN302)</f>
        <v>-</v>
      </c>
      <c r="AQ302" s="1009"/>
      <c r="AR302" s="1010"/>
      <c r="AS302" s="1010"/>
      <c r="AT302" s="1458" t="str">
        <f t="shared" ref="AT302:AT309" si="1031">IF(ISERROR(AS302/AR302),"-",AS302/AR302)</f>
        <v>-</v>
      </c>
      <c r="AU302" s="1009"/>
      <c r="AV302" s="1010"/>
      <c r="AW302" s="1010"/>
      <c r="AX302" s="1458" t="str">
        <f t="shared" ref="AX302:AX309" si="1032">IF(ISERROR(AW302/AV302),"-",AW302/AV302)</f>
        <v>-</v>
      </c>
      <c r="AY302" s="509"/>
      <c r="AZ302" s="516"/>
      <c r="BA302" s="516"/>
      <c r="BB302" s="516"/>
    </row>
    <row r="303" spans="1:54" s="507" customFormat="1" ht="12.75" customHeight="1" thickBot="1">
      <c r="A303" s="548" t="s">
        <v>948</v>
      </c>
      <c r="B303" s="1204"/>
      <c r="C303" s="1321" t="s">
        <v>923</v>
      </c>
      <c r="D303" s="1322"/>
      <c r="E303" s="1322"/>
      <c r="F303" s="1323"/>
      <c r="G303" s="538">
        <f>SUM(G302)</f>
        <v>0</v>
      </c>
      <c r="H303" s="539">
        <f>SUM(H302)</f>
        <v>0</v>
      </c>
      <c r="I303" s="539">
        <f>SUM(I302)</f>
        <v>0</v>
      </c>
      <c r="J303" s="1459" t="str">
        <f t="shared" si="1022"/>
        <v>-</v>
      </c>
      <c r="K303" s="538">
        <f t="shared" ref="K303" si="1033">SUM(K302)</f>
        <v>0</v>
      </c>
      <c r="L303" s="539">
        <f t="shared" ref="L303:M303" si="1034">SUM(L302)</f>
        <v>0</v>
      </c>
      <c r="M303" s="539">
        <f t="shared" si="1034"/>
        <v>0</v>
      </c>
      <c r="N303" s="1459" t="str">
        <f t="shared" si="1023"/>
        <v>-</v>
      </c>
      <c r="O303" s="519">
        <f t="shared" ref="N303:AV303" si="1035">SUM(O302)</f>
        <v>0</v>
      </c>
      <c r="P303" s="368">
        <f t="shared" si="1035"/>
        <v>0</v>
      </c>
      <c r="Q303" s="368">
        <f t="shared" ref="P303:R303" si="1036">SUM(Q302)</f>
        <v>0</v>
      </c>
      <c r="R303" s="1459" t="str">
        <f t="shared" si="1024"/>
        <v>-</v>
      </c>
      <c r="S303" s="519">
        <f t="shared" si="1035"/>
        <v>0</v>
      </c>
      <c r="T303" s="368">
        <f t="shared" si="1035"/>
        <v>0</v>
      </c>
      <c r="U303" s="368">
        <f t="shared" ref="T303:V303" si="1037">SUM(U302)</f>
        <v>0</v>
      </c>
      <c r="V303" s="1459" t="str">
        <f t="shared" si="1025"/>
        <v>-</v>
      </c>
      <c r="W303" s="519">
        <f t="shared" si="1035"/>
        <v>0</v>
      </c>
      <c r="X303" s="368">
        <f t="shared" si="1035"/>
        <v>0</v>
      </c>
      <c r="Y303" s="368">
        <f t="shared" ref="X303:Z303" si="1038">SUM(Y302)</f>
        <v>0</v>
      </c>
      <c r="Z303" s="1459" t="str">
        <f t="shared" si="1026"/>
        <v>-</v>
      </c>
      <c r="AA303" s="519">
        <f t="shared" si="1035"/>
        <v>0</v>
      </c>
      <c r="AB303" s="368">
        <f t="shared" si="1035"/>
        <v>0</v>
      </c>
      <c r="AC303" s="368">
        <f t="shared" ref="AB303:AD303" si="1039">SUM(AC302)</f>
        <v>0</v>
      </c>
      <c r="AD303" s="1459" t="str">
        <f t="shared" si="1027"/>
        <v>-</v>
      </c>
      <c r="AE303" s="519">
        <f t="shared" si="1035"/>
        <v>0</v>
      </c>
      <c r="AF303" s="368">
        <f t="shared" si="1035"/>
        <v>0</v>
      </c>
      <c r="AG303" s="368">
        <f t="shared" ref="AF303:AH303" si="1040">SUM(AG302)</f>
        <v>0</v>
      </c>
      <c r="AH303" s="1459" t="str">
        <f t="shared" si="1028"/>
        <v>-</v>
      </c>
      <c r="AI303" s="538">
        <f t="shared" si="1035"/>
        <v>0</v>
      </c>
      <c r="AJ303" s="539">
        <f t="shared" ref="AJ303:AK303" si="1041">SUM(AJ302)</f>
        <v>0</v>
      </c>
      <c r="AK303" s="539">
        <f t="shared" si="1041"/>
        <v>0</v>
      </c>
      <c r="AL303" s="1459" t="str">
        <f t="shared" si="1029"/>
        <v>-</v>
      </c>
      <c r="AM303" s="519">
        <f t="shared" si="1035"/>
        <v>0</v>
      </c>
      <c r="AN303" s="368">
        <f t="shared" si="1035"/>
        <v>0</v>
      </c>
      <c r="AO303" s="368">
        <f t="shared" ref="AN303:AP303" si="1042">SUM(AO302)</f>
        <v>0</v>
      </c>
      <c r="AP303" s="1459" t="str">
        <f t="shared" si="1030"/>
        <v>-</v>
      </c>
      <c r="AQ303" s="519">
        <f t="shared" si="1035"/>
        <v>0</v>
      </c>
      <c r="AR303" s="368">
        <f t="shared" si="1035"/>
        <v>0</v>
      </c>
      <c r="AS303" s="368">
        <f t="shared" ref="AR303:AT303" si="1043">SUM(AS302)</f>
        <v>0</v>
      </c>
      <c r="AT303" s="1459" t="str">
        <f t="shared" si="1031"/>
        <v>-</v>
      </c>
      <c r="AU303" s="519">
        <f t="shared" si="1035"/>
        <v>0</v>
      </c>
      <c r="AV303" s="368">
        <f t="shared" si="1035"/>
        <v>0</v>
      </c>
      <c r="AW303" s="368">
        <f t="shared" ref="AV303:AX303" si="1044">SUM(AW302)</f>
        <v>0</v>
      </c>
      <c r="AX303" s="1459" t="str">
        <f t="shared" si="1032"/>
        <v>-</v>
      </c>
      <c r="AY303" s="510"/>
      <c r="AZ303" s="302"/>
      <c r="BA303" s="302"/>
      <c r="BB303" s="302"/>
    </row>
    <row r="304" spans="1:54" ht="12.75" customHeight="1">
      <c r="A304" s="919">
        <f>A302+1</f>
        <v>113</v>
      </c>
      <c r="B304" s="1023">
        <v>30</v>
      </c>
      <c r="C304" s="362" t="s">
        <v>1170</v>
      </c>
      <c r="D304" s="985" t="s">
        <v>1171</v>
      </c>
      <c r="E304" s="986" t="s">
        <v>702</v>
      </c>
      <c r="F304" s="1008" t="s">
        <v>1172</v>
      </c>
      <c r="G304" s="1188">
        <f t="shared" ref="G304:J305" si="1045">+K304+AI304</f>
        <v>9752</v>
      </c>
      <c r="H304" s="1189">
        <f t="shared" si="1045"/>
        <v>9577</v>
      </c>
      <c r="I304" s="1189">
        <f t="shared" si="1045"/>
        <v>9577</v>
      </c>
      <c r="J304" s="1860">
        <f t="shared" si="1022"/>
        <v>1</v>
      </c>
      <c r="K304" s="1188">
        <f t="shared" ref="K304:N305" si="1046">+O304+S304+W304+AA304+AE304</f>
        <v>9752</v>
      </c>
      <c r="L304" s="1189">
        <f t="shared" si="1046"/>
        <v>9577</v>
      </c>
      <c r="M304" s="1189">
        <f t="shared" si="1046"/>
        <v>9577</v>
      </c>
      <c r="N304" s="1860">
        <f t="shared" si="1023"/>
        <v>1</v>
      </c>
      <c r="O304" s="1011">
        <v>7729</v>
      </c>
      <c r="P304" s="1012">
        <v>7870</v>
      </c>
      <c r="Q304" s="1012">
        <v>7870</v>
      </c>
      <c r="R304" s="1458">
        <f t="shared" si="1024"/>
        <v>1</v>
      </c>
      <c r="S304" s="1011">
        <v>1213</v>
      </c>
      <c r="T304" s="1012">
        <v>1290</v>
      </c>
      <c r="U304" s="1012">
        <v>1290</v>
      </c>
      <c r="V304" s="1458">
        <f t="shared" si="1025"/>
        <v>1</v>
      </c>
      <c r="W304" s="1011">
        <v>810</v>
      </c>
      <c r="X304" s="1012">
        <v>417</v>
      </c>
      <c r="Y304" s="1012">
        <v>417</v>
      </c>
      <c r="Z304" s="1458">
        <f t="shared" si="1026"/>
        <v>1</v>
      </c>
      <c r="AA304" s="1011"/>
      <c r="AB304" s="1012"/>
      <c r="AC304" s="1012"/>
      <c r="AD304" s="1458" t="str">
        <f t="shared" si="1027"/>
        <v>-</v>
      </c>
      <c r="AE304" s="1011"/>
      <c r="AF304" s="1012"/>
      <c r="AG304" s="1012"/>
      <c r="AH304" s="1458" t="str">
        <f t="shared" si="1028"/>
        <v>-</v>
      </c>
      <c r="AI304" s="1188">
        <f t="shared" ref="AI304:AL305" si="1047">+AM304+AQ304+AU304</f>
        <v>0</v>
      </c>
      <c r="AJ304" s="1189">
        <f t="shared" si="1047"/>
        <v>0</v>
      </c>
      <c r="AK304" s="1189">
        <f t="shared" si="1047"/>
        <v>0</v>
      </c>
      <c r="AL304" s="1860" t="str">
        <f t="shared" si="1029"/>
        <v>-</v>
      </c>
      <c r="AM304" s="1011"/>
      <c r="AN304" s="1012"/>
      <c r="AO304" s="1012"/>
      <c r="AP304" s="1458" t="str">
        <f t="shared" si="1030"/>
        <v>-</v>
      </c>
      <c r="AQ304" s="1011"/>
      <c r="AR304" s="1012"/>
      <c r="AS304" s="1012"/>
      <c r="AT304" s="1458" t="str">
        <f t="shared" si="1031"/>
        <v>-</v>
      </c>
      <c r="AU304" s="1011"/>
      <c r="AV304" s="1012"/>
      <c r="AW304" s="1012"/>
      <c r="AX304" s="1458" t="str">
        <f t="shared" si="1032"/>
        <v>-</v>
      </c>
      <c r="AY304" s="509"/>
      <c r="AZ304" s="516"/>
      <c r="BA304" s="516"/>
      <c r="BB304" s="516"/>
    </row>
    <row r="305" spans="1:54" ht="12.75" customHeight="1" thickBot="1">
      <c r="A305" s="554">
        <f>A304+1</f>
        <v>114</v>
      </c>
      <c r="B305" s="1024">
        <v>30</v>
      </c>
      <c r="C305" s="425" t="s">
        <v>1081</v>
      </c>
      <c r="D305" s="545" t="s">
        <v>1082</v>
      </c>
      <c r="E305" s="534" t="s">
        <v>702</v>
      </c>
      <c r="F305" s="1007" t="s">
        <v>1172</v>
      </c>
      <c r="G305" s="1190">
        <f t="shared" si="1045"/>
        <v>3488</v>
      </c>
      <c r="H305" s="1191">
        <f t="shared" si="1045"/>
        <v>12</v>
      </c>
      <c r="I305" s="1191">
        <f t="shared" si="1045"/>
        <v>12</v>
      </c>
      <c r="J305" s="1860">
        <f t="shared" si="1022"/>
        <v>1</v>
      </c>
      <c r="K305" s="1190">
        <f t="shared" si="1046"/>
        <v>3488</v>
      </c>
      <c r="L305" s="1191">
        <f t="shared" si="1046"/>
        <v>12</v>
      </c>
      <c r="M305" s="1191">
        <f t="shared" si="1046"/>
        <v>12</v>
      </c>
      <c r="N305" s="1860">
        <f t="shared" si="1023"/>
        <v>1</v>
      </c>
      <c r="O305" s="515"/>
      <c r="P305" s="514"/>
      <c r="Q305" s="514"/>
      <c r="R305" s="1458" t="str">
        <f t="shared" si="1024"/>
        <v>-</v>
      </c>
      <c r="S305" s="515"/>
      <c r="T305" s="514"/>
      <c r="U305" s="514"/>
      <c r="V305" s="1458" t="str">
        <f t="shared" si="1025"/>
        <v>-</v>
      </c>
      <c r="W305" s="515"/>
      <c r="X305" s="514"/>
      <c r="Y305" s="514"/>
      <c r="Z305" s="1458" t="str">
        <f t="shared" si="1026"/>
        <v>-</v>
      </c>
      <c r="AA305" s="515"/>
      <c r="AB305" s="514"/>
      <c r="AC305" s="514"/>
      <c r="AD305" s="1458" t="str">
        <f t="shared" si="1027"/>
        <v>-</v>
      </c>
      <c r="AE305" s="515">
        <v>3488</v>
      </c>
      <c r="AF305" s="514">
        <v>12</v>
      </c>
      <c r="AG305" s="514">
        <v>12</v>
      </c>
      <c r="AH305" s="1458">
        <f t="shared" si="1028"/>
        <v>1</v>
      </c>
      <c r="AI305" s="1190">
        <f t="shared" si="1047"/>
        <v>0</v>
      </c>
      <c r="AJ305" s="1191">
        <f t="shared" si="1047"/>
        <v>0</v>
      </c>
      <c r="AK305" s="1191">
        <f t="shared" si="1047"/>
        <v>0</v>
      </c>
      <c r="AL305" s="1860" t="str">
        <f t="shared" si="1029"/>
        <v>-</v>
      </c>
      <c r="AM305" s="515"/>
      <c r="AN305" s="514"/>
      <c r="AO305" s="514"/>
      <c r="AP305" s="1458" t="str">
        <f t="shared" si="1030"/>
        <v>-</v>
      </c>
      <c r="AQ305" s="515"/>
      <c r="AR305" s="514"/>
      <c r="AS305" s="514"/>
      <c r="AT305" s="1458" t="str">
        <f t="shared" si="1031"/>
        <v>-</v>
      </c>
      <c r="AU305" s="515"/>
      <c r="AV305" s="514"/>
      <c r="AW305" s="514"/>
      <c r="AX305" s="1458" t="str">
        <f t="shared" si="1032"/>
        <v>-</v>
      </c>
      <c r="AY305" s="509"/>
      <c r="AZ305" s="516"/>
      <c r="BA305" s="516"/>
      <c r="BB305" s="516"/>
    </row>
    <row r="306" spans="1:54" s="507" customFormat="1" ht="12.75" customHeight="1" thickBot="1">
      <c r="A306" s="548" t="s">
        <v>949</v>
      </c>
      <c r="B306" s="1204"/>
      <c r="C306" s="1321" t="s">
        <v>924</v>
      </c>
      <c r="D306" s="1322"/>
      <c r="E306" s="1322"/>
      <c r="F306" s="1323"/>
      <c r="G306" s="538">
        <f>SUM(G304:G305)</f>
        <v>13240</v>
      </c>
      <c r="H306" s="539">
        <f>SUM(H304:H305)</f>
        <v>9589</v>
      </c>
      <c r="I306" s="539">
        <f>SUM(I304:I305)</f>
        <v>9589</v>
      </c>
      <c r="J306" s="1459">
        <f t="shared" si="1022"/>
        <v>1</v>
      </c>
      <c r="K306" s="538">
        <f t="shared" ref="K306" si="1048">SUM(K304:K305)</f>
        <v>13240</v>
      </c>
      <c r="L306" s="539">
        <f t="shared" ref="L306:M306" si="1049">SUM(L304:L305)</f>
        <v>9589</v>
      </c>
      <c r="M306" s="539">
        <f t="shared" si="1049"/>
        <v>9589</v>
      </c>
      <c r="N306" s="1459">
        <f t="shared" si="1023"/>
        <v>1</v>
      </c>
      <c r="O306" s="519">
        <f t="shared" ref="N306:AV306" si="1050">SUM(O304:O305)</f>
        <v>7729</v>
      </c>
      <c r="P306" s="368">
        <f t="shared" si="1050"/>
        <v>7870</v>
      </c>
      <c r="Q306" s="368">
        <f t="shared" ref="Q306:R306" si="1051">SUM(Q304:Q305)</f>
        <v>7870</v>
      </c>
      <c r="R306" s="1459">
        <f t="shared" si="1024"/>
        <v>1</v>
      </c>
      <c r="S306" s="519">
        <f t="shared" si="1050"/>
        <v>1213</v>
      </c>
      <c r="T306" s="368">
        <f t="shared" si="1050"/>
        <v>1290</v>
      </c>
      <c r="U306" s="368">
        <f t="shared" ref="U306:V306" si="1052">SUM(U304:U305)</f>
        <v>1290</v>
      </c>
      <c r="V306" s="1459">
        <f t="shared" si="1025"/>
        <v>1</v>
      </c>
      <c r="W306" s="519">
        <f t="shared" si="1050"/>
        <v>810</v>
      </c>
      <c r="X306" s="368">
        <f t="shared" si="1050"/>
        <v>417</v>
      </c>
      <c r="Y306" s="368">
        <f t="shared" ref="Y306:Z306" si="1053">SUM(Y304:Y305)</f>
        <v>417</v>
      </c>
      <c r="Z306" s="1459">
        <f t="shared" si="1026"/>
        <v>1</v>
      </c>
      <c r="AA306" s="519">
        <f t="shared" si="1050"/>
        <v>0</v>
      </c>
      <c r="AB306" s="368">
        <f t="shared" si="1050"/>
        <v>0</v>
      </c>
      <c r="AC306" s="368">
        <f t="shared" ref="AC306:AD306" si="1054">SUM(AC304:AC305)</f>
        <v>0</v>
      </c>
      <c r="AD306" s="1459" t="str">
        <f t="shared" si="1027"/>
        <v>-</v>
      </c>
      <c r="AE306" s="519">
        <f t="shared" si="1050"/>
        <v>3488</v>
      </c>
      <c r="AF306" s="368">
        <f t="shared" si="1050"/>
        <v>12</v>
      </c>
      <c r="AG306" s="368">
        <f t="shared" ref="AG306:AH306" si="1055">SUM(AG304:AG305)</f>
        <v>12</v>
      </c>
      <c r="AH306" s="1459">
        <f t="shared" si="1028"/>
        <v>1</v>
      </c>
      <c r="AI306" s="538">
        <f t="shared" si="1050"/>
        <v>0</v>
      </c>
      <c r="AJ306" s="539">
        <f t="shared" ref="AJ306:AK306" si="1056">SUM(AJ304:AJ305)</f>
        <v>0</v>
      </c>
      <c r="AK306" s="539">
        <f t="shared" si="1056"/>
        <v>0</v>
      </c>
      <c r="AL306" s="1459" t="str">
        <f t="shared" si="1029"/>
        <v>-</v>
      </c>
      <c r="AM306" s="519">
        <f t="shared" si="1050"/>
        <v>0</v>
      </c>
      <c r="AN306" s="368">
        <f t="shared" si="1050"/>
        <v>0</v>
      </c>
      <c r="AO306" s="368">
        <f t="shared" ref="AO306:AP306" si="1057">SUM(AO304:AO305)</f>
        <v>0</v>
      </c>
      <c r="AP306" s="1459" t="str">
        <f t="shared" si="1030"/>
        <v>-</v>
      </c>
      <c r="AQ306" s="519">
        <f t="shared" si="1050"/>
        <v>0</v>
      </c>
      <c r="AR306" s="368">
        <f t="shared" si="1050"/>
        <v>0</v>
      </c>
      <c r="AS306" s="368">
        <f t="shared" ref="AS306:AT306" si="1058">SUM(AS304:AS305)</f>
        <v>0</v>
      </c>
      <c r="AT306" s="1459" t="str">
        <f t="shared" si="1031"/>
        <v>-</v>
      </c>
      <c r="AU306" s="519">
        <f t="shared" si="1050"/>
        <v>0</v>
      </c>
      <c r="AV306" s="368">
        <f t="shared" si="1050"/>
        <v>0</v>
      </c>
      <c r="AW306" s="368">
        <f t="shared" ref="AW306:AX306" si="1059">SUM(AW304:AW305)</f>
        <v>0</v>
      </c>
      <c r="AX306" s="1459" t="str">
        <f t="shared" si="1032"/>
        <v>-</v>
      </c>
      <c r="AY306" s="510"/>
    </row>
    <row r="307" spans="1:54" ht="12.75" customHeight="1" thickBot="1">
      <c r="A307" s="554">
        <f>+A305+1</f>
        <v>115</v>
      </c>
      <c r="B307" s="1024">
        <v>31</v>
      </c>
      <c r="C307" s="439" t="s">
        <v>19</v>
      </c>
      <c r="D307" s="545" t="s">
        <v>19</v>
      </c>
      <c r="E307" s="534" t="s">
        <v>19</v>
      </c>
      <c r="F307" s="1007" t="s">
        <v>19</v>
      </c>
      <c r="G307" s="1190">
        <f>+K307+AI307</f>
        <v>0</v>
      </c>
      <c r="H307" s="1191">
        <f>+L307+AJ307</f>
        <v>0</v>
      </c>
      <c r="I307" s="1191">
        <f>+M307+AK307</f>
        <v>0</v>
      </c>
      <c r="J307" s="1860" t="str">
        <f t="shared" si="1022"/>
        <v>-</v>
      </c>
      <c r="K307" s="1190">
        <f>+O307+S307+W307+AA307+AE307</f>
        <v>0</v>
      </c>
      <c r="L307" s="1191">
        <f>+P307+T307+X307+AB307+AF307</f>
        <v>0</v>
      </c>
      <c r="M307" s="1191">
        <f>+Q307+U307+Y307+AC307+AG307</f>
        <v>0</v>
      </c>
      <c r="N307" s="1860" t="str">
        <f t="shared" si="1023"/>
        <v>-</v>
      </c>
      <c r="O307" s="515"/>
      <c r="P307" s="514"/>
      <c r="Q307" s="514"/>
      <c r="R307" s="1458" t="str">
        <f t="shared" si="1024"/>
        <v>-</v>
      </c>
      <c r="S307" s="515"/>
      <c r="T307" s="514"/>
      <c r="U307" s="514"/>
      <c r="V307" s="1458" t="str">
        <f t="shared" si="1025"/>
        <v>-</v>
      </c>
      <c r="W307" s="515"/>
      <c r="X307" s="514"/>
      <c r="Y307" s="514"/>
      <c r="Z307" s="1458" t="str">
        <f t="shared" si="1026"/>
        <v>-</v>
      </c>
      <c r="AA307" s="515"/>
      <c r="AB307" s="514"/>
      <c r="AC307" s="514"/>
      <c r="AD307" s="1458" t="str">
        <f t="shared" si="1027"/>
        <v>-</v>
      </c>
      <c r="AE307" s="515"/>
      <c r="AF307" s="514"/>
      <c r="AG307" s="514"/>
      <c r="AH307" s="1458" t="str">
        <f t="shared" si="1028"/>
        <v>-</v>
      </c>
      <c r="AI307" s="1190">
        <f>+AM307+AQ307+AU307</f>
        <v>0</v>
      </c>
      <c r="AJ307" s="1191">
        <f>+AN307+AR307+AV307</f>
        <v>0</v>
      </c>
      <c r="AK307" s="1191">
        <f>+AO307+AS307+AW307</f>
        <v>0</v>
      </c>
      <c r="AL307" s="1860" t="str">
        <f t="shared" si="1029"/>
        <v>-</v>
      </c>
      <c r="AM307" s="515"/>
      <c r="AN307" s="514"/>
      <c r="AO307" s="514"/>
      <c r="AP307" s="1458" t="str">
        <f t="shared" si="1030"/>
        <v>-</v>
      </c>
      <c r="AQ307" s="515"/>
      <c r="AR307" s="514"/>
      <c r="AS307" s="514"/>
      <c r="AT307" s="1458" t="str">
        <f t="shared" si="1031"/>
        <v>-</v>
      </c>
      <c r="AU307" s="515"/>
      <c r="AV307" s="514"/>
      <c r="AW307" s="514"/>
      <c r="AX307" s="1458" t="str">
        <f t="shared" si="1032"/>
        <v>-</v>
      </c>
      <c r="AY307" s="509"/>
      <c r="AZ307" s="516"/>
      <c r="BA307" s="516"/>
      <c r="BB307" s="516"/>
    </row>
    <row r="308" spans="1:54" s="507" customFormat="1" ht="12.75" customHeight="1" thickBot="1">
      <c r="A308" s="548" t="s">
        <v>950</v>
      </c>
      <c r="B308" s="1204"/>
      <c r="C308" s="1321" t="s">
        <v>951</v>
      </c>
      <c r="D308" s="1322"/>
      <c r="E308" s="1322"/>
      <c r="F308" s="1323"/>
      <c r="G308" s="538">
        <f>SUM(G307)</f>
        <v>0</v>
      </c>
      <c r="H308" s="539">
        <f>SUM(H307)</f>
        <v>0</v>
      </c>
      <c r="I308" s="539">
        <f>SUM(I307)</f>
        <v>0</v>
      </c>
      <c r="J308" s="1459" t="str">
        <f t="shared" si="1022"/>
        <v>-</v>
      </c>
      <c r="K308" s="538">
        <f t="shared" ref="K308" si="1060">SUM(K307)</f>
        <v>0</v>
      </c>
      <c r="L308" s="539">
        <f t="shared" ref="L308:M308" si="1061">SUM(L307)</f>
        <v>0</v>
      </c>
      <c r="M308" s="539">
        <f t="shared" si="1061"/>
        <v>0</v>
      </c>
      <c r="N308" s="1459" t="str">
        <f t="shared" si="1023"/>
        <v>-</v>
      </c>
      <c r="O308" s="519">
        <f t="shared" ref="N308:AV308" si="1062">SUM(O307)</f>
        <v>0</v>
      </c>
      <c r="P308" s="368">
        <f t="shared" si="1062"/>
        <v>0</v>
      </c>
      <c r="Q308" s="368">
        <f t="shared" ref="P308:R308" si="1063">SUM(Q307)</f>
        <v>0</v>
      </c>
      <c r="R308" s="1459" t="str">
        <f t="shared" si="1024"/>
        <v>-</v>
      </c>
      <c r="S308" s="519">
        <f t="shared" si="1062"/>
        <v>0</v>
      </c>
      <c r="T308" s="368">
        <f t="shared" si="1062"/>
        <v>0</v>
      </c>
      <c r="U308" s="368">
        <f t="shared" ref="T308:V308" si="1064">SUM(U307)</f>
        <v>0</v>
      </c>
      <c r="V308" s="1459" t="str">
        <f t="shared" si="1025"/>
        <v>-</v>
      </c>
      <c r="W308" s="519">
        <f t="shared" si="1062"/>
        <v>0</v>
      </c>
      <c r="X308" s="368">
        <f t="shared" si="1062"/>
        <v>0</v>
      </c>
      <c r="Y308" s="368">
        <f t="shared" ref="X308:Z308" si="1065">SUM(Y307)</f>
        <v>0</v>
      </c>
      <c r="Z308" s="1459" t="str">
        <f t="shared" si="1026"/>
        <v>-</v>
      </c>
      <c r="AA308" s="519">
        <f t="shared" si="1062"/>
        <v>0</v>
      </c>
      <c r="AB308" s="368">
        <f t="shared" si="1062"/>
        <v>0</v>
      </c>
      <c r="AC308" s="368">
        <f t="shared" ref="AB308:AD308" si="1066">SUM(AC307)</f>
        <v>0</v>
      </c>
      <c r="AD308" s="1459" t="str">
        <f t="shared" si="1027"/>
        <v>-</v>
      </c>
      <c r="AE308" s="519">
        <f t="shared" si="1062"/>
        <v>0</v>
      </c>
      <c r="AF308" s="368">
        <f t="shared" si="1062"/>
        <v>0</v>
      </c>
      <c r="AG308" s="368">
        <f t="shared" ref="AF308:AH308" si="1067">SUM(AG307)</f>
        <v>0</v>
      </c>
      <c r="AH308" s="1459" t="str">
        <f t="shared" si="1028"/>
        <v>-</v>
      </c>
      <c r="AI308" s="538">
        <f t="shared" si="1062"/>
        <v>0</v>
      </c>
      <c r="AJ308" s="539">
        <f t="shared" ref="AJ308:AK308" si="1068">SUM(AJ307)</f>
        <v>0</v>
      </c>
      <c r="AK308" s="539">
        <f t="shared" si="1068"/>
        <v>0</v>
      </c>
      <c r="AL308" s="1459" t="str">
        <f t="shared" si="1029"/>
        <v>-</v>
      </c>
      <c r="AM308" s="519">
        <f t="shared" si="1062"/>
        <v>0</v>
      </c>
      <c r="AN308" s="368">
        <f t="shared" si="1062"/>
        <v>0</v>
      </c>
      <c r="AO308" s="368">
        <f t="shared" ref="AN308:AP308" si="1069">SUM(AO307)</f>
        <v>0</v>
      </c>
      <c r="AP308" s="1459" t="str">
        <f t="shared" si="1030"/>
        <v>-</v>
      </c>
      <c r="AQ308" s="519">
        <f t="shared" si="1062"/>
        <v>0</v>
      </c>
      <c r="AR308" s="368">
        <f t="shared" si="1062"/>
        <v>0</v>
      </c>
      <c r="AS308" s="368">
        <f t="shared" ref="AR308:AT308" si="1070">SUM(AS307)</f>
        <v>0</v>
      </c>
      <c r="AT308" s="1459" t="str">
        <f t="shared" si="1031"/>
        <v>-</v>
      </c>
      <c r="AU308" s="519">
        <f t="shared" si="1062"/>
        <v>0</v>
      </c>
      <c r="AV308" s="368">
        <f t="shared" si="1062"/>
        <v>0</v>
      </c>
      <c r="AW308" s="368">
        <f t="shared" ref="AV308:AX308" si="1071">SUM(AW307)</f>
        <v>0</v>
      </c>
      <c r="AX308" s="1459" t="str">
        <f t="shared" si="1032"/>
        <v>-</v>
      </c>
      <c r="AY308" s="510"/>
    </row>
    <row r="309" spans="1:54" s="516" customFormat="1" ht="12.75" customHeight="1" thickBot="1">
      <c r="A309" s="549" t="s">
        <v>560</v>
      </c>
      <c r="B309" s="1021"/>
      <c r="C309" s="1324" t="s">
        <v>925</v>
      </c>
      <c r="D309" s="1325"/>
      <c r="E309" s="1325"/>
      <c r="F309" s="1326"/>
      <c r="G309" s="521">
        <f>+G303+G306+G308</f>
        <v>13240</v>
      </c>
      <c r="H309" s="522">
        <f>+H303+H306+H308</f>
        <v>9589</v>
      </c>
      <c r="I309" s="522">
        <f>+I303+I306+I308</f>
        <v>9589</v>
      </c>
      <c r="J309" s="1869">
        <f t="shared" si="1022"/>
        <v>1</v>
      </c>
      <c r="K309" s="521">
        <f t="shared" ref="K309" si="1072">+K303+K306+K308</f>
        <v>13240</v>
      </c>
      <c r="L309" s="522">
        <f t="shared" ref="L309:M309" si="1073">+L303+L306+L308</f>
        <v>9589</v>
      </c>
      <c r="M309" s="522">
        <f t="shared" si="1073"/>
        <v>9589</v>
      </c>
      <c r="N309" s="1869">
        <f t="shared" si="1023"/>
        <v>1</v>
      </c>
      <c r="O309" s="521">
        <f t="shared" ref="N309:AV309" si="1074">+O303+O306+O308</f>
        <v>7729</v>
      </c>
      <c r="P309" s="532">
        <f t="shared" si="1074"/>
        <v>7870</v>
      </c>
      <c r="Q309" s="532">
        <f t="shared" ref="P309:R309" si="1075">+Q303+Q306+Q308</f>
        <v>7870</v>
      </c>
      <c r="R309" s="1869">
        <f t="shared" si="1024"/>
        <v>1</v>
      </c>
      <c r="S309" s="521">
        <f t="shared" si="1074"/>
        <v>1213</v>
      </c>
      <c r="T309" s="532">
        <f t="shared" si="1074"/>
        <v>1290</v>
      </c>
      <c r="U309" s="532">
        <f t="shared" ref="T309:V309" si="1076">+U303+U306+U308</f>
        <v>1290</v>
      </c>
      <c r="V309" s="1869">
        <f t="shared" si="1025"/>
        <v>1</v>
      </c>
      <c r="W309" s="521">
        <f t="shared" si="1074"/>
        <v>810</v>
      </c>
      <c r="X309" s="532">
        <f t="shared" si="1074"/>
        <v>417</v>
      </c>
      <c r="Y309" s="532">
        <f t="shared" ref="X309:Z309" si="1077">+Y303+Y306+Y308</f>
        <v>417</v>
      </c>
      <c r="Z309" s="1869">
        <f t="shared" si="1026"/>
        <v>1</v>
      </c>
      <c r="AA309" s="521">
        <f t="shared" si="1074"/>
        <v>0</v>
      </c>
      <c r="AB309" s="532">
        <f t="shared" si="1074"/>
        <v>0</v>
      </c>
      <c r="AC309" s="532">
        <f t="shared" ref="AB309:AD309" si="1078">+AC303+AC306+AC308</f>
        <v>0</v>
      </c>
      <c r="AD309" s="1869" t="str">
        <f t="shared" si="1027"/>
        <v>-</v>
      </c>
      <c r="AE309" s="521">
        <f t="shared" si="1074"/>
        <v>3488</v>
      </c>
      <c r="AF309" s="532">
        <f t="shared" si="1074"/>
        <v>12</v>
      </c>
      <c r="AG309" s="532">
        <f t="shared" ref="AF309:AH309" si="1079">+AG303+AG306+AG308</f>
        <v>12</v>
      </c>
      <c r="AH309" s="1869">
        <f t="shared" si="1028"/>
        <v>1</v>
      </c>
      <c r="AI309" s="521">
        <f t="shared" si="1074"/>
        <v>0</v>
      </c>
      <c r="AJ309" s="522">
        <f t="shared" ref="AJ309:AK309" si="1080">+AJ303+AJ306+AJ308</f>
        <v>0</v>
      </c>
      <c r="AK309" s="522">
        <f t="shared" si="1080"/>
        <v>0</v>
      </c>
      <c r="AL309" s="1869" t="str">
        <f t="shared" si="1029"/>
        <v>-</v>
      </c>
      <c r="AM309" s="521">
        <f t="shared" si="1074"/>
        <v>0</v>
      </c>
      <c r="AN309" s="532">
        <f t="shared" si="1074"/>
        <v>0</v>
      </c>
      <c r="AO309" s="532">
        <f t="shared" ref="AN309:AP309" si="1081">+AO303+AO306+AO308</f>
        <v>0</v>
      </c>
      <c r="AP309" s="1869" t="str">
        <f t="shared" si="1030"/>
        <v>-</v>
      </c>
      <c r="AQ309" s="521">
        <f t="shared" si="1074"/>
        <v>0</v>
      </c>
      <c r="AR309" s="532">
        <f t="shared" si="1074"/>
        <v>0</v>
      </c>
      <c r="AS309" s="532">
        <f t="shared" ref="AR309:AT309" si="1082">+AS303+AS306+AS308</f>
        <v>0</v>
      </c>
      <c r="AT309" s="1869" t="str">
        <f t="shared" si="1031"/>
        <v>-</v>
      </c>
      <c r="AU309" s="521">
        <f t="shared" si="1074"/>
        <v>0</v>
      </c>
      <c r="AV309" s="532">
        <f t="shared" si="1074"/>
        <v>0</v>
      </c>
      <c r="AW309" s="532">
        <f t="shared" ref="AV309:AX309" si="1083">+AW303+AW306+AW308</f>
        <v>0</v>
      </c>
      <c r="AX309" s="1869" t="str">
        <f t="shared" si="1032"/>
        <v>-</v>
      </c>
      <c r="AY309" s="838"/>
      <c r="AZ309" s="507"/>
      <c r="BA309" s="507"/>
      <c r="BB309" s="507"/>
    </row>
    <row r="310" spans="1:54" s="507" customFormat="1" ht="12.75" customHeight="1" thickBot="1">
      <c r="A310" s="548"/>
      <c r="B310" s="1211"/>
      <c r="C310" s="356"/>
      <c r="D310" s="547"/>
      <c r="E310" s="518"/>
      <c r="F310" s="517"/>
      <c r="G310" s="538"/>
      <c r="H310" s="539"/>
      <c r="I310" s="539"/>
      <c r="J310" s="437"/>
      <c r="K310" s="538"/>
      <c r="L310" s="539"/>
      <c r="M310" s="539"/>
      <c r="N310" s="437"/>
      <c r="O310" s="529"/>
      <c r="P310" s="368"/>
      <c r="Q310" s="368"/>
      <c r="R310" s="437"/>
      <c r="S310" s="529"/>
      <c r="T310" s="368"/>
      <c r="U310" s="368"/>
      <c r="V310" s="437"/>
      <c r="W310" s="529"/>
      <c r="X310" s="368"/>
      <c r="Y310" s="368"/>
      <c r="Z310" s="437"/>
      <c r="AA310" s="529"/>
      <c r="AB310" s="368"/>
      <c r="AC310" s="368"/>
      <c r="AD310" s="437"/>
      <c r="AE310" s="529"/>
      <c r="AF310" s="368"/>
      <c r="AG310" s="368"/>
      <c r="AH310" s="437"/>
      <c r="AI310" s="538"/>
      <c r="AJ310" s="539"/>
      <c r="AK310" s="539"/>
      <c r="AL310" s="437"/>
      <c r="AM310" s="529"/>
      <c r="AN310" s="368"/>
      <c r="AO310" s="368"/>
      <c r="AP310" s="437"/>
      <c r="AQ310" s="529"/>
      <c r="AR310" s="368"/>
      <c r="AS310" s="368"/>
      <c r="AT310" s="437"/>
      <c r="AU310" s="529"/>
      <c r="AV310" s="368"/>
      <c r="AW310" s="368"/>
      <c r="AX310" s="437"/>
      <c r="AY310" s="510"/>
      <c r="AZ310" s="302"/>
      <c r="BA310" s="302"/>
      <c r="BB310" s="302"/>
    </row>
    <row r="311" spans="1:54">
      <c r="A311" s="552">
        <f>+A307+1</f>
        <v>116</v>
      </c>
      <c r="B311" s="1019">
        <v>32</v>
      </c>
      <c r="C311" s="425" t="s">
        <v>1108</v>
      </c>
      <c r="D311" s="979" t="s">
        <v>1109</v>
      </c>
      <c r="E311" s="974" t="s">
        <v>1110</v>
      </c>
      <c r="F311" s="1005" t="s">
        <v>1111</v>
      </c>
      <c r="G311" s="1184">
        <f t="shared" ref="G311:J315" si="1084">+K311+AI311</f>
        <v>0</v>
      </c>
      <c r="H311" s="1185">
        <f t="shared" si="1084"/>
        <v>0</v>
      </c>
      <c r="I311" s="1185">
        <f t="shared" si="1084"/>
        <v>0</v>
      </c>
      <c r="J311" s="1860" t="str">
        <f t="shared" ref="J311:J321" si="1085">IF(ISERROR(I311/H311),"-",I311/H311)</f>
        <v>-</v>
      </c>
      <c r="K311" s="1184">
        <f t="shared" ref="K311:N315" si="1086">+O311+S311+W311+AA311+AE311</f>
        <v>0</v>
      </c>
      <c r="L311" s="1185">
        <f t="shared" si="1086"/>
        <v>0</v>
      </c>
      <c r="M311" s="1185">
        <f t="shared" si="1086"/>
        <v>0</v>
      </c>
      <c r="N311" s="1860" t="str">
        <f t="shared" ref="N311:N321" si="1087">IF(ISERROR(M311/L311),"-",M311/L311)</f>
        <v>-</v>
      </c>
      <c r="O311" s="1009"/>
      <c r="P311" s="1010"/>
      <c r="Q311" s="1010"/>
      <c r="R311" s="1458" t="str">
        <f t="shared" ref="R311:R321" si="1088">IF(ISERROR(Q311/P311),"-",Q311/P311)</f>
        <v>-</v>
      </c>
      <c r="S311" s="1009"/>
      <c r="T311" s="1010"/>
      <c r="U311" s="1010"/>
      <c r="V311" s="1458" t="str">
        <f t="shared" ref="V311:V321" si="1089">IF(ISERROR(U311/T311),"-",U311/T311)</f>
        <v>-</v>
      </c>
      <c r="W311" s="1009"/>
      <c r="X311" s="1010"/>
      <c r="Y311" s="1010"/>
      <c r="Z311" s="1458" t="str">
        <f t="shared" ref="Z311:Z321" si="1090">IF(ISERROR(Y311/X311),"-",Y311/X311)</f>
        <v>-</v>
      </c>
      <c r="AA311" s="1009"/>
      <c r="AB311" s="1010"/>
      <c r="AC311" s="1010"/>
      <c r="AD311" s="1458" t="str">
        <f t="shared" ref="AD311:AD321" si="1091">IF(ISERROR(AC311/AB311),"-",AC311/AB311)</f>
        <v>-</v>
      </c>
      <c r="AE311" s="1009"/>
      <c r="AF311" s="1010"/>
      <c r="AG311" s="1010"/>
      <c r="AH311" s="1458" t="str">
        <f t="shared" ref="AH311:AH321" si="1092">IF(ISERROR(AG311/AF311),"-",AG311/AF311)</f>
        <v>-</v>
      </c>
      <c r="AI311" s="1184">
        <f t="shared" ref="AI311:AL315" si="1093">+AM311+AQ311+AU311</f>
        <v>0</v>
      </c>
      <c r="AJ311" s="1185">
        <f t="shared" si="1093"/>
        <v>0</v>
      </c>
      <c r="AK311" s="1185">
        <f t="shared" si="1093"/>
        <v>0</v>
      </c>
      <c r="AL311" s="1860" t="str">
        <f t="shared" ref="AL311:AL321" si="1094">IF(ISERROR(AK311/AJ311),"-",AK311/AJ311)</f>
        <v>-</v>
      </c>
      <c r="AM311" s="1009"/>
      <c r="AN311" s="1010"/>
      <c r="AO311" s="1010"/>
      <c r="AP311" s="1458" t="str">
        <f t="shared" ref="AP311:AP321" si="1095">IF(ISERROR(AO311/AN311),"-",AO311/AN311)</f>
        <v>-</v>
      </c>
      <c r="AQ311" s="1009"/>
      <c r="AR311" s="1010"/>
      <c r="AS311" s="1010"/>
      <c r="AT311" s="1458" t="str">
        <f t="shared" ref="AT311:AT321" si="1096">IF(ISERROR(AS311/AR311),"-",AS311/AR311)</f>
        <v>-</v>
      </c>
      <c r="AU311" s="1009"/>
      <c r="AV311" s="1010"/>
      <c r="AW311" s="1010"/>
      <c r="AX311" s="1458" t="str">
        <f t="shared" ref="AX311:AX321" si="1097">IF(ISERROR(AW311/AV311),"-",AW311/AV311)</f>
        <v>-</v>
      </c>
      <c r="AY311" s="509"/>
    </row>
    <row r="312" spans="1:54">
      <c r="A312" s="552">
        <f>+A311+1</f>
        <v>117</v>
      </c>
      <c r="B312" s="1019">
        <v>32</v>
      </c>
      <c r="C312" s="425" t="s">
        <v>1108</v>
      </c>
      <c r="D312" s="979" t="s">
        <v>1109</v>
      </c>
      <c r="E312" s="974" t="s">
        <v>1113</v>
      </c>
      <c r="F312" s="1005" t="s">
        <v>1112</v>
      </c>
      <c r="G312" s="1184">
        <f t="shared" si="1084"/>
        <v>24572</v>
      </c>
      <c r="H312" s="1185">
        <f t="shared" si="1084"/>
        <v>25281</v>
      </c>
      <c r="I312" s="1185">
        <f t="shared" si="1084"/>
        <v>25281</v>
      </c>
      <c r="J312" s="1860">
        <f t="shared" si="1085"/>
        <v>1</v>
      </c>
      <c r="K312" s="1184">
        <f t="shared" si="1086"/>
        <v>24572</v>
      </c>
      <c r="L312" s="1185">
        <f t="shared" si="1086"/>
        <v>25281</v>
      </c>
      <c r="M312" s="1185">
        <f t="shared" si="1086"/>
        <v>25281</v>
      </c>
      <c r="N312" s="1860">
        <f t="shared" si="1087"/>
        <v>1</v>
      </c>
      <c r="O312" s="1009">
        <v>19455</v>
      </c>
      <c r="P312" s="1010">
        <v>21059</v>
      </c>
      <c r="Q312" s="1010">
        <v>21059</v>
      </c>
      <c r="R312" s="1458">
        <f t="shared" si="1088"/>
        <v>1</v>
      </c>
      <c r="S312" s="1013">
        <v>3760</v>
      </c>
      <c r="T312" s="1010">
        <v>4005</v>
      </c>
      <c r="U312" s="1010">
        <v>4005</v>
      </c>
      <c r="V312" s="1458">
        <f t="shared" si="1089"/>
        <v>1</v>
      </c>
      <c r="W312" s="1013">
        <v>1357</v>
      </c>
      <c r="X312" s="1010">
        <v>217</v>
      </c>
      <c r="Y312" s="1010">
        <v>217</v>
      </c>
      <c r="Z312" s="1458">
        <f t="shared" si="1090"/>
        <v>1</v>
      </c>
      <c r="AA312" s="1013"/>
      <c r="AB312" s="1010"/>
      <c r="AC312" s="1010"/>
      <c r="AD312" s="1458" t="str">
        <f t="shared" si="1091"/>
        <v>-</v>
      </c>
      <c r="AE312" s="1013"/>
      <c r="AF312" s="1010"/>
      <c r="AG312" s="1010"/>
      <c r="AH312" s="1458" t="str">
        <f t="shared" si="1092"/>
        <v>-</v>
      </c>
      <c r="AI312" s="1184">
        <f t="shared" si="1093"/>
        <v>0</v>
      </c>
      <c r="AJ312" s="1185">
        <f t="shared" si="1093"/>
        <v>0</v>
      </c>
      <c r="AK312" s="1185">
        <f t="shared" si="1093"/>
        <v>0</v>
      </c>
      <c r="AL312" s="1860" t="str">
        <f t="shared" si="1094"/>
        <v>-</v>
      </c>
      <c r="AM312" s="1013"/>
      <c r="AN312" s="1010"/>
      <c r="AO312" s="1010"/>
      <c r="AP312" s="1458" t="str">
        <f t="shared" si="1095"/>
        <v>-</v>
      </c>
      <c r="AQ312" s="1013"/>
      <c r="AR312" s="1010"/>
      <c r="AS312" s="1010"/>
      <c r="AT312" s="1458" t="str">
        <f t="shared" si="1096"/>
        <v>-</v>
      </c>
      <c r="AU312" s="1013"/>
      <c r="AV312" s="1010"/>
      <c r="AW312" s="1010"/>
      <c r="AX312" s="1458" t="str">
        <f t="shared" si="1097"/>
        <v>-</v>
      </c>
      <c r="AY312" s="509"/>
    </row>
    <row r="313" spans="1:54">
      <c r="A313" s="552">
        <f>+A312+1</f>
        <v>118</v>
      </c>
      <c r="B313" s="1019">
        <v>32</v>
      </c>
      <c r="C313" s="425" t="s">
        <v>1115</v>
      </c>
      <c r="D313" s="979" t="s">
        <v>1114</v>
      </c>
      <c r="E313" s="974" t="s">
        <v>1110</v>
      </c>
      <c r="F313" s="1005" t="s">
        <v>1111</v>
      </c>
      <c r="G313" s="1184">
        <f t="shared" si="1084"/>
        <v>26639</v>
      </c>
      <c r="H313" s="1185">
        <f t="shared" si="1084"/>
        <v>43492</v>
      </c>
      <c r="I313" s="1185">
        <f t="shared" si="1084"/>
        <v>43472</v>
      </c>
      <c r="J313" s="1860">
        <f t="shared" si="1085"/>
        <v>0.99954014531408075</v>
      </c>
      <c r="K313" s="1184">
        <f t="shared" si="1086"/>
        <v>26639</v>
      </c>
      <c r="L313" s="1185">
        <f t="shared" si="1086"/>
        <v>33301</v>
      </c>
      <c r="M313" s="1185">
        <f t="shared" si="1086"/>
        <v>33281</v>
      </c>
      <c r="N313" s="1860">
        <f t="shared" si="1087"/>
        <v>0.9993994174349119</v>
      </c>
      <c r="O313" s="1009">
        <v>18426</v>
      </c>
      <c r="P313" s="1010">
        <v>24670</v>
      </c>
      <c r="Q313" s="1010">
        <v>24670</v>
      </c>
      <c r="R313" s="1458">
        <f t="shared" si="1088"/>
        <v>1</v>
      </c>
      <c r="S313" s="1013">
        <v>3556</v>
      </c>
      <c r="T313" s="1010">
        <v>4755</v>
      </c>
      <c r="U313" s="1010">
        <v>4755</v>
      </c>
      <c r="V313" s="1458">
        <f t="shared" si="1089"/>
        <v>1</v>
      </c>
      <c r="W313" s="1013">
        <v>4657</v>
      </c>
      <c r="X313" s="1010">
        <f>3856+20</f>
        <v>3876</v>
      </c>
      <c r="Y313" s="1010">
        <v>3856</v>
      </c>
      <c r="Z313" s="1458">
        <f t="shared" si="1090"/>
        <v>0.99484004127966974</v>
      </c>
      <c r="AA313" s="1013"/>
      <c r="AB313" s="1010"/>
      <c r="AC313" s="1010"/>
      <c r="AD313" s="1458" t="str">
        <f t="shared" si="1091"/>
        <v>-</v>
      </c>
      <c r="AE313" s="1013"/>
      <c r="AF313" s="1010"/>
      <c r="AG313" s="1010"/>
      <c r="AH313" s="1458" t="str">
        <f t="shared" si="1092"/>
        <v>-</v>
      </c>
      <c r="AI313" s="1184">
        <f t="shared" si="1093"/>
        <v>0</v>
      </c>
      <c r="AJ313" s="1185">
        <f t="shared" si="1093"/>
        <v>10191</v>
      </c>
      <c r="AK313" s="1185">
        <f t="shared" si="1093"/>
        <v>10191</v>
      </c>
      <c r="AL313" s="1860">
        <f t="shared" si="1094"/>
        <v>1</v>
      </c>
      <c r="AM313" s="1013"/>
      <c r="AN313" s="1010">
        <v>10191</v>
      </c>
      <c r="AO313" s="1010">
        <v>10191</v>
      </c>
      <c r="AP313" s="1458">
        <f t="shared" si="1095"/>
        <v>1</v>
      </c>
      <c r="AQ313" s="1013"/>
      <c r="AR313" s="1010"/>
      <c r="AS313" s="1010"/>
      <c r="AT313" s="1458" t="str">
        <f t="shared" si="1096"/>
        <v>-</v>
      </c>
      <c r="AU313" s="1013"/>
      <c r="AV313" s="1010"/>
      <c r="AW313" s="1010"/>
      <c r="AX313" s="1458" t="str">
        <f t="shared" si="1097"/>
        <v>-</v>
      </c>
      <c r="AY313" s="509"/>
    </row>
    <row r="314" spans="1:54" s="516" customFormat="1">
      <c r="A314" s="552">
        <f>+A313+1</f>
        <v>119</v>
      </c>
      <c r="B314" s="1019">
        <v>32</v>
      </c>
      <c r="C314" s="425" t="s">
        <v>1115</v>
      </c>
      <c r="D314" s="979" t="s">
        <v>1114</v>
      </c>
      <c r="E314" s="974" t="s">
        <v>1113</v>
      </c>
      <c r="F314" s="1005" t="s">
        <v>1112</v>
      </c>
      <c r="G314" s="1184">
        <f t="shared" si="1084"/>
        <v>0</v>
      </c>
      <c r="H314" s="1185">
        <f t="shared" si="1084"/>
        <v>0</v>
      </c>
      <c r="I314" s="1185">
        <f t="shared" si="1084"/>
        <v>0</v>
      </c>
      <c r="J314" s="1860" t="str">
        <f t="shared" si="1085"/>
        <v>-</v>
      </c>
      <c r="K314" s="1184">
        <f t="shared" si="1086"/>
        <v>0</v>
      </c>
      <c r="L314" s="1185">
        <f t="shared" si="1086"/>
        <v>0</v>
      </c>
      <c r="M314" s="1185">
        <f t="shared" si="1086"/>
        <v>0</v>
      </c>
      <c r="N314" s="1860" t="str">
        <f t="shared" si="1087"/>
        <v>-</v>
      </c>
      <c r="O314" s="1009"/>
      <c r="P314" s="1010"/>
      <c r="Q314" s="1010"/>
      <c r="R314" s="1458" t="str">
        <f t="shared" si="1088"/>
        <v>-</v>
      </c>
      <c r="S314" s="1013"/>
      <c r="T314" s="1010"/>
      <c r="U314" s="1010"/>
      <c r="V314" s="1458" t="str">
        <f t="shared" si="1089"/>
        <v>-</v>
      </c>
      <c r="W314" s="1013"/>
      <c r="X314" s="1010"/>
      <c r="Y314" s="1010"/>
      <c r="Z314" s="1458" t="str">
        <f t="shared" si="1090"/>
        <v>-</v>
      </c>
      <c r="AA314" s="1013"/>
      <c r="AB314" s="1010"/>
      <c r="AC314" s="1010"/>
      <c r="AD314" s="1458" t="str">
        <f t="shared" si="1091"/>
        <v>-</v>
      </c>
      <c r="AE314" s="1013"/>
      <c r="AF314" s="1010"/>
      <c r="AG314" s="1010"/>
      <c r="AH314" s="1458" t="str">
        <f t="shared" si="1092"/>
        <v>-</v>
      </c>
      <c r="AI314" s="1184">
        <f t="shared" si="1093"/>
        <v>0</v>
      </c>
      <c r="AJ314" s="1185">
        <f t="shared" si="1093"/>
        <v>0</v>
      </c>
      <c r="AK314" s="1185">
        <f t="shared" si="1093"/>
        <v>0</v>
      </c>
      <c r="AL314" s="1860" t="str">
        <f t="shared" si="1094"/>
        <v>-</v>
      </c>
      <c r="AM314" s="1013"/>
      <c r="AN314" s="1010"/>
      <c r="AO314" s="1010"/>
      <c r="AP314" s="1458" t="str">
        <f t="shared" si="1095"/>
        <v>-</v>
      </c>
      <c r="AQ314" s="1013"/>
      <c r="AR314" s="1010"/>
      <c r="AS314" s="1010"/>
      <c r="AT314" s="1458" t="str">
        <f t="shared" si="1096"/>
        <v>-</v>
      </c>
      <c r="AU314" s="1013"/>
      <c r="AV314" s="1010"/>
      <c r="AW314" s="1010"/>
      <c r="AX314" s="1458" t="str">
        <f t="shared" si="1097"/>
        <v>-</v>
      </c>
      <c r="AY314" s="509"/>
      <c r="AZ314" s="302"/>
      <c r="BA314" s="302"/>
      <c r="BB314" s="302"/>
    </row>
    <row r="315" spans="1:54" s="516" customFormat="1" ht="12.75" thickBot="1">
      <c r="A315" s="552">
        <f>+A314+1</f>
        <v>120</v>
      </c>
      <c r="B315" s="1019">
        <v>32</v>
      </c>
      <c r="C315" s="425" t="s">
        <v>1081</v>
      </c>
      <c r="D315" s="979" t="s">
        <v>1082</v>
      </c>
      <c r="E315" s="974" t="s">
        <v>1110</v>
      </c>
      <c r="F315" s="1005" t="s">
        <v>1111</v>
      </c>
      <c r="G315" s="1184">
        <f t="shared" si="1084"/>
        <v>0</v>
      </c>
      <c r="H315" s="1185">
        <f t="shared" si="1084"/>
        <v>44</v>
      </c>
      <c r="I315" s="1185">
        <f t="shared" si="1084"/>
        <v>44</v>
      </c>
      <c r="J315" s="1860">
        <f t="shared" si="1085"/>
        <v>1</v>
      </c>
      <c r="K315" s="1184">
        <f t="shared" si="1086"/>
        <v>0</v>
      </c>
      <c r="L315" s="1185">
        <f t="shared" si="1086"/>
        <v>44</v>
      </c>
      <c r="M315" s="1185">
        <f t="shared" si="1086"/>
        <v>44</v>
      </c>
      <c r="N315" s="1860">
        <f t="shared" si="1087"/>
        <v>1</v>
      </c>
      <c r="O315" s="1009"/>
      <c r="P315" s="1010"/>
      <c r="Q315" s="1010"/>
      <c r="R315" s="1458" t="str">
        <f t="shared" si="1088"/>
        <v>-</v>
      </c>
      <c r="S315" s="1013"/>
      <c r="T315" s="1010"/>
      <c r="U315" s="1010"/>
      <c r="V315" s="1458" t="str">
        <f t="shared" si="1089"/>
        <v>-</v>
      </c>
      <c r="W315" s="1013"/>
      <c r="X315" s="1010"/>
      <c r="Y315" s="1010"/>
      <c r="Z315" s="1458" t="str">
        <f t="shared" si="1090"/>
        <v>-</v>
      </c>
      <c r="AA315" s="1013"/>
      <c r="AB315" s="1010"/>
      <c r="AC315" s="1010"/>
      <c r="AD315" s="1458" t="str">
        <f t="shared" si="1091"/>
        <v>-</v>
      </c>
      <c r="AE315" s="1013"/>
      <c r="AF315" s="1010">
        <v>44</v>
      </c>
      <c r="AG315" s="1010">
        <v>44</v>
      </c>
      <c r="AH315" s="1458">
        <f t="shared" si="1092"/>
        <v>1</v>
      </c>
      <c r="AI315" s="1184">
        <f t="shared" si="1093"/>
        <v>0</v>
      </c>
      <c r="AJ315" s="1185">
        <f t="shared" si="1093"/>
        <v>0</v>
      </c>
      <c r="AK315" s="1185">
        <f t="shared" si="1093"/>
        <v>0</v>
      </c>
      <c r="AL315" s="1860" t="str">
        <f t="shared" si="1094"/>
        <v>-</v>
      </c>
      <c r="AM315" s="1013"/>
      <c r="AN315" s="1010"/>
      <c r="AO315" s="1010"/>
      <c r="AP315" s="1458" t="str">
        <f t="shared" si="1095"/>
        <v>-</v>
      </c>
      <c r="AQ315" s="1013"/>
      <c r="AR315" s="1010"/>
      <c r="AS315" s="1010"/>
      <c r="AT315" s="1458" t="str">
        <f t="shared" si="1096"/>
        <v>-</v>
      </c>
      <c r="AU315" s="1013"/>
      <c r="AV315" s="1010"/>
      <c r="AW315" s="1010"/>
      <c r="AX315" s="1458" t="str">
        <f t="shared" si="1097"/>
        <v>-</v>
      </c>
      <c r="AY315" s="509"/>
      <c r="AZ315" s="302"/>
      <c r="BA315" s="302"/>
      <c r="BB315" s="302"/>
    </row>
    <row r="316" spans="1:54" s="507" customFormat="1" ht="12.75" customHeight="1" thickBot="1">
      <c r="A316" s="548" t="s">
        <v>1258</v>
      </c>
      <c r="B316" s="1204"/>
      <c r="C316" s="1321" t="s">
        <v>1203</v>
      </c>
      <c r="D316" s="1322"/>
      <c r="E316" s="1322"/>
      <c r="F316" s="1323"/>
      <c r="G316" s="538">
        <f t="shared" ref="G316" si="1098">SUM(G311:G315)</f>
        <v>51211</v>
      </c>
      <c r="H316" s="539">
        <f t="shared" ref="H316:I316" si="1099">SUM(H311:H315)</f>
        <v>68817</v>
      </c>
      <c r="I316" s="539">
        <f t="shared" si="1099"/>
        <v>68797</v>
      </c>
      <c r="J316" s="1459">
        <f t="shared" si="1085"/>
        <v>0.99970937413720451</v>
      </c>
      <c r="K316" s="538">
        <f t="shared" ref="J316:AV316" si="1100">SUM(K311:K315)</f>
        <v>51211</v>
      </c>
      <c r="L316" s="539">
        <f t="shared" ref="L316:M316" si="1101">SUM(L311:L315)</f>
        <v>58626</v>
      </c>
      <c r="M316" s="539">
        <f t="shared" si="1101"/>
        <v>58606</v>
      </c>
      <c r="N316" s="1459">
        <f t="shared" si="1087"/>
        <v>0.99965885443318669</v>
      </c>
      <c r="O316" s="519">
        <f t="shared" si="1100"/>
        <v>37881</v>
      </c>
      <c r="P316" s="368">
        <f t="shared" si="1100"/>
        <v>45729</v>
      </c>
      <c r="Q316" s="368">
        <f t="shared" ref="Q316:R316" si="1102">SUM(Q311:Q315)</f>
        <v>45729</v>
      </c>
      <c r="R316" s="1459">
        <f t="shared" si="1088"/>
        <v>1</v>
      </c>
      <c r="S316" s="519">
        <f t="shared" si="1100"/>
        <v>7316</v>
      </c>
      <c r="T316" s="368">
        <f t="shared" si="1100"/>
        <v>8760</v>
      </c>
      <c r="U316" s="368">
        <f t="shared" ref="U316:V316" si="1103">SUM(U311:U315)</f>
        <v>8760</v>
      </c>
      <c r="V316" s="1459">
        <f t="shared" si="1089"/>
        <v>1</v>
      </c>
      <c r="W316" s="519">
        <f t="shared" si="1100"/>
        <v>6014</v>
      </c>
      <c r="X316" s="368">
        <f t="shared" si="1100"/>
        <v>4093</v>
      </c>
      <c r="Y316" s="368">
        <f t="shared" ref="Y316:Z316" si="1104">SUM(Y311:Y315)</f>
        <v>4073</v>
      </c>
      <c r="Z316" s="1459">
        <f t="shared" si="1090"/>
        <v>0.99511360860004883</v>
      </c>
      <c r="AA316" s="519">
        <f t="shared" si="1100"/>
        <v>0</v>
      </c>
      <c r="AB316" s="368">
        <f t="shared" si="1100"/>
        <v>0</v>
      </c>
      <c r="AC316" s="368">
        <f t="shared" ref="AC316:AD316" si="1105">SUM(AC311:AC315)</f>
        <v>0</v>
      </c>
      <c r="AD316" s="1459" t="str">
        <f t="shared" si="1091"/>
        <v>-</v>
      </c>
      <c r="AE316" s="519">
        <f t="shared" si="1100"/>
        <v>0</v>
      </c>
      <c r="AF316" s="368">
        <f t="shared" si="1100"/>
        <v>44</v>
      </c>
      <c r="AG316" s="368">
        <f t="shared" ref="AG316:AH316" si="1106">SUM(AG311:AG315)</f>
        <v>44</v>
      </c>
      <c r="AH316" s="1459">
        <f t="shared" si="1092"/>
        <v>1</v>
      </c>
      <c r="AI316" s="538">
        <f t="shared" si="1100"/>
        <v>0</v>
      </c>
      <c r="AJ316" s="539">
        <f t="shared" ref="AJ316:AK316" si="1107">SUM(AJ311:AJ315)</f>
        <v>10191</v>
      </c>
      <c r="AK316" s="539">
        <f t="shared" si="1107"/>
        <v>10191</v>
      </c>
      <c r="AL316" s="1459">
        <f t="shared" si="1094"/>
        <v>1</v>
      </c>
      <c r="AM316" s="519">
        <f t="shared" si="1100"/>
        <v>0</v>
      </c>
      <c r="AN316" s="368">
        <f t="shared" si="1100"/>
        <v>10191</v>
      </c>
      <c r="AO316" s="368">
        <f t="shared" ref="AO316:AP316" si="1108">SUM(AO311:AO315)</f>
        <v>10191</v>
      </c>
      <c r="AP316" s="1459">
        <f t="shared" si="1095"/>
        <v>1</v>
      </c>
      <c r="AQ316" s="519">
        <f t="shared" si="1100"/>
        <v>0</v>
      </c>
      <c r="AR316" s="368">
        <f t="shared" si="1100"/>
        <v>0</v>
      </c>
      <c r="AS316" s="368">
        <f t="shared" ref="AS316:AT316" si="1109">SUM(AS311:AS315)</f>
        <v>0</v>
      </c>
      <c r="AT316" s="1459" t="str">
        <f t="shared" si="1096"/>
        <v>-</v>
      </c>
      <c r="AU316" s="519">
        <f t="shared" si="1100"/>
        <v>0</v>
      </c>
      <c r="AV316" s="368">
        <f t="shared" si="1100"/>
        <v>0</v>
      </c>
      <c r="AW316" s="368">
        <f t="shared" ref="AW316:AX316" si="1110">SUM(AW311:AW315)</f>
        <v>0</v>
      </c>
      <c r="AX316" s="1459" t="str">
        <f t="shared" si="1097"/>
        <v>-</v>
      </c>
      <c r="AY316" s="510"/>
      <c r="AZ316" s="302"/>
      <c r="BA316" s="302"/>
      <c r="BB316" s="302"/>
    </row>
    <row r="317" spans="1:54" ht="12.75" customHeight="1" thickBot="1">
      <c r="A317" s="554">
        <f>A315+1</f>
        <v>121</v>
      </c>
      <c r="B317" s="1024">
        <v>33</v>
      </c>
      <c r="C317" s="439" t="s">
        <v>19</v>
      </c>
      <c r="D317" s="545" t="s">
        <v>19</v>
      </c>
      <c r="E317" s="534" t="s">
        <v>19</v>
      </c>
      <c r="F317" s="1007" t="s">
        <v>19</v>
      </c>
      <c r="G317" s="1190">
        <f>+K317+AI317</f>
        <v>0</v>
      </c>
      <c r="H317" s="1191">
        <f>+L317+AJ317</f>
        <v>0</v>
      </c>
      <c r="I317" s="1191">
        <f>+M317+AK317</f>
        <v>0</v>
      </c>
      <c r="J317" s="1860" t="str">
        <f t="shared" si="1085"/>
        <v>-</v>
      </c>
      <c r="K317" s="1190">
        <f>+O317+S317+W317+AA317+AE317</f>
        <v>0</v>
      </c>
      <c r="L317" s="1191">
        <f>+P317+T317+X317+AB317+AF317</f>
        <v>0</v>
      </c>
      <c r="M317" s="1191">
        <f>+Q317+U317+Y317+AC317+AG317</f>
        <v>0</v>
      </c>
      <c r="N317" s="1860" t="str">
        <f t="shared" si="1087"/>
        <v>-</v>
      </c>
      <c r="O317" s="515"/>
      <c r="P317" s="514"/>
      <c r="Q317" s="514"/>
      <c r="R317" s="1458" t="str">
        <f t="shared" si="1088"/>
        <v>-</v>
      </c>
      <c r="S317" s="515"/>
      <c r="T317" s="514"/>
      <c r="U317" s="514"/>
      <c r="V317" s="1458" t="str">
        <f t="shared" si="1089"/>
        <v>-</v>
      </c>
      <c r="W317" s="515"/>
      <c r="X317" s="514"/>
      <c r="Y317" s="514"/>
      <c r="Z317" s="1458" t="str">
        <f t="shared" si="1090"/>
        <v>-</v>
      </c>
      <c r="AA317" s="515"/>
      <c r="AB317" s="514"/>
      <c r="AC317" s="514"/>
      <c r="AD317" s="1458" t="str">
        <f t="shared" si="1091"/>
        <v>-</v>
      </c>
      <c r="AE317" s="515"/>
      <c r="AF317" s="514"/>
      <c r="AG317" s="514"/>
      <c r="AH317" s="1458" t="str">
        <f t="shared" si="1092"/>
        <v>-</v>
      </c>
      <c r="AI317" s="1190">
        <f>+AM317+AQ317+AU317</f>
        <v>0</v>
      </c>
      <c r="AJ317" s="1191">
        <f>+AN317+AR317+AV317</f>
        <v>0</v>
      </c>
      <c r="AK317" s="1191">
        <f>+AO317+AS317+AW317</f>
        <v>0</v>
      </c>
      <c r="AL317" s="1860" t="str">
        <f t="shared" si="1094"/>
        <v>-</v>
      </c>
      <c r="AM317" s="515"/>
      <c r="AN317" s="514"/>
      <c r="AO317" s="514"/>
      <c r="AP317" s="1458" t="str">
        <f t="shared" si="1095"/>
        <v>-</v>
      </c>
      <c r="AQ317" s="515"/>
      <c r="AR317" s="514"/>
      <c r="AS317" s="514"/>
      <c r="AT317" s="1458" t="str">
        <f t="shared" si="1096"/>
        <v>-</v>
      </c>
      <c r="AU317" s="515"/>
      <c r="AV317" s="514"/>
      <c r="AW317" s="514"/>
      <c r="AX317" s="1458" t="str">
        <f t="shared" si="1097"/>
        <v>-</v>
      </c>
      <c r="AY317" s="509"/>
      <c r="AZ317" s="516"/>
      <c r="BA317" s="516"/>
      <c r="BB317" s="516"/>
    </row>
    <row r="318" spans="1:54" s="507" customFormat="1" ht="12.75" customHeight="1" thickBot="1">
      <c r="A318" s="548" t="s">
        <v>1259</v>
      </c>
      <c r="B318" s="1204"/>
      <c r="C318" s="1321" t="s">
        <v>1204</v>
      </c>
      <c r="D318" s="1322"/>
      <c r="E318" s="1322"/>
      <c r="F318" s="1323"/>
      <c r="G318" s="538">
        <f>SUM(G317)</f>
        <v>0</v>
      </c>
      <c r="H318" s="539">
        <f>SUM(H317)</f>
        <v>0</v>
      </c>
      <c r="I318" s="539">
        <f>SUM(I317)</f>
        <v>0</v>
      </c>
      <c r="J318" s="1459" t="str">
        <f t="shared" si="1085"/>
        <v>-</v>
      </c>
      <c r="K318" s="538">
        <f t="shared" ref="K318" si="1111">SUM(K317)</f>
        <v>0</v>
      </c>
      <c r="L318" s="539">
        <f t="shared" ref="L318:M318" si="1112">SUM(L317)</f>
        <v>0</v>
      </c>
      <c r="M318" s="539">
        <f t="shared" si="1112"/>
        <v>0</v>
      </c>
      <c r="N318" s="1459" t="str">
        <f t="shared" si="1087"/>
        <v>-</v>
      </c>
      <c r="O318" s="519">
        <f t="shared" ref="N318:AV318" si="1113">SUM(O317)</f>
        <v>0</v>
      </c>
      <c r="P318" s="368">
        <f t="shared" si="1113"/>
        <v>0</v>
      </c>
      <c r="Q318" s="368">
        <f t="shared" ref="P318:R318" si="1114">SUM(Q317)</f>
        <v>0</v>
      </c>
      <c r="R318" s="1459" t="str">
        <f t="shared" si="1088"/>
        <v>-</v>
      </c>
      <c r="S318" s="519">
        <f t="shared" si="1113"/>
        <v>0</v>
      </c>
      <c r="T318" s="368">
        <f t="shared" si="1113"/>
        <v>0</v>
      </c>
      <c r="U318" s="368">
        <f t="shared" ref="T318:V318" si="1115">SUM(U317)</f>
        <v>0</v>
      </c>
      <c r="V318" s="1459" t="str">
        <f t="shared" si="1089"/>
        <v>-</v>
      </c>
      <c r="W318" s="519">
        <f t="shared" si="1113"/>
        <v>0</v>
      </c>
      <c r="X318" s="368">
        <f t="shared" si="1113"/>
        <v>0</v>
      </c>
      <c r="Y318" s="368">
        <f t="shared" ref="X318:Z318" si="1116">SUM(Y317)</f>
        <v>0</v>
      </c>
      <c r="Z318" s="1459" t="str">
        <f t="shared" si="1090"/>
        <v>-</v>
      </c>
      <c r="AA318" s="519">
        <f t="shared" si="1113"/>
        <v>0</v>
      </c>
      <c r="AB318" s="368">
        <f t="shared" si="1113"/>
        <v>0</v>
      </c>
      <c r="AC318" s="368">
        <f t="shared" ref="AB318:AD318" si="1117">SUM(AC317)</f>
        <v>0</v>
      </c>
      <c r="AD318" s="1459" t="str">
        <f t="shared" si="1091"/>
        <v>-</v>
      </c>
      <c r="AE318" s="519">
        <f t="shared" si="1113"/>
        <v>0</v>
      </c>
      <c r="AF318" s="368">
        <f t="shared" si="1113"/>
        <v>0</v>
      </c>
      <c r="AG318" s="368">
        <f t="shared" ref="AF318:AH318" si="1118">SUM(AG317)</f>
        <v>0</v>
      </c>
      <c r="AH318" s="1459" t="str">
        <f t="shared" si="1092"/>
        <v>-</v>
      </c>
      <c r="AI318" s="538">
        <f t="shared" si="1113"/>
        <v>0</v>
      </c>
      <c r="AJ318" s="539">
        <f t="shared" ref="AJ318:AK318" si="1119">SUM(AJ317)</f>
        <v>0</v>
      </c>
      <c r="AK318" s="539">
        <f t="shared" si="1119"/>
        <v>0</v>
      </c>
      <c r="AL318" s="1459" t="str">
        <f t="shared" si="1094"/>
        <v>-</v>
      </c>
      <c r="AM318" s="519">
        <f t="shared" si="1113"/>
        <v>0</v>
      </c>
      <c r="AN318" s="368">
        <f t="shared" si="1113"/>
        <v>0</v>
      </c>
      <c r="AO318" s="368">
        <f t="shared" ref="AN318:AP318" si="1120">SUM(AO317)</f>
        <v>0</v>
      </c>
      <c r="AP318" s="1459" t="str">
        <f t="shared" si="1095"/>
        <v>-</v>
      </c>
      <c r="AQ318" s="519">
        <f t="shared" si="1113"/>
        <v>0</v>
      </c>
      <c r="AR318" s="368">
        <f t="shared" si="1113"/>
        <v>0</v>
      </c>
      <c r="AS318" s="368">
        <f t="shared" ref="AR318:AT318" si="1121">SUM(AS317)</f>
        <v>0</v>
      </c>
      <c r="AT318" s="1459" t="str">
        <f t="shared" si="1096"/>
        <v>-</v>
      </c>
      <c r="AU318" s="519">
        <f t="shared" si="1113"/>
        <v>0</v>
      </c>
      <c r="AV318" s="368">
        <f t="shared" si="1113"/>
        <v>0</v>
      </c>
      <c r="AW318" s="368">
        <f t="shared" ref="AV318:AX318" si="1122">SUM(AW317)</f>
        <v>0</v>
      </c>
      <c r="AX318" s="1459" t="str">
        <f t="shared" si="1097"/>
        <v>-</v>
      </c>
      <c r="AY318" s="510"/>
    </row>
    <row r="319" spans="1:54" ht="12.75" customHeight="1" thickBot="1">
      <c r="A319" s="554">
        <f>+A317+1</f>
        <v>122</v>
      </c>
      <c r="B319" s="1024">
        <v>34</v>
      </c>
      <c r="C319" s="439" t="s">
        <v>19</v>
      </c>
      <c r="D319" s="545" t="s">
        <v>19</v>
      </c>
      <c r="E319" s="534" t="s">
        <v>19</v>
      </c>
      <c r="F319" s="1007" t="s">
        <v>19</v>
      </c>
      <c r="G319" s="1190">
        <f>+K319+AI319</f>
        <v>0</v>
      </c>
      <c r="H319" s="1191">
        <f>+L319+AJ319</f>
        <v>0</v>
      </c>
      <c r="I319" s="1191">
        <f>+M319+AK319</f>
        <v>0</v>
      </c>
      <c r="J319" s="1860" t="str">
        <f t="shared" si="1085"/>
        <v>-</v>
      </c>
      <c r="K319" s="1190">
        <f>+O319+S319+W319+AA319+AE319</f>
        <v>0</v>
      </c>
      <c r="L319" s="1191">
        <f>+P319+T319+X319+AB319+AF319</f>
        <v>0</v>
      </c>
      <c r="M319" s="1191">
        <f>+Q319+U319+Y319+AC319+AG319</f>
        <v>0</v>
      </c>
      <c r="N319" s="1860" t="str">
        <f t="shared" si="1087"/>
        <v>-</v>
      </c>
      <c r="O319" s="515"/>
      <c r="P319" s="514"/>
      <c r="Q319" s="514"/>
      <c r="R319" s="1458" t="str">
        <f t="shared" si="1088"/>
        <v>-</v>
      </c>
      <c r="S319" s="515"/>
      <c r="T319" s="514"/>
      <c r="U319" s="514"/>
      <c r="V319" s="1458" t="str">
        <f t="shared" si="1089"/>
        <v>-</v>
      </c>
      <c r="W319" s="515"/>
      <c r="X319" s="514"/>
      <c r="Y319" s="514"/>
      <c r="Z319" s="1458" t="str">
        <f t="shared" si="1090"/>
        <v>-</v>
      </c>
      <c r="AA319" s="515"/>
      <c r="AB319" s="514"/>
      <c r="AC319" s="514"/>
      <c r="AD319" s="1458" t="str">
        <f t="shared" si="1091"/>
        <v>-</v>
      </c>
      <c r="AE319" s="515"/>
      <c r="AF319" s="514"/>
      <c r="AG319" s="514"/>
      <c r="AH319" s="1458" t="str">
        <f t="shared" si="1092"/>
        <v>-</v>
      </c>
      <c r="AI319" s="1190">
        <f>+AM319+AQ319+AU319</f>
        <v>0</v>
      </c>
      <c r="AJ319" s="1191">
        <f>+AN319+AR319+AV319</f>
        <v>0</v>
      </c>
      <c r="AK319" s="1191">
        <f>+AO319+AS319+AW319</f>
        <v>0</v>
      </c>
      <c r="AL319" s="1860" t="str">
        <f t="shared" si="1094"/>
        <v>-</v>
      </c>
      <c r="AM319" s="515"/>
      <c r="AN319" s="514"/>
      <c r="AO319" s="514"/>
      <c r="AP319" s="1458" t="str">
        <f t="shared" si="1095"/>
        <v>-</v>
      </c>
      <c r="AQ319" s="515"/>
      <c r="AR319" s="514"/>
      <c r="AS319" s="514"/>
      <c r="AT319" s="1458" t="str">
        <f t="shared" si="1096"/>
        <v>-</v>
      </c>
      <c r="AU319" s="515"/>
      <c r="AV319" s="514"/>
      <c r="AW319" s="514"/>
      <c r="AX319" s="1458" t="str">
        <f t="shared" si="1097"/>
        <v>-</v>
      </c>
      <c r="AY319" s="509"/>
      <c r="AZ319" s="516"/>
      <c r="BA319" s="516"/>
      <c r="BB319" s="516"/>
    </row>
    <row r="320" spans="1:54" s="507" customFormat="1" ht="12.75" customHeight="1" thickBot="1">
      <c r="A320" s="548" t="s">
        <v>1260</v>
      </c>
      <c r="B320" s="1204"/>
      <c r="C320" s="1321" t="s">
        <v>1205</v>
      </c>
      <c r="D320" s="1322"/>
      <c r="E320" s="1322"/>
      <c r="F320" s="1323"/>
      <c r="G320" s="538">
        <f>SUM(G319)</f>
        <v>0</v>
      </c>
      <c r="H320" s="539">
        <f>SUM(H319)</f>
        <v>0</v>
      </c>
      <c r="I320" s="539">
        <f>SUM(I319)</f>
        <v>0</v>
      </c>
      <c r="J320" s="1459" t="str">
        <f t="shared" si="1085"/>
        <v>-</v>
      </c>
      <c r="K320" s="538">
        <f t="shared" ref="K320" si="1123">SUM(K319)</f>
        <v>0</v>
      </c>
      <c r="L320" s="539">
        <f t="shared" ref="L320:M320" si="1124">SUM(L319)</f>
        <v>0</v>
      </c>
      <c r="M320" s="539">
        <f t="shared" si="1124"/>
        <v>0</v>
      </c>
      <c r="N320" s="1459" t="str">
        <f t="shared" si="1087"/>
        <v>-</v>
      </c>
      <c r="O320" s="519">
        <f t="shared" ref="N320:AV320" si="1125">SUM(O319)</f>
        <v>0</v>
      </c>
      <c r="P320" s="368">
        <f t="shared" si="1125"/>
        <v>0</v>
      </c>
      <c r="Q320" s="368">
        <f t="shared" ref="P320:R320" si="1126">SUM(Q319)</f>
        <v>0</v>
      </c>
      <c r="R320" s="1459" t="str">
        <f t="shared" si="1088"/>
        <v>-</v>
      </c>
      <c r="S320" s="519">
        <f t="shared" si="1125"/>
        <v>0</v>
      </c>
      <c r="T320" s="368">
        <f t="shared" si="1125"/>
        <v>0</v>
      </c>
      <c r="U320" s="368">
        <f t="shared" ref="T320:V320" si="1127">SUM(U319)</f>
        <v>0</v>
      </c>
      <c r="V320" s="1459" t="str">
        <f t="shared" si="1089"/>
        <v>-</v>
      </c>
      <c r="W320" s="519">
        <f t="shared" si="1125"/>
        <v>0</v>
      </c>
      <c r="X320" s="368">
        <f t="shared" si="1125"/>
        <v>0</v>
      </c>
      <c r="Y320" s="368">
        <f t="shared" ref="X320:Z320" si="1128">SUM(Y319)</f>
        <v>0</v>
      </c>
      <c r="Z320" s="1459" t="str">
        <f t="shared" si="1090"/>
        <v>-</v>
      </c>
      <c r="AA320" s="519">
        <f t="shared" si="1125"/>
        <v>0</v>
      </c>
      <c r="AB320" s="368">
        <f t="shared" si="1125"/>
        <v>0</v>
      </c>
      <c r="AC320" s="368">
        <f t="shared" ref="AB320:AD320" si="1129">SUM(AC319)</f>
        <v>0</v>
      </c>
      <c r="AD320" s="1459" t="str">
        <f t="shared" si="1091"/>
        <v>-</v>
      </c>
      <c r="AE320" s="519">
        <f t="shared" si="1125"/>
        <v>0</v>
      </c>
      <c r="AF320" s="368">
        <f t="shared" si="1125"/>
        <v>0</v>
      </c>
      <c r="AG320" s="368">
        <f t="shared" ref="AF320:AH320" si="1130">SUM(AG319)</f>
        <v>0</v>
      </c>
      <c r="AH320" s="1459" t="str">
        <f t="shared" si="1092"/>
        <v>-</v>
      </c>
      <c r="AI320" s="538">
        <f t="shared" si="1125"/>
        <v>0</v>
      </c>
      <c r="AJ320" s="539">
        <f t="shared" ref="AJ320:AK320" si="1131">SUM(AJ319)</f>
        <v>0</v>
      </c>
      <c r="AK320" s="539">
        <f t="shared" si="1131"/>
        <v>0</v>
      </c>
      <c r="AL320" s="1459" t="str">
        <f t="shared" si="1094"/>
        <v>-</v>
      </c>
      <c r="AM320" s="519">
        <f t="shared" si="1125"/>
        <v>0</v>
      </c>
      <c r="AN320" s="368">
        <f t="shared" si="1125"/>
        <v>0</v>
      </c>
      <c r="AO320" s="368">
        <f t="shared" ref="AN320:AP320" si="1132">SUM(AO319)</f>
        <v>0</v>
      </c>
      <c r="AP320" s="1459" t="str">
        <f t="shared" si="1095"/>
        <v>-</v>
      </c>
      <c r="AQ320" s="519">
        <f t="shared" si="1125"/>
        <v>0</v>
      </c>
      <c r="AR320" s="368">
        <f t="shared" si="1125"/>
        <v>0</v>
      </c>
      <c r="AS320" s="368">
        <f t="shared" ref="AR320:AT320" si="1133">SUM(AS319)</f>
        <v>0</v>
      </c>
      <c r="AT320" s="1459" t="str">
        <f t="shared" si="1096"/>
        <v>-</v>
      </c>
      <c r="AU320" s="519">
        <f t="shared" si="1125"/>
        <v>0</v>
      </c>
      <c r="AV320" s="368">
        <f t="shared" si="1125"/>
        <v>0</v>
      </c>
      <c r="AW320" s="368">
        <f t="shared" ref="AV320:AX320" si="1134">SUM(AW319)</f>
        <v>0</v>
      </c>
      <c r="AX320" s="1459" t="str">
        <f t="shared" si="1097"/>
        <v>-</v>
      </c>
      <c r="AY320" s="510"/>
    </row>
    <row r="321" spans="1:54" s="516" customFormat="1" ht="12.75" customHeight="1" thickBot="1">
      <c r="A321" s="549" t="s">
        <v>42</v>
      </c>
      <c r="B321" s="1021"/>
      <c r="C321" s="1324" t="s">
        <v>1206</v>
      </c>
      <c r="D321" s="1325"/>
      <c r="E321" s="1325"/>
      <c r="F321" s="1326"/>
      <c r="G321" s="521">
        <f t="shared" ref="G321" si="1135">+G316+G318+G320</f>
        <v>51211</v>
      </c>
      <c r="H321" s="522">
        <f t="shared" ref="H321:I321" si="1136">+H316+H318+H320</f>
        <v>68817</v>
      </c>
      <c r="I321" s="522">
        <f t="shared" si="1136"/>
        <v>68797</v>
      </c>
      <c r="J321" s="1869">
        <f t="shared" si="1085"/>
        <v>0.99970937413720451</v>
      </c>
      <c r="K321" s="521">
        <f t="shared" ref="J321:AV321" si="1137">+K316+K318+K320</f>
        <v>51211</v>
      </c>
      <c r="L321" s="522">
        <f t="shared" ref="L321:M321" si="1138">+L316+L318+L320</f>
        <v>58626</v>
      </c>
      <c r="M321" s="522">
        <f t="shared" si="1138"/>
        <v>58606</v>
      </c>
      <c r="N321" s="1869">
        <f t="shared" si="1087"/>
        <v>0.99965885443318669</v>
      </c>
      <c r="O321" s="521">
        <f t="shared" si="1137"/>
        <v>37881</v>
      </c>
      <c r="P321" s="532">
        <f t="shared" si="1137"/>
        <v>45729</v>
      </c>
      <c r="Q321" s="532">
        <f t="shared" ref="P321:R321" si="1139">+Q316+Q318+Q320</f>
        <v>45729</v>
      </c>
      <c r="R321" s="1869">
        <f t="shared" si="1088"/>
        <v>1</v>
      </c>
      <c r="S321" s="521">
        <f t="shared" si="1137"/>
        <v>7316</v>
      </c>
      <c r="T321" s="532">
        <f t="shared" si="1137"/>
        <v>8760</v>
      </c>
      <c r="U321" s="532">
        <f t="shared" ref="T321:V321" si="1140">+U316+U318+U320</f>
        <v>8760</v>
      </c>
      <c r="V321" s="1869">
        <f t="shared" si="1089"/>
        <v>1</v>
      </c>
      <c r="W321" s="521">
        <f t="shared" si="1137"/>
        <v>6014</v>
      </c>
      <c r="X321" s="532">
        <f t="shared" si="1137"/>
        <v>4093</v>
      </c>
      <c r="Y321" s="532">
        <f t="shared" ref="X321:Z321" si="1141">+Y316+Y318+Y320</f>
        <v>4073</v>
      </c>
      <c r="Z321" s="1869">
        <f t="shared" si="1090"/>
        <v>0.99511360860004883</v>
      </c>
      <c r="AA321" s="521">
        <f t="shared" si="1137"/>
        <v>0</v>
      </c>
      <c r="AB321" s="532">
        <f t="shared" si="1137"/>
        <v>0</v>
      </c>
      <c r="AC321" s="532">
        <f t="shared" ref="AB321:AD321" si="1142">+AC316+AC318+AC320</f>
        <v>0</v>
      </c>
      <c r="AD321" s="1869" t="str">
        <f t="shared" si="1091"/>
        <v>-</v>
      </c>
      <c r="AE321" s="521">
        <f t="shared" si="1137"/>
        <v>0</v>
      </c>
      <c r="AF321" s="532">
        <f t="shared" si="1137"/>
        <v>44</v>
      </c>
      <c r="AG321" s="532">
        <f t="shared" ref="AF321:AH321" si="1143">+AG316+AG318+AG320</f>
        <v>44</v>
      </c>
      <c r="AH321" s="1869">
        <f t="shared" si="1092"/>
        <v>1</v>
      </c>
      <c r="AI321" s="521">
        <f t="shared" si="1137"/>
        <v>0</v>
      </c>
      <c r="AJ321" s="522">
        <f t="shared" ref="AJ321:AK321" si="1144">+AJ316+AJ318+AJ320</f>
        <v>10191</v>
      </c>
      <c r="AK321" s="522">
        <f t="shared" si="1144"/>
        <v>10191</v>
      </c>
      <c r="AL321" s="1869">
        <f t="shared" si="1094"/>
        <v>1</v>
      </c>
      <c r="AM321" s="521">
        <f t="shared" si="1137"/>
        <v>0</v>
      </c>
      <c r="AN321" s="532">
        <f t="shared" si="1137"/>
        <v>10191</v>
      </c>
      <c r="AO321" s="532">
        <f t="shared" ref="AN321:AP321" si="1145">+AO316+AO318+AO320</f>
        <v>10191</v>
      </c>
      <c r="AP321" s="1869">
        <f t="shared" si="1095"/>
        <v>1</v>
      </c>
      <c r="AQ321" s="521">
        <f t="shared" si="1137"/>
        <v>0</v>
      </c>
      <c r="AR321" s="532">
        <f t="shared" si="1137"/>
        <v>0</v>
      </c>
      <c r="AS321" s="532">
        <f t="shared" ref="AR321:AT321" si="1146">+AS316+AS318+AS320</f>
        <v>0</v>
      </c>
      <c r="AT321" s="1869" t="str">
        <f t="shared" si="1096"/>
        <v>-</v>
      </c>
      <c r="AU321" s="521">
        <f t="shared" si="1137"/>
        <v>0</v>
      </c>
      <c r="AV321" s="532">
        <f t="shared" si="1137"/>
        <v>0</v>
      </c>
      <c r="AW321" s="532">
        <f t="shared" ref="AV321:AX321" si="1147">+AW316+AW318+AW320</f>
        <v>0</v>
      </c>
      <c r="AX321" s="1869" t="str">
        <f t="shared" si="1097"/>
        <v>-</v>
      </c>
      <c r="AY321" s="838"/>
      <c r="AZ321" s="507"/>
      <c r="BA321" s="507"/>
      <c r="BB321" s="507"/>
    </row>
    <row r="322" spans="1:54" ht="12.75" customHeight="1" thickBot="1">
      <c r="A322" s="554"/>
      <c r="B322" s="1024"/>
      <c r="C322" s="439"/>
      <c r="D322" s="545"/>
      <c r="E322" s="534"/>
      <c r="F322" s="533"/>
      <c r="G322" s="1190"/>
      <c r="H322" s="1191"/>
      <c r="I322" s="1191"/>
      <c r="J322" s="1868"/>
      <c r="K322" s="1190"/>
      <c r="L322" s="1191"/>
      <c r="M322" s="1191"/>
      <c r="N322" s="1868"/>
      <c r="O322" s="515"/>
      <c r="P322" s="514"/>
      <c r="Q322" s="514"/>
      <c r="R322" s="1868"/>
      <c r="S322" s="515"/>
      <c r="T322" s="514"/>
      <c r="U322" s="514"/>
      <c r="V322" s="1868"/>
      <c r="W322" s="515"/>
      <c r="X322" s="514"/>
      <c r="Y322" s="514"/>
      <c r="Z322" s="1868"/>
      <c r="AA322" s="515"/>
      <c r="AB322" s="514"/>
      <c r="AC322" s="514"/>
      <c r="AD322" s="1868"/>
      <c r="AE322" s="515"/>
      <c r="AF322" s="514"/>
      <c r="AG322" s="514"/>
      <c r="AH322" s="1868"/>
      <c r="AI322" s="1190"/>
      <c r="AJ322" s="1191"/>
      <c r="AK322" s="1191"/>
      <c r="AL322" s="1868"/>
      <c r="AM322" s="515"/>
      <c r="AN322" s="514"/>
      <c r="AO322" s="514"/>
      <c r="AP322" s="1868"/>
      <c r="AQ322" s="515"/>
      <c r="AR322" s="514"/>
      <c r="AS322" s="514"/>
      <c r="AT322" s="1868"/>
      <c r="AU322" s="515"/>
      <c r="AV322" s="514"/>
      <c r="AW322" s="514"/>
      <c r="AX322" s="1868"/>
      <c r="AY322" s="509"/>
      <c r="AZ322" s="507"/>
      <c r="BA322" s="507"/>
      <c r="BB322" s="507"/>
    </row>
    <row r="323" spans="1:54" s="507" customFormat="1" ht="12.75" customHeight="1" thickBot="1">
      <c r="A323" s="549" t="s">
        <v>41</v>
      </c>
      <c r="B323" s="1021"/>
      <c r="C323" s="1324" t="s">
        <v>957</v>
      </c>
      <c r="D323" s="1325"/>
      <c r="E323" s="1325"/>
      <c r="F323" s="1326"/>
      <c r="G323" s="535">
        <f>+G255+G275+G288+G300+G309+G321</f>
        <v>3282008</v>
      </c>
      <c r="H323" s="536">
        <f>+H255+H275+H288+H300+H309+H321</f>
        <v>5763564</v>
      </c>
      <c r="I323" s="536">
        <f>+I255+I275+I288+I300+I309+I321</f>
        <v>2513536</v>
      </c>
      <c r="J323" s="1869">
        <f t="shared" ref="J323" si="1148">IF(ISERROR(I323/H323),"-",I323/H323)</f>
        <v>0.43610793599238251</v>
      </c>
      <c r="K323" s="535">
        <f t="shared" ref="K323" si="1149">+K255+K275+K288+K300+K309+K321</f>
        <v>1565130</v>
      </c>
      <c r="L323" s="536">
        <f t="shared" ref="L323:M323" si="1150">+L255+L275+L288+L300+L309+L321</f>
        <v>5003351</v>
      </c>
      <c r="M323" s="536">
        <f t="shared" si="1150"/>
        <v>1807005</v>
      </c>
      <c r="N323" s="1869">
        <f t="shared" ref="N323" si="1151">IF(ISERROR(M323/L323),"-",M323/L323)</f>
        <v>0.36115895127085829</v>
      </c>
      <c r="O323" s="535">
        <f t="shared" ref="N323:AV323" si="1152">+O255+O275+O288+O300+O309+O321</f>
        <v>613440</v>
      </c>
      <c r="P323" s="536">
        <f t="shared" si="1152"/>
        <v>839058</v>
      </c>
      <c r="Q323" s="536">
        <f t="shared" ref="P323:R323" si="1153">+Q255+Q275+Q288+Q300+Q309+Q321</f>
        <v>839058</v>
      </c>
      <c r="R323" s="1869">
        <f t="shared" ref="R323" si="1154">IF(ISERROR(Q323/P323),"-",Q323/P323)</f>
        <v>1</v>
      </c>
      <c r="S323" s="535">
        <f t="shared" si="1152"/>
        <v>124419</v>
      </c>
      <c r="T323" s="536">
        <f t="shared" si="1152"/>
        <v>154821</v>
      </c>
      <c r="U323" s="536">
        <f t="shared" ref="T323:V323" si="1155">+U255+U275+U288+U300+U309+U321</f>
        <v>153994</v>
      </c>
      <c r="V323" s="1869">
        <f t="shared" ref="V323" si="1156">IF(ISERROR(U323/T323),"-",U323/T323)</f>
        <v>0.99465834738181513</v>
      </c>
      <c r="W323" s="535">
        <f t="shared" si="1152"/>
        <v>441900</v>
      </c>
      <c r="X323" s="536">
        <f t="shared" si="1152"/>
        <v>744258</v>
      </c>
      <c r="Y323" s="536">
        <f t="shared" ref="X323:Z323" si="1157">+Y255+Y275+Y288+Y300+Y309+Y321</f>
        <v>690773</v>
      </c>
      <c r="Z323" s="1869">
        <f t="shared" ref="Z323" si="1158">IF(ISERROR(Y323/X323),"-",Y323/X323)</f>
        <v>0.92813647955413314</v>
      </c>
      <c r="AA323" s="535">
        <f t="shared" si="1152"/>
        <v>51635</v>
      </c>
      <c r="AB323" s="536">
        <f t="shared" si="1152"/>
        <v>56062</v>
      </c>
      <c r="AC323" s="536">
        <f t="shared" ref="AB323:AD323" si="1159">+AC255+AC275+AC288+AC300+AC309+AC321</f>
        <v>54350</v>
      </c>
      <c r="AD323" s="1869">
        <f t="shared" ref="AD323" si="1160">IF(ISERROR(AC323/AB323),"-",AC323/AB323)</f>
        <v>0.96946238093539294</v>
      </c>
      <c r="AE323" s="535">
        <f t="shared" si="1152"/>
        <v>333736</v>
      </c>
      <c r="AF323" s="536">
        <f t="shared" si="1152"/>
        <v>3209152</v>
      </c>
      <c r="AG323" s="536">
        <f t="shared" ref="AF323:AH323" si="1161">+AG255+AG275+AG288+AG300+AG309+AG321</f>
        <v>68830</v>
      </c>
      <c r="AH323" s="1869">
        <f t="shared" ref="AH323" si="1162">IF(ISERROR(AG323/AF323),"-",AG323/AF323)</f>
        <v>2.1448033623835829E-2</v>
      </c>
      <c r="AI323" s="535">
        <f t="shared" si="1152"/>
        <v>1716878</v>
      </c>
      <c r="AJ323" s="536">
        <f t="shared" ref="AJ323:AK323" si="1163">+AJ255+AJ275+AJ288+AJ300+AJ309+AJ321</f>
        <v>760213</v>
      </c>
      <c r="AK323" s="536">
        <f t="shared" si="1163"/>
        <v>706531</v>
      </c>
      <c r="AL323" s="1869">
        <f t="shared" ref="AL323" si="1164">IF(ISERROR(AK323/AJ323),"-",AK323/AJ323)</f>
        <v>0.92938558009399996</v>
      </c>
      <c r="AM323" s="535">
        <f t="shared" si="1152"/>
        <v>908654</v>
      </c>
      <c r="AN323" s="536">
        <f t="shared" si="1152"/>
        <v>530213</v>
      </c>
      <c r="AO323" s="536">
        <f t="shared" ref="AN323:AP323" si="1165">+AO255+AO275+AO288+AO300+AO309+AO321</f>
        <v>476531</v>
      </c>
      <c r="AP323" s="1869">
        <f t="shared" ref="AP323" si="1166">IF(ISERROR(AO323/AN323),"-",AO323/AN323)</f>
        <v>0.89875389701874531</v>
      </c>
      <c r="AQ323" s="535">
        <f t="shared" si="1152"/>
        <v>808224</v>
      </c>
      <c r="AR323" s="536">
        <f t="shared" si="1152"/>
        <v>228800</v>
      </c>
      <c r="AS323" s="536">
        <f t="shared" ref="AR323:AT323" si="1167">+AS255+AS275+AS288+AS300+AS309+AS321</f>
        <v>228800</v>
      </c>
      <c r="AT323" s="1869">
        <f t="shared" ref="AT323" si="1168">IF(ISERROR(AS323/AR323),"-",AS323/AR323)</f>
        <v>1</v>
      </c>
      <c r="AU323" s="535">
        <f t="shared" si="1152"/>
        <v>0</v>
      </c>
      <c r="AV323" s="536">
        <f t="shared" si="1152"/>
        <v>1200</v>
      </c>
      <c r="AW323" s="536">
        <f t="shared" ref="AV323:AX323" si="1169">+AW255+AW275+AW288+AW300+AW309+AW321</f>
        <v>1200</v>
      </c>
      <c r="AX323" s="1869">
        <f t="shared" ref="AX323" si="1170">IF(ISERROR(AW323/AV323),"-",AW323/AV323)</f>
        <v>1</v>
      </c>
      <c r="AY323" s="846"/>
    </row>
    <row r="325" spans="1:54">
      <c r="A325" s="302"/>
      <c r="B325" s="302"/>
      <c r="C325" s="302"/>
      <c r="D325" s="302"/>
      <c r="G325" s="302"/>
      <c r="H325" s="302"/>
      <c r="I325" s="302"/>
      <c r="J325" s="364"/>
      <c r="K325" s="302"/>
      <c r="L325" s="302"/>
      <c r="M325" s="302"/>
      <c r="N325" s="302"/>
      <c r="O325" s="302">
        <f>+'1.mell._Össz_Mérleg2018'!C11</f>
        <v>907219</v>
      </c>
      <c r="P325" s="302">
        <f>+'1.mell._Össz_Mérleg2018'!D11</f>
        <v>1592229</v>
      </c>
      <c r="Q325" s="302">
        <f>+'1.mell._Össz_Mérleg2018'!E11</f>
        <v>1592229</v>
      </c>
      <c r="R325" s="302">
        <f>+'1.mell._Össz_Mérleg2018'!F11</f>
        <v>1</v>
      </c>
      <c r="S325" s="302">
        <f>+'1.mell._Össz_Mérleg2018'!C25</f>
        <v>328710</v>
      </c>
      <c r="T325" s="302">
        <f>+'1.mell._Össz_Mérleg2018'!D25</f>
        <v>488335</v>
      </c>
      <c r="U325" s="302">
        <f>+'1.mell._Össz_Mérleg2018'!E25</f>
        <v>356668</v>
      </c>
      <c r="V325" s="302">
        <f>+'1.mell._Össz_Mérleg2018'!F25</f>
        <v>0.73037566424687972</v>
      </c>
      <c r="W325" s="302">
        <f>+'1.mell._Össz_Mérleg2018'!C32</f>
        <v>140709</v>
      </c>
      <c r="X325" s="302">
        <f>+'1.mell._Össz_Mérleg2018'!D32</f>
        <v>137160</v>
      </c>
      <c r="Y325" s="302">
        <f>+'1.mell._Össz_Mérleg2018'!E32</f>
        <v>124554</v>
      </c>
      <c r="Z325" s="302">
        <f>+'1.mell._Össz_Mérleg2018'!F32</f>
        <v>0.908092738407699</v>
      </c>
      <c r="AA325" s="302">
        <f>+'1.mell._Össz_Mérleg2018'!C44</f>
        <v>2000</v>
      </c>
      <c r="AB325" s="302">
        <f>+'1.mell._Össz_Mérleg2018'!D44</f>
        <v>40394</v>
      </c>
      <c r="AC325" s="302">
        <f>+'1.mell._Össz_Mérleg2018'!E44</f>
        <v>3492</v>
      </c>
      <c r="AD325" s="302">
        <f>+'1.mell._Össz_Mérleg2018'!F44</f>
        <v>8.6448482447888303E-2</v>
      </c>
      <c r="AI325" s="302">
        <f>+'1.mell._Össz_Mérleg2018'!C51</f>
        <v>71832</v>
      </c>
      <c r="AJ325" s="302">
        <f>+'1.mell._Össz_Mérleg2018'!D51</f>
        <v>1331164</v>
      </c>
      <c r="AK325" s="302">
        <f>+'1.mell._Össz_Mérleg2018'!E51</f>
        <v>1331164</v>
      </c>
      <c r="AL325" s="302">
        <f>+'1.mell._Össz_Mérleg2018'!F51</f>
        <v>1</v>
      </c>
      <c r="AM325" s="302">
        <f>+'1.mell._Össz_Mérleg2018'!C58</f>
        <v>15350</v>
      </c>
      <c r="AN325" s="302">
        <f>+'1.mell._Össz_Mérleg2018'!D58</f>
        <v>8386</v>
      </c>
      <c r="AO325" s="302">
        <f>+'1.mell._Össz_Mérleg2018'!E58</f>
        <v>6864</v>
      </c>
      <c r="AP325" s="302">
        <f>+'1.mell._Össz_Mérleg2018'!F58</f>
        <v>0.81850703553541615</v>
      </c>
      <c r="AQ325" s="302">
        <f>+'1.mell._Össz_Mérleg2018'!C64</f>
        <v>1500</v>
      </c>
      <c r="AR325" s="302">
        <f>+'1.mell._Össz_Mérleg2018'!D64</f>
        <v>9930</v>
      </c>
      <c r="AS325" s="302">
        <f>+'1.mell._Össz_Mérleg2018'!E64</f>
        <v>3009</v>
      </c>
      <c r="AT325" s="302">
        <f>+'1.mell._Össz_Mérleg2018'!F64</f>
        <v>0.3030211480362538</v>
      </c>
    </row>
    <row r="326" spans="1:54">
      <c r="A326" s="302"/>
      <c r="B326" s="302"/>
      <c r="C326" s="302"/>
      <c r="D326" s="302"/>
      <c r="G326" s="302"/>
      <c r="H326" s="302"/>
      <c r="I326" s="302"/>
      <c r="J326" s="364"/>
      <c r="K326" s="302"/>
      <c r="L326" s="302"/>
      <c r="M326" s="302"/>
      <c r="N326" s="302"/>
      <c r="O326" s="302">
        <f>+O160-O325</f>
        <v>0</v>
      </c>
      <c r="P326" s="302">
        <f>+P160-P325</f>
        <v>0</v>
      </c>
      <c r="Q326" s="302">
        <f>+Q160-Q325</f>
        <v>0</v>
      </c>
      <c r="R326" s="302">
        <f>+R160-R325</f>
        <v>0</v>
      </c>
      <c r="S326" s="302">
        <f>+S160-S325</f>
        <v>0</v>
      </c>
      <c r="T326" s="302">
        <f>+T160-T325</f>
        <v>0</v>
      </c>
      <c r="U326" s="302">
        <f>+U160-U325</f>
        <v>0</v>
      </c>
      <c r="V326" s="302">
        <f>+V160-V325</f>
        <v>0</v>
      </c>
      <c r="W326" s="302">
        <f>+W160-W325</f>
        <v>0</v>
      </c>
      <c r="X326" s="302">
        <f>+X160-X325</f>
        <v>0</v>
      </c>
      <c r="Y326" s="302">
        <f>+Y160-Y325</f>
        <v>0</v>
      </c>
      <c r="Z326" s="302">
        <f>+Z160-Z325</f>
        <v>0</v>
      </c>
      <c r="AA326" s="302">
        <f>+AA160-AA325</f>
        <v>0</v>
      </c>
      <c r="AB326" s="302">
        <f>+AB160-AB325</f>
        <v>0</v>
      </c>
      <c r="AC326" s="302">
        <f>+AC160-AC325</f>
        <v>0</v>
      </c>
      <c r="AD326" s="302">
        <f>+AD160-AD325</f>
        <v>0</v>
      </c>
      <c r="AE326" s="302"/>
      <c r="AF326" s="302"/>
      <c r="AG326" s="302"/>
      <c r="AH326" s="302"/>
      <c r="AI326" s="302">
        <f>+AI160-AI325</f>
        <v>0</v>
      </c>
      <c r="AJ326" s="302">
        <f>+AJ160-AJ325</f>
        <v>0</v>
      </c>
      <c r="AK326" s="302">
        <f>+AK160-AK325</f>
        <v>0</v>
      </c>
      <c r="AL326" s="302">
        <f>+AL160-AL325</f>
        <v>0</v>
      </c>
      <c r="AM326" s="302">
        <f>+AM160-AM325</f>
        <v>0</v>
      </c>
      <c r="AN326" s="302">
        <f>+AN160-AN325</f>
        <v>0</v>
      </c>
      <c r="AO326" s="302">
        <f>+AO160-AO325</f>
        <v>0</v>
      </c>
      <c r="AP326" s="302">
        <f>+AP160-AP325</f>
        <v>0</v>
      </c>
      <c r="AQ326" s="302">
        <f>+AQ160-AQ325</f>
        <v>0</v>
      </c>
      <c r="AR326" s="302">
        <f>+AR160-AR325</f>
        <v>0</v>
      </c>
      <c r="AS326" s="302">
        <f>+AS160-AS325</f>
        <v>0</v>
      </c>
      <c r="AT326" s="302">
        <f>+AT160-AT325</f>
        <v>0</v>
      </c>
    </row>
    <row r="327" spans="1:54">
      <c r="A327" s="302"/>
      <c r="B327" s="302"/>
      <c r="C327" s="302"/>
      <c r="D327" s="302"/>
      <c r="G327" s="302"/>
      <c r="H327" s="302"/>
      <c r="I327" s="302"/>
      <c r="J327" s="364"/>
      <c r="K327" s="302"/>
      <c r="L327" s="302"/>
      <c r="M327" s="302"/>
      <c r="N327" s="302"/>
    </row>
    <row r="328" spans="1:54">
      <c r="A328" s="302"/>
      <c r="B328" s="302"/>
      <c r="C328" s="302"/>
      <c r="D328" s="302"/>
      <c r="G328" s="302"/>
      <c r="H328" s="302"/>
      <c r="I328" s="302"/>
      <c r="J328" s="364"/>
      <c r="K328" s="302"/>
      <c r="L328" s="302"/>
      <c r="M328" s="302"/>
      <c r="N328" s="302"/>
      <c r="O328" s="302">
        <f>+'1.mell._Össz_Mérleg2018'!C110</f>
        <v>613440</v>
      </c>
      <c r="P328" s="302">
        <f>+'1.mell._Össz_Mérleg2018'!D110</f>
        <v>839058</v>
      </c>
      <c r="Q328" s="302">
        <f>+'1.mell._Össz_Mérleg2018'!E110</f>
        <v>839058</v>
      </c>
      <c r="R328" s="302">
        <f>+'1.mell._Össz_Mérleg2018'!F110</f>
        <v>1</v>
      </c>
      <c r="S328" s="302">
        <f>+'1.mell._Össz_Mérleg2018'!C114</f>
        <v>124419</v>
      </c>
      <c r="T328" s="302">
        <f>+'1.mell._Össz_Mérleg2018'!D114</f>
        <v>154821</v>
      </c>
      <c r="U328" s="302">
        <f>+'1.mell._Össz_Mérleg2018'!E114</f>
        <v>153994</v>
      </c>
      <c r="V328" s="302">
        <f>+'1.mell._Össz_Mérleg2018'!F114</f>
        <v>0.99465834738181513</v>
      </c>
      <c r="W328" s="302">
        <f>+'1.mell._Össz_Mérleg2018'!C116</f>
        <v>441900</v>
      </c>
      <c r="X328" s="302">
        <f>+'1.mell._Össz_Mérleg2018'!D116</f>
        <v>744258</v>
      </c>
      <c r="Y328" s="302">
        <f>+'1.mell._Össz_Mérleg2018'!E116</f>
        <v>690773</v>
      </c>
      <c r="Z328" s="302">
        <f>+'1.mell._Össz_Mérleg2018'!F116</f>
        <v>0.92813647955413314</v>
      </c>
      <c r="AA328" s="302">
        <f>+'1.mell._Össz_Mérleg2018'!C123</f>
        <v>51635</v>
      </c>
      <c r="AB328" s="302">
        <f>+'1.mell._Össz_Mérleg2018'!D123</f>
        <v>56062</v>
      </c>
      <c r="AC328" s="302">
        <f>+'1.mell._Össz_Mérleg2018'!E123</f>
        <v>54350</v>
      </c>
      <c r="AD328" s="302">
        <f>+'1.mell._Össz_Mérleg2018'!F123</f>
        <v>0.96946238093539294</v>
      </c>
      <c r="AE328" s="302">
        <f>+'1.mell._Össz_Mérleg2018'!C132</f>
        <v>333736</v>
      </c>
      <c r="AF328" s="302">
        <f>+'1.mell._Össz_Mérleg2018'!D132</f>
        <v>3209152</v>
      </c>
      <c r="AG328" s="302">
        <f>+'1.mell._Össz_Mérleg2018'!E132</f>
        <v>68830</v>
      </c>
      <c r="AH328" s="302">
        <f>+'1.mell._Össz_Mérleg2018'!F132</f>
        <v>2.1448033623835829E-2</v>
      </c>
      <c r="AM328" s="302">
        <f>+'1.mell._Össz_Mérleg2018'!C150</f>
        <v>908654</v>
      </c>
      <c r="AN328" s="302">
        <f>+'1.mell._Össz_Mérleg2018'!D150</f>
        <v>530213</v>
      </c>
      <c r="AO328" s="302">
        <f>+'1.mell._Össz_Mérleg2018'!E150</f>
        <v>476531</v>
      </c>
      <c r="AP328" s="302">
        <f>+'1.mell._Össz_Mérleg2018'!F150</f>
        <v>0.89875389701874531</v>
      </c>
      <c r="AQ328" s="302">
        <f>+'1.mell._Össz_Mérleg2018'!C159</f>
        <v>808224</v>
      </c>
      <c r="AR328" s="302">
        <f>+'1.mell._Össz_Mérleg2018'!D159</f>
        <v>228800</v>
      </c>
      <c r="AS328" s="302">
        <f>+'1.mell._Össz_Mérleg2018'!E159</f>
        <v>228800</v>
      </c>
      <c r="AT328" s="302">
        <f>+'1.mell._Össz_Mérleg2018'!F159</f>
        <v>1</v>
      </c>
      <c r="AU328" s="302">
        <f>+'1.mell._Össz_Mérleg2018'!C165</f>
        <v>0</v>
      </c>
      <c r="AV328" s="302">
        <f>+'1.mell._Össz_Mérleg2018'!D165</f>
        <v>1200</v>
      </c>
      <c r="AW328" s="302">
        <f>+'1.mell._Össz_Mérleg2018'!E165</f>
        <v>1200</v>
      </c>
      <c r="AX328" s="302">
        <f>+'1.mell._Össz_Mérleg2018'!F165</f>
        <v>1</v>
      </c>
    </row>
    <row r="329" spans="1:54">
      <c r="A329" s="302"/>
      <c r="B329" s="302"/>
      <c r="C329" s="302"/>
      <c r="D329" s="302"/>
      <c r="G329" s="302"/>
      <c r="H329" s="302"/>
      <c r="I329" s="302"/>
      <c r="J329" s="364"/>
      <c r="K329" s="302"/>
      <c r="L329" s="302"/>
      <c r="M329" s="302"/>
      <c r="N329" s="302"/>
      <c r="O329" s="302">
        <f t="shared" ref="O329:Q329" si="1171">+O323-O328</f>
        <v>0</v>
      </c>
      <c r="P329" s="302">
        <f t="shared" si="1171"/>
        <v>0</v>
      </c>
      <c r="Q329" s="302">
        <f t="shared" si="1171"/>
        <v>0</v>
      </c>
      <c r="R329" s="302">
        <f>+R323-R328</f>
        <v>0</v>
      </c>
      <c r="S329" s="302">
        <f t="shared" ref="S329:U329" si="1172">+S323-S328</f>
        <v>0</v>
      </c>
      <c r="T329" s="302">
        <f t="shared" si="1172"/>
        <v>0</v>
      </c>
      <c r="U329" s="302">
        <f t="shared" si="1172"/>
        <v>0</v>
      </c>
      <c r="V329" s="302">
        <f>+V323-V328</f>
        <v>0</v>
      </c>
      <c r="W329" s="302">
        <f t="shared" ref="W329:Y329" si="1173">+W323-W328</f>
        <v>0</v>
      </c>
      <c r="X329" s="302">
        <f t="shared" si="1173"/>
        <v>0</v>
      </c>
      <c r="Y329" s="302">
        <f t="shared" si="1173"/>
        <v>0</v>
      </c>
      <c r="Z329" s="302">
        <f>+Z323-Z328</f>
        <v>0</v>
      </c>
      <c r="AA329" s="302">
        <f t="shared" ref="AA329:AC329" si="1174">+AA323-AA328</f>
        <v>0</v>
      </c>
      <c r="AB329" s="302">
        <f t="shared" si="1174"/>
        <v>0</v>
      </c>
      <c r="AC329" s="302">
        <f t="shared" si="1174"/>
        <v>0</v>
      </c>
      <c r="AD329" s="302">
        <f>+AD323-AD328</f>
        <v>0</v>
      </c>
      <c r="AE329" s="302">
        <f t="shared" ref="AE329:AG329" si="1175">+AE323-AE328</f>
        <v>0</v>
      </c>
      <c r="AF329" s="302">
        <f t="shared" si="1175"/>
        <v>0</v>
      </c>
      <c r="AG329" s="302">
        <f t="shared" si="1175"/>
        <v>0</v>
      </c>
      <c r="AH329" s="302">
        <f>+AH323-AH328</f>
        <v>0</v>
      </c>
      <c r="AM329" s="302">
        <f t="shared" ref="AM329:AO329" si="1176">+AM323-AM328</f>
        <v>0</v>
      </c>
      <c r="AN329" s="302">
        <f t="shared" si="1176"/>
        <v>0</v>
      </c>
      <c r="AO329" s="302">
        <f t="shared" si="1176"/>
        <v>0</v>
      </c>
      <c r="AP329" s="302">
        <f>+AP323-AP328</f>
        <v>0</v>
      </c>
      <c r="AQ329" s="302">
        <f t="shared" ref="AQ329:AS329" si="1177">+AQ323-AQ328</f>
        <v>0</v>
      </c>
      <c r="AR329" s="302">
        <f t="shared" si="1177"/>
        <v>0</v>
      </c>
      <c r="AS329" s="302">
        <f t="shared" si="1177"/>
        <v>0</v>
      </c>
      <c r="AT329" s="302">
        <f>+AT323-AT328</f>
        <v>0</v>
      </c>
      <c r="AU329" s="302">
        <f t="shared" ref="AU329:AW329" si="1178">+AU323-AU328</f>
        <v>0</v>
      </c>
      <c r="AV329" s="302">
        <f t="shared" si="1178"/>
        <v>0</v>
      </c>
      <c r="AW329" s="302">
        <f t="shared" si="1178"/>
        <v>0</v>
      </c>
      <c r="AX329" s="302">
        <f>+AX323-AX328</f>
        <v>0</v>
      </c>
    </row>
  </sheetData>
  <mergeCells count="89">
    <mergeCell ref="C318:F318"/>
    <mergeCell ref="C320:F320"/>
    <mergeCell ref="C299:F299"/>
    <mergeCell ref="C308:F308"/>
    <mergeCell ref="C285:F285"/>
    <mergeCell ref="C287:F287"/>
    <mergeCell ref="C297:F297"/>
    <mergeCell ref="C254:F254"/>
    <mergeCell ref="C323:F323"/>
    <mergeCell ref="C275:F275"/>
    <mergeCell ref="C283:F283"/>
    <mergeCell ref="C288:F288"/>
    <mergeCell ref="C321:F321"/>
    <mergeCell ref="C300:F300"/>
    <mergeCell ref="C295:F295"/>
    <mergeCell ref="C316:F316"/>
    <mergeCell ref="C303:F303"/>
    <mergeCell ref="C306:F306"/>
    <mergeCell ref="A3:AX3"/>
    <mergeCell ref="C168:C170"/>
    <mergeCell ref="D168:D170"/>
    <mergeCell ref="C81:F81"/>
    <mergeCell ref="C89:F89"/>
    <mergeCell ref="C91:F91"/>
    <mergeCell ref="F168:F170"/>
    <mergeCell ref="C112:F112"/>
    <mergeCell ref="C120:F120"/>
    <mergeCell ref="C122:F122"/>
    <mergeCell ref="C160:F160"/>
    <mergeCell ref="B5:B7"/>
    <mergeCell ref="B168:B170"/>
    <mergeCell ref="A5:A7"/>
    <mergeCell ref="C92:F92"/>
    <mergeCell ref="C111:F111"/>
    <mergeCell ref="C262:F262"/>
    <mergeCell ref="C266:F266"/>
    <mergeCell ref="C124:F124"/>
    <mergeCell ref="C125:F125"/>
    <mergeCell ref="C5:C7"/>
    <mergeCell ref="D5:D7"/>
    <mergeCell ref="C158:F158"/>
    <mergeCell ref="C153:F153"/>
    <mergeCell ref="C155:F155"/>
    <mergeCell ref="C157:F157"/>
    <mergeCell ref="C140:F140"/>
    <mergeCell ref="F5:F7"/>
    <mergeCell ref="E5:E7"/>
    <mergeCell ref="C99:F99"/>
    <mergeCell ref="C146:F146"/>
    <mergeCell ref="C103:F103"/>
    <mergeCell ref="C309:F309"/>
    <mergeCell ref="C274:F274"/>
    <mergeCell ref="A166:AX166"/>
    <mergeCell ref="A168:A170"/>
    <mergeCell ref="E168:E170"/>
    <mergeCell ref="C244:F244"/>
    <mergeCell ref="C252:F252"/>
    <mergeCell ref="G168:J169"/>
    <mergeCell ref="C255:F255"/>
    <mergeCell ref="AM169:AP169"/>
    <mergeCell ref="AQ169:AT169"/>
    <mergeCell ref="AU169:AX169"/>
    <mergeCell ref="K168:N169"/>
    <mergeCell ref="O168:AH168"/>
    <mergeCell ref="C132:F132"/>
    <mergeCell ref="C134:F134"/>
    <mergeCell ref="C136:F136"/>
    <mergeCell ref="C145:F145"/>
    <mergeCell ref="C143:F143"/>
    <mergeCell ref="C137:F137"/>
    <mergeCell ref="G5:J6"/>
    <mergeCell ref="K5:N6"/>
    <mergeCell ref="AE5:AH6"/>
    <mergeCell ref="O5:AD5"/>
    <mergeCell ref="O6:R6"/>
    <mergeCell ref="S6:V6"/>
    <mergeCell ref="W6:Z6"/>
    <mergeCell ref="AA6:AD6"/>
    <mergeCell ref="AI5:AT5"/>
    <mergeCell ref="AI6:AL6"/>
    <mergeCell ref="AM6:AP6"/>
    <mergeCell ref="AQ6:AT6"/>
    <mergeCell ref="AI168:AL169"/>
    <mergeCell ref="AM168:AX168"/>
    <mergeCell ref="O169:R169"/>
    <mergeCell ref="S169:V169"/>
    <mergeCell ref="W169:Z169"/>
    <mergeCell ref="AA169:AD169"/>
    <mergeCell ref="AE169:AH169"/>
  </mergeCells>
  <printOptions horizontalCentered="1"/>
  <pageMargins left="0.39370078740157483" right="0.39370078740157483" top="0.39370078740157483" bottom="0.39370078740157483" header="0.19685039370078741" footer="0.19685039370078741"/>
  <pageSetup paperSize="8" scale="31" fitToHeight="2" orientation="landscape" r:id="rId1"/>
  <headerFooter alignWithMargins="0">
    <oddHeader xml:space="preserve">&amp;C&amp;"Times New Roman CE,Félkövér"&amp;14 13. melléklet - &amp;P. oldal
&amp;R&amp;"Times New Roman CE,Dőlt"&amp;12
</oddHeader>
  </headerFooter>
  <rowBreaks count="1" manualBreakCount="1">
    <brk id="163" max="16" man="1"/>
  </rowBreaks>
  <colBreaks count="1" manualBreakCount="1">
    <brk id="34" max="298" man="1"/>
  </colBreaks>
</worksheet>
</file>

<file path=xl/worksheets/sheet22.xml><?xml version="1.0" encoding="utf-8"?>
<worksheet xmlns="http://schemas.openxmlformats.org/spreadsheetml/2006/main" xmlns:r="http://schemas.openxmlformats.org/officeDocument/2006/relationships">
  <sheetPr codeName="Munka27">
    <tabColor rgb="FF00B0F0"/>
  </sheetPr>
  <dimension ref="A1:AQ285"/>
  <sheetViews>
    <sheetView zoomScaleNormal="100" workbookViewId="0"/>
  </sheetViews>
  <sheetFormatPr defaultColWidth="13" defaultRowHeight="12"/>
  <cols>
    <col min="1" max="1" width="5" style="559" customWidth="1"/>
    <col min="2" max="2" width="74.140625" style="266" bestFit="1" customWidth="1"/>
    <col min="3" max="9" width="11.5703125" style="266" customWidth="1"/>
    <col min="10" max="10" width="11.5703125" style="558" customWidth="1"/>
    <col min="11" max="18" width="11.5703125" style="266" customWidth="1"/>
    <col min="19" max="20" width="11.5703125" style="558" customWidth="1"/>
    <col min="21" max="21" width="11.5703125" style="266" customWidth="1"/>
    <col min="22" max="22" width="11.5703125" style="558" customWidth="1"/>
    <col min="23" max="23" width="11.5703125" style="198" customWidth="1"/>
    <col min="24" max="24" width="7.140625" style="266" hidden="1" customWidth="1"/>
    <col min="25" max="25" width="6.28515625" style="266" hidden="1" customWidth="1"/>
    <col min="26" max="27" width="9.28515625" style="266" hidden="1" customWidth="1"/>
    <col min="28" max="28" width="3.42578125" style="266" hidden="1" customWidth="1"/>
    <col min="29" max="29" width="13" style="266" hidden="1" customWidth="1"/>
    <col min="30" max="30" width="10.28515625" style="266" hidden="1" customWidth="1"/>
    <col min="31" max="31" width="9.28515625" style="266" hidden="1" customWidth="1"/>
    <col min="32" max="38" width="13" style="266" hidden="1" customWidth="1"/>
    <col min="39" max="39" width="13" style="266" customWidth="1"/>
    <col min="40" max="16384" width="13" style="266"/>
  </cols>
  <sheetData>
    <row r="1" spans="1:43" s="678" customFormat="1" ht="15.75">
      <c r="A1" s="677"/>
      <c r="J1" s="679"/>
      <c r="S1" s="679"/>
      <c r="T1" s="679"/>
      <c r="V1" s="192" t="s">
        <v>600</v>
      </c>
      <c r="W1" s="192"/>
    </row>
    <row r="2" spans="1:43" s="678" customFormat="1" ht="15.75">
      <c r="A2" s="677"/>
      <c r="J2" s="679"/>
      <c r="S2" s="679"/>
      <c r="T2" s="679"/>
      <c r="V2" s="192"/>
      <c r="W2" s="192"/>
    </row>
    <row r="3" spans="1:43" s="679" customFormat="1" ht="15.75">
      <c r="A3" s="680"/>
      <c r="B3" s="1349" t="s">
        <v>894</v>
      </c>
      <c r="C3" s="1349"/>
      <c r="D3" s="1349"/>
      <c r="E3" s="1349"/>
      <c r="F3" s="1349"/>
      <c r="G3" s="1349"/>
      <c r="H3" s="1349"/>
      <c r="I3" s="1349"/>
      <c r="J3" s="1349"/>
      <c r="K3" s="1349"/>
      <c r="L3" s="1349"/>
      <c r="M3" s="1349"/>
      <c r="N3" s="1349"/>
      <c r="O3" s="1349"/>
      <c r="P3" s="1349"/>
      <c r="Q3" s="1349"/>
      <c r="R3" s="1349"/>
      <c r="S3" s="1349"/>
      <c r="T3" s="1349"/>
      <c r="U3" s="1349"/>
      <c r="V3" s="1349"/>
      <c r="W3" s="1194"/>
      <c r="AC3" s="678"/>
      <c r="AD3" s="678"/>
      <c r="AE3" s="678"/>
      <c r="AF3" s="678"/>
      <c r="AG3" s="678"/>
      <c r="AH3" s="678"/>
      <c r="AI3" s="678"/>
      <c r="AJ3" s="678"/>
      <c r="AK3" s="678"/>
      <c r="AL3" s="678"/>
      <c r="AM3" s="678"/>
      <c r="AN3" s="678"/>
      <c r="AO3" s="678"/>
      <c r="AP3" s="678"/>
      <c r="AQ3" s="678"/>
    </row>
    <row r="4" spans="1:43" ht="12.75" thickBot="1">
      <c r="V4" s="242" t="s">
        <v>458</v>
      </c>
      <c r="W4" s="242"/>
    </row>
    <row r="5" spans="1:43" s="561" customFormat="1" ht="84.75" thickBot="1">
      <c r="A5" s="913" t="s">
        <v>17</v>
      </c>
      <c r="B5" s="914" t="s">
        <v>1482</v>
      </c>
      <c r="C5" s="915" t="s">
        <v>817</v>
      </c>
      <c r="D5" s="367" t="s">
        <v>526</v>
      </c>
      <c r="E5" s="367" t="s">
        <v>818</v>
      </c>
      <c r="F5" s="367" t="s">
        <v>1265</v>
      </c>
      <c r="G5" s="367" t="s">
        <v>533</v>
      </c>
      <c r="H5" s="367" t="s">
        <v>534</v>
      </c>
      <c r="I5" s="366" t="s">
        <v>1266</v>
      </c>
      <c r="J5" s="303" t="s">
        <v>525</v>
      </c>
      <c r="K5" s="915" t="s">
        <v>46</v>
      </c>
      <c r="L5" s="367" t="s">
        <v>447</v>
      </c>
      <c r="M5" s="367" t="s">
        <v>448</v>
      </c>
      <c r="N5" s="367" t="s">
        <v>820</v>
      </c>
      <c r="O5" s="367" t="s">
        <v>1267</v>
      </c>
      <c r="P5" s="367" t="s">
        <v>451</v>
      </c>
      <c r="Q5" s="367" t="s">
        <v>452</v>
      </c>
      <c r="R5" s="297" t="s">
        <v>1268</v>
      </c>
      <c r="S5" s="303" t="s">
        <v>528</v>
      </c>
      <c r="T5" s="916" t="s">
        <v>810</v>
      </c>
      <c r="U5" s="1026" t="s">
        <v>1469</v>
      </c>
      <c r="V5" s="560" t="s">
        <v>811</v>
      </c>
      <c r="W5" s="512"/>
      <c r="AC5" s="561" t="s">
        <v>1162</v>
      </c>
      <c r="AD5" s="561" t="s">
        <v>1132</v>
      </c>
      <c r="AE5" s="561" t="s">
        <v>1467</v>
      </c>
      <c r="AF5" s="561" t="s">
        <v>1272</v>
      </c>
      <c r="AG5" s="561" t="s">
        <v>1494</v>
      </c>
      <c r="AH5" s="561" t="s">
        <v>1271</v>
      </c>
      <c r="AI5" s="561" t="s">
        <v>1495</v>
      </c>
      <c r="AJ5" s="561" t="s">
        <v>1277</v>
      </c>
      <c r="AK5" s="561" t="s">
        <v>1468</v>
      </c>
    </row>
    <row r="6" spans="1:43">
      <c r="A6" s="850">
        <v>1</v>
      </c>
      <c r="B6" s="755" t="s">
        <v>415</v>
      </c>
      <c r="C6" s="563">
        <f>+SUMIF('13.mell_ÖNKfeladatok2018'!$B$5:$B$160,'14.mell_Önk kiegészítés2018'!$A6,'13.mell_ÖNKfeladatok2018'!O$5:O$160)</f>
        <v>0</v>
      </c>
      <c r="D6" s="563">
        <f>+SUMIF('13.mell_ÖNKfeladatok2018'!$B$5:$B$160,'14.mell_Önk kiegészítés2018'!$A6,'13.mell_ÖNKfeladatok2018'!S$5:S$160)</f>
        <v>0</v>
      </c>
      <c r="E6" s="563">
        <f>+SUMIF('13.mell_ÖNKfeladatok2018'!$B$5:$B$160,'14.mell_Önk kiegészítés2018'!$A6,'13.mell_ÖNKfeladatok2018'!W$5:W$160)</f>
        <v>0</v>
      </c>
      <c r="F6" s="563">
        <f>+SUMIF('13.mell_ÖNKfeladatok2018'!$B$5:$B$160,'14.mell_Önk kiegészítés2018'!$A6,'13.mell_ÖNKfeladatok2018'!AA$5:AA$160)</f>
        <v>0</v>
      </c>
      <c r="G6" s="563">
        <f>+SUMIF('13.mell_ÖNKfeladatok2018'!$B$5:$B$160,'14.mell_Önk kiegészítés2018'!$A6,'13.mell_ÖNKfeladatok2018'!AI$5:AI$160)</f>
        <v>0</v>
      </c>
      <c r="H6" s="563">
        <f>+SUMIF('13.mell_ÖNKfeladatok2018'!$B$5:$B$160,'14.mell_Önk kiegészítés2018'!$A6,'13.mell_ÖNKfeladatok2018'!AM$5:AM$160)</f>
        <v>0</v>
      </c>
      <c r="I6" s="563">
        <f>+SUMIF('13.mell_ÖNKfeladatok2018'!$B$5:$B$160,'14.mell_Önk kiegészítés2018'!$A6,'13.mell_ÖNKfeladatok2018'!AQ$5:AQ$160)</f>
        <v>0</v>
      </c>
      <c r="J6" s="756">
        <f>SUM(C6:I6)</f>
        <v>0</v>
      </c>
      <c r="K6" s="563">
        <f>+SUMIF('13.mell_ÖNKfeladatok2018'!$B$168:$B$323,'14.mell_Önk kiegészítés2018'!$A6,'13.mell_ÖNKfeladatok2018'!O$168:O$323)</f>
        <v>33550</v>
      </c>
      <c r="L6" s="563">
        <f>+SUMIF('13.mell_ÖNKfeladatok2018'!$B$168:$B$323,'14.mell_Önk kiegészítés2018'!$A6,'13.mell_ÖNKfeladatok2018'!S$168:S$323)</f>
        <v>6363</v>
      </c>
      <c r="M6" s="563">
        <f>+SUMIF('13.mell_ÖNKfeladatok2018'!$B$168:$B$323,'14.mell_Önk kiegészítés2018'!$A6,'13.mell_ÖNKfeladatok2018'!W$168:W$323)</f>
        <v>1960</v>
      </c>
      <c r="N6" s="563">
        <f>+SUMIF('13.mell_ÖNKfeladatok2018'!$B$168:$B$323,'14.mell_Önk kiegészítés2018'!$A6,'13.mell_ÖNKfeladatok2018'!AA$168:AA$323)</f>
        <v>0</v>
      </c>
      <c r="O6" s="563">
        <f>+SUMIF('13.mell_ÖNKfeladatok2018'!$B$168:$B$323,'14.mell_Önk kiegészítés2018'!$A6,'13.mell_ÖNKfeladatok2018'!AE$168:AE$323)</f>
        <v>0</v>
      </c>
      <c r="P6" s="563">
        <f>+SUMIF('13.mell_ÖNKfeladatok2018'!$B$168:$B$323,'14.mell_Önk kiegészítés2018'!$A6,'13.mell_ÖNKfeladatok2018'!AM$168:AM$323)</f>
        <v>0</v>
      </c>
      <c r="Q6" s="563">
        <f>+SUMIF('13.mell_ÖNKfeladatok2018'!$B$168:$B$323,'14.mell_Önk kiegészítés2018'!$A6,'13.mell_ÖNKfeladatok2018'!AQ$168:AQ$323)</f>
        <v>0</v>
      </c>
      <c r="R6" s="563">
        <f>+SUMIF('13.mell_ÖNKfeladatok2018'!$B$168:$B$323,'14.mell_Önk kiegészítés2018'!$A6,'13.mell_ÖNKfeladatok2018'!AU$168:AU$323)</f>
        <v>0</v>
      </c>
      <c r="S6" s="756">
        <f>SUM(K6:R6)</f>
        <v>41873</v>
      </c>
      <c r="T6" s="757">
        <f>S6-J6</f>
        <v>41873</v>
      </c>
      <c r="U6" s="563">
        <f>+ROUND(SUMIF('10.mell_támogatások2018'!$B$6:$B$123,'14.mell_Önk kiegészítés2018'!$A6,'10.mell_támogatások2018'!D$6:D$123)/1000,0)</f>
        <v>2049</v>
      </c>
      <c r="V6" s="758">
        <f>+T6-U6</f>
        <v>39824</v>
      </c>
      <c r="W6" s="1195"/>
    </row>
    <row r="7" spans="1:43">
      <c r="A7" s="851">
        <f>+A6+1</f>
        <v>2</v>
      </c>
      <c r="B7" s="562" t="s">
        <v>657</v>
      </c>
      <c r="C7" s="563">
        <f>+SUMIF('13.mell_ÖNKfeladatok2018'!$B$5:$B$160,'14.mell_Önk kiegészítés2018'!$A7,'13.mell_ÖNKfeladatok2018'!O$5:O$160)</f>
        <v>0</v>
      </c>
      <c r="D7" s="563">
        <f>+SUMIF('13.mell_ÖNKfeladatok2018'!$B$5:$B$160,'14.mell_Önk kiegészítés2018'!$A7,'13.mell_ÖNKfeladatok2018'!S$5:S$160)</f>
        <v>0</v>
      </c>
      <c r="E7" s="563">
        <f>+SUMIF('13.mell_ÖNKfeladatok2018'!$B$5:$B$160,'14.mell_Önk kiegészítés2018'!$A7,'13.mell_ÖNKfeladatok2018'!W$5:W$160)</f>
        <v>0</v>
      </c>
      <c r="F7" s="563">
        <f>+SUMIF('13.mell_ÖNKfeladatok2018'!$B$5:$B$160,'14.mell_Önk kiegészítés2018'!$A7,'13.mell_ÖNKfeladatok2018'!AA$5:AA$160)</f>
        <v>0</v>
      </c>
      <c r="G7" s="563">
        <f>+SUMIF('13.mell_ÖNKfeladatok2018'!$B$5:$B$160,'14.mell_Önk kiegészítés2018'!$A7,'13.mell_ÖNKfeladatok2018'!AI$5:AI$160)</f>
        <v>0</v>
      </c>
      <c r="H7" s="563">
        <f>+SUMIF('13.mell_ÖNKfeladatok2018'!$B$5:$B$160,'14.mell_Önk kiegészítés2018'!$A7,'13.mell_ÖNKfeladatok2018'!AM$5:AM$160)</f>
        <v>0</v>
      </c>
      <c r="I7" s="563">
        <f>+SUMIF('13.mell_ÖNKfeladatok2018'!$B$5:$B$160,'14.mell_Önk kiegészítés2018'!$A7,'13.mell_ÖNKfeladatok2018'!AQ$5:AQ$160)</f>
        <v>0</v>
      </c>
      <c r="J7" s="606">
        <f t="shared" ref="J7:J13" si="0">SUM(C7:I7)</f>
        <v>0</v>
      </c>
      <c r="K7" s="563">
        <f>+SUMIF('13.mell_ÖNKfeladatok2018'!$B$168:$B$323,'14.mell_Önk kiegészítés2018'!$A7,'13.mell_ÖNKfeladatok2018'!O$168:O$323)</f>
        <v>0</v>
      </c>
      <c r="L7" s="563">
        <f>+SUMIF('13.mell_ÖNKfeladatok2018'!$B$168:$B$323,'14.mell_Önk kiegészítés2018'!$A7,'13.mell_ÖNKfeladatok2018'!S$168:S$323)</f>
        <v>0</v>
      </c>
      <c r="M7" s="563">
        <f>+SUMIF('13.mell_ÖNKfeladatok2018'!$B$168:$B$323,'14.mell_Önk kiegészítés2018'!$A7,'13.mell_ÖNKfeladatok2018'!W$168:W$323)</f>
        <v>2000</v>
      </c>
      <c r="N7" s="563">
        <f>+SUMIF('13.mell_ÖNKfeladatok2018'!$B$168:$B$323,'14.mell_Önk kiegészítés2018'!$A7,'13.mell_ÖNKfeladatok2018'!AA$168:AA$323)</f>
        <v>0</v>
      </c>
      <c r="O7" s="563">
        <f>+SUMIF('13.mell_ÖNKfeladatok2018'!$B$168:$B$323,'14.mell_Önk kiegészítés2018'!$A7,'13.mell_ÖNKfeladatok2018'!AE$168:AE$323)</f>
        <v>0</v>
      </c>
      <c r="P7" s="563">
        <f>+SUMIF('13.mell_ÖNKfeladatok2018'!$B$168:$B$323,'14.mell_Önk kiegészítés2018'!$A7,'13.mell_ÖNKfeladatok2018'!AM$168:AM$323)</f>
        <v>0</v>
      </c>
      <c r="Q7" s="563">
        <f>+SUMIF('13.mell_ÖNKfeladatok2018'!$B$168:$B$323,'14.mell_Önk kiegészítés2018'!$A7,'13.mell_ÖNKfeladatok2018'!AQ$168:AQ$323)</f>
        <v>0</v>
      </c>
      <c r="R7" s="563">
        <f>+SUMIF('13.mell_ÖNKfeladatok2018'!$B$168:$B$323,'14.mell_Önk kiegészítés2018'!$A7,'13.mell_ÖNKfeladatok2018'!AU$168:AU$323)</f>
        <v>0</v>
      </c>
      <c r="S7" s="606">
        <f t="shared" ref="S7:S9" si="1">SUM(K7:R7)</f>
        <v>2000</v>
      </c>
      <c r="T7" s="564">
        <f>S7-J7</f>
        <v>2000</v>
      </c>
      <c r="U7" s="1027">
        <f>+ROUND(SUMIF('10.mell_támogatások2018'!$B$6:$B$123,'14.mell_Önk kiegészítés2018'!$A7,'10.mell_támogatások2018'!D$6:D$123)/1000,0)</f>
        <v>3460</v>
      </c>
      <c r="V7" s="565">
        <f t="shared" ref="V7:V9" si="2">+T7-U7</f>
        <v>-1460</v>
      </c>
      <c r="W7" s="1195"/>
    </row>
    <row r="8" spans="1:43">
      <c r="A8" s="851">
        <f>+A7+1</f>
        <v>3</v>
      </c>
      <c r="B8" s="566" t="s">
        <v>652</v>
      </c>
      <c r="C8" s="567">
        <f>+SUMIF('13.mell_ÖNKfeladatok2018'!$B$5:$B$160,'14.mell_Önk kiegészítés2018'!$A8,'13.mell_ÖNKfeladatok2018'!O$5:O$160)</f>
        <v>0</v>
      </c>
      <c r="D8" s="567">
        <f>+SUMIF('13.mell_ÖNKfeladatok2018'!$B$5:$B$160,'14.mell_Önk kiegészítés2018'!$A8,'13.mell_ÖNKfeladatok2018'!S$5:S$160)</f>
        <v>0</v>
      </c>
      <c r="E8" s="567">
        <f>+SUMIF('13.mell_ÖNKfeladatok2018'!$B$5:$B$160,'14.mell_Önk kiegészítés2018'!$A8,'13.mell_ÖNKfeladatok2018'!W$5:W$160)</f>
        <v>0</v>
      </c>
      <c r="F8" s="567">
        <f>+SUMIF('13.mell_ÖNKfeladatok2018'!$B$5:$B$160,'14.mell_Önk kiegészítés2018'!$A8,'13.mell_ÖNKfeladatok2018'!AA$5:AA$160)</f>
        <v>0</v>
      </c>
      <c r="G8" s="563">
        <f>+SUMIF('13.mell_ÖNKfeladatok2018'!$B$5:$B$160,'14.mell_Önk kiegészítés2018'!$A8,'13.mell_ÖNKfeladatok2018'!AI$5:AI$160)</f>
        <v>0</v>
      </c>
      <c r="H8" s="567">
        <f>+SUMIF('13.mell_ÖNKfeladatok2018'!$B$5:$B$160,'14.mell_Önk kiegészítés2018'!$A8,'13.mell_ÖNKfeladatok2018'!AM$5:AM$160)</f>
        <v>0</v>
      </c>
      <c r="I8" s="567">
        <f>+SUMIF('13.mell_ÖNKfeladatok2018'!$B$5:$B$160,'14.mell_Önk kiegészítés2018'!$A8,'13.mell_ÖNKfeladatok2018'!AQ$5:AQ$160)</f>
        <v>0</v>
      </c>
      <c r="J8" s="607">
        <f t="shared" si="0"/>
        <v>0</v>
      </c>
      <c r="K8" s="567">
        <f>+SUMIF('13.mell_ÖNKfeladatok2018'!$B$168:$B$323,'14.mell_Önk kiegészítés2018'!$A8,'13.mell_ÖNKfeladatok2018'!O$168:O$323)</f>
        <v>0</v>
      </c>
      <c r="L8" s="567">
        <f>+SUMIF('13.mell_ÖNKfeladatok2018'!$B$168:$B$323,'14.mell_Önk kiegészítés2018'!$A8,'13.mell_ÖNKfeladatok2018'!S$168:S$323)</f>
        <v>0</v>
      </c>
      <c r="M8" s="567">
        <f>+SUMIF('13.mell_ÖNKfeladatok2018'!$B$168:$B$323,'14.mell_Önk kiegészítés2018'!$A8,'13.mell_ÖNKfeladatok2018'!W$168:W$323)</f>
        <v>23000</v>
      </c>
      <c r="N8" s="567">
        <f>+SUMIF('13.mell_ÖNKfeladatok2018'!$B$168:$B$323,'14.mell_Önk kiegészítés2018'!$A8,'13.mell_ÖNKfeladatok2018'!AA$168:AA$323)</f>
        <v>0</v>
      </c>
      <c r="O8" s="567">
        <f>+SUMIF('13.mell_ÖNKfeladatok2018'!$B$168:$B$323,'14.mell_Önk kiegészítés2018'!$A8,'13.mell_ÖNKfeladatok2018'!AE$168:AE$323)</f>
        <v>0</v>
      </c>
      <c r="P8" s="567">
        <f>+SUMIF('13.mell_ÖNKfeladatok2018'!$B$168:$B$323,'14.mell_Önk kiegészítés2018'!$A8,'13.mell_ÖNKfeladatok2018'!AM$168:AM$323)</f>
        <v>0</v>
      </c>
      <c r="Q8" s="567">
        <f>+SUMIF('13.mell_ÖNKfeladatok2018'!$B$168:$B$323,'14.mell_Önk kiegészítés2018'!$A8,'13.mell_ÖNKfeladatok2018'!AQ$168:AQ$323)</f>
        <v>0</v>
      </c>
      <c r="R8" s="567">
        <f>+SUMIF('13.mell_ÖNKfeladatok2018'!$B$168:$B$323,'14.mell_Önk kiegészítés2018'!$A8,'13.mell_ÖNKfeladatok2018'!AU$168:AU$323)</f>
        <v>0</v>
      </c>
      <c r="S8" s="607">
        <f t="shared" si="1"/>
        <v>23000</v>
      </c>
      <c r="T8" s="568">
        <f t="shared" ref="T8:T9" si="3">S8-J8</f>
        <v>23000</v>
      </c>
      <c r="U8" s="1027">
        <f>+ROUND(SUMIF('10.mell_támogatások2018'!$B$6:$B$123,'14.mell_Önk kiegészítés2018'!$A8,'10.mell_támogatások2018'!D$6:D$123)/1000,0)</f>
        <v>26600</v>
      </c>
      <c r="V8" s="569">
        <f t="shared" si="2"/>
        <v>-3600</v>
      </c>
      <c r="W8" s="1195"/>
    </row>
    <row r="9" spans="1:43">
      <c r="A9" s="851">
        <f>+A8+1</f>
        <v>4</v>
      </c>
      <c r="B9" s="566" t="s">
        <v>654</v>
      </c>
      <c r="C9" s="567">
        <f>+SUMIF('13.mell_ÖNKfeladatok2018'!$B$5:$B$160,'14.mell_Önk kiegészítés2018'!$A9,'13.mell_ÖNKfeladatok2018'!O$5:O$160)</f>
        <v>0</v>
      </c>
      <c r="D9" s="567">
        <f>+SUMIF('13.mell_ÖNKfeladatok2018'!$B$5:$B$160,'14.mell_Önk kiegészítés2018'!$A9,'13.mell_ÖNKfeladatok2018'!S$5:S$160)</f>
        <v>0</v>
      </c>
      <c r="E9" s="567">
        <f>+SUMIF('13.mell_ÖNKfeladatok2018'!$B$5:$B$160,'14.mell_Önk kiegészítés2018'!$A9,'13.mell_ÖNKfeladatok2018'!W$5:W$160)</f>
        <v>0</v>
      </c>
      <c r="F9" s="567">
        <f>+SUMIF('13.mell_ÖNKfeladatok2018'!$B$5:$B$160,'14.mell_Önk kiegészítés2018'!$A9,'13.mell_ÖNKfeladatok2018'!AA$5:AA$160)</f>
        <v>0</v>
      </c>
      <c r="G9" s="563">
        <f>+SUMIF('13.mell_ÖNKfeladatok2018'!$B$5:$B$160,'14.mell_Önk kiegészítés2018'!$A9,'13.mell_ÖNKfeladatok2018'!AI$5:AI$160)</f>
        <v>0</v>
      </c>
      <c r="H9" s="567">
        <f>+SUMIF('13.mell_ÖNKfeladatok2018'!$B$5:$B$160,'14.mell_Önk kiegészítés2018'!$A9,'13.mell_ÖNKfeladatok2018'!AM$5:AM$160)</f>
        <v>0</v>
      </c>
      <c r="I9" s="567">
        <f>+SUMIF('13.mell_ÖNKfeladatok2018'!$B$5:$B$160,'14.mell_Önk kiegészítés2018'!$A9,'13.mell_ÖNKfeladatok2018'!AQ$5:AQ$160)</f>
        <v>0</v>
      </c>
      <c r="J9" s="607">
        <f t="shared" si="0"/>
        <v>0</v>
      </c>
      <c r="K9" s="567">
        <f>+SUMIF('13.mell_ÖNKfeladatok2018'!$B$168:$B$323,'14.mell_Önk kiegészítés2018'!$A9,'13.mell_ÖNKfeladatok2018'!O$168:O$323)</f>
        <v>0</v>
      </c>
      <c r="L9" s="567">
        <f>+SUMIF('13.mell_ÖNKfeladatok2018'!$B$168:$B$323,'14.mell_Önk kiegészítés2018'!$A9,'13.mell_ÖNKfeladatok2018'!S$168:S$323)</f>
        <v>0</v>
      </c>
      <c r="M9" s="567">
        <f>+SUMIF('13.mell_ÖNKfeladatok2018'!$B$168:$B$323,'14.mell_Önk kiegészítés2018'!$A9,'13.mell_ÖNKfeladatok2018'!W$168:W$323)</f>
        <v>8592</v>
      </c>
      <c r="N9" s="567">
        <f>+SUMIF('13.mell_ÖNKfeladatok2018'!$B$168:$B$323,'14.mell_Önk kiegészítés2018'!$A9,'13.mell_ÖNKfeladatok2018'!AA$168:AA$323)</f>
        <v>0</v>
      </c>
      <c r="O9" s="567">
        <f>+SUMIF('13.mell_ÖNKfeladatok2018'!$B$168:$B$323,'14.mell_Önk kiegészítés2018'!$A9,'13.mell_ÖNKfeladatok2018'!AE$168:AE$323)</f>
        <v>0</v>
      </c>
      <c r="P9" s="567">
        <f>+SUMIF('13.mell_ÖNKfeladatok2018'!$B$168:$B$323,'14.mell_Önk kiegészítés2018'!$A9,'13.mell_ÖNKfeladatok2018'!AM$168:AM$323)</f>
        <v>0</v>
      </c>
      <c r="Q9" s="567">
        <f>+SUMIF('13.mell_ÖNKfeladatok2018'!$B$168:$B$323,'14.mell_Önk kiegészítés2018'!$A9,'13.mell_ÖNKfeladatok2018'!AQ$168:AQ$323)</f>
        <v>1085</v>
      </c>
      <c r="R9" s="567">
        <f>+SUMIF('13.mell_ÖNKfeladatok2018'!$B$168:$B$323,'14.mell_Önk kiegészítés2018'!$A9,'13.mell_ÖNKfeladatok2018'!AU$168:AU$323)</f>
        <v>0</v>
      </c>
      <c r="S9" s="607">
        <f t="shared" si="1"/>
        <v>9677</v>
      </c>
      <c r="T9" s="568">
        <f t="shared" si="3"/>
        <v>9677</v>
      </c>
      <c r="U9" s="1027">
        <f>+ROUND(SUMIF('10.mell_támogatások2018'!$B$6:$B$123,'14.mell_Önk kiegészítés2018'!$A9,'10.mell_támogatások2018'!D$6:D$123)/1000,0)</f>
        <v>13509</v>
      </c>
      <c r="V9" s="569">
        <f t="shared" si="2"/>
        <v>-3832</v>
      </c>
      <c r="W9" s="1195"/>
    </row>
    <row r="10" spans="1:43">
      <c r="A10" s="851">
        <f>+A9+1</f>
        <v>5</v>
      </c>
      <c r="B10" s="566" t="s">
        <v>651</v>
      </c>
      <c r="C10" s="567">
        <f>+SUMIF('13.mell_ÖNKfeladatok2018'!$B$5:$B$160,'14.mell_Önk kiegészítés2018'!$A10,'13.mell_ÖNKfeladatok2018'!O$5:O$160)</f>
        <v>0</v>
      </c>
      <c r="D10" s="567">
        <f>+SUMIF('13.mell_ÖNKfeladatok2018'!$B$5:$B$160,'14.mell_Önk kiegészítés2018'!$A10,'13.mell_ÖNKfeladatok2018'!S$5:S$160)</f>
        <v>0</v>
      </c>
      <c r="E10" s="567">
        <f>+SUMIF('13.mell_ÖNKfeladatok2018'!$B$5:$B$160,'14.mell_Önk kiegészítés2018'!$A10,'13.mell_ÖNKfeladatok2018'!W$5:W$160)</f>
        <v>0</v>
      </c>
      <c r="F10" s="567">
        <f>+SUMIF('13.mell_ÖNKfeladatok2018'!$B$5:$B$160,'14.mell_Önk kiegészítés2018'!$A10,'13.mell_ÖNKfeladatok2018'!AA$5:AA$160)</f>
        <v>0</v>
      </c>
      <c r="G10" s="563">
        <f>+SUMIF('13.mell_ÖNKfeladatok2018'!$B$5:$B$160,'14.mell_Önk kiegészítés2018'!$A10,'13.mell_ÖNKfeladatok2018'!AI$5:AI$160)</f>
        <v>0</v>
      </c>
      <c r="H10" s="567">
        <f>+SUMIF('13.mell_ÖNKfeladatok2018'!$B$5:$B$160,'14.mell_Önk kiegészítés2018'!$A10,'13.mell_ÖNKfeladatok2018'!AM$5:AM$160)</f>
        <v>0</v>
      </c>
      <c r="I10" s="567">
        <f>+SUMIF('13.mell_ÖNKfeladatok2018'!$B$5:$B$160,'14.mell_Önk kiegészítés2018'!$A10,'13.mell_ÖNKfeladatok2018'!AQ$5:AQ$160)</f>
        <v>0</v>
      </c>
      <c r="J10" s="607">
        <f t="shared" si="0"/>
        <v>0</v>
      </c>
      <c r="K10" s="567">
        <f>+SUMIF('13.mell_ÖNKfeladatok2018'!$B$168:$B$323,'14.mell_Önk kiegészítés2018'!$A10,'13.mell_ÖNKfeladatok2018'!O$168:O$323)</f>
        <v>0</v>
      </c>
      <c r="L10" s="567">
        <f>+SUMIF('13.mell_ÖNKfeladatok2018'!$B$168:$B$323,'14.mell_Önk kiegészítés2018'!$A10,'13.mell_ÖNKfeladatok2018'!S$168:S$323)</f>
        <v>0</v>
      </c>
      <c r="M10" s="567">
        <f>+SUMIF('13.mell_ÖNKfeladatok2018'!$B$168:$B$323,'14.mell_Önk kiegészítés2018'!$A10,'13.mell_ÖNKfeladatok2018'!W$168:W$323)</f>
        <v>9700</v>
      </c>
      <c r="N10" s="567">
        <f>+SUMIF('13.mell_ÖNKfeladatok2018'!$B$168:$B$323,'14.mell_Önk kiegészítés2018'!$A10,'13.mell_ÖNKfeladatok2018'!AA$168:AA$323)</f>
        <v>0</v>
      </c>
      <c r="O10" s="567">
        <f>+SUMIF('13.mell_ÖNKfeladatok2018'!$B$168:$B$323,'14.mell_Önk kiegészítés2018'!$A10,'13.mell_ÖNKfeladatok2018'!AE$168:AE$323)</f>
        <v>0</v>
      </c>
      <c r="P10" s="567">
        <f>+SUMIF('13.mell_ÖNKfeladatok2018'!$B$168:$B$323,'14.mell_Önk kiegészítés2018'!$A10,'13.mell_ÖNKfeladatok2018'!AM$168:AM$323)</f>
        <v>0</v>
      </c>
      <c r="Q10" s="567">
        <f>+SUMIF('13.mell_ÖNKfeladatok2018'!$B$168:$B$323,'14.mell_Önk kiegészítés2018'!$A10,'13.mell_ÖNKfeladatok2018'!AQ$168:AQ$323)</f>
        <v>0</v>
      </c>
      <c r="R10" s="567">
        <f>+SUMIF('13.mell_ÖNKfeladatok2018'!$B$168:$B$323,'14.mell_Önk kiegészítés2018'!$A10,'13.mell_ÖNKfeladatok2018'!AU$168:AU$323)</f>
        <v>0</v>
      </c>
      <c r="S10" s="607">
        <f>SUM(K10:R10)</f>
        <v>9700</v>
      </c>
      <c r="T10" s="568">
        <f>S10-J10</f>
        <v>9700</v>
      </c>
      <c r="U10" s="1027">
        <f>+ROUND(SUMIF('10.mell_támogatások2018'!$B$6:$B$123,'14.mell_Önk kiegészítés2018'!$A10,'10.mell_támogatások2018'!D$6:D$123)/1000,0)</f>
        <v>14918</v>
      </c>
      <c r="V10" s="569">
        <f>+T10-U10</f>
        <v>-5218</v>
      </c>
      <c r="W10" s="1195"/>
    </row>
    <row r="11" spans="1:43">
      <c r="A11" s="851">
        <f>+A10+1</f>
        <v>6</v>
      </c>
      <c r="B11" s="566" t="s">
        <v>1261</v>
      </c>
      <c r="C11" s="567">
        <f>+SUMIF('13.mell_ÖNKfeladatok2018'!$B$5:$B$160,'14.mell_Önk kiegészítés2018'!$A11,'13.mell_ÖNKfeladatok2018'!O$5:O$160)</f>
        <v>49635</v>
      </c>
      <c r="D11" s="567">
        <f>+SUMIF('13.mell_ÖNKfeladatok2018'!$B$5:$B$160,'14.mell_Önk kiegészítés2018'!$A11,'13.mell_ÖNKfeladatok2018'!S$5:S$160)</f>
        <v>0</v>
      </c>
      <c r="E11" s="567">
        <f>+SUMIF('13.mell_ÖNKfeladatok2018'!$B$5:$B$160,'14.mell_Önk kiegészítés2018'!$A11,'13.mell_ÖNKfeladatok2018'!W$5:W$160)</f>
        <v>0</v>
      </c>
      <c r="F11" s="567">
        <f>+SUMIF('13.mell_ÖNKfeladatok2018'!$B$5:$B$160,'14.mell_Önk kiegészítés2018'!$A11,'13.mell_ÖNKfeladatok2018'!AA$5:AA$160)</f>
        <v>0</v>
      </c>
      <c r="G11" s="563">
        <f>+SUMIF('13.mell_ÖNKfeladatok2018'!$B$5:$B$160,'14.mell_Önk kiegészítés2018'!$A11,'13.mell_ÖNKfeladatok2018'!AI$5:AI$160)</f>
        <v>0</v>
      </c>
      <c r="H11" s="567">
        <f>+SUMIF('13.mell_ÖNKfeladatok2018'!$B$5:$B$160,'14.mell_Önk kiegészítés2018'!$A11,'13.mell_ÖNKfeladatok2018'!AM$5:AM$160)</f>
        <v>0</v>
      </c>
      <c r="I11" s="567">
        <f>+SUMIF('13.mell_ÖNKfeladatok2018'!$B$5:$B$160,'14.mell_Önk kiegészítés2018'!$A11,'13.mell_ÖNKfeladatok2018'!AQ$5:AQ$160)</f>
        <v>0</v>
      </c>
      <c r="J11" s="607">
        <f t="shared" si="0"/>
        <v>49635</v>
      </c>
      <c r="K11" s="567">
        <f>+SUMIF('13.mell_ÖNKfeladatok2018'!$B$168:$B$323,'14.mell_Önk kiegészítés2018'!$A11,'13.mell_ÖNKfeladatok2018'!O$168:O$323)</f>
        <v>35725</v>
      </c>
      <c r="L11" s="567">
        <f>+SUMIF('13.mell_ÖNKfeladatok2018'!$B$168:$B$323,'14.mell_Önk kiegészítés2018'!$A11,'13.mell_ÖNKfeladatok2018'!S$168:S$323)</f>
        <v>3939</v>
      </c>
      <c r="M11" s="567">
        <f>+SUMIF('13.mell_ÖNKfeladatok2018'!$B$168:$B$323,'14.mell_Önk kiegészítés2018'!$A11,'13.mell_ÖNKfeladatok2018'!W$168:W$323)</f>
        <v>15000</v>
      </c>
      <c r="N11" s="567">
        <f>+SUMIF('13.mell_ÖNKfeladatok2018'!$B$168:$B$323,'14.mell_Önk kiegészítés2018'!$A11,'13.mell_ÖNKfeladatok2018'!AA$168:AA$323)</f>
        <v>44465</v>
      </c>
      <c r="O11" s="567">
        <f>+SUMIF('13.mell_ÖNKfeladatok2018'!$B$168:$B$323,'14.mell_Önk kiegészítés2018'!$A11,'13.mell_ÖNKfeladatok2018'!AE$168:AE$323)</f>
        <v>0</v>
      </c>
      <c r="P11" s="567">
        <f>+SUMIF('13.mell_ÖNKfeladatok2018'!$B$168:$B$323,'14.mell_Önk kiegészítés2018'!$A11,'13.mell_ÖNKfeladatok2018'!AM$168:AM$323)</f>
        <v>0</v>
      </c>
      <c r="Q11" s="567">
        <f>+SUMIF('13.mell_ÖNKfeladatok2018'!$B$168:$B$323,'14.mell_Önk kiegészítés2018'!$A11,'13.mell_ÖNKfeladatok2018'!AQ$168:AQ$323)</f>
        <v>0</v>
      </c>
      <c r="R11" s="567">
        <f>+SUMIF('13.mell_ÖNKfeladatok2018'!$B$168:$B$323,'14.mell_Önk kiegészítés2018'!$A11,'13.mell_ÖNKfeladatok2018'!AU$168:AU$323)</f>
        <v>0</v>
      </c>
      <c r="S11" s="607">
        <f t="shared" ref="S11" si="4">SUM(K11:R11)</f>
        <v>99129</v>
      </c>
      <c r="T11" s="568">
        <f t="shared" ref="T11" si="5">S11-J11</f>
        <v>49494</v>
      </c>
      <c r="U11" s="1027">
        <f>+ROUND(SUMIF('10.mell_támogatások2018'!$B$6:$B$123,'14.mell_Önk kiegészítés2018'!$A11,'10.mell_támogatások2018'!D$6:D$123)/1000,0)-14946</f>
        <v>79963</v>
      </c>
      <c r="V11" s="569">
        <f t="shared" ref="V11" si="6">+T11-U11</f>
        <v>-30469</v>
      </c>
      <c r="W11" s="1195"/>
      <c r="Z11" s="912">
        <f>+V11+V15+V35+V36+V62-(V35-12642)+9600</f>
        <v>4194</v>
      </c>
      <c r="AA11" s="266" t="s">
        <v>1273</v>
      </c>
      <c r="AJ11" s="266">
        <f>-((8431+1662)+(4055+798))</f>
        <v>-14946</v>
      </c>
    </row>
    <row r="12" spans="1:43">
      <c r="A12" s="851">
        <f>A11+1</f>
        <v>7</v>
      </c>
      <c r="B12" s="566" t="s">
        <v>831</v>
      </c>
      <c r="C12" s="567">
        <f>+SUMIF('13.mell_ÖNKfeladatok2018'!$B$5:$B$160,'14.mell_Önk kiegészítés2018'!$A12,'13.mell_ÖNKfeladatok2018'!O$5:O$160)</f>
        <v>0</v>
      </c>
      <c r="D12" s="567">
        <f>+SUMIF('13.mell_ÖNKfeladatok2018'!$B$5:$B$160,'14.mell_Önk kiegészítés2018'!$A12,'13.mell_ÖNKfeladatok2018'!S$5:S$160)</f>
        <v>0</v>
      </c>
      <c r="E12" s="567">
        <f>+SUMIF('13.mell_ÖNKfeladatok2018'!$B$5:$B$160,'14.mell_Önk kiegészítés2018'!$A12,'13.mell_ÖNKfeladatok2018'!W$5:W$160)</f>
        <v>0</v>
      </c>
      <c r="F12" s="567">
        <f>+SUMIF('13.mell_ÖNKfeladatok2018'!$B$5:$B$160,'14.mell_Önk kiegészítés2018'!$A12,'13.mell_ÖNKfeladatok2018'!AA$5:AA$160)</f>
        <v>0</v>
      </c>
      <c r="G12" s="563">
        <f>+SUMIF('13.mell_ÖNKfeladatok2018'!$B$5:$B$160,'14.mell_Önk kiegészítés2018'!$A12,'13.mell_ÖNKfeladatok2018'!AI$5:AI$160)</f>
        <v>55832</v>
      </c>
      <c r="H12" s="567">
        <f>+SUMIF('13.mell_ÖNKfeladatok2018'!$B$5:$B$160,'14.mell_Önk kiegészítés2018'!$A12,'13.mell_ÖNKfeladatok2018'!AM$5:AM$160)</f>
        <v>0</v>
      </c>
      <c r="I12" s="567">
        <f>+SUMIF('13.mell_ÖNKfeladatok2018'!$B$5:$B$160,'14.mell_Önk kiegészítés2018'!$A12,'13.mell_ÖNKfeladatok2018'!AQ$5:AQ$160)</f>
        <v>0</v>
      </c>
      <c r="J12" s="607">
        <f t="shared" si="0"/>
        <v>55832</v>
      </c>
      <c r="K12" s="567">
        <f>+SUMIF('13.mell_ÖNKfeladatok2018'!$B$168:$B$323,'14.mell_Önk kiegészítés2018'!$A12,'13.mell_ÖNKfeladatok2018'!O$168:O$323)</f>
        <v>16807</v>
      </c>
      <c r="L12" s="567">
        <f>+SUMIF('13.mell_ÖNKfeladatok2018'!$B$168:$B$323,'14.mell_Önk kiegészítés2018'!$A12,'13.mell_ÖNKfeladatok2018'!S$168:S$323)</f>
        <v>4547</v>
      </c>
      <c r="M12" s="567">
        <f>+SUMIF('13.mell_ÖNKfeladatok2018'!$B$168:$B$323,'14.mell_Önk kiegészítés2018'!$A12,'13.mell_ÖNKfeladatok2018'!W$168:W$323)</f>
        <v>63554</v>
      </c>
      <c r="N12" s="567">
        <f>+SUMIF('13.mell_ÖNKfeladatok2018'!$B$168:$B$323,'14.mell_Önk kiegészítés2018'!$A12,'13.mell_ÖNKfeladatok2018'!AA$168:AA$323)</f>
        <v>0</v>
      </c>
      <c r="O12" s="567">
        <f>+SUMIF('13.mell_ÖNKfeladatok2018'!$B$168:$B$323,'14.mell_Önk kiegészítés2018'!$A12,'13.mell_ÖNKfeladatok2018'!AE$168:AE$323)</f>
        <v>0</v>
      </c>
      <c r="P12" s="567">
        <f>+SUMIF('13.mell_ÖNKfeladatok2018'!$B$168:$B$323,'14.mell_Önk kiegészítés2018'!$A12,'13.mell_ÖNKfeladatok2018'!AM$168:AM$323)</f>
        <v>867373</v>
      </c>
      <c r="Q12" s="567">
        <f>+SUMIF('13.mell_ÖNKfeladatok2018'!$B$168:$B$323,'14.mell_Önk kiegészítés2018'!$A12,'13.mell_ÖNKfeladatok2018'!AQ$168:AQ$323)</f>
        <v>792788</v>
      </c>
      <c r="R12" s="567">
        <f>+SUMIF('13.mell_ÖNKfeladatok2018'!$B$168:$B$323,'14.mell_Önk kiegészítés2018'!$A12,'13.mell_ÖNKfeladatok2018'!AU$168:AU$323)</f>
        <v>0</v>
      </c>
      <c r="S12" s="607">
        <f>SUM(K12:R12)</f>
        <v>1745069</v>
      </c>
      <c r="T12" s="568">
        <f>S12-J12</f>
        <v>1689237</v>
      </c>
      <c r="U12" s="1028">
        <f>+ROUND(SUMIF('10.mell_támogatások2018'!$B$6:$B$123,'14.mell_Önk kiegészítés2018'!$A12,'10.mell_támogatások2018'!D$6:D$123)/1000,0)</f>
        <v>0</v>
      </c>
      <c r="V12" s="569">
        <f>+T12-U12</f>
        <v>1689237</v>
      </c>
      <c r="W12" s="1195"/>
    </row>
    <row r="13" spans="1:43" ht="12.75" thickBot="1">
      <c r="A13" s="851">
        <f>+A12+1</f>
        <v>8</v>
      </c>
      <c r="B13" s="570" t="s">
        <v>812</v>
      </c>
      <c r="C13" s="567">
        <f>+SUMIF('13.mell_ÖNKfeladatok2018'!$B$5:$B$160,'14.mell_Önk kiegészítés2018'!$A13,'13.mell_ÖNKfeladatok2018'!O$5:O$160)</f>
        <v>854344</v>
      </c>
      <c r="D13" s="571">
        <f>+SUMIF('13.mell_ÖNKfeladatok2018'!$B$5:$B$160,'14.mell_Önk kiegészítés2018'!$A13,'13.mell_ÖNKfeladatok2018'!S$5:S$160)</f>
        <v>318710</v>
      </c>
      <c r="E13" s="571">
        <f>+SUMIF('13.mell_ÖNKfeladatok2018'!$B$5:$B$160,'14.mell_Önk kiegészítés2018'!$A13,'13.mell_ÖNKfeladatok2018'!W$5:W$160)</f>
        <v>81505</v>
      </c>
      <c r="F13" s="571">
        <f>+SUMIF('13.mell_ÖNKfeladatok2018'!$B$5:$B$160,'14.mell_Önk kiegészítés2018'!$A13,'13.mell_ÖNKfeladatok2018'!AA$5:AA$160)</f>
        <v>2000</v>
      </c>
      <c r="G13" s="563">
        <f>+SUMIF('13.mell_ÖNKfeladatok2018'!$B$5:$B$160,'14.mell_Önk kiegészítés2018'!$A13,'13.mell_ÖNKfeladatok2018'!AI$5:AI$160)</f>
        <v>16000</v>
      </c>
      <c r="H13" s="571">
        <f>+SUMIF('13.mell_ÖNKfeladatok2018'!$B$5:$B$160,'14.mell_Önk kiegészítés2018'!$A13,'13.mell_ÖNKfeladatok2018'!AM$5:AM$160)</f>
        <v>15350</v>
      </c>
      <c r="I13" s="571">
        <f>+SUMIF('13.mell_ÖNKfeladatok2018'!$B$5:$B$160,'14.mell_Önk kiegészítés2018'!$A13,'13.mell_ÖNKfeladatok2018'!AQ$5:AQ$160)</f>
        <v>0</v>
      </c>
      <c r="J13" s="607">
        <f t="shared" si="0"/>
        <v>1287909</v>
      </c>
      <c r="K13" s="567">
        <f>+SUMIF('13.mell_ÖNKfeladatok2018'!$B$168:$B$323,'14.mell_Önk kiegészítés2018'!$A13,'13.mell_ÖNKfeladatok2018'!O$168:O$323)</f>
        <v>150</v>
      </c>
      <c r="L13" s="567">
        <f>+SUMIF('13.mell_ÖNKfeladatok2018'!$B$168:$B$323,'14.mell_Önk kiegészítés2018'!$A13,'13.mell_ÖNKfeladatok2018'!S$168:S$323)</f>
        <v>29</v>
      </c>
      <c r="M13" s="567">
        <f>+SUMIF('13.mell_ÖNKfeladatok2018'!$B$168:$B$323,'14.mell_Önk kiegészítés2018'!$A13,'13.mell_ÖNKfeladatok2018'!W$168:W$323)</f>
        <v>121451</v>
      </c>
      <c r="N13" s="567">
        <f>+SUMIF('13.mell_ÖNKfeladatok2018'!$B$168:$B$323,'14.mell_Önk kiegészítés2018'!$A13,'13.mell_ÖNKfeladatok2018'!AA$168:AA$323)</f>
        <v>0</v>
      </c>
      <c r="O13" s="567">
        <f>+SUMIF('13.mell_ÖNKfeladatok2018'!$B$168:$B$323,'14.mell_Önk kiegészítés2018'!$A13,'13.mell_ÖNKfeladatok2018'!AE$168:AE$323)</f>
        <v>329448</v>
      </c>
      <c r="P13" s="567">
        <f>+SUMIF('13.mell_ÖNKfeladatok2018'!$B$168:$B$323,'14.mell_Önk kiegészítés2018'!$A13,'13.mell_ÖNKfeladatok2018'!AM$168:AM$323)</f>
        <v>34100</v>
      </c>
      <c r="Q13" s="567">
        <f>+SUMIF('13.mell_ÖNKfeladatok2018'!$B$168:$B$323,'14.mell_Önk kiegészítés2018'!$A13,'13.mell_ÖNKfeladatok2018'!AQ$168:AQ$323)</f>
        <v>12000</v>
      </c>
      <c r="R13" s="567">
        <f>+SUMIF('13.mell_ÖNKfeladatok2018'!$B$168:$B$323,'14.mell_Önk kiegészítés2018'!$A13,'13.mell_ÖNKfeladatok2018'!AU$168:AU$323)</f>
        <v>0</v>
      </c>
      <c r="S13" s="607">
        <f t="shared" ref="S13" si="7">SUM(K13:R13)</f>
        <v>497178</v>
      </c>
      <c r="T13" s="568">
        <f t="shared" ref="T13" si="8">S13-J13</f>
        <v>-790731</v>
      </c>
      <c r="U13" s="1028">
        <f>-ROUND('10.mell_támogatások2018'!$D$123/1000,0)+ROUND(SUMIF('10.mell_támogatások2018'!$B$6:$B$123,'14.mell_Önk kiegészítés2018'!$A13,'10.mell_támogatások2018'!D$6:D$123)/1000,0)+1811366-3740-2741+9503</f>
        <v>1121842</v>
      </c>
      <c r="V13" s="569">
        <f t="shared" ref="V13" si="9">+T13-U13</f>
        <v>-1912573</v>
      </c>
      <c r="W13" s="1195"/>
      <c r="AD13" s="266">
        <f>1832034+8000-25346-3322</f>
        <v>1811366</v>
      </c>
      <c r="AE13" s="266">
        <f>-2351-(1021+368)</f>
        <v>-3740</v>
      </c>
      <c r="AF13" s="266">
        <v>-2741</v>
      </c>
      <c r="AK13" s="266">
        <f>((2279+780)+(3050+500+1044+171)+(450-100+154-34)+(150+52)+(400+350+137+120))</f>
        <v>9503</v>
      </c>
    </row>
    <row r="14" spans="1:43" s="558" customFormat="1" ht="12.75" thickBot="1">
      <c r="A14" s="572" t="s">
        <v>596</v>
      </c>
      <c r="B14" s="573" t="s">
        <v>411</v>
      </c>
      <c r="C14" s="574">
        <f>SUM(C6:C13)</f>
        <v>903979</v>
      </c>
      <c r="D14" s="575">
        <f t="shared" ref="D14:V14" si="10">SUM(D6:D13)</f>
        <v>318710</v>
      </c>
      <c r="E14" s="575">
        <f t="shared" si="10"/>
        <v>81505</v>
      </c>
      <c r="F14" s="575">
        <f t="shared" si="10"/>
        <v>2000</v>
      </c>
      <c r="G14" s="575">
        <f t="shared" si="10"/>
        <v>71832</v>
      </c>
      <c r="H14" s="575">
        <f t="shared" si="10"/>
        <v>15350</v>
      </c>
      <c r="I14" s="576">
        <f t="shared" si="10"/>
        <v>0</v>
      </c>
      <c r="J14" s="577">
        <f t="shared" si="10"/>
        <v>1393376</v>
      </c>
      <c r="K14" s="574">
        <f t="shared" si="10"/>
        <v>86232</v>
      </c>
      <c r="L14" s="574">
        <f t="shared" si="10"/>
        <v>14878</v>
      </c>
      <c r="M14" s="574">
        <f t="shared" si="10"/>
        <v>245257</v>
      </c>
      <c r="N14" s="574">
        <f t="shared" si="10"/>
        <v>44465</v>
      </c>
      <c r="O14" s="574">
        <f t="shared" si="10"/>
        <v>329448</v>
      </c>
      <c r="P14" s="574">
        <f t="shared" si="10"/>
        <v>901473</v>
      </c>
      <c r="Q14" s="574">
        <f t="shared" si="10"/>
        <v>805873</v>
      </c>
      <c r="R14" s="574">
        <f t="shared" si="10"/>
        <v>0</v>
      </c>
      <c r="S14" s="577">
        <f t="shared" si="10"/>
        <v>2427626</v>
      </c>
      <c r="T14" s="574">
        <f t="shared" si="10"/>
        <v>1034250</v>
      </c>
      <c r="U14" s="578">
        <f t="shared" si="10"/>
        <v>1262341</v>
      </c>
      <c r="V14" s="577">
        <f t="shared" si="10"/>
        <v>-228091</v>
      </c>
      <c r="W14" s="1195"/>
      <c r="AC14" s="266"/>
      <c r="AD14" s="266"/>
      <c r="AE14" s="266"/>
      <c r="AF14" s="266"/>
      <c r="AG14" s="266"/>
      <c r="AH14" s="266"/>
      <c r="AI14" s="266"/>
      <c r="AJ14" s="266"/>
      <c r="AK14" s="266"/>
      <c r="AL14" s="266"/>
      <c r="AM14" s="266"/>
      <c r="AN14" s="266"/>
      <c r="AO14" s="266"/>
      <c r="AP14" s="266"/>
      <c r="AQ14" s="266"/>
    </row>
    <row r="15" spans="1:43">
      <c r="A15" s="851">
        <f>+A13+1</f>
        <v>9</v>
      </c>
      <c r="B15" s="570" t="s">
        <v>829</v>
      </c>
      <c r="C15" s="571">
        <f>+SUMIF('13.mell_ÖNKfeladatok2018'!$B$5:$B$160,'14.mell_Önk kiegészítés2018'!$A15,'13.mell_ÖNKfeladatok2018'!O$5:O$160)</f>
        <v>0</v>
      </c>
      <c r="D15" s="571">
        <f>+SUMIF('13.mell_ÖNKfeladatok2018'!$B$5:$B$160,'14.mell_Önk kiegészítés2018'!$A15,'13.mell_ÖNKfeladatok2018'!S$5:S$160)</f>
        <v>0</v>
      </c>
      <c r="E15" s="571">
        <f>+SUMIF('13.mell_ÖNKfeladatok2018'!$B$5:$B$160,'14.mell_Önk kiegészítés2018'!$A15,'13.mell_ÖNKfeladatok2018'!W$5:W$160)</f>
        <v>0</v>
      </c>
      <c r="F15" s="571">
        <f>+SUMIF('13.mell_ÖNKfeladatok2018'!$B$5:$B$160,'14.mell_Önk kiegészítés2018'!$A15,'13.mell_ÖNKfeladatok2018'!AA$5:AA$160)</f>
        <v>0</v>
      </c>
      <c r="G15" s="571">
        <f>+SUMIF('13.mell_ÖNKfeladatok2018'!$B$5:$B$160,'14.mell_Önk kiegészítés2018'!$A15,'13.mell_ÖNKfeladatok2018'!AI$5:AI$160)</f>
        <v>0</v>
      </c>
      <c r="H15" s="571">
        <f>+SUMIF('13.mell_ÖNKfeladatok2018'!$B$5:$B$160,'14.mell_Önk kiegészítés2018'!$A15,'13.mell_ÖNKfeladatok2018'!AM$5:AM$160)</f>
        <v>0</v>
      </c>
      <c r="I15" s="571">
        <f>+SUMIF('13.mell_ÖNKfeladatok2018'!$B$5:$B$160,'14.mell_Önk kiegészítés2018'!$A15,'13.mell_ÖNKfeladatok2018'!AQ$5:AQ$160)</f>
        <v>0</v>
      </c>
      <c r="J15" s="608">
        <f t="shared" ref="J15:J16" si="11">SUM(C15:I15)</f>
        <v>0</v>
      </c>
      <c r="K15" s="567">
        <f>+SUMIF('13.mell_ÖNKfeladatok2018'!$B$168:$B$323,'14.mell_Önk kiegészítés2018'!$A15,'13.mell_ÖNKfeladatok2018'!O$168:O$323)</f>
        <v>0</v>
      </c>
      <c r="L15" s="567">
        <f>+SUMIF('13.mell_ÖNKfeladatok2018'!$B$168:$B$323,'14.mell_Önk kiegészítés2018'!$A15,'13.mell_ÖNKfeladatok2018'!S$168:S$323)</f>
        <v>0</v>
      </c>
      <c r="M15" s="567">
        <f>+SUMIF('13.mell_ÖNKfeladatok2018'!$B$168:$B$323,'14.mell_Önk kiegészítés2018'!$A15,'13.mell_ÖNKfeladatok2018'!W$168:W$323)</f>
        <v>0</v>
      </c>
      <c r="N15" s="567">
        <f>+SUMIF('13.mell_ÖNKfeladatok2018'!$B$168:$B$323,'14.mell_Önk kiegészítés2018'!$A15,'13.mell_ÖNKfeladatok2018'!AA$168:AA$323)</f>
        <v>7170</v>
      </c>
      <c r="O15" s="567">
        <f>+SUMIF('13.mell_ÖNKfeladatok2018'!$B$168:$B$323,'14.mell_Önk kiegészítés2018'!$A15,'13.mell_ÖNKfeladatok2018'!AE$168:AE$323)</f>
        <v>0</v>
      </c>
      <c r="P15" s="567">
        <f>+SUMIF('13.mell_ÖNKfeladatok2018'!$B$168:$B$323,'14.mell_Önk kiegészítés2018'!$A15,'13.mell_ÖNKfeladatok2018'!AM$168:AM$323)</f>
        <v>0</v>
      </c>
      <c r="Q15" s="567">
        <f>+SUMIF('13.mell_ÖNKfeladatok2018'!$B$168:$B$323,'14.mell_Önk kiegészítés2018'!$A15,'13.mell_ÖNKfeladatok2018'!AQ$168:AQ$323)</f>
        <v>0</v>
      </c>
      <c r="R15" s="567">
        <f>+SUMIF('13.mell_ÖNKfeladatok2018'!$B$168:$B$323,'14.mell_Önk kiegészítés2018'!$A15,'13.mell_ÖNKfeladatok2018'!AU$168:AU$323)</f>
        <v>0</v>
      </c>
      <c r="S15" s="607">
        <f>SUM(K15:R15)</f>
        <v>7170</v>
      </c>
      <c r="T15" s="568">
        <f>S15-J15</f>
        <v>7170</v>
      </c>
      <c r="U15" s="1028">
        <f>+ROUND(SUMIF('10.mell_támogatások2018'!$B$6:$B$123,'14.mell_Önk kiegészítés2018'!$A15,'10.mell_támogatások2018'!D$6:D$123)/1000,0)</f>
        <v>0</v>
      </c>
      <c r="V15" s="569">
        <f>+T15-U15</f>
        <v>7170</v>
      </c>
      <c r="W15" s="1195"/>
    </row>
    <row r="16" spans="1:43" ht="12.75" thickBot="1">
      <c r="A16" s="851">
        <f>+A15+1</f>
        <v>10</v>
      </c>
      <c r="B16" s="570" t="s">
        <v>813</v>
      </c>
      <c r="C16" s="571">
        <f>+SUMIF('13.mell_ÖNKfeladatok2018'!$B$5:$B$160,'14.mell_Önk kiegészítés2018'!$A16,'13.mell_ÖNKfeladatok2018'!O$5:O$160)</f>
        <v>0</v>
      </c>
      <c r="D16" s="571">
        <f>+SUMIF('13.mell_ÖNKfeladatok2018'!$B$5:$B$160,'14.mell_Önk kiegészítés2018'!$A16,'13.mell_ÖNKfeladatok2018'!S$5:S$160)</f>
        <v>0</v>
      </c>
      <c r="E16" s="571">
        <f>+SUMIF('13.mell_ÖNKfeladatok2018'!$B$5:$B$160,'14.mell_Önk kiegészítés2018'!$A16,'13.mell_ÖNKfeladatok2018'!W$5:W$160)</f>
        <v>0</v>
      </c>
      <c r="F16" s="571">
        <f>+SUMIF('13.mell_ÖNKfeladatok2018'!$B$5:$B$160,'14.mell_Önk kiegészítés2018'!$A16,'13.mell_ÖNKfeladatok2018'!AA$5:AA$160)</f>
        <v>0</v>
      </c>
      <c r="G16" s="571">
        <f>+SUMIF('13.mell_ÖNKfeladatok2018'!$B$5:$B$160,'14.mell_Önk kiegészítés2018'!$A16,'13.mell_ÖNKfeladatok2018'!AI$5:AI$160)</f>
        <v>0</v>
      </c>
      <c r="H16" s="571">
        <f>+SUMIF('13.mell_ÖNKfeladatok2018'!$B$5:$B$160,'14.mell_Önk kiegészítés2018'!$A16,'13.mell_ÖNKfeladatok2018'!AM$5:AM$160)</f>
        <v>0</v>
      </c>
      <c r="I16" s="571">
        <f>+SUMIF('13.mell_ÖNKfeladatok2018'!$B$5:$B$160,'14.mell_Önk kiegészítés2018'!$A16,'13.mell_ÖNKfeladatok2018'!AQ$5:AQ$160)</f>
        <v>1500</v>
      </c>
      <c r="J16" s="608">
        <f t="shared" si="11"/>
        <v>1500</v>
      </c>
      <c r="K16" s="567">
        <f>+SUMIF('13.mell_ÖNKfeladatok2018'!$B$168:$B$323,'14.mell_Önk kiegészítés2018'!$A16,'13.mell_ÖNKfeladatok2018'!O$168:O$323)</f>
        <v>0</v>
      </c>
      <c r="L16" s="567">
        <f>+SUMIF('13.mell_ÖNKfeladatok2018'!$B$168:$B$323,'14.mell_Önk kiegészítés2018'!$A16,'13.mell_ÖNKfeladatok2018'!S$168:S$323)</f>
        <v>0</v>
      </c>
      <c r="M16" s="567">
        <f>+SUMIF('13.mell_ÖNKfeladatok2018'!$B$168:$B$323,'14.mell_Önk kiegészítés2018'!$A16,'13.mell_ÖNKfeladatok2018'!W$168:W$323)</f>
        <v>2000</v>
      </c>
      <c r="N16" s="567">
        <f>+SUMIF('13.mell_ÖNKfeladatok2018'!$B$168:$B$323,'14.mell_Önk kiegészítés2018'!$A16,'13.mell_ÖNKfeladatok2018'!AA$168:AA$323)</f>
        <v>0</v>
      </c>
      <c r="O16" s="567">
        <f>+SUMIF('13.mell_ÖNKfeladatok2018'!$B$168:$B$323,'14.mell_Önk kiegészítés2018'!$A16,'13.mell_ÖNKfeladatok2018'!AE$168:AE$323)</f>
        <v>800</v>
      </c>
      <c r="P16" s="567">
        <f>+SUMIF('13.mell_ÖNKfeladatok2018'!$B$168:$B$323,'14.mell_Önk kiegészítés2018'!$A16,'13.mell_ÖNKfeladatok2018'!AM$168:AM$323)</f>
        <v>0</v>
      </c>
      <c r="Q16" s="567">
        <f>+SUMIF('13.mell_ÖNKfeladatok2018'!$B$168:$B$323,'14.mell_Önk kiegészítés2018'!$A16,'13.mell_ÖNKfeladatok2018'!AQ$168:AQ$323)</f>
        <v>0</v>
      </c>
      <c r="R16" s="567">
        <f>+SUMIF('13.mell_ÖNKfeladatok2018'!$B$168:$B$323,'14.mell_Önk kiegészítés2018'!$A16,'13.mell_ÖNKfeladatok2018'!AU$168:AU$323)</f>
        <v>0</v>
      </c>
      <c r="S16" s="607">
        <f>SUM(K16:R16)</f>
        <v>2800</v>
      </c>
      <c r="T16" s="568">
        <f t="shared" ref="T16" si="12">S16-J16</f>
        <v>1300</v>
      </c>
      <c r="U16" s="1028">
        <f>+ROUND(SUMIF('10.mell_támogatások2018'!$B$6:$B$123,'14.mell_Önk kiegészítés2018'!$A16,'10.mell_támogatások2018'!D$6:D$123)/1000,0)</f>
        <v>0</v>
      </c>
      <c r="V16" s="569">
        <f>+T16-U16</f>
        <v>1300</v>
      </c>
      <c r="W16" s="1195"/>
    </row>
    <row r="17" spans="1:43" s="558" customFormat="1" ht="12.75" thickBot="1">
      <c r="A17" s="572" t="s">
        <v>597</v>
      </c>
      <c r="B17" s="573" t="s">
        <v>412</v>
      </c>
      <c r="C17" s="574">
        <f t="shared" ref="C17:V17" si="13">SUM(C15:C16)</f>
        <v>0</v>
      </c>
      <c r="D17" s="575">
        <f t="shared" si="13"/>
        <v>0</v>
      </c>
      <c r="E17" s="575">
        <f t="shared" si="13"/>
        <v>0</v>
      </c>
      <c r="F17" s="575">
        <f t="shared" si="13"/>
        <v>0</v>
      </c>
      <c r="G17" s="575">
        <f t="shared" si="13"/>
        <v>0</v>
      </c>
      <c r="H17" s="575">
        <f t="shared" si="13"/>
        <v>0</v>
      </c>
      <c r="I17" s="578">
        <f t="shared" si="13"/>
        <v>1500</v>
      </c>
      <c r="J17" s="577">
        <f t="shared" si="13"/>
        <v>1500</v>
      </c>
      <c r="K17" s="574">
        <f t="shared" si="13"/>
        <v>0</v>
      </c>
      <c r="L17" s="574">
        <f t="shared" si="13"/>
        <v>0</v>
      </c>
      <c r="M17" s="574">
        <f t="shared" si="13"/>
        <v>2000</v>
      </c>
      <c r="N17" s="574">
        <f t="shared" si="13"/>
        <v>7170</v>
      </c>
      <c r="O17" s="574">
        <f t="shared" si="13"/>
        <v>800</v>
      </c>
      <c r="P17" s="574">
        <f t="shared" si="13"/>
        <v>0</v>
      </c>
      <c r="Q17" s="574">
        <f t="shared" si="13"/>
        <v>0</v>
      </c>
      <c r="R17" s="574">
        <f t="shared" si="13"/>
        <v>0</v>
      </c>
      <c r="S17" s="577">
        <f t="shared" si="13"/>
        <v>9970</v>
      </c>
      <c r="T17" s="574">
        <f t="shared" si="13"/>
        <v>8470</v>
      </c>
      <c r="U17" s="578">
        <f t="shared" si="13"/>
        <v>0</v>
      </c>
      <c r="V17" s="577">
        <f t="shared" si="13"/>
        <v>8470</v>
      </c>
      <c r="W17" s="1195"/>
      <c r="AC17" s="266"/>
      <c r="AD17" s="266"/>
      <c r="AE17" s="266"/>
      <c r="AF17" s="266"/>
      <c r="AG17" s="266"/>
      <c r="AH17" s="266"/>
      <c r="AI17" s="266"/>
      <c r="AJ17" s="266"/>
      <c r="AK17" s="266"/>
      <c r="AL17" s="266"/>
      <c r="AM17" s="266"/>
      <c r="AN17" s="266"/>
      <c r="AO17" s="266"/>
      <c r="AP17" s="266"/>
      <c r="AQ17" s="266"/>
    </row>
    <row r="18" spans="1:43" ht="12.75" thickBot="1">
      <c r="A18" s="851">
        <f>+A16+1</f>
        <v>11</v>
      </c>
      <c r="B18" s="579" t="s">
        <v>413</v>
      </c>
      <c r="C18" s="580">
        <f>+SUMIF('13.mell_ÖNKfeladatok2018'!$B$5:$B$160,'14.mell_Önk kiegészítés2018'!$A18,'13.mell_ÖNKfeladatok2018'!O$5:O$160)</f>
        <v>0</v>
      </c>
      <c r="D18" s="580">
        <f>+SUMIF('13.mell_ÖNKfeladatok2018'!$B$5:$B$160,'14.mell_Önk kiegészítés2018'!$A18,'13.mell_ÖNKfeladatok2018'!S$5:S$160)</f>
        <v>0</v>
      </c>
      <c r="E18" s="580">
        <f>+SUMIF('13.mell_ÖNKfeladatok2018'!$B$5:$B$160,'14.mell_Önk kiegészítés2018'!$A18,'13.mell_ÖNKfeladatok2018'!W$5:W$160)</f>
        <v>0</v>
      </c>
      <c r="F18" s="580">
        <f>+SUMIF('13.mell_ÖNKfeladatok2018'!$B$5:$B$160,'14.mell_Önk kiegészítés2018'!$A18,'13.mell_ÖNKfeladatok2018'!AA$5:AA$160)</f>
        <v>0</v>
      </c>
      <c r="G18" s="580">
        <f>+SUMIF('13.mell_ÖNKfeladatok2018'!$B$5:$B$160,'14.mell_Önk kiegészítés2018'!$A18,'13.mell_ÖNKfeladatok2018'!AI$5:AI$160)</f>
        <v>0</v>
      </c>
      <c r="H18" s="580">
        <f>+SUMIF('13.mell_ÖNKfeladatok2018'!$B$5:$B$160,'14.mell_Önk kiegészítés2018'!$A18,'13.mell_ÖNKfeladatok2018'!AM$5:AM$160)</f>
        <v>0</v>
      </c>
      <c r="I18" s="580">
        <f>+SUMIF('13.mell_ÖNKfeladatok2018'!$B$5:$B$160,'14.mell_Önk kiegészítés2018'!$A18,'13.mell_ÖNKfeladatok2018'!AQ$5:AQ$160)</f>
        <v>0</v>
      </c>
      <c r="J18" s="609">
        <f>SUM(C18:I18)</f>
        <v>0</v>
      </c>
      <c r="K18" s="567">
        <f>+SUMIF('13.mell_ÖNKfeladatok2018'!$B$168:$B$323,'14.mell_Önk kiegészítés2018'!$A18,'13.mell_ÖNKfeladatok2018'!O$168:O$323)</f>
        <v>0</v>
      </c>
      <c r="L18" s="567">
        <f>+SUMIF('13.mell_ÖNKfeladatok2018'!$B$168:$B$323,'14.mell_Önk kiegészítés2018'!$A18,'13.mell_ÖNKfeladatok2018'!S$168:S$323)</f>
        <v>0</v>
      </c>
      <c r="M18" s="567">
        <f>+SUMIF('13.mell_ÖNKfeladatok2018'!$B$168:$B$323,'14.mell_Önk kiegészítés2018'!$A18,'13.mell_ÖNKfeladatok2018'!W$168:W$323)</f>
        <v>0</v>
      </c>
      <c r="N18" s="567">
        <f>+SUMIF('13.mell_ÖNKfeladatok2018'!$B$168:$B$323,'14.mell_Önk kiegészítés2018'!$A18,'13.mell_ÖNKfeladatok2018'!AA$168:AA$323)</f>
        <v>0</v>
      </c>
      <c r="O18" s="567">
        <f>+SUMIF('13.mell_ÖNKfeladatok2018'!$B$168:$B$323,'14.mell_Önk kiegészítés2018'!$A18,'13.mell_ÖNKfeladatok2018'!AE$168:AE$323)</f>
        <v>0</v>
      </c>
      <c r="P18" s="567">
        <f>+SUMIF('13.mell_ÖNKfeladatok2018'!$B$168:$B$323,'14.mell_Önk kiegészítés2018'!$A18,'13.mell_ÖNKfeladatok2018'!AM$168:AM$323)</f>
        <v>0</v>
      </c>
      <c r="Q18" s="567">
        <f>+SUMIF('13.mell_ÖNKfeladatok2018'!$B$168:$B$323,'14.mell_Önk kiegészítés2018'!$A18,'13.mell_ÖNKfeladatok2018'!AQ$168:AQ$323)</f>
        <v>0</v>
      </c>
      <c r="R18" s="567">
        <f>+SUMIF('13.mell_ÖNKfeladatok2018'!$B$168:$B$323,'14.mell_Önk kiegészítés2018'!$A18,'13.mell_ÖNKfeladatok2018'!AU$168:AU$323)</f>
        <v>0</v>
      </c>
      <c r="S18" s="607">
        <f>SUM(K18:R18)</f>
        <v>0</v>
      </c>
      <c r="T18" s="568">
        <f t="shared" ref="T18" si="14">S18-J18</f>
        <v>0</v>
      </c>
      <c r="U18" s="1028">
        <f>+ROUND(SUMIF('10.mell_támogatások2018'!$B$6:$B$123,'14.mell_Önk kiegészítés2018'!$A18,'10.mell_támogatások2018'!D$6:D$123)/1000,0)</f>
        <v>0</v>
      </c>
      <c r="V18" s="569">
        <f>+T18-U18</f>
        <v>0</v>
      </c>
      <c r="W18" s="1195"/>
    </row>
    <row r="19" spans="1:43" s="558" customFormat="1" ht="12.75" thickBot="1">
      <c r="A19" s="572" t="s">
        <v>598</v>
      </c>
      <c r="B19" s="573" t="s">
        <v>413</v>
      </c>
      <c r="C19" s="574">
        <f>SUM(C18)</f>
        <v>0</v>
      </c>
      <c r="D19" s="575">
        <f t="shared" ref="D19:V19" si="15">SUM(D18)</f>
        <v>0</v>
      </c>
      <c r="E19" s="575">
        <f t="shared" si="15"/>
        <v>0</v>
      </c>
      <c r="F19" s="575">
        <f t="shared" si="15"/>
        <v>0</v>
      </c>
      <c r="G19" s="575">
        <f t="shared" si="15"/>
        <v>0</v>
      </c>
      <c r="H19" s="575">
        <f t="shared" si="15"/>
        <v>0</v>
      </c>
      <c r="I19" s="578">
        <f t="shared" si="15"/>
        <v>0</v>
      </c>
      <c r="J19" s="577">
        <f t="shared" si="15"/>
        <v>0</v>
      </c>
      <c r="K19" s="574">
        <f t="shared" si="15"/>
        <v>0</v>
      </c>
      <c r="L19" s="574">
        <f t="shared" si="15"/>
        <v>0</v>
      </c>
      <c r="M19" s="574">
        <f t="shared" si="15"/>
        <v>0</v>
      </c>
      <c r="N19" s="574">
        <f t="shared" si="15"/>
        <v>0</v>
      </c>
      <c r="O19" s="574">
        <f t="shared" si="15"/>
        <v>0</v>
      </c>
      <c r="P19" s="574">
        <f t="shared" si="15"/>
        <v>0</v>
      </c>
      <c r="Q19" s="574">
        <f t="shared" si="15"/>
        <v>0</v>
      </c>
      <c r="R19" s="574">
        <f t="shared" si="15"/>
        <v>0</v>
      </c>
      <c r="S19" s="577">
        <f t="shared" si="15"/>
        <v>0</v>
      </c>
      <c r="T19" s="574">
        <f t="shared" si="15"/>
        <v>0</v>
      </c>
      <c r="U19" s="578">
        <f t="shared" si="15"/>
        <v>0</v>
      </c>
      <c r="V19" s="577">
        <f t="shared" si="15"/>
        <v>0</v>
      </c>
      <c r="W19" s="1195"/>
      <c r="AC19" s="266"/>
      <c r="AD19" s="266"/>
      <c r="AE19" s="266"/>
      <c r="AF19" s="266"/>
      <c r="AG19" s="266"/>
      <c r="AH19" s="266"/>
      <c r="AI19" s="266"/>
      <c r="AJ19" s="266"/>
      <c r="AK19" s="266"/>
      <c r="AL19" s="266"/>
      <c r="AM19" s="266"/>
      <c r="AN19" s="266"/>
      <c r="AO19" s="266"/>
      <c r="AP19" s="266"/>
      <c r="AQ19" s="266"/>
    </row>
    <row r="20" spans="1:43" s="558" customFormat="1" ht="12.75" thickBot="1">
      <c r="A20" s="581" t="s">
        <v>23</v>
      </c>
      <c r="B20" s="582" t="s">
        <v>414</v>
      </c>
      <c r="C20" s="583">
        <f t="shared" ref="C20:V20" si="16">+C14+C17+C19</f>
        <v>903979</v>
      </c>
      <c r="D20" s="584">
        <f t="shared" si="16"/>
        <v>318710</v>
      </c>
      <c r="E20" s="584">
        <f t="shared" si="16"/>
        <v>81505</v>
      </c>
      <c r="F20" s="584">
        <f t="shared" si="16"/>
        <v>2000</v>
      </c>
      <c r="G20" s="584">
        <f t="shared" si="16"/>
        <v>71832</v>
      </c>
      <c r="H20" s="584">
        <f t="shared" si="16"/>
        <v>15350</v>
      </c>
      <c r="I20" s="585">
        <f t="shared" si="16"/>
        <v>1500</v>
      </c>
      <c r="J20" s="586">
        <f t="shared" si="16"/>
        <v>1394876</v>
      </c>
      <c r="K20" s="583">
        <f t="shared" si="16"/>
        <v>86232</v>
      </c>
      <c r="L20" s="583">
        <f t="shared" si="16"/>
        <v>14878</v>
      </c>
      <c r="M20" s="583">
        <f t="shared" si="16"/>
        <v>247257</v>
      </c>
      <c r="N20" s="583">
        <f t="shared" si="16"/>
        <v>51635</v>
      </c>
      <c r="O20" s="583">
        <f t="shared" si="16"/>
        <v>330248</v>
      </c>
      <c r="P20" s="583">
        <f t="shared" si="16"/>
        <v>901473</v>
      </c>
      <c r="Q20" s="583">
        <f t="shared" si="16"/>
        <v>805873</v>
      </c>
      <c r="R20" s="583">
        <f t="shared" si="16"/>
        <v>0</v>
      </c>
      <c r="S20" s="586">
        <f t="shared" si="16"/>
        <v>2437596</v>
      </c>
      <c r="T20" s="583">
        <f t="shared" si="16"/>
        <v>1042720</v>
      </c>
      <c r="U20" s="585">
        <f t="shared" si="16"/>
        <v>1262341</v>
      </c>
      <c r="V20" s="586">
        <f t="shared" si="16"/>
        <v>-219621</v>
      </c>
      <c r="W20" s="1195"/>
      <c r="AC20" s="266"/>
      <c r="AD20" s="266"/>
      <c r="AE20" s="266"/>
      <c r="AF20" s="266"/>
      <c r="AG20" s="266"/>
      <c r="AH20" s="266"/>
      <c r="AI20" s="266"/>
      <c r="AJ20" s="266"/>
      <c r="AK20" s="266"/>
      <c r="AL20" s="266"/>
      <c r="AM20" s="266"/>
      <c r="AN20" s="266"/>
      <c r="AO20" s="266"/>
      <c r="AP20" s="266"/>
      <c r="AQ20" s="266"/>
    </row>
    <row r="21" spans="1:43" s="558" customFormat="1" ht="12.75" thickBot="1">
      <c r="A21" s="592"/>
      <c r="B21" s="593"/>
      <c r="C21" s="594"/>
      <c r="D21" s="594"/>
      <c r="E21" s="594"/>
      <c r="F21" s="594"/>
      <c r="G21" s="594"/>
      <c r="H21" s="594"/>
      <c r="I21" s="896"/>
      <c r="J21" s="597"/>
      <c r="K21" s="594"/>
      <c r="L21" s="594"/>
      <c r="M21" s="594"/>
      <c r="N21" s="594"/>
      <c r="O21" s="594"/>
      <c r="P21" s="594"/>
      <c r="Q21" s="594"/>
      <c r="R21" s="594"/>
      <c r="S21" s="597"/>
      <c r="T21" s="594"/>
      <c r="U21" s="596"/>
      <c r="V21" s="597"/>
      <c r="W21" s="1195"/>
      <c r="AC21" s="266"/>
      <c r="AD21" s="266"/>
      <c r="AE21" s="266"/>
      <c r="AF21" s="266"/>
      <c r="AG21" s="266"/>
      <c r="AH21" s="266"/>
      <c r="AI21" s="266"/>
      <c r="AJ21" s="266"/>
      <c r="AK21" s="266"/>
      <c r="AL21" s="266"/>
      <c r="AM21" s="266"/>
      <c r="AN21" s="266"/>
      <c r="AO21" s="266"/>
      <c r="AP21" s="266"/>
      <c r="AQ21" s="266"/>
    </row>
    <row r="22" spans="1:43">
      <c r="A22" s="897">
        <f>+A18+1</f>
        <v>12</v>
      </c>
      <c r="B22" s="898" t="s">
        <v>830</v>
      </c>
      <c r="C22" s="580">
        <f>+SUMIF('13.mell_ÖNKfeladatok2018'!$B$5:$B$160,'14.mell_Önk kiegészítés2018'!$A22,'13.mell_ÖNKfeladatok2018'!O$5:O$160)</f>
        <v>0</v>
      </c>
      <c r="D22" s="580">
        <f>+SUMIF('13.mell_ÖNKfeladatok2018'!$B$5:$B$160,'14.mell_Önk kiegészítés2018'!$A22,'13.mell_ÖNKfeladatok2018'!S$5:S$160)</f>
        <v>0</v>
      </c>
      <c r="E22" s="580">
        <f>+SUMIF('13.mell_ÖNKfeladatok2018'!$B$5:$B$160,'14.mell_Önk kiegészítés2018'!$A22,'13.mell_ÖNKfeladatok2018'!W$5:W$160)</f>
        <v>0</v>
      </c>
      <c r="F22" s="580">
        <f>+SUMIF('13.mell_ÖNKfeladatok2018'!$B$5:$B$160,'14.mell_Önk kiegészítés2018'!$A22,'13.mell_ÖNKfeladatok2018'!AA$5:AA$160)</f>
        <v>0</v>
      </c>
      <c r="G22" s="580">
        <f>+SUMIF('13.mell_ÖNKfeladatok2018'!$B$5:$B$160,'14.mell_Önk kiegészítés2018'!$A22,'13.mell_ÖNKfeladatok2018'!AI$5:AI$160)</f>
        <v>0</v>
      </c>
      <c r="H22" s="580">
        <f>+SUMIF('13.mell_ÖNKfeladatok2018'!$B$5:$B$160,'14.mell_Önk kiegészítés2018'!$A22,'13.mell_ÖNKfeladatok2018'!AM$5:AM$160)</f>
        <v>0</v>
      </c>
      <c r="I22" s="580">
        <f>+SUMIF('13.mell_ÖNKfeladatok2018'!$B$5:$B$160,'14.mell_Önk kiegészítés2018'!$A22,'13.mell_ÖNKfeladatok2018'!AQ$5:AQ$160)</f>
        <v>0</v>
      </c>
      <c r="J22" s="606">
        <f t="shared" ref="J22:J24" si="17">SUM(C22:I22)</f>
        <v>0</v>
      </c>
      <c r="K22" s="563">
        <f>+SUMIF('13.mell_ÖNKfeladatok2018'!$B$168:$B$323,'14.mell_Önk kiegészítés2018'!$A22,'13.mell_ÖNKfeladatok2018'!O$168:O$323)</f>
        <v>140735</v>
      </c>
      <c r="L22" s="563">
        <f>+SUMIF('13.mell_ÖNKfeladatok2018'!$B$168:$B$323,'14.mell_Önk kiegészítés2018'!$A22,'13.mell_ÖNKfeladatok2018'!S$168:S$323)</f>
        <v>30020</v>
      </c>
      <c r="M22" s="563">
        <f>+SUMIF('13.mell_ÖNKfeladatok2018'!$B$168:$B$323,'14.mell_Önk kiegészítés2018'!$A22,'13.mell_ÖNKfeladatok2018'!W$168:W$323)</f>
        <v>24036</v>
      </c>
      <c r="N22" s="563">
        <f>+SUMIF('13.mell_ÖNKfeladatok2018'!$B$168:$B$323,'14.mell_Önk kiegészítés2018'!$A22,'13.mell_ÖNKfeladatok2018'!AA$168:AA$323)</f>
        <v>0</v>
      </c>
      <c r="O22" s="563">
        <f>+SUMIF('13.mell_ÖNKfeladatok2018'!$B$168:$B$323,'14.mell_Önk kiegészítés2018'!$A22,'13.mell_ÖNKfeladatok2018'!AE$168:AE$323)</f>
        <v>0</v>
      </c>
      <c r="P22" s="563">
        <f>+SUMIF('13.mell_ÖNKfeladatok2018'!$B$168:$B$323,'14.mell_Önk kiegészítés2018'!$A22,'13.mell_ÖNKfeladatok2018'!AM$168:AM$323)</f>
        <v>0</v>
      </c>
      <c r="Q22" s="563">
        <f>+SUMIF('13.mell_ÖNKfeladatok2018'!$B$168:$B$323,'14.mell_Önk kiegészítés2018'!$A22,'13.mell_ÖNKfeladatok2018'!AQ$168:AQ$323)</f>
        <v>0</v>
      </c>
      <c r="R22" s="563">
        <f>+SUMIF('13.mell_ÖNKfeladatok2018'!$B$168:$B$323,'14.mell_Önk kiegészítés2018'!$A22,'13.mell_ÖNKfeladatok2018'!AU$168:AU$323)</f>
        <v>0</v>
      </c>
      <c r="S22" s="606">
        <f>SUM(K22:R22)</f>
        <v>194791</v>
      </c>
      <c r="T22" s="564">
        <f>S22-J22</f>
        <v>194791</v>
      </c>
      <c r="U22" s="1027">
        <f>+ROUND(SUMIF('10.mell_támogatások2018'!$B$6:$B$123,'14.mell_Önk kiegészítés2018'!$A22,'10.mell_támogatások2018'!D$6:D$123)/1000,0)+2741+16230-336</f>
        <v>165287</v>
      </c>
      <c r="V22" s="565">
        <f>+T22-U22</f>
        <v>29504</v>
      </c>
      <c r="W22" s="1195"/>
      <c r="AF22" s="266">
        <v>2741</v>
      </c>
      <c r="AJ22" s="266">
        <f>(1073+211)+((8431+1662)+(4055+798))</f>
        <v>16230</v>
      </c>
      <c r="AK22" s="266">
        <f>-(250+86)</f>
        <v>-336</v>
      </c>
    </row>
    <row r="23" spans="1:43">
      <c r="A23" s="851">
        <f>+A22+1</f>
        <v>13</v>
      </c>
      <c r="B23" s="566" t="s">
        <v>831</v>
      </c>
      <c r="C23" s="571">
        <f>+SUMIF('13.mell_ÖNKfeladatok2018'!$B$5:$B$160,'14.mell_Önk kiegészítés2018'!$A23,'13.mell_ÖNKfeladatok2018'!O$5:O$160)</f>
        <v>0</v>
      </c>
      <c r="D23" s="571">
        <f>+SUMIF('13.mell_ÖNKfeladatok2018'!$B$5:$B$160,'14.mell_Önk kiegészítés2018'!$A23,'13.mell_ÖNKfeladatok2018'!S$5:S$160)</f>
        <v>0</v>
      </c>
      <c r="E23" s="571">
        <f>+SUMIF('13.mell_ÖNKfeladatok2018'!$B$5:$B$160,'14.mell_Önk kiegészítés2018'!$A23,'13.mell_ÖNKfeladatok2018'!W$5:W$160)</f>
        <v>0</v>
      </c>
      <c r="F23" s="571">
        <f>+SUMIF('13.mell_ÖNKfeladatok2018'!$B$5:$B$160,'14.mell_Önk kiegészítés2018'!$A23,'13.mell_ÖNKfeladatok2018'!AA$5:AA$160)</f>
        <v>0</v>
      </c>
      <c r="G23" s="571">
        <f>+SUMIF('13.mell_ÖNKfeladatok2018'!$B$5:$B$160,'14.mell_Önk kiegészítés2018'!$A23,'13.mell_ÖNKfeladatok2018'!AI$5:AI$160)</f>
        <v>0</v>
      </c>
      <c r="H23" s="571">
        <f>+SUMIF('13.mell_ÖNKfeladatok2018'!$B$5:$B$160,'14.mell_Önk kiegészítés2018'!$A23,'13.mell_ÖNKfeladatok2018'!AM$5:AM$160)</f>
        <v>0</v>
      </c>
      <c r="I23" s="571">
        <f>+SUMIF('13.mell_ÖNKfeladatok2018'!$B$5:$B$160,'14.mell_Önk kiegészítés2018'!$A23,'13.mell_ÖNKfeladatok2018'!AQ$5:AQ$160)</f>
        <v>0</v>
      </c>
      <c r="J23" s="607">
        <f t="shared" si="17"/>
        <v>0</v>
      </c>
      <c r="K23" s="567">
        <f>+SUMIF('13.mell_ÖNKfeladatok2018'!$B$168:$B$323,'14.mell_Önk kiegészítés2018'!$A23,'13.mell_ÖNKfeladatok2018'!O$168:O$323)</f>
        <v>0</v>
      </c>
      <c r="L23" s="567">
        <f>+SUMIF('13.mell_ÖNKfeladatok2018'!$B$168:$B$323,'14.mell_Önk kiegészítés2018'!$A23,'13.mell_ÖNKfeladatok2018'!S$168:S$323)</f>
        <v>0</v>
      </c>
      <c r="M23" s="567">
        <f>+SUMIF('13.mell_ÖNKfeladatok2018'!$B$168:$B$323,'14.mell_Önk kiegészítés2018'!$A23,'13.mell_ÖNKfeladatok2018'!W$168:W$323)</f>
        <v>0</v>
      </c>
      <c r="N23" s="567">
        <f>+SUMIF('13.mell_ÖNKfeladatok2018'!$B$168:$B$323,'14.mell_Önk kiegészítés2018'!$A23,'13.mell_ÖNKfeladatok2018'!AA$168:AA$323)</f>
        <v>0</v>
      </c>
      <c r="O23" s="567">
        <f>+SUMIF('13.mell_ÖNKfeladatok2018'!$B$168:$B$323,'14.mell_Önk kiegészítés2018'!$A23,'13.mell_ÖNKfeladatok2018'!AE$168:AE$323)</f>
        <v>0</v>
      </c>
      <c r="P23" s="567">
        <f>+SUMIF('13.mell_ÖNKfeladatok2018'!$B$168:$B$323,'14.mell_Önk kiegészítés2018'!$A23,'13.mell_ÖNKfeladatok2018'!AM$168:AM$323)</f>
        <v>0</v>
      </c>
      <c r="Q23" s="567">
        <f>+SUMIF('13.mell_ÖNKfeladatok2018'!$B$168:$B$323,'14.mell_Önk kiegészítés2018'!$A23,'13.mell_ÖNKfeladatok2018'!AQ$168:AQ$323)</f>
        <v>0</v>
      </c>
      <c r="R23" s="567">
        <f>+SUMIF('13.mell_ÖNKfeladatok2018'!$B$168:$B$323,'14.mell_Önk kiegészítés2018'!$A23,'13.mell_ÖNKfeladatok2018'!AU$168:AU$323)</f>
        <v>0</v>
      </c>
      <c r="S23" s="607">
        <f>SUM(K23:R23)</f>
        <v>0</v>
      </c>
      <c r="T23" s="568">
        <f>S23-J23</f>
        <v>0</v>
      </c>
      <c r="U23" s="1028">
        <f>+ROUND(SUMIF('10.mell_támogatások2018'!$B$6:$B$123,'14.mell_Önk kiegészítés2018'!$A23,'10.mell_támogatások2018'!D$6:D$123)/1000,0)</f>
        <v>0</v>
      </c>
      <c r="V23" s="569">
        <f>+T23-U23</f>
        <v>0</v>
      </c>
      <c r="W23" s="1195"/>
    </row>
    <row r="24" spans="1:43" ht="12.75" thickBot="1">
      <c r="A24" s="851">
        <f>+A23+1</f>
        <v>14</v>
      </c>
      <c r="B24" s="570" t="s">
        <v>814</v>
      </c>
      <c r="C24" s="571">
        <f>+SUMIF('13.mell_ÖNKfeladatok2018'!$B$5:$B$160,'14.mell_Önk kiegészítés2018'!$A24,'13.mell_ÖNKfeladatok2018'!O$5:O$160)</f>
        <v>0</v>
      </c>
      <c r="D24" s="571">
        <f>+SUMIF('13.mell_ÖNKfeladatok2018'!$B$5:$B$160,'14.mell_Önk kiegészítés2018'!$A24,'13.mell_ÖNKfeladatok2018'!S$5:S$160)</f>
        <v>0</v>
      </c>
      <c r="E24" s="571">
        <f>+SUMIF('13.mell_ÖNKfeladatok2018'!$B$5:$B$160,'14.mell_Önk kiegészítés2018'!$A24,'13.mell_ÖNKfeladatok2018'!W$5:W$160)</f>
        <v>8091</v>
      </c>
      <c r="F24" s="571">
        <f>+SUMIF('13.mell_ÖNKfeladatok2018'!$B$5:$B$160,'14.mell_Önk kiegészítés2018'!$A24,'13.mell_ÖNKfeladatok2018'!AA$5:AA$160)</f>
        <v>0</v>
      </c>
      <c r="G24" s="571">
        <f>+SUMIF('13.mell_ÖNKfeladatok2018'!$B$5:$B$160,'14.mell_Önk kiegészítés2018'!$A24,'13.mell_ÖNKfeladatok2018'!AI$5:AI$160)</f>
        <v>0</v>
      </c>
      <c r="H24" s="571">
        <f>+SUMIF('13.mell_ÖNKfeladatok2018'!$B$5:$B$160,'14.mell_Önk kiegészítés2018'!$A24,'13.mell_ÖNKfeladatok2018'!AM$5:AM$160)</f>
        <v>0</v>
      </c>
      <c r="I24" s="571">
        <f>+SUMIF('13.mell_ÖNKfeladatok2018'!$B$5:$B$160,'14.mell_Önk kiegészítés2018'!$A24,'13.mell_ÖNKfeladatok2018'!AQ$5:AQ$160)</f>
        <v>0</v>
      </c>
      <c r="J24" s="607">
        <f t="shared" si="17"/>
        <v>8091</v>
      </c>
      <c r="K24" s="567">
        <f>+SUMIF('13.mell_ÖNKfeladatok2018'!$B$168:$B$323,'14.mell_Önk kiegészítés2018'!$A24,'13.mell_ÖNKfeladatok2018'!O$168:O$323)</f>
        <v>90439</v>
      </c>
      <c r="L24" s="567">
        <f>+SUMIF('13.mell_ÖNKfeladatok2018'!$B$168:$B$323,'14.mell_Önk kiegészítés2018'!$A24,'13.mell_ÖNKfeladatok2018'!S$168:S$323)</f>
        <v>17820</v>
      </c>
      <c r="M24" s="567">
        <f>+SUMIF('13.mell_ÖNKfeladatok2018'!$B$168:$B$323,'14.mell_Önk kiegészítés2018'!$A24,'13.mell_ÖNKfeladatok2018'!W$168:W$323)</f>
        <v>13009</v>
      </c>
      <c r="N24" s="567">
        <f>+SUMIF('13.mell_ÖNKfeladatok2018'!$B$168:$B$323,'14.mell_Önk kiegészítés2018'!$A24,'13.mell_ÖNKfeladatok2018'!AA$168:AA$323)</f>
        <v>0</v>
      </c>
      <c r="O24" s="567">
        <f>+SUMIF('13.mell_ÖNKfeladatok2018'!$B$168:$B$323,'14.mell_Önk kiegészítés2018'!$A24,'13.mell_ÖNKfeladatok2018'!AE$168:AE$323)</f>
        <v>0</v>
      </c>
      <c r="P24" s="567">
        <f>+SUMIF('13.mell_ÖNKfeladatok2018'!$B$168:$B$323,'14.mell_Önk kiegészítés2018'!$A24,'13.mell_ÖNKfeladatok2018'!AM$168:AM$323)</f>
        <v>0</v>
      </c>
      <c r="Q24" s="567">
        <f>+SUMIF('13.mell_ÖNKfeladatok2018'!$B$168:$B$323,'14.mell_Önk kiegészítés2018'!$A24,'13.mell_ÖNKfeladatok2018'!AQ$168:AQ$323)</f>
        <v>0</v>
      </c>
      <c r="R24" s="567">
        <f>+SUMIF('13.mell_ÖNKfeladatok2018'!$B$168:$B$323,'14.mell_Önk kiegészítés2018'!$A24,'13.mell_ÖNKfeladatok2018'!AU$168:AU$323)</f>
        <v>0</v>
      </c>
      <c r="S24" s="607">
        <f>SUM(K24:R24)</f>
        <v>121268</v>
      </c>
      <c r="T24" s="568">
        <f>S24-J24</f>
        <v>113177</v>
      </c>
      <c r="U24" s="1028">
        <f>+ROUND(SUMIF('10.mell_támogatások2018'!$B$6:$B$123,'14.mell_Önk kiegészítés2018'!$A24,'10.mell_támogatások2018'!D$6:D$123)/1000,0)-2522</f>
        <v>-2522</v>
      </c>
      <c r="V24" s="569">
        <f>+T24-U24</f>
        <v>115699</v>
      </c>
      <c r="W24" s="1195"/>
      <c r="AK24" s="266">
        <f>-((2279+780)-(150+51)-(250+86))</f>
        <v>-2522</v>
      </c>
    </row>
    <row r="25" spans="1:43" s="558" customFormat="1" ht="12.75" thickBot="1">
      <c r="A25" s="572" t="s">
        <v>599</v>
      </c>
      <c r="B25" s="573" t="s">
        <v>932</v>
      </c>
      <c r="C25" s="574">
        <f t="shared" ref="C25:V25" si="18">SUM(C22:C24)</f>
        <v>0</v>
      </c>
      <c r="D25" s="575">
        <f t="shared" si="18"/>
        <v>0</v>
      </c>
      <c r="E25" s="575">
        <f t="shared" si="18"/>
        <v>8091</v>
      </c>
      <c r="F25" s="575">
        <f t="shared" si="18"/>
        <v>0</v>
      </c>
      <c r="G25" s="575">
        <f t="shared" si="18"/>
        <v>0</v>
      </c>
      <c r="H25" s="575">
        <f t="shared" si="18"/>
        <v>0</v>
      </c>
      <c r="I25" s="576">
        <f t="shared" si="18"/>
        <v>0</v>
      </c>
      <c r="J25" s="577">
        <f t="shared" si="18"/>
        <v>8091</v>
      </c>
      <c r="K25" s="574">
        <f t="shared" si="18"/>
        <v>231174</v>
      </c>
      <c r="L25" s="574">
        <f t="shared" si="18"/>
        <v>47840</v>
      </c>
      <c r="M25" s="574">
        <f t="shared" si="18"/>
        <v>37045</v>
      </c>
      <c r="N25" s="574">
        <f t="shared" si="18"/>
        <v>0</v>
      </c>
      <c r="O25" s="574">
        <f t="shared" si="18"/>
        <v>0</v>
      </c>
      <c r="P25" s="574">
        <f t="shared" si="18"/>
        <v>0</v>
      </c>
      <c r="Q25" s="574">
        <f t="shared" si="18"/>
        <v>0</v>
      </c>
      <c r="R25" s="574">
        <f t="shared" si="18"/>
        <v>0</v>
      </c>
      <c r="S25" s="577">
        <f t="shared" si="18"/>
        <v>316059</v>
      </c>
      <c r="T25" s="574">
        <f t="shared" si="18"/>
        <v>307968</v>
      </c>
      <c r="U25" s="578">
        <f t="shared" si="18"/>
        <v>162765</v>
      </c>
      <c r="V25" s="577">
        <f t="shared" si="18"/>
        <v>145203</v>
      </c>
      <c r="W25" s="1195"/>
      <c r="AC25" s="266"/>
      <c r="AD25" s="266"/>
      <c r="AE25" s="266"/>
      <c r="AF25" s="266"/>
      <c r="AG25" s="266"/>
      <c r="AH25" s="266"/>
      <c r="AI25" s="266"/>
      <c r="AJ25" s="266"/>
      <c r="AK25" s="266"/>
      <c r="AL25" s="266"/>
      <c r="AM25" s="266"/>
      <c r="AN25" s="266"/>
      <c r="AO25" s="266"/>
      <c r="AP25" s="266"/>
      <c r="AQ25" s="266"/>
    </row>
    <row r="26" spans="1:43">
      <c r="A26" s="851">
        <f>+A24+1</f>
        <v>15</v>
      </c>
      <c r="B26" s="591" t="s">
        <v>417</v>
      </c>
      <c r="C26" s="563">
        <f>+SUMIF('13.mell_ÖNKfeladatok2018'!$B$5:$B$160,'14.mell_Önk kiegészítés2018'!$A26,'13.mell_ÖNKfeladatok2018'!O$5:O$160)</f>
        <v>0</v>
      </c>
      <c r="D26" s="563">
        <f>+SUMIF('13.mell_ÖNKfeladatok2018'!$B$5:$B$160,'14.mell_Önk kiegészítés2018'!$A26,'13.mell_ÖNKfeladatok2018'!S$5:S$160)</f>
        <v>0</v>
      </c>
      <c r="E26" s="563">
        <f>+SUMIF('13.mell_ÖNKfeladatok2018'!$B$5:$B$160,'14.mell_Önk kiegészítés2018'!$A26,'13.mell_ÖNKfeladatok2018'!W$5:W$160)</f>
        <v>28850</v>
      </c>
      <c r="F26" s="563">
        <f>+SUMIF('13.mell_ÖNKfeladatok2018'!$B$5:$B$160,'14.mell_Önk kiegészítés2018'!$A26,'13.mell_ÖNKfeladatok2018'!AA$5:AA$160)</f>
        <v>0</v>
      </c>
      <c r="G26" s="563">
        <f>+SUMIF('13.mell_ÖNKfeladatok2018'!$B$5:$B$160,'14.mell_Önk kiegészítés2018'!$A26,'13.mell_ÖNKfeladatok2018'!AI$5:AI$160)</f>
        <v>0</v>
      </c>
      <c r="H26" s="563">
        <f>+SUMIF('13.mell_ÖNKfeladatok2018'!$B$5:$B$160,'14.mell_Önk kiegészítés2018'!$A26,'13.mell_ÖNKfeladatok2018'!AM$5:AM$160)</f>
        <v>0</v>
      </c>
      <c r="I26" s="563">
        <f>+SUMIF('13.mell_ÖNKfeladatok2018'!$B$5:$B$160,'14.mell_Önk kiegészítés2018'!$A26,'13.mell_ÖNKfeladatok2018'!AQ$5:AQ$160)</f>
        <v>0</v>
      </c>
      <c r="J26" s="607">
        <f t="shared" ref="J26:J28" si="19">SUM(C26:I26)</f>
        <v>28850</v>
      </c>
      <c r="K26" s="567">
        <f>+SUMIF('13.mell_ÖNKfeladatok2018'!$B$168:$B$323,'14.mell_Önk kiegészítés2018'!$A26,'13.mell_ÖNKfeladatok2018'!O$168:O$323)</f>
        <v>6078</v>
      </c>
      <c r="L26" s="567">
        <f>+SUMIF('13.mell_ÖNKfeladatok2018'!$B$168:$B$323,'14.mell_Önk kiegészítés2018'!$A26,'13.mell_ÖNKfeladatok2018'!S$168:S$323)</f>
        <v>1193</v>
      </c>
      <c r="M26" s="567">
        <f>+SUMIF('13.mell_ÖNKfeladatok2018'!$B$168:$B$323,'14.mell_Önk kiegészítés2018'!$A26,'13.mell_ÖNKfeladatok2018'!W$168:W$323)</f>
        <v>21192</v>
      </c>
      <c r="N26" s="567">
        <f>+SUMIF('13.mell_ÖNKfeladatok2018'!$B$168:$B$323,'14.mell_Önk kiegészítés2018'!$A26,'13.mell_ÖNKfeladatok2018'!AA$168:AA$323)</f>
        <v>0</v>
      </c>
      <c r="O26" s="567">
        <f>+SUMIF('13.mell_ÖNKfeladatok2018'!$B$168:$B$323,'14.mell_Önk kiegészítés2018'!$A26,'13.mell_ÖNKfeladatok2018'!AE$168:AE$323)</f>
        <v>0</v>
      </c>
      <c r="P26" s="567">
        <f>+SUMIF('13.mell_ÖNKfeladatok2018'!$B$168:$B$323,'14.mell_Önk kiegészítés2018'!$A26,'13.mell_ÖNKfeladatok2018'!AM$168:AM$323)</f>
        <v>0</v>
      </c>
      <c r="Q26" s="567">
        <f>+SUMIF('13.mell_ÖNKfeladatok2018'!$B$168:$B$323,'14.mell_Önk kiegészítés2018'!$A26,'13.mell_ÖNKfeladatok2018'!AQ$168:AQ$323)</f>
        <v>0</v>
      </c>
      <c r="R26" s="567">
        <f>+SUMIF('13.mell_ÖNKfeladatok2018'!$B$168:$B$323,'14.mell_Önk kiegészítés2018'!$A26,'13.mell_ÖNKfeladatok2018'!AU$168:AU$323)</f>
        <v>0</v>
      </c>
      <c r="S26" s="607">
        <f>SUM(K26:R26)</f>
        <v>28463</v>
      </c>
      <c r="T26" s="568">
        <f>S26-J26</f>
        <v>-387</v>
      </c>
      <c r="U26" s="1028">
        <f>+ROUND(SUMIF('10.mell_támogatások2018'!$B$6:$B$123,'14.mell_Önk kiegészítés2018'!$A26,'10.mell_támogatások2018'!D$6:D$123)/1000,0)-201</f>
        <v>-201</v>
      </c>
      <c r="V26" s="569">
        <f>+T26-U26</f>
        <v>-186</v>
      </c>
      <c r="W26" s="1195"/>
      <c r="AK26" s="266">
        <f>-(150+51)</f>
        <v>-201</v>
      </c>
    </row>
    <row r="27" spans="1:43">
      <c r="A27" s="851">
        <f>+A26+1</f>
        <v>16</v>
      </c>
      <c r="B27" s="570" t="s">
        <v>655</v>
      </c>
      <c r="C27" s="571">
        <f>+SUMIF('13.mell_ÖNKfeladatok2018'!$B$5:$B$160,'14.mell_Önk kiegészítés2018'!$A27,'13.mell_ÖNKfeladatok2018'!O$5:O$160)</f>
        <v>0</v>
      </c>
      <c r="D27" s="571">
        <f>+SUMIF('13.mell_ÖNKfeladatok2018'!$B$5:$B$160,'14.mell_Önk kiegészítés2018'!$A27,'13.mell_ÖNKfeladatok2018'!S$5:S$160)</f>
        <v>0</v>
      </c>
      <c r="E27" s="571">
        <f>+SUMIF('13.mell_ÖNKfeladatok2018'!$B$5:$B$160,'14.mell_Önk kiegészítés2018'!$A27,'13.mell_ÖNKfeladatok2018'!W$5:W$160)</f>
        <v>0</v>
      </c>
      <c r="F27" s="571">
        <f>+SUMIF('13.mell_ÖNKfeladatok2018'!$B$5:$B$160,'14.mell_Önk kiegészítés2018'!$A27,'13.mell_ÖNKfeladatok2018'!AA$5:AA$160)</f>
        <v>0</v>
      </c>
      <c r="G27" s="571">
        <f>+SUMIF('13.mell_ÖNKfeladatok2018'!$B$5:$B$160,'14.mell_Önk kiegészítés2018'!$A27,'13.mell_ÖNKfeladatok2018'!AI$5:AI$160)</f>
        <v>0</v>
      </c>
      <c r="H27" s="571">
        <f>+SUMIF('13.mell_ÖNKfeladatok2018'!$B$5:$B$160,'14.mell_Önk kiegészítés2018'!$A27,'13.mell_ÖNKfeladatok2018'!AM$5:AM$160)</f>
        <v>0</v>
      </c>
      <c r="I27" s="571">
        <f>+SUMIF('13.mell_ÖNKfeladatok2018'!$B$5:$B$160,'14.mell_Önk kiegészítés2018'!$A27,'13.mell_ÖNKfeladatok2018'!AQ$5:AQ$160)</f>
        <v>0</v>
      </c>
      <c r="J27" s="608">
        <f t="shared" si="19"/>
        <v>0</v>
      </c>
      <c r="K27" s="567">
        <f>+SUMIF('13.mell_ÖNKfeladatok2018'!$B$168:$B$323,'14.mell_Önk kiegészítés2018'!$A27,'13.mell_ÖNKfeladatok2018'!O$168:O$323)</f>
        <v>6401</v>
      </c>
      <c r="L27" s="567">
        <f>+SUMIF('13.mell_ÖNKfeladatok2018'!$B$168:$B$323,'14.mell_Önk kiegészítés2018'!$A27,'13.mell_ÖNKfeladatok2018'!S$168:S$323)</f>
        <v>1182</v>
      </c>
      <c r="M27" s="567">
        <f>+SUMIF('13.mell_ÖNKfeladatok2018'!$B$168:$B$323,'14.mell_Önk kiegészítés2018'!$A27,'13.mell_ÖNKfeladatok2018'!W$168:W$323)</f>
        <v>381</v>
      </c>
      <c r="N27" s="567">
        <f>+SUMIF('13.mell_ÖNKfeladatok2018'!$B$168:$B$323,'14.mell_Önk kiegészítés2018'!$A27,'13.mell_ÖNKfeladatok2018'!AA$168:AA$323)</f>
        <v>0</v>
      </c>
      <c r="O27" s="567">
        <f>+SUMIF('13.mell_ÖNKfeladatok2018'!$B$168:$B$323,'14.mell_Önk kiegészítés2018'!$A27,'13.mell_ÖNKfeladatok2018'!AE$168:AE$323)</f>
        <v>0</v>
      </c>
      <c r="P27" s="567">
        <f>+SUMIF('13.mell_ÖNKfeladatok2018'!$B$168:$B$323,'14.mell_Önk kiegészítés2018'!$A27,'13.mell_ÖNKfeladatok2018'!AM$168:AM$323)</f>
        <v>0</v>
      </c>
      <c r="Q27" s="567">
        <f>+SUMIF('13.mell_ÖNKfeladatok2018'!$B$168:$B$323,'14.mell_Önk kiegészítés2018'!$A27,'13.mell_ÖNKfeladatok2018'!AQ$168:AQ$323)</f>
        <v>0</v>
      </c>
      <c r="R27" s="567">
        <f>+SUMIF('13.mell_ÖNKfeladatok2018'!$B$168:$B$323,'14.mell_Önk kiegészítés2018'!$A27,'13.mell_ÖNKfeladatok2018'!AU$168:AU$323)</f>
        <v>0</v>
      </c>
      <c r="S27" s="607">
        <f>SUM(K27:R27)</f>
        <v>7964</v>
      </c>
      <c r="T27" s="568">
        <f>S27-J27</f>
        <v>7964</v>
      </c>
      <c r="U27" s="1028">
        <f>+ROUND(SUMIF('10.mell_támogatások2018'!$B$6:$B$123,'14.mell_Önk kiegészítés2018'!$A27,'10.mell_támogatások2018'!D$6:D$123)/1000,0)</f>
        <v>0</v>
      </c>
      <c r="V27" s="569">
        <f>+T27-U27</f>
        <v>7964</v>
      </c>
      <c r="W27" s="1195"/>
    </row>
    <row r="28" spans="1:43" ht="12.75" thickBot="1">
      <c r="A28" s="851">
        <f>+A27+1</f>
        <v>17</v>
      </c>
      <c r="B28" s="570" t="s">
        <v>958</v>
      </c>
      <c r="C28" s="571">
        <f>+SUMIF('13.mell_ÖNKfeladatok2018'!$B$5:$B$160,'14.mell_Önk kiegészítés2018'!$A28,'13.mell_ÖNKfeladatok2018'!O$5:O$160)</f>
        <v>0</v>
      </c>
      <c r="D28" s="571">
        <f>+SUMIF('13.mell_ÖNKfeladatok2018'!$B$5:$B$160,'14.mell_Önk kiegészítés2018'!$A28,'13.mell_ÖNKfeladatok2018'!S$5:S$160)</f>
        <v>0</v>
      </c>
      <c r="E28" s="571">
        <f>+SUMIF('13.mell_ÖNKfeladatok2018'!$B$5:$B$160,'14.mell_Önk kiegészítés2018'!$A28,'13.mell_ÖNKfeladatok2018'!W$5:W$160)</f>
        <v>0</v>
      </c>
      <c r="F28" s="571">
        <f>+SUMIF('13.mell_ÖNKfeladatok2018'!$B$5:$B$160,'14.mell_Önk kiegészítés2018'!$A28,'13.mell_ÖNKfeladatok2018'!AA$5:AA$160)</f>
        <v>0</v>
      </c>
      <c r="G28" s="571">
        <f>+SUMIF('13.mell_ÖNKfeladatok2018'!$B$5:$B$160,'14.mell_Önk kiegészítés2018'!$A28,'13.mell_ÖNKfeladatok2018'!AI$5:AI$160)</f>
        <v>0</v>
      </c>
      <c r="H28" s="571">
        <f>+SUMIF('13.mell_ÖNKfeladatok2018'!$B$5:$B$160,'14.mell_Önk kiegészítés2018'!$A28,'13.mell_ÖNKfeladatok2018'!AM$5:AM$160)</f>
        <v>0</v>
      </c>
      <c r="I28" s="571">
        <f>+SUMIF('13.mell_ÖNKfeladatok2018'!$B$5:$B$160,'14.mell_Önk kiegészítés2018'!$A28,'13.mell_ÖNKfeladatok2018'!AQ$5:AQ$160)</f>
        <v>0</v>
      </c>
      <c r="J28" s="608">
        <f t="shared" si="19"/>
        <v>0</v>
      </c>
      <c r="K28" s="567">
        <f>+SUMIF('13.mell_ÖNKfeladatok2018'!$B$168:$B$323,'14.mell_Önk kiegészítés2018'!$A28,'13.mell_ÖNKfeladatok2018'!O$168:O$323)</f>
        <v>0</v>
      </c>
      <c r="L28" s="567">
        <f>+SUMIF('13.mell_ÖNKfeladatok2018'!$B$168:$B$323,'14.mell_Önk kiegészítés2018'!$A28,'13.mell_ÖNKfeladatok2018'!S$168:S$323)</f>
        <v>0</v>
      </c>
      <c r="M28" s="567">
        <f>+SUMIF('13.mell_ÖNKfeladatok2018'!$B$168:$B$323,'14.mell_Önk kiegészítés2018'!$A28,'13.mell_ÖNKfeladatok2018'!W$168:W$323)</f>
        <v>0</v>
      </c>
      <c r="N28" s="567">
        <f>+SUMIF('13.mell_ÖNKfeladatok2018'!$B$168:$B$323,'14.mell_Önk kiegészítés2018'!$A28,'13.mell_ÖNKfeladatok2018'!AA$168:AA$323)</f>
        <v>0</v>
      </c>
      <c r="O28" s="567">
        <f>+SUMIF('13.mell_ÖNKfeladatok2018'!$B$168:$B$323,'14.mell_Önk kiegészítés2018'!$A28,'13.mell_ÖNKfeladatok2018'!AE$168:AE$323)</f>
        <v>0</v>
      </c>
      <c r="P28" s="567">
        <f>+SUMIF('13.mell_ÖNKfeladatok2018'!$B$168:$B$323,'14.mell_Önk kiegészítés2018'!$A28,'13.mell_ÖNKfeladatok2018'!AM$168:AM$323)</f>
        <v>0</v>
      </c>
      <c r="Q28" s="567">
        <f>+SUMIF('13.mell_ÖNKfeladatok2018'!$B$168:$B$323,'14.mell_Önk kiegészítés2018'!$A28,'13.mell_ÖNKfeladatok2018'!AQ$168:AQ$323)</f>
        <v>0</v>
      </c>
      <c r="R28" s="567">
        <f>+SUMIF('13.mell_ÖNKfeladatok2018'!$B$168:$B$323,'14.mell_Önk kiegészítés2018'!$A28,'13.mell_ÖNKfeladatok2018'!AU$168:AU$323)</f>
        <v>0</v>
      </c>
      <c r="S28" s="607">
        <f>SUM(K28:R28)</f>
        <v>0</v>
      </c>
      <c r="T28" s="568">
        <f>S28-J28</f>
        <v>0</v>
      </c>
      <c r="U28" s="1028">
        <f>+ROUND(SUMIF('10.mell_támogatások2018'!$B$6:$B$123,'14.mell_Önk kiegészítés2018'!$A28,'10.mell_támogatások2018'!D$6:D$123)/1000,0)</f>
        <v>0</v>
      </c>
      <c r="V28" s="569">
        <f>+T28-U28</f>
        <v>0</v>
      </c>
      <c r="W28" s="1195"/>
    </row>
    <row r="29" spans="1:43" s="558" customFormat="1" ht="12.75" thickBot="1">
      <c r="A29" s="572" t="s">
        <v>640</v>
      </c>
      <c r="B29" s="573" t="s">
        <v>933</v>
      </c>
      <c r="C29" s="574">
        <f>SUM(C26:C28)</f>
        <v>0</v>
      </c>
      <c r="D29" s="575">
        <f t="shared" ref="D29:V29" si="20">SUM(D26:D28)</f>
        <v>0</v>
      </c>
      <c r="E29" s="575">
        <f t="shared" si="20"/>
        <v>28850</v>
      </c>
      <c r="F29" s="575">
        <f t="shared" si="20"/>
        <v>0</v>
      </c>
      <c r="G29" s="575">
        <f t="shared" si="20"/>
        <v>0</v>
      </c>
      <c r="H29" s="575">
        <f t="shared" si="20"/>
        <v>0</v>
      </c>
      <c r="I29" s="578">
        <f t="shared" si="20"/>
        <v>0</v>
      </c>
      <c r="J29" s="577">
        <f t="shared" si="20"/>
        <v>28850</v>
      </c>
      <c r="K29" s="574">
        <f t="shared" si="20"/>
        <v>12479</v>
      </c>
      <c r="L29" s="574">
        <f t="shared" si="20"/>
        <v>2375</v>
      </c>
      <c r="M29" s="574">
        <f t="shared" si="20"/>
        <v>21573</v>
      </c>
      <c r="N29" s="574">
        <f t="shared" si="20"/>
        <v>0</v>
      </c>
      <c r="O29" s="574">
        <f t="shared" si="20"/>
        <v>0</v>
      </c>
      <c r="P29" s="574">
        <f t="shared" si="20"/>
        <v>0</v>
      </c>
      <c r="Q29" s="574">
        <f t="shared" si="20"/>
        <v>0</v>
      </c>
      <c r="R29" s="574">
        <f t="shared" si="20"/>
        <v>0</v>
      </c>
      <c r="S29" s="577">
        <f t="shared" si="20"/>
        <v>36427</v>
      </c>
      <c r="T29" s="574">
        <f t="shared" si="20"/>
        <v>7577</v>
      </c>
      <c r="U29" s="578">
        <f t="shared" si="20"/>
        <v>-201</v>
      </c>
      <c r="V29" s="577">
        <f t="shared" si="20"/>
        <v>7778</v>
      </c>
      <c r="W29" s="1195"/>
      <c r="AC29" s="266"/>
      <c r="AD29" s="266"/>
      <c r="AE29" s="266"/>
      <c r="AF29" s="266"/>
      <c r="AG29" s="266"/>
      <c r="AH29" s="266"/>
      <c r="AI29" s="266"/>
      <c r="AJ29" s="266"/>
      <c r="AK29" s="266"/>
      <c r="AL29" s="266"/>
      <c r="AM29" s="266"/>
      <c r="AN29" s="266"/>
      <c r="AO29" s="266"/>
      <c r="AP29" s="266"/>
      <c r="AQ29" s="266"/>
    </row>
    <row r="30" spans="1:43" ht="12.75" thickBot="1">
      <c r="A30" s="851">
        <f>+A28+1</f>
        <v>18</v>
      </c>
      <c r="B30" s="579" t="s">
        <v>934</v>
      </c>
      <c r="C30" s="580">
        <f>+SUMIF('13.mell_ÖNKfeladatok2018'!$B$5:$B$160,'14.mell_Önk kiegészítés2018'!$A30,'13.mell_ÖNKfeladatok2018'!O$5:O$160)</f>
        <v>0</v>
      </c>
      <c r="D30" s="580">
        <f>+SUMIF('13.mell_ÖNKfeladatok2018'!$B$5:$B$160,'14.mell_Önk kiegészítés2018'!$A30,'13.mell_ÖNKfeladatok2018'!S$5:S$160)</f>
        <v>0</v>
      </c>
      <c r="E30" s="580">
        <f>+SUMIF('13.mell_ÖNKfeladatok2018'!$B$5:$B$160,'14.mell_Önk kiegészítés2018'!$A30,'13.mell_ÖNKfeladatok2018'!W$5:W$160)</f>
        <v>0</v>
      </c>
      <c r="F30" s="580">
        <f>+SUMIF('13.mell_ÖNKfeladatok2018'!$B$5:$B$160,'14.mell_Önk kiegészítés2018'!$A30,'13.mell_ÖNKfeladatok2018'!AA$5:AA$160)</f>
        <v>0</v>
      </c>
      <c r="G30" s="580">
        <f>+SUMIF('13.mell_ÖNKfeladatok2018'!$B$5:$B$160,'14.mell_Önk kiegészítés2018'!$A30,'13.mell_ÖNKfeladatok2018'!AI$5:AI$160)</f>
        <v>0</v>
      </c>
      <c r="H30" s="580">
        <f>+SUMIF('13.mell_ÖNKfeladatok2018'!$B$5:$B$160,'14.mell_Önk kiegészítés2018'!$A30,'13.mell_ÖNKfeladatok2018'!AM$5:AM$160)</f>
        <v>0</v>
      </c>
      <c r="I30" s="580">
        <f>+SUMIF('13.mell_ÖNKfeladatok2018'!$B$5:$B$160,'14.mell_Önk kiegészítés2018'!$A30,'13.mell_ÖNKfeladatok2018'!AQ$5:AQ$160)</f>
        <v>0</v>
      </c>
      <c r="J30" s="609">
        <f>SUM(C30:I30)</f>
        <v>0</v>
      </c>
      <c r="K30" s="567">
        <f>+SUMIF('13.mell_ÖNKfeladatok2018'!$B$168:$B$323,'14.mell_Önk kiegészítés2018'!$A30,'13.mell_ÖNKfeladatok2018'!O$168:O$323)</f>
        <v>0</v>
      </c>
      <c r="L30" s="567">
        <f>+SUMIF('13.mell_ÖNKfeladatok2018'!$B$168:$B$323,'14.mell_Önk kiegészítés2018'!$A30,'13.mell_ÖNKfeladatok2018'!S$168:S$323)</f>
        <v>0</v>
      </c>
      <c r="M30" s="567">
        <f>+SUMIF('13.mell_ÖNKfeladatok2018'!$B$168:$B$323,'14.mell_Önk kiegészítés2018'!$A30,'13.mell_ÖNKfeladatok2018'!W$168:W$323)</f>
        <v>0</v>
      </c>
      <c r="N30" s="567">
        <f>+SUMIF('13.mell_ÖNKfeladatok2018'!$B$168:$B$323,'14.mell_Önk kiegészítés2018'!$A30,'13.mell_ÖNKfeladatok2018'!AA$168:AA$323)</f>
        <v>0</v>
      </c>
      <c r="O30" s="567">
        <f>+SUMIF('13.mell_ÖNKfeladatok2018'!$B$168:$B$323,'14.mell_Önk kiegészítés2018'!$A30,'13.mell_ÖNKfeladatok2018'!AE$168:AE$323)</f>
        <v>0</v>
      </c>
      <c r="P30" s="567">
        <f>+SUMIF('13.mell_ÖNKfeladatok2018'!$B$168:$B$323,'14.mell_Önk kiegészítés2018'!$A30,'13.mell_ÖNKfeladatok2018'!AM$168:AM$323)</f>
        <v>0</v>
      </c>
      <c r="Q30" s="567">
        <f>+SUMIF('13.mell_ÖNKfeladatok2018'!$B$168:$B$323,'14.mell_Önk kiegészítés2018'!$A30,'13.mell_ÖNKfeladatok2018'!AQ$168:AQ$323)</f>
        <v>0</v>
      </c>
      <c r="R30" s="567">
        <f>+SUMIF('13.mell_ÖNKfeladatok2018'!$B$168:$B$323,'14.mell_Önk kiegészítés2018'!$A30,'13.mell_ÖNKfeladatok2018'!AU$168:AU$323)</f>
        <v>0</v>
      </c>
      <c r="S30" s="607">
        <f>SUM(K30:R30)</f>
        <v>0</v>
      </c>
      <c r="T30" s="568">
        <f>S30-J30</f>
        <v>0</v>
      </c>
      <c r="U30" s="1028">
        <f>+ROUND(SUMIF('10.mell_támogatások2018'!$B$6:$B$123,'14.mell_Önk kiegészítés2018'!$A30,'10.mell_támogatások2018'!D$6:D$123)/1000,0)</f>
        <v>0</v>
      </c>
      <c r="V30" s="569">
        <f>+T30-U30</f>
        <v>0</v>
      </c>
      <c r="W30" s="1195"/>
    </row>
    <row r="31" spans="1:43" s="558" customFormat="1" ht="12.75" thickBot="1">
      <c r="A31" s="572" t="s">
        <v>801</v>
      </c>
      <c r="B31" s="573" t="s">
        <v>934</v>
      </c>
      <c r="C31" s="574">
        <f>SUM(C30)</f>
        <v>0</v>
      </c>
      <c r="D31" s="575">
        <f t="shared" ref="D31:V31" si="21">SUM(D30)</f>
        <v>0</v>
      </c>
      <c r="E31" s="575">
        <f t="shared" si="21"/>
        <v>0</v>
      </c>
      <c r="F31" s="575">
        <f t="shared" si="21"/>
        <v>0</v>
      </c>
      <c r="G31" s="575">
        <f t="shared" si="21"/>
        <v>0</v>
      </c>
      <c r="H31" s="575">
        <f t="shared" si="21"/>
        <v>0</v>
      </c>
      <c r="I31" s="578">
        <f t="shared" si="21"/>
        <v>0</v>
      </c>
      <c r="J31" s="577">
        <f t="shared" si="21"/>
        <v>0</v>
      </c>
      <c r="K31" s="574">
        <f t="shared" si="21"/>
        <v>0</v>
      </c>
      <c r="L31" s="574">
        <f t="shared" si="21"/>
        <v>0</v>
      </c>
      <c r="M31" s="574">
        <f t="shared" si="21"/>
        <v>0</v>
      </c>
      <c r="N31" s="574">
        <f t="shared" si="21"/>
        <v>0</v>
      </c>
      <c r="O31" s="574">
        <f t="shared" si="21"/>
        <v>0</v>
      </c>
      <c r="P31" s="574">
        <f t="shared" si="21"/>
        <v>0</v>
      </c>
      <c r="Q31" s="574">
        <f t="shared" si="21"/>
        <v>0</v>
      </c>
      <c r="R31" s="574">
        <f t="shared" si="21"/>
        <v>0</v>
      </c>
      <c r="S31" s="577">
        <f t="shared" si="21"/>
        <v>0</v>
      </c>
      <c r="T31" s="574">
        <f t="shared" si="21"/>
        <v>0</v>
      </c>
      <c r="U31" s="578">
        <f t="shared" si="21"/>
        <v>0</v>
      </c>
      <c r="V31" s="577">
        <f t="shared" si="21"/>
        <v>0</v>
      </c>
      <c r="W31" s="1195"/>
      <c r="AC31" s="266"/>
      <c r="AD31" s="266"/>
      <c r="AE31" s="266"/>
      <c r="AF31" s="266"/>
      <c r="AG31" s="266"/>
      <c r="AH31" s="266"/>
      <c r="AI31" s="266"/>
      <c r="AJ31" s="266"/>
      <c r="AK31" s="266"/>
      <c r="AL31" s="266"/>
      <c r="AM31" s="266"/>
      <c r="AN31" s="266"/>
      <c r="AO31" s="266"/>
      <c r="AP31" s="266"/>
      <c r="AQ31" s="266"/>
    </row>
    <row r="32" spans="1:43" s="558" customFormat="1" ht="12.75" thickBot="1">
      <c r="A32" s="581" t="s">
        <v>22</v>
      </c>
      <c r="B32" s="582" t="s">
        <v>935</v>
      </c>
      <c r="C32" s="583">
        <f>+C25+C29+C31</f>
        <v>0</v>
      </c>
      <c r="D32" s="584">
        <f t="shared" ref="D32:V32" si="22">+D25+D29+D31</f>
        <v>0</v>
      </c>
      <c r="E32" s="584">
        <f t="shared" si="22"/>
        <v>36941</v>
      </c>
      <c r="F32" s="584">
        <f t="shared" si="22"/>
        <v>0</v>
      </c>
      <c r="G32" s="584">
        <f t="shared" si="22"/>
        <v>0</v>
      </c>
      <c r="H32" s="584">
        <f t="shared" si="22"/>
        <v>0</v>
      </c>
      <c r="I32" s="585">
        <f t="shared" si="22"/>
        <v>0</v>
      </c>
      <c r="J32" s="586">
        <f t="shared" si="22"/>
        <v>36941</v>
      </c>
      <c r="K32" s="583">
        <f t="shared" si="22"/>
        <v>243653</v>
      </c>
      <c r="L32" s="583">
        <f t="shared" si="22"/>
        <v>50215</v>
      </c>
      <c r="M32" s="583">
        <f t="shared" si="22"/>
        <v>58618</v>
      </c>
      <c r="N32" s="583">
        <f t="shared" si="22"/>
        <v>0</v>
      </c>
      <c r="O32" s="583">
        <f t="shared" si="22"/>
        <v>0</v>
      </c>
      <c r="P32" s="583">
        <f t="shared" si="22"/>
        <v>0</v>
      </c>
      <c r="Q32" s="583">
        <f t="shared" si="22"/>
        <v>0</v>
      </c>
      <c r="R32" s="583">
        <f t="shared" si="22"/>
        <v>0</v>
      </c>
      <c r="S32" s="586">
        <f t="shared" si="22"/>
        <v>352486</v>
      </c>
      <c r="T32" s="583">
        <f t="shared" si="22"/>
        <v>315545</v>
      </c>
      <c r="U32" s="585">
        <f t="shared" si="22"/>
        <v>162564</v>
      </c>
      <c r="V32" s="586">
        <f t="shared" si="22"/>
        <v>152981</v>
      </c>
      <c r="W32" s="1195"/>
      <c r="AC32" s="266"/>
      <c r="AD32" s="266"/>
      <c r="AE32" s="266"/>
      <c r="AF32" s="266"/>
      <c r="AG32" s="266"/>
      <c r="AH32" s="266"/>
      <c r="AI32" s="266"/>
      <c r="AJ32" s="266"/>
      <c r="AK32" s="266"/>
      <c r="AL32" s="266"/>
      <c r="AM32" s="266"/>
      <c r="AN32" s="266"/>
      <c r="AO32" s="266"/>
      <c r="AP32" s="266"/>
      <c r="AQ32" s="266"/>
    </row>
    <row r="33" spans="1:43" s="558" customFormat="1" ht="12.75" thickBot="1">
      <c r="A33" s="592"/>
      <c r="B33" s="593"/>
      <c r="C33" s="594"/>
      <c r="D33" s="594"/>
      <c r="E33" s="594"/>
      <c r="F33" s="594"/>
      <c r="G33" s="594"/>
      <c r="H33" s="594"/>
      <c r="I33" s="896"/>
      <c r="J33" s="597"/>
      <c r="K33" s="594"/>
      <c r="L33" s="594"/>
      <c r="M33" s="594"/>
      <c r="N33" s="594"/>
      <c r="O33" s="594"/>
      <c r="P33" s="594"/>
      <c r="Q33" s="594"/>
      <c r="R33" s="594"/>
      <c r="S33" s="597"/>
      <c r="T33" s="594"/>
      <c r="U33" s="596"/>
      <c r="V33" s="597"/>
      <c r="W33" s="1195"/>
      <c r="AC33" s="266"/>
      <c r="AD33" s="266"/>
      <c r="AE33" s="266"/>
      <c r="AF33" s="266"/>
      <c r="AG33" s="266"/>
      <c r="AH33" s="266"/>
      <c r="AI33" s="266"/>
      <c r="AJ33" s="266"/>
      <c r="AK33" s="266"/>
      <c r="AL33" s="266"/>
      <c r="AM33" s="266"/>
      <c r="AN33" s="266"/>
      <c r="AO33" s="266"/>
      <c r="AP33" s="266"/>
      <c r="AQ33" s="266"/>
    </row>
    <row r="34" spans="1:43">
      <c r="A34" s="850">
        <f>+A30+1</f>
        <v>19</v>
      </c>
      <c r="B34" s="755" t="s">
        <v>1175</v>
      </c>
      <c r="C34" s="899">
        <f>+SUMIF('13.mell_ÖNKfeladatok2018'!$B$5:$B$160,'14.mell_Önk kiegészítés2018'!$A34,'13.mell_ÖNKfeladatok2018'!O$5:O$160)</f>
        <v>0</v>
      </c>
      <c r="D34" s="899">
        <f>+SUMIF('13.mell_ÖNKfeladatok2018'!$B$5:$B$160,'14.mell_Önk kiegészítés2018'!$A34,'13.mell_ÖNKfeladatok2018'!S$5:S$160)</f>
        <v>0</v>
      </c>
      <c r="E34" s="899">
        <f>+SUMIF('13.mell_ÖNKfeladatok2018'!$B$5:$B$160,'14.mell_Önk kiegészítés2018'!$A34,'13.mell_ÖNKfeladatok2018'!W$5:W$160)</f>
        <v>0</v>
      </c>
      <c r="F34" s="899">
        <f>+SUMIF('13.mell_ÖNKfeladatok2018'!$B$5:$B$160,'14.mell_Önk kiegészítés2018'!$A34,'13.mell_ÖNKfeladatok2018'!AA$5:AA$160)</f>
        <v>0</v>
      </c>
      <c r="G34" s="899">
        <f>+SUMIF('13.mell_ÖNKfeladatok2018'!$B$5:$B$160,'14.mell_Önk kiegészítés2018'!$A34,'13.mell_ÖNKfeladatok2018'!AI$5:AI$160)</f>
        <v>0</v>
      </c>
      <c r="H34" s="899">
        <f>+SUMIF('13.mell_ÖNKfeladatok2018'!$B$5:$B$160,'14.mell_Önk kiegészítés2018'!$A34,'13.mell_ÖNKfeladatok2018'!AM$5:AM$160)</f>
        <v>0</v>
      </c>
      <c r="I34" s="899">
        <f>+SUMIF('13.mell_ÖNKfeladatok2018'!$B$5:$B$160,'14.mell_Önk kiegészítés2018'!$A34,'13.mell_ÖNKfeladatok2018'!AQ$5:AQ$160)</f>
        <v>0</v>
      </c>
      <c r="J34" s="756">
        <f t="shared" ref="J34:J36" si="23">SUM(C34:I34)</f>
        <v>0</v>
      </c>
      <c r="K34" s="899">
        <f>+SUMIF('13.mell_ÖNKfeladatok2018'!$B$168:$B$323,'14.mell_Önk kiegészítés2018'!$A34,'13.mell_ÖNKfeladatok2018'!O$168:O$323)</f>
        <v>194602</v>
      </c>
      <c r="L34" s="899">
        <f>+SUMIF('13.mell_ÖNKfeladatok2018'!$B$168:$B$323,'14.mell_Önk kiegészítés2018'!$A34,'13.mell_ÖNKfeladatok2018'!S$168:S$323)</f>
        <v>42378</v>
      </c>
      <c r="M34" s="899">
        <f>+SUMIF('13.mell_ÖNKfeladatok2018'!$B$168:$B$323,'14.mell_Önk kiegészítés2018'!$A34,'13.mell_ÖNKfeladatok2018'!W$168:W$323)</f>
        <v>24960</v>
      </c>
      <c r="N34" s="899">
        <f>+SUMIF('13.mell_ÖNKfeladatok2018'!$B$168:$B$323,'14.mell_Önk kiegészítés2018'!$A34,'13.mell_ÖNKfeladatok2018'!AA$168:AA$323)</f>
        <v>0</v>
      </c>
      <c r="O34" s="899">
        <f>+SUMIF('13.mell_ÖNKfeladatok2018'!$B$168:$B$323,'14.mell_Önk kiegészítés2018'!$A34,'13.mell_ÖNKfeladatok2018'!AE$168:AE$323)</f>
        <v>0</v>
      </c>
      <c r="P34" s="899">
        <f>+SUMIF('13.mell_ÖNKfeladatok2018'!$B$168:$B$323,'14.mell_Önk kiegészítés2018'!$A34,'13.mell_ÖNKfeladatok2018'!AM$168:AM$323)</f>
        <v>1000</v>
      </c>
      <c r="Q34" s="899">
        <f>+SUMIF('13.mell_ÖNKfeladatok2018'!$B$168:$B$323,'14.mell_Önk kiegészítés2018'!$A34,'13.mell_ÖNKfeladatok2018'!AQ$168:AQ$323)</f>
        <v>0</v>
      </c>
      <c r="R34" s="899">
        <f>+SUMIF('13.mell_ÖNKfeladatok2018'!$B$168:$B$323,'14.mell_Önk kiegészítés2018'!$A34,'13.mell_ÖNKfeladatok2018'!AU$168:AU$323)</f>
        <v>0</v>
      </c>
      <c r="S34" s="756">
        <f>SUM(K34:R34)</f>
        <v>262940</v>
      </c>
      <c r="T34" s="757">
        <f>S34-J34</f>
        <v>262940</v>
      </c>
      <c r="U34" s="1029">
        <f>+ROUND(SUMIF('10.mell_támogatások2018'!$B$6:$B$123,'14.mell_Önk kiegészítés2018'!$A34,'10.mell_támogatások2018'!D$6:D$123)/1000,0)+1389-4094</f>
        <v>217927</v>
      </c>
      <c r="V34" s="758">
        <f>+T34-U34</f>
        <v>45013</v>
      </c>
      <c r="W34" s="1195"/>
      <c r="AE34" s="266">
        <f>+(1021+368)</f>
        <v>1389</v>
      </c>
      <c r="AK34" s="266">
        <f>-(3050+1044)</f>
        <v>-4094</v>
      </c>
    </row>
    <row r="35" spans="1:43">
      <c r="A35" s="851">
        <f>+A34+1</f>
        <v>20</v>
      </c>
      <c r="B35" s="566" t="s">
        <v>1269</v>
      </c>
      <c r="C35" s="567">
        <f>+SUMIF('13.mell_ÖNKfeladatok2018'!$B$5:$B$160,'14.mell_Önk kiegészítés2018'!$A35,'13.mell_ÖNKfeladatok2018'!O$5:O$160)</f>
        <v>0</v>
      </c>
      <c r="D35" s="567">
        <f>+SUMIF('13.mell_ÖNKfeladatok2018'!$B$5:$B$160,'14.mell_Önk kiegészítés2018'!$A35,'13.mell_ÖNKfeladatok2018'!S$5:S$160)</f>
        <v>0</v>
      </c>
      <c r="E35" s="567">
        <f>+SUMIF('13.mell_ÖNKfeladatok2018'!$B$5:$B$160,'14.mell_Önk kiegészítés2018'!$A35,'13.mell_ÖNKfeladatok2018'!W$5:W$160)</f>
        <v>20813</v>
      </c>
      <c r="F35" s="567">
        <f>+SUMIF('13.mell_ÖNKfeladatok2018'!$B$5:$B$160,'14.mell_Önk kiegészítés2018'!$A35,'13.mell_ÖNKfeladatok2018'!AA$5:AA$160)</f>
        <v>0</v>
      </c>
      <c r="G35" s="567">
        <f>+SUMIF('13.mell_ÖNKfeladatok2018'!$B$5:$B$160,'14.mell_Önk kiegészítés2018'!$A35,'13.mell_ÖNKfeladatok2018'!AI$5:AI$160)</f>
        <v>0</v>
      </c>
      <c r="H35" s="567">
        <f>+SUMIF('13.mell_ÖNKfeladatok2018'!$B$5:$B$160,'14.mell_Önk kiegészítés2018'!$A35,'13.mell_ÖNKfeladatok2018'!AM$5:AM$160)</f>
        <v>0</v>
      </c>
      <c r="I35" s="567">
        <f>+SUMIF('13.mell_ÖNKfeladatok2018'!$B$5:$B$160,'14.mell_Önk kiegészítés2018'!$A35,'13.mell_ÖNKfeladatok2018'!AQ$5:AQ$160)</f>
        <v>0</v>
      </c>
      <c r="J35" s="607">
        <f t="shared" si="23"/>
        <v>20813</v>
      </c>
      <c r="K35" s="567">
        <f>+SUMIF('13.mell_ÖNKfeladatok2018'!$B$168:$B$323,'14.mell_Önk kiegészítés2018'!$A35,'13.mell_ÖNKfeladatok2018'!O$168:O$323)</f>
        <v>0</v>
      </c>
      <c r="L35" s="567">
        <f>+SUMIF('13.mell_ÖNKfeladatok2018'!$B$168:$B$323,'14.mell_Önk kiegészítés2018'!$A35,'13.mell_ÖNKfeladatok2018'!S$168:S$323)</f>
        <v>0</v>
      </c>
      <c r="M35" s="567">
        <f>+SUMIF('13.mell_ÖNKfeladatok2018'!$B$168:$B$323,'14.mell_Önk kiegészítés2018'!$A35,'13.mell_ÖNKfeladatok2018'!W$168:W$323)</f>
        <v>89658</v>
      </c>
      <c r="N35" s="567">
        <f>+SUMIF('13.mell_ÖNKfeladatok2018'!$B$168:$B$323,'14.mell_Önk kiegészítés2018'!$A35,'13.mell_ÖNKfeladatok2018'!AA$168:AA$323)</f>
        <v>0</v>
      </c>
      <c r="O35" s="567">
        <f>+SUMIF('13.mell_ÖNKfeladatok2018'!$B$168:$B$323,'14.mell_Önk kiegészítés2018'!$A35,'13.mell_ÖNKfeladatok2018'!AE$168:AE$323)</f>
        <v>0</v>
      </c>
      <c r="P35" s="567">
        <f>+SUMIF('13.mell_ÖNKfeladatok2018'!$B$168:$B$323,'14.mell_Önk kiegészítés2018'!$A35,'13.mell_ÖNKfeladatok2018'!AM$168:AM$323)</f>
        <v>0</v>
      </c>
      <c r="Q35" s="567">
        <f>+SUMIF('13.mell_ÖNKfeladatok2018'!$B$168:$B$323,'14.mell_Önk kiegészítés2018'!$A35,'13.mell_ÖNKfeladatok2018'!AQ$168:AQ$323)</f>
        <v>0</v>
      </c>
      <c r="R35" s="567">
        <f>+SUMIF('13.mell_ÖNKfeladatok2018'!$B$168:$B$323,'14.mell_Önk kiegészítés2018'!$A35,'13.mell_ÖNKfeladatok2018'!AU$168:AU$323)</f>
        <v>0</v>
      </c>
      <c r="S35" s="607">
        <f>SUM(K35:R35)</f>
        <v>89658</v>
      </c>
      <c r="T35" s="568">
        <f>S35-J35</f>
        <v>68845</v>
      </c>
      <c r="U35" s="1028">
        <f>+ROUND(SUMIF('10.mell_támogatások2018'!$B$6:$B$123,'14.mell_Önk kiegészítés2018'!$A35,'10.mell_támogatások2018'!D$6:D$123)/1000,0)-1284</f>
        <v>65854</v>
      </c>
      <c r="V35" s="569">
        <f>+T35-U35</f>
        <v>2991</v>
      </c>
      <c r="W35" s="1195"/>
      <c r="AJ35" s="266">
        <f>-(1073+211)</f>
        <v>-1284</v>
      </c>
    </row>
    <row r="36" spans="1:43" ht="12.75" thickBot="1">
      <c r="A36" s="897">
        <f>+A35+1</f>
        <v>21</v>
      </c>
      <c r="B36" s="579" t="s">
        <v>1262</v>
      </c>
      <c r="C36" s="580">
        <f>+SUMIF('13.mell_ÖNKfeladatok2018'!$B$5:$B$160,'14.mell_Önk kiegészítés2018'!$A36,'13.mell_ÖNKfeladatok2018'!O$5:O$160)</f>
        <v>0</v>
      </c>
      <c r="D36" s="580">
        <f>+SUMIF('13.mell_ÖNKfeladatok2018'!$B$5:$B$160,'14.mell_Önk kiegészítés2018'!$A36,'13.mell_ÖNKfeladatok2018'!S$5:S$160)</f>
        <v>0</v>
      </c>
      <c r="E36" s="580">
        <f>+SUMIF('13.mell_ÖNKfeladatok2018'!$B$5:$B$160,'14.mell_Önk kiegészítés2018'!$A36,'13.mell_ÖNKfeladatok2018'!W$5:W$160)</f>
        <v>0</v>
      </c>
      <c r="F36" s="580">
        <f>+SUMIF('13.mell_ÖNKfeladatok2018'!$B$5:$B$160,'14.mell_Önk kiegészítés2018'!$A36,'13.mell_ÖNKfeladatok2018'!AA$5:AA$160)</f>
        <v>0</v>
      </c>
      <c r="G36" s="580">
        <f>+SUMIF('13.mell_ÖNKfeladatok2018'!$B$5:$B$160,'14.mell_Önk kiegészítés2018'!$A36,'13.mell_ÖNKfeladatok2018'!AI$5:AI$160)</f>
        <v>0</v>
      </c>
      <c r="H36" s="580">
        <f>+SUMIF('13.mell_ÖNKfeladatok2018'!$B$5:$B$160,'14.mell_Önk kiegészítés2018'!$A36,'13.mell_ÖNKfeladatok2018'!AM$5:AM$160)</f>
        <v>0</v>
      </c>
      <c r="I36" s="580">
        <f>+SUMIF('13.mell_ÖNKfeladatok2018'!$B$5:$B$160,'14.mell_Önk kiegészítés2018'!$A36,'13.mell_ÖNKfeladatok2018'!AQ$5:AQ$160)</f>
        <v>0</v>
      </c>
      <c r="J36" s="609">
        <f t="shared" si="23"/>
        <v>0</v>
      </c>
      <c r="K36" s="563">
        <f>+SUMIF('13.mell_ÖNKfeladatok2018'!$B$168:$B$323,'14.mell_Önk kiegészítés2018'!$A36,'13.mell_ÖNKfeladatok2018'!O$168:O$323)</f>
        <v>26180</v>
      </c>
      <c r="L36" s="563">
        <f>+SUMIF('13.mell_ÖNKfeladatok2018'!$B$168:$B$323,'14.mell_Önk kiegészítés2018'!$A36,'13.mell_ÖNKfeladatok2018'!S$168:S$323)</f>
        <v>5115</v>
      </c>
      <c r="M36" s="563">
        <f>+SUMIF('13.mell_ÖNKfeladatok2018'!$B$168:$B$323,'14.mell_Önk kiegészítés2018'!$A36,'13.mell_ÖNKfeladatok2018'!W$168:W$323)</f>
        <v>3941</v>
      </c>
      <c r="N36" s="563">
        <f>+SUMIF('13.mell_ÖNKfeladatok2018'!$B$168:$B$323,'14.mell_Önk kiegészítés2018'!$A36,'13.mell_ÖNKfeladatok2018'!AA$168:AA$323)</f>
        <v>0</v>
      </c>
      <c r="O36" s="563">
        <f>+SUMIF('13.mell_ÖNKfeladatok2018'!$B$168:$B$323,'14.mell_Önk kiegészítés2018'!$A36,'13.mell_ÖNKfeladatok2018'!AE$168:AE$323)</f>
        <v>0</v>
      </c>
      <c r="P36" s="563">
        <f>+SUMIF('13.mell_ÖNKfeladatok2018'!$B$168:$B$323,'14.mell_Önk kiegészítés2018'!$A36,'13.mell_ÖNKfeladatok2018'!AM$168:AM$323)</f>
        <v>0</v>
      </c>
      <c r="Q36" s="563">
        <f>+SUMIF('13.mell_ÖNKfeladatok2018'!$B$168:$B$323,'14.mell_Önk kiegészítés2018'!$A36,'13.mell_ÖNKfeladatok2018'!AQ$168:AQ$323)</f>
        <v>0</v>
      </c>
      <c r="R36" s="563">
        <f>+SUMIF('13.mell_ÖNKfeladatok2018'!$B$168:$B$323,'14.mell_Önk kiegészítés2018'!$A36,'13.mell_ÖNKfeladatok2018'!AU$168:AU$323)</f>
        <v>0</v>
      </c>
      <c r="S36" s="606">
        <f>SUM(K36:R36)</f>
        <v>35236</v>
      </c>
      <c r="T36" s="564">
        <f>S36-J36</f>
        <v>35236</v>
      </c>
      <c r="U36" s="1027">
        <f>+ROUND(SUMIF('10.mell_támogatások2018'!$B$6:$B$123,'14.mell_Önk kiegészítés2018'!$A36,'10.mell_támogatások2018'!D$6:D$123)/1000,0)-671</f>
        <v>30963</v>
      </c>
      <c r="V36" s="565">
        <f>+T36-U36</f>
        <v>4273</v>
      </c>
      <c r="W36" s="1195"/>
      <c r="AK36" s="266">
        <f>-(500+171)</f>
        <v>-671</v>
      </c>
    </row>
    <row r="37" spans="1:43" s="558" customFormat="1" ht="12.75" thickBot="1">
      <c r="A37" s="356" t="s">
        <v>802</v>
      </c>
      <c r="B37" s="517" t="s">
        <v>418</v>
      </c>
      <c r="C37" s="574">
        <f>SUM(C34:C36)</f>
        <v>0</v>
      </c>
      <c r="D37" s="574">
        <f t="shared" ref="D37:V37" si="24">SUM(D34:D36)</f>
        <v>0</v>
      </c>
      <c r="E37" s="574">
        <f t="shared" si="24"/>
        <v>20813</v>
      </c>
      <c r="F37" s="574">
        <f t="shared" si="24"/>
        <v>0</v>
      </c>
      <c r="G37" s="574">
        <f t="shared" si="24"/>
        <v>0</v>
      </c>
      <c r="H37" s="574">
        <f t="shared" si="24"/>
        <v>0</v>
      </c>
      <c r="I37" s="574">
        <f t="shared" si="24"/>
        <v>0</v>
      </c>
      <c r="J37" s="577">
        <f t="shared" si="24"/>
        <v>20813</v>
      </c>
      <c r="K37" s="574">
        <f t="shared" si="24"/>
        <v>220782</v>
      </c>
      <c r="L37" s="574">
        <f t="shared" si="24"/>
        <v>47493</v>
      </c>
      <c r="M37" s="574">
        <f t="shared" si="24"/>
        <v>118559</v>
      </c>
      <c r="N37" s="574">
        <f t="shared" si="24"/>
        <v>0</v>
      </c>
      <c r="O37" s="574">
        <f t="shared" si="24"/>
        <v>0</v>
      </c>
      <c r="P37" s="574">
        <f t="shared" si="24"/>
        <v>1000</v>
      </c>
      <c r="Q37" s="574">
        <f t="shared" si="24"/>
        <v>0</v>
      </c>
      <c r="R37" s="574">
        <f t="shared" si="24"/>
        <v>0</v>
      </c>
      <c r="S37" s="577">
        <f t="shared" si="24"/>
        <v>387834</v>
      </c>
      <c r="T37" s="574">
        <f t="shared" si="24"/>
        <v>367021</v>
      </c>
      <c r="U37" s="578">
        <f t="shared" si="24"/>
        <v>314744</v>
      </c>
      <c r="V37" s="577">
        <f t="shared" si="24"/>
        <v>52277</v>
      </c>
      <c r="W37" s="1195"/>
      <c r="AC37" s="266"/>
      <c r="AD37" s="266"/>
      <c r="AE37" s="266"/>
      <c r="AF37" s="266"/>
      <c r="AG37" s="266"/>
      <c r="AH37" s="266"/>
      <c r="AI37" s="266"/>
      <c r="AJ37" s="266"/>
      <c r="AK37" s="266"/>
      <c r="AL37" s="266"/>
      <c r="AM37" s="266"/>
      <c r="AN37" s="266"/>
      <c r="AO37" s="266"/>
      <c r="AP37" s="266"/>
      <c r="AQ37" s="266"/>
    </row>
    <row r="38" spans="1:43" ht="12.75" thickBot="1">
      <c r="A38" s="900">
        <f>+A36+1</f>
        <v>22</v>
      </c>
      <c r="B38" s="579" t="s">
        <v>419</v>
      </c>
      <c r="C38" s="580">
        <f>+SUMIF('13.mell_ÖNKfeladatok2018'!$B$5:$B$160,'14.mell_Önk kiegészítés2018'!$A38,'13.mell_ÖNKfeladatok2018'!O$5:O$160)</f>
        <v>0</v>
      </c>
      <c r="D38" s="580">
        <f>+SUMIF('13.mell_ÖNKfeladatok2018'!$B$5:$B$160,'14.mell_Önk kiegészítés2018'!$A38,'13.mell_ÖNKfeladatok2018'!S$5:S$160)</f>
        <v>0</v>
      </c>
      <c r="E38" s="580">
        <f>+SUMIF('13.mell_ÖNKfeladatok2018'!$B$5:$B$160,'14.mell_Önk kiegészítés2018'!$A38,'13.mell_ÖNKfeladatok2018'!W$5:W$160)</f>
        <v>0</v>
      </c>
      <c r="F38" s="580">
        <f>+SUMIF('13.mell_ÖNKfeladatok2018'!$B$5:$B$160,'14.mell_Önk kiegészítés2018'!$A38,'13.mell_ÖNKfeladatok2018'!AA$5:AA$160)</f>
        <v>0</v>
      </c>
      <c r="G38" s="580">
        <f>+SUMIF('13.mell_ÖNKfeladatok2018'!$B$5:$B$160,'14.mell_Önk kiegészítés2018'!$A38,'13.mell_ÖNKfeladatok2018'!AI$5:AI$160)</f>
        <v>0</v>
      </c>
      <c r="H38" s="580">
        <f>+SUMIF('13.mell_ÖNKfeladatok2018'!$B$5:$B$160,'14.mell_Önk kiegészítés2018'!$A38,'13.mell_ÖNKfeladatok2018'!AM$5:AM$160)</f>
        <v>0</v>
      </c>
      <c r="I38" s="580">
        <f>+SUMIF('13.mell_ÖNKfeladatok2018'!$B$5:$B$160,'14.mell_Önk kiegészítés2018'!$A38,'13.mell_ÖNKfeladatok2018'!AQ$5:AQ$160)</f>
        <v>0</v>
      </c>
      <c r="J38" s="609">
        <f>SUM(C38:I38)</f>
        <v>0</v>
      </c>
      <c r="K38" s="571">
        <f>+SUMIF('13.mell_ÖNKfeladatok2018'!$B$168:$B$323,'14.mell_Önk kiegészítés2018'!$A38,'13.mell_ÖNKfeladatok2018'!O$168:O$323)</f>
        <v>0</v>
      </c>
      <c r="L38" s="571">
        <f>+SUMIF('13.mell_ÖNKfeladatok2018'!$B$168:$B$323,'14.mell_Önk kiegészítés2018'!$A38,'13.mell_ÖNKfeladatok2018'!S$168:S$323)</f>
        <v>0</v>
      </c>
      <c r="M38" s="571">
        <f>+SUMIF('13.mell_ÖNKfeladatok2018'!$B$168:$B$323,'14.mell_Önk kiegészítés2018'!$A38,'13.mell_ÖNKfeladatok2018'!W$168:W$323)</f>
        <v>0</v>
      </c>
      <c r="N38" s="571">
        <f>+SUMIF('13.mell_ÖNKfeladatok2018'!$B$168:$B$323,'14.mell_Önk kiegészítés2018'!$A38,'13.mell_ÖNKfeladatok2018'!AA$168:AA$323)</f>
        <v>0</v>
      </c>
      <c r="O38" s="571">
        <f>+SUMIF('13.mell_ÖNKfeladatok2018'!$B$168:$B$323,'14.mell_Önk kiegészítés2018'!$A38,'13.mell_ÖNKfeladatok2018'!AE$168:AE$323)</f>
        <v>0</v>
      </c>
      <c r="P38" s="571">
        <f>+SUMIF('13.mell_ÖNKfeladatok2018'!$B$168:$B$323,'14.mell_Önk kiegészítés2018'!$A38,'13.mell_ÖNKfeladatok2018'!AM$168:AM$323)</f>
        <v>0</v>
      </c>
      <c r="Q38" s="571">
        <f>+SUMIF('13.mell_ÖNKfeladatok2018'!$B$168:$B$323,'14.mell_Önk kiegészítés2018'!$A38,'13.mell_ÖNKfeladatok2018'!AQ$168:AQ$323)</f>
        <v>0</v>
      </c>
      <c r="R38" s="571">
        <f>+SUMIF('13.mell_ÖNKfeladatok2018'!$B$168:$B$323,'14.mell_Önk kiegészítés2018'!$A38,'13.mell_ÖNKfeladatok2018'!AU$168:AU$323)</f>
        <v>0</v>
      </c>
      <c r="S38" s="608">
        <f>SUM(K38:R38)</f>
        <v>0</v>
      </c>
      <c r="T38" s="901">
        <f>S38-J38</f>
        <v>0</v>
      </c>
      <c r="U38" s="1030">
        <f>+ROUND(SUMIF('10.mell_támogatások2018'!$B$6:$B$123,'14.mell_Önk kiegészítés2018'!$A38,'10.mell_támogatások2018'!D$6:D$123)/1000,0)</f>
        <v>0</v>
      </c>
      <c r="V38" s="902">
        <f>+T38-U38</f>
        <v>0</v>
      </c>
      <c r="W38" s="1195"/>
    </row>
    <row r="39" spans="1:43" s="558" customFormat="1" ht="12.75" thickBot="1">
      <c r="A39" s="356" t="s">
        <v>803</v>
      </c>
      <c r="B39" s="517" t="s">
        <v>419</v>
      </c>
      <c r="C39" s="574">
        <f>SUM(C38)</f>
        <v>0</v>
      </c>
      <c r="D39" s="574">
        <f t="shared" ref="D39:V39" si="25">SUM(D38)</f>
        <v>0</v>
      </c>
      <c r="E39" s="574">
        <f t="shared" si="25"/>
        <v>0</v>
      </c>
      <c r="F39" s="574">
        <f t="shared" si="25"/>
        <v>0</v>
      </c>
      <c r="G39" s="574">
        <f t="shared" si="25"/>
        <v>0</v>
      </c>
      <c r="H39" s="574">
        <f t="shared" si="25"/>
        <v>0</v>
      </c>
      <c r="I39" s="574">
        <f t="shared" si="25"/>
        <v>0</v>
      </c>
      <c r="J39" s="577">
        <f t="shared" si="25"/>
        <v>0</v>
      </c>
      <c r="K39" s="574">
        <f t="shared" si="25"/>
        <v>0</v>
      </c>
      <c r="L39" s="574">
        <f t="shared" si="25"/>
        <v>0</v>
      </c>
      <c r="M39" s="574">
        <f t="shared" si="25"/>
        <v>0</v>
      </c>
      <c r="N39" s="574">
        <f t="shared" si="25"/>
        <v>0</v>
      </c>
      <c r="O39" s="574">
        <f t="shared" si="25"/>
        <v>0</v>
      </c>
      <c r="P39" s="574">
        <f t="shared" si="25"/>
        <v>0</v>
      </c>
      <c r="Q39" s="574">
        <f t="shared" si="25"/>
        <v>0</v>
      </c>
      <c r="R39" s="574">
        <f t="shared" si="25"/>
        <v>0</v>
      </c>
      <c r="S39" s="577">
        <f t="shared" si="25"/>
        <v>0</v>
      </c>
      <c r="T39" s="574">
        <f t="shared" si="25"/>
        <v>0</v>
      </c>
      <c r="U39" s="578">
        <f t="shared" si="25"/>
        <v>0</v>
      </c>
      <c r="V39" s="577">
        <f t="shared" si="25"/>
        <v>0</v>
      </c>
      <c r="W39" s="1195"/>
      <c r="AC39" s="266"/>
      <c r="AD39" s="266"/>
      <c r="AE39" s="266"/>
      <c r="AF39" s="266"/>
      <c r="AG39" s="266"/>
      <c r="AH39" s="266"/>
      <c r="AI39" s="266"/>
      <c r="AJ39" s="266"/>
      <c r="AK39" s="266"/>
      <c r="AL39" s="266"/>
      <c r="AM39" s="266"/>
      <c r="AN39" s="266"/>
      <c r="AO39" s="266"/>
      <c r="AP39" s="266"/>
      <c r="AQ39" s="266"/>
    </row>
    <row r="40" spans="1:43" ht="12.75" thickBot="1">
      <c r="A40" s="900">
        <f>+A38+1</f>
        <v>23</v>
      </c>
      <c r="B40" s="579" t="s">
        <v>821</v>
      </c>
      <c r="C40" s="580">
        <f>+SUMIF('13.mell_ÖNKfeladatok2018'!$B$5:$B$160,'14.mell_Önk kiegészítés2018'!$A40,'13.mell_ÖNKfeladatok2018'!O$5:O$160)</f>
        <v>0</v>
      </c>
      <c r="D40" s="580">
        <f>+SUMIF('13.mell_ÖNKfeladatok2018'!$B$5:$B$160,'14.mell_Önk kiegészítés2018'!$A40,'13.mell_ÖNKfeladatok2018'!S$5:S$160)</f>
        <v>0</v>
      </c>
      <c r="E40" s="580">
        <f>+SUMIF('13.mell_ÖNKfeladatok2018'!$B$5:$B$160,'14.mell_Önk kiegészítés2018'!$A40,'13.mell_ÖNKfeladatok2018'!W$5:W$160)</f>
        <v>0</v>
      </c>
      <c r="F40" s="580">
        <f>+SUMIF('13.mell_ÖNKfeladatok2018'!$B$5:$B$160,'14.mell_Önk kiegészítés2018'!$A40,'13.mell_ÖNKfeladatok2018'!AA$5:AA$160)</f>
        <v>0</v>
      </c>
      <c r="G40" s="580">
        <f>+SUMIF('13.mell_ÖNKfeladatok2018'!$B$5:$B$160,'14.mell_Önk kiegészítés2018'!$A40,'13.mell_ÖNKfeladatok2018'!AI$5:AI$160)</f>
        <v>0</v>
      </c>
      <c r="H40" s="580">
        <f>+SUMIF('13.mell_ÖNKfeladatok2018'!$B$5:$B$160,'14.mell_Önk kiegészítés2018'!$A40,'13.mell_ÖNKfeladatok2018'!AM$5:AM$160)</f>
        <v>0</v>
      </c>
      <c r="I40" s="580">
        <f>+SUMIF('13.mell_ÖNKfeladatok2018'!$B$5:$B$160,'14.mell_Önk kiegészítés2018'!$A40,'13.mell_ÖNKfeladatok2018'!AQ$5:AQ$160)</f>
        <v>0</v>
      </c>
      <c r="J40" s="609">
        <f>SUM(C40:I40)</f>
        <v>0</v>
      </c>
      <c r="K40" s="571">
        <f>+SUMIF('13.mell_ÖNKfeladatok2018'!$B$168:$B$323,'14.mell_Önk kiegészítés2018'!$A40,'13.mell_ÖNKfeladatok2018'!O$168:O$323)</f>
        <v>0</v>
      </c>
      <c r="L40" s="571">
        <f>+SUMIF('13.mell_ÖNKfeladatok2018'!$B$168:$B$323,'14.mell_Önk kiegészítés2018'!$A40,'13.mell_ÖNKfeladatok2018'!S$168:S$323)</f>
        <v>0</v>
      </c>
      <c r="M40" s="571">
        <f>+SUMIF('13.mell_ÖNKfeladatok2018'!$B$168:$B$323,'14.mell_Önk kiegészítés2018'!$A40,'13.mell_ÖNKfeladatok2018'!W$168:W$323)</f>
        <v>0</v>
      </c>
      <c r="N40" s="571">
        <f>+SUMIF('13.mell_ÖNKfeladatok2018'!$B$168:$B$323,'14.mell_Önk kiegészítés2018'!$A40,'13.mell_ÖNKfeladatok2018'!AA$168:AA$323)</f>
        <v>0</v>
      </c>
      <c r="O40" s="571">
        <f>+SUMIF('13.mell_ÖNKfeladatok2018'!$B$168:$B$323,'14.mell_Önk kiegészítés2018'!$A40,'13.mell_ÖNKfeladatok2018'!AE$168:AE$323)</f>
        <v>0</v>
      </c>
      <c r="P40" s="571">
        <f>+SUMIF('13.mell_ÖNKfeladatok2018'!$B$168:$B$323,'14.mell_Önk kiegészítés2018'!$A40,'13.mell_ÖNKfeladatok2018'!AM$168:AM$323)</f>
        <v>0</v>
      </c>
      <c r="Q40" s="571">
        <f>+SUMIF('13.mell_ÖNKfeladatok2018'!$B$168:$B$323,'14.mell_Önk kiegészítés2018'!$A40,'13.mell_ÖNKfeladatok2018'!AQ$168:AQ$323)</f>
        <v>0</v>
      </c>
      <c r="R40" s="571">
        <f>+SUMIF('13.mell_ÖNKfeladatok2018'!$B$168:$B$323,'14.mell_Önk kiegészítés2018'!$A40,'13.mell_ÖNKfeladatok2018'!AU$168:AU$323)</f>
        <v>0</v>
      </c>
      <c r="S40" s="608">
        <f>SUM(K40:R40)</f>
        <v>0</v>
      </c>
      <c r="T40" s="901">
        <f>S40-J40</f>
        <v>0</v>
      </c>
      <c r="U40" s="1030">
        <f>+ROUND(SUMIF('10.mell_támogatások2018'!$B$6:$B$123,'14.mell_Önk kiegészítés2018'!$A40,'10.mell_támogatások2018'!D$6:D$123)/1000,0)</f>
        <v>0</v>
      </c>
      <c r="V40" s="902">
        <f>+T40-U40</f>
        <v>0</v>
      </c>
      <c r="W40" s="1195"/>
    </row>
    <row r="41" spans="1:43" s="558" customFormat="1" ht="12.75" thickBot="1">
      <c r="A41" s="356" t="s">
        <v>804</v>
      </c>
      <c r="B41" s="517" t="s">
        <v>821</v>
      </c>
      <c r="C41" s="574">
        <f>SUM(C40)</f>
        <v>0</v>
      </c>
      <c r="D41" s="574">
        <f t="shared" ref="D41:V41" si="26">SUM(D40)</f>
        <v>0</v>
      </c>
      <c r="E41" s="574">
        <f t="shared" si="26"/>
        <v>0</v>
      </c>
      <c r="F41" s="574">
        <f t="shared" si="26"/>
        <v>0</v>
      </c>
      <c r="G41" s="574">
        <f t="shared" si="26"/>
        <v>0</v>
      </c>
      <c r="H41" s="574">
        <f t="shared" si="26"/>
        <v>0</v>
      </c>
      <c r="I41" s="574">
        <f t="shared" si="26"/>
        <v>0</v>
      </c>
      <c r="J41" s="577">
        <f t="shared" si="26"/>
        <v>0</v>
      </c>
      <c r="K41" s="574">
        <f t="shared" si="26"/>
        <v>0</v>
      </c>
      <c r="L41" s="574">
        <f t="shared" si="26"/>
        <v>0</v>
      </c>
      <c r="M41" s="574">
        <f t="shared" si="26"/>
        <v>0</v>
      </c>
      <c r="N41" s="574">
        <f t="shared" si="26"/>
        <v>0</v>
      </c>
      <c r="O41" s="574">
        <f t="shared" si="26"/>
        <v>0</v>
      </c>
      <c r="P41" s="574">
        <f t="shared" si="26"/>
        <v>0</v>
      </c>
      <c r="Q41" s="574">
        <f t="shared" si="26"/>
        <v>0</v>
      </c>
      <c r="R41" s="574">
        <f t="shared" si="26"/>
        <v>0</v>
      </c>
      <c r="S41" s="577">
        <f t="shared" si="26"/>
        <v>0</v>
      </c>
      <c r="T41" s="574">
        <f t="shared" si="26"/>
        <v>0</v>
      </c>
      <c r="U41" s="578">
        <f t="shared" si="26"/>
        <v>0</v>
      </c>
      <c r="V41" s="577">
        <f t="shared" si="26"/>
        <v>0</v>
      </c>
      <c r="W41" s="1195"/>
      <c r="AC41" s="266"/>
      <c r="AD41" s="266"/>
      <c r="AE41" s="266"/>
      <c r="AF41" s="266"/>
      <c r="AG41" s="266"/>
      <c r="AH41" s="266"/>
      <c r="AI41" s="266"/>
      <c r="AJ41" s="266"/>
      <c r="AK41" s="266"/>
      <c r="AL41" s="266"/>
      <c r="AM41" s="266"/>
      <c r="AN41" s="266"/>
      <c r="AO41" s="266"/>
      <c r="AP41" s="266"/>
      <c r="AQ41" s="266"/>
    </row>
    <row r="42" spans="1:43" s="558" customFormat="1" ht="12.75" thickBot="1">
      <c r="A42" s="520" t="s">
        <v>21</v>
      </c>
      <c r="B42" s="530" t="s">
        <v>420</v>
      </c>
      <c r="C42" s="583">
        <f>+C37+C39+C41</f>
        <v>0</v>
      </c>
      <c r="D42" s="584">
        <f t="shared" ref="D42:V42" si="27">+D37+D39+D41</f>
        <v>0</v>
      </c>
      <c r="E42" s="584">
        <f t="shared" si="27"/>
        <v>20813</v>
      </c>
      <c r="F42" s="584">
        <f t="shared" si="27"/>
        <v>0</v>
      </c>
      <c r="G42" s="584">
        <f t="shared" si="27"/>
        <v>0</v>
      </c>
      <c r="H42" s="584">
        <f t="shared" si="27"/>
        <v>0</v>
      </c>
      <c r="I42" s="585">
        <f t="shared" si="27"/>
        <v>0</v>
      </c>
      <c r="J42" s="586">
        <f t="shared" si="27"/>
        <v>20813</v>
      </c>
      <c r="K42" s="583">
        <f t="shared" si="27"/>
        <v>220782</v>
      </c>
      <c r="L42" s="583">
        <f t="shared" si="27"/>
        <v>47493</v>
      </c>
      <c r="M42" s="583">
        <f t="shared" si="27"/>
        <v>118559</v>
      </c>
      <c r="N42" s="583">
        <f t="shared" si="27"/>
        <v>0</v>
      </c>
      <c r="O42" s="583">
        <f t="shared" si="27"/>
        <v>0</v>
      </c>
      <c r="P42" s="583">
        <f t="shared" si="27"/>
        <v>1000</v>
      </c>
      <c r="Q42" s="583">
        <f t="shared" si="27"/>
        <v>0</v>
      </c>
      <c r="R42" s="583">
        <f t="shared" si="27"/>
        <v>0</v>
      </c>
      <c r="S42" s="586">
        <f t="shared" si="27"/>
        <v>387834</v>
      </c>
      <c r="T42" s="583">
        <f t="shared" si="27"/>
        <v>367021</v>
      </c>
      <c r="U42" s="585">
        <f t="shared" si="27"/>
        <v>314744</v>
      </c>
      <c r="V42" s="586">
        <f t="shared" si="27"/>
        <v>52277</v>
      </c>
      <c r="W42" s="1195"/>
      <c r="AC42" s="266"/>
      <c r="AD42" s="266"/>
      <c r="AE42" s="266"/>
      <c r="AF42" s="266"/>
      <c r="AG42" s="266"/>
      <c r="AH42" s="266"/>
      <c r="AI42" s="266"/>
      <c r="AJ42" s="266"/>
      <c r="AK42" s="266"/>
      <c r="AL42" s="266"/>
      <c r="AM42" s="266"/>
      <c r="AN42" s="266"/>
      <c r="AO42" s="266"/>
      <c r="AP42" s="266"/>
      <c r="AQ42" s="266"/>
    </row>
    <row r="43" spans="1:43" s="198" customFormat="1" ht="12.75" thickBot="1">
      <c r="A43" s="356"/>
      <c r="B43" s="517"/>
      <c r="C43" s="594"/>
      <c r="D43" s="595"/>
      <c r="E43" s="595"/>
      <c r="F43" s="595"/>
      <c r="G43" s="595"/>
      <c r="H43" s="595"/>
      <c r="I43" s="596"/>
      <c r="J43" s="597"/>
      <c r="K43" s="594"/>
      <c r="L43" s="594"/>
      <c r="M43" s="594"/>
      <c r="N43" s="594"/>
      <c r="O43" s="594"/>
      <c r="P43" s="594"/>
      <c r="Q43" s="594"/>
      <c r="R43" s="594"/>
      <c r="S43" s="597"/>
      <c r="T43" s="594"/>
      <c r="U43" s="596"/>
      <c r="V43" s="597"/>
      <c r="W43" s="1195"/>
      <c r="AC43" s="199"/>
      <c r="AD43" s="199"/>
      <c r="AE43" s="199"/>
      <c r="AF43" s="199"/>
      <c r="AG43" s="199"/>
      <c r="AH43" s="199"/>
      <c r="AI43" s="199"/>
      <c r="AJ43" s="199"/>
      <c r="AK43" s="199"/>
      <c r="AL43" s="199"/>
      <c r="AM43" s="199"/>
      <c r="AN43" s="199"/>
      <c r="AO43" s="199"/>
      <c r="AP43" s="199"/>
      <c r="AQ43" s="199"/>
    </row>
    <row r="44" spans="1:43">
      <c r="A44" s="850">
        <f>+A40+1</f>
        <v>24</v>
      </c>
      <c r="B44" s="755" t="s">
        <v>1190</v>
      </c>
      <c r="C44" s="899">
        <f>+SUMIF('13.mell_ÖNKfeladatok2018'!$B$5:$B$160,'14.mell_Önk kiegészítés2018'!$A44,'13.mell_ÖNKfeladatok2018'!O$5:O$160)</f>
        <v>0</v>
      </c>
      <c r="D44" s="899">
        <f>+SUMIF('13.mell_ÖNKfeladatok2018'!$B$5:$B$160,'14.mell_Önk kiegészítés2018'!$A44,'13.mell_ÖNKfeladatok2018'!S$5:S$160)</f>
        <v>0</v>
      </c>
      <c r="E44" s="899">
        <f>+SUMIF('13.mell_ÖNKfeladatok2018'!$B$5:$B$160,'14.mell_Önk kiegészítés2018'!$A44,'13.mell_ÖNKfeladatok2018'!W$5:W$160)</f>
        <v>0</v>
      </c>
      <c r="F44" s="899">
        <f>+SUMIF('13.mell_ÖNKfeladatok2018'!$B$5:$B$160,'14.mell_Önk kiegészítés2018'!$A44,'13.mell_ÖNKfeladatok2018'!AA$5:AA$160)</f>
        <v>0</v>
      </c>
      <c r="G44" s="899">
        <f>+SUMIF('13.mell_ÖNKfeladatok2018'!$B$5:$B$160,'14.mell_Önk kiegészítés2018'!$A44,'13.mell_ÖNKfeladatok2018'!AI$5:AI$160)</f>
        <v>0</v>
      </c>
      <c r="H44" s="899">
        <f>+SUMIF('13.mell_ÖNKfeladatok2018'!$B$5:$B$160,'14.mell_Önk kiegészítés2018'!$A44,'13.mell_ÖNKfeladatok2018'!AM$5:AM$160)</f>
        <v>0</v>
      </c>
      <c r="I44" s="899">
        <f>+SUMIF('13.mell_ÖNKfeladatok2018'!$B$5:$B$160,'14.mell_Önk kiegészítés2018'!$A44,'13.mell_ÖNKfeladatok2018'!AQ$5:AQ$160)</f>
        <v>0</v>
      </c>
      <c r="J44" s="756">
        <f t="shared" ref="J44:J46" si="28">SUM(C44:I44)</f>
        <v>0</v>
      </c>
      <c r="K44" s="899">
        <f>+SUMIF('13.mell_ÖNKfeladatok2018'!$B$168:$B$323,'14.mell_Önk kiegészítés2018'!$A44,'13.mell_ÖNKfeladatok2018'!O$168:O$323)</f>
        <v>0</v>
      </c>
      <c r="L44" s="899">
        <f>+SUMIF('13.mell_ÖNKfeladatok2018'!$B$168:$B$323,'14.mell_Önk kiegészítés2018'!$A44,'13.mell_ÖNKfeladatok2018'!S$168:S$323)</f>
        <v>0</v>
      </c>
      <c r="M44" s="899">
        <f>+SUMIF('13.mell_ÖNKfeladatok2018'!$B$168:$B$323,'14.mell_Önk kiegészítés2018'!$A44,'13.mell_ÖNKfeladatok2018'!W$168:W$323)</f>
        <v>1365</v>
      </c>
      <c r="N44" s="899">
        <f>+SUMIF('13.mell_ÖNKfeladatok2018'!$B$168:$B$323,'14.mell_Önk kiegészítés2018'!$A44,'13.mell_ÖNKfeladatok2018'!AA$168:AA$323)</f>
        <v>0</v>
      </c>
      <c r="O44" s="899">
        <f>+SUMIF('13.mell_ÖNKfeladatok2018'!$B$168:$B$323,'14.mell_Önk kiegészítés2018'!$A44,'13.mell_ÖNKfeladatok2018'!AE$168:AE$323)</f>
        <v>0</v>
      </c>
      <c r="P44" s="899">
        <f>+SUMIF('13.mell_ÖNKfeladatok2018'!$B$168:$B$323,'14.mell_Önk kiegészítés2018'!$A44,'13.mell_ÖNKfeladatok2018'!AM$168:AM$323)</f>
        <v>0</v>
      </c>
      <c r="Q44" s="899">
        <f>+SUMIF('13.mell_ÖNKfeladatok2018'!$B$168:$B$323,'14.mell_Önk kiegészítés2018'!$A44,'13.mell_ÖNKfeladatok2018'!AQ$168:AQ$323)</f>
        <v>0</v>
      </c>
      <c r="R44" s="899">
        <f>+SUMIF('13.mell_ÖNKfeladatok2018'!$B$168:$B$323,'14.mell_Önk kiegészítés2018'!$A44,'13.mell_ÖNKfeladatok2018'!AU$168:AU$323)</f>
        <v>0</v>
      </c>
      <c r="S44" s="756">
        <f>SUM(K44:R44)</f>
        <v>1365</v>
      </c>
      <c r="T44" s="757">
        <f>S44-J44</f>
        <v>1365</v>
      </c>
      <c r="U44" s="1029">
        <f>+ROUND(SUMIF('10.mell_támogatások2018'!$B$6:$B$123,'14.mell_Önk kiegészítés2018'!$A44,'10.mell_támogatások2018'!D$6:D$123)/1000,0)+1313</f>
        <v>1313</v>
      </c>
      <c r="V44" s="758">
        <f>+T44-U44</f>
        <v>52</v>
      </c>
      <c r="W44" s="1195"/>
      <c r="AI44" s="266">
        <v>1313</v>
      </c>
    </row>
    <row r="45" spans="1:43">
      <c r="A45" s="851">
        <f>+A44+1</f>
        <v>25</v>
      </c>
      <c r="B45" s="566" t="s">
        <v>1263</v>
      </c>
      <c r="C45" s="567">
        <f>+SUMIF('13.mell_ÖNKfeladatok2018'!$B$5:$B$160,'14.mell_Önk kiegészítés2018'!$A45,'13.mell_ÖNKfeladatok2018'!O$5:O$160)</f>
        <v>0</v>
      </c>
      <c r="D45" s="567">
        <f>+SUMIF('13.mell_ÖNKfeladatok2018'!$B$5:$B$160,'14.mell_Önk kiegészítés2018'!$A45,'13.mell_ÖNKfeladatok2018'!S$5:S$160)</f>
        <v>0</v>
      </c>
      <c r="E45" s="567">
        <f>+SUMIF('13.mell_ÖNKfeladatok2018'!$B$5:$B$160,'14.mell_Önk kiegészítés2018'!$A45,'13.mell_ÖNKfeladatok2018'!W$5:W$160)</f>
        <v>1350</v>
      </c>
      <c r="F45" s="567">
        <f>+SUMIF('13.mell_ÖNKfeladatok2018'!$B$5:$B$160,'14.mell_Önk kiegészítés2018'!$A45,'13.mell_ÖNKfeladatok2018'!AA$5:AA$160)</f>
        <v>0</v>
      </c>
      <c r="G45" s="567">
        <f>+SUMIF('13.mell_ÖNKfeladatok2018'!$B$5:$B$160,'14.mell_Önk kiegészítés2018'!$A45,'13.mell_ÖNKfeladatok2018'!AI$5:AI$160)</f>
        <v>0</v>
      </c>
      <c r="H45" s="567">
        <f>+SUMIF('13.mell_ÖNKfeladatok2018'!$B$5:$B$160,'14.mell_Önk kiegészítés2018'!$A45,'13.mell_ÖNKfeladatok2018'!AM$5:AM$160)</f>
        <v>0</v>
      </c>
      <c r="I45" s="567">
        <f>+SUMIF('13.mell_ÖNKfeladatok2018'!$B$5:$B$160,'14.mell_Önk kiegészítés2018'!$A45,'13.mell_ÖNKfeladatok2018'!AQ$5:AQ$160)</f>
        <v>0</v>
      </c>
      <c r="J45" s="607">
        <f t="shared" si="28"/>
        <v>1350</v>
      </c>
      <c r="K45" s="567">
        <f>+SUMIF('13.mell_ÖNKfeladatok2018'!$B$168:$B$323,'14.mell_Önk kiegészítés2018'!$A45,'13.mell_ÖNKfeladatok2018'!O$168:O$323)</f>
        <v>14098</v>
      </c>
      <c r="L45" s="567">
        <f>+SUMIF('13.mell_ÖNKfeladatok2018'!$B$168:$B$323,'14.mell_Önk kiegészítés2018'!$A45,'13.mell_ÖNKfeladatok2018'!S$168:S$323)</f>
        <v>2700</v>
      </c>
      <c r="M45" s="567">
        <f>+SUMIF('13.mell_ÖNKfeladatok2018'!$B$168:$B$323,'14.mell_Önk kiegészítés2018'!$A45,'13.mell_ÖNKfeladatok2018'!W$168:W$323)</f>
        <v>6376</v>
      </c>
      <c r="N45" s="567">
        <f>+SUMIF('13.mell_ÖNKfeladatok2018'!$B$168:$B$323,'14.mell_Önk kiegészítés2018'!$A45,'13.mell_ÖNKfeladatok2018'!AA$168:AA$323)</f>
        <v>0</v>
      </c>
      <c r="O45" s="567">
        <f>+SUMIF('13.mell_ÖNKfeladatok2018'!$B$168:$B$323,'14.mell_Önk kiegészítés2018'!$A45,'13.mell_ÖNKfeladatok2018'!AE$168:AE$323)</f>
        <v>0</v>
      </c>
      <c r="P45" s="567">
        <f>+SUMIF('13.mell_ÖNKfeladatok2018'!$B$168:$B$323,'14.mell_Önk kiegészítés2018'!$A45,'13.mell_ÖNKfeladatok2018'!AM$168:AM$323)</f>
        <v>6181</v>
      </c>
      <c r="Q45" s="567">
        <f>+SUMIF('13.mell_ÖNKfeladatok2018'!$B$168:$B$323,'14.mell_Önk kiegészítés2018'!$A45,'13.mell_ÖNKfeladatok2018'!AQ$168:AQ$323)</f>
        <v>2351</v>
      </c>
      <c r="R45" s="567">
        <f>+SUMIF('13.mell_ÖNKfeladatok2018'!$B$168:$B$323,'14.mell_Önk kiegészítés2018'!$A45,'13.mell_ÖNKfeladatok2018'!AU$168:AU$323)</f>
        <v>0</v>
      </c>
      <c r="S45" s="607">
        <f>SUM(K45:R45)</f>
        <v>31706</v>
      </c>
      <c r="T45" s="568">
        <f>S45-J45</f>
        <v>30356</v>
      </c>
      <c r="U45" s="1028">
        <f>+ROUND(SUMIF('10.mell_támogatások2018'!$B$6:$B$123,'14.mell_Önk kiegészítés2018'!$A45,'10.mell_támogatások2018'!D$6:D$123)/1000,0)+3322+2351-1313-403</f>
        <v>17083</v>
      </c>
      <c r="V45" s="569">
        <f>+T45-U45</f>
        <v>13273</v>
      </c>
      <c r="W45" s="1195"/>
      <c r="AD45" s="266">
        <v>3322</v>
      </c>
      <c r="AE45" s="266">
        <v>2351</v>
      </c>
      <c r="AI45" s="266">
        <v>-1313</v>
      </c>
      <c r="AK45" s="266">
        <f>-(200+69+100+34)</f>
        <v>-403</v>
      </c>
    </row>
    <row r="46" spans="1:43" ht="12.75" thickBot="1">
      <c r="A46" s="903">
        <f>+A45+1</f>
        <v>26</v>
      </c>
      <c r="B46" s="579" t="s">
        <v>1199</v>
      </c>
      <c r="C46" s="580">
        <f>+SUMIF('13.mell_ÖNKfeladatok2018'!$B$5:$B$160,'14.mell_Önk kiegészítés2018'!$A46,'13.mell_ÖNKfeladatok2018'!O$5:O$160)</f>
        <v>0</v>
      </c>
      <c r="D46" s="580">
        <f>+SUMIF('13.mell_ÖNKfeladatok2018'!$B$5:$B$160,'14.mell_Önk kiegészítés2018'!$A46,'13.mell_ÖNKfeladatok2018'!S$5:S$160)</f>
        <v>0</v>
      </c>
      <c r="E46" s="580">
        <f>+SUMIF('13.mell_ÖNKfeladatok2018'!$B$5:$B$160,'14.mell_Önk kiegészítés2018'!$A46,'13.mell_ÖNKfeladatok2018'!W$5:W$160)</f>
        <v>100</v>
      </c>
      <c r="F46" s="580">
        <f>+SUMIF('13.mell_ÖNKfeladatok2018'!$B$5:$B$160,'14.mell_Önk kiegészítés2018'!$A46,'13.mell_ÖNKfeladatok2018'!AA$5:AA$160)</f>
        <v>0</v>
      </c>
      <c r="G46" s="580">
        <f>+SUMIF('13.mell_ÖNKfeladatok2018'!$B$5:$B$160,'14.mell_Önk kiegészítés2018'!$A46,'13.mell_ÖNKfeladatok2018'!AI$5:AI$160)</f>
        <v>0</v>
      </c>
      <c r="H46" s="580">
        <f>+SUMIF('13.mell_ÖNKfeladatok2018'!$B$5:$B$160,'14.mell_Önk kiegészítés2018'!$A46,'13.mell_ÖNKfeladatok2018'!AM$5:AM$160)</f>
        <v>0</v>
      </c>
      <c r="I46" s="580">
        <f>+SUMIF('13.mell_ÖNKfeladatok2018'!$B$5:$B$160,'14.mell_Önk kiegészítés2018'!$A46,'13.mell_ÖNKfeladatok2018'!AQ$5:AQ$160)</f>
        <v>0</v>
      </c>
      <c r="J46" s="609">
        <f t="shared" si="28"/>
        <v>100</v>
      </c>
      <c r="K46" s="580">
        <f>+SUMIF('13.mell_ÖNKfeladatok2018'!$B$168:$B$323,'14.mell_Önk kiegészítés2018'!$A46,'13.mell_ÖNKfeladatok2018'!O$168:O$323)</f>
        <v>3065</v>
      </c>
      <c r="L46" s="580">
        <f>+SUMIF('13.mell_ÖNKfeladatok2018'!$B$168:$B$323,'14.mell_Önk kiegészítés2018'!$A46,'13.mell_ÖNKfeladatok2018'!S$168:S$323)</f>
        <v>604</v>
      </c>
      <c r="M46" s="580">
        <f>+SUMIF('13.mell_ÖNKfeladatok2018'!$B$168:$B$323,'14.mell_Önk kiegészítés2018'!$A46,'13.mell_ÖNKfeladatok2018'!W$168:W$323)</f>
        <v>2901</v>
      </c>
      <c r="N46" s="580">
        <f>+SUMIF('13.mell_ÖNKfeladatok2018'!$B$168:$B$323,'14.mell_Önk kiegészítés2018'!$A46,'13.mell_ÖNKfeladatok2018'!AA$168:AA$323)</f>
        <v>0</v>
      </c>
      <c r="O46" s="580">
        <f>+SUMIF('13.mell_ÖNKfeladatok2018'!$B$168:$B$323,'14.mell_Önk kiegészítés2018'!$A46,'13.mell_ÖNKfeladatok2018'!AE$168:AE$323)</f>
        <v>0</v>
      </c>
      <c r="P46" s="580">
        <f>+SUMIF('13.mell_ÖNKfeladatok2018'!$B$168:$B$323,'14.mell_Önk kiegészítés2018'!$A46,'13.mell_ÖNKfeladatok2018'!AM$168:AM$323)</f>
        <v>0</v>
      </c>
      <c r="Q46" s="580">
        <f>+SUMIF('13.mell_ÖNKfeladatok2018'!$B$168:$B$323,'14.mell_Önk kiegészítés2018'!$A46,'13.mell_ÖNKfeladatok2018'!AQ$168:AQ$323)</f>
        <v>0</v>
      </c>
      <c r="R46" s="580">
        <f>+SUMIF('13.mell_ÖNKfeladatok2018'!$B$168:$B$323,'14.mell_Önk kiegészítés2018'!$A46,'13.mell_ÖNKfeladatok2018'!AU$168:AU$323)</f>
        <v>0</v>
      </c>
      <c r="S46" s="609">
        <f>SUM(K46:R46)</f>
        <v>6570</v>
      </c>
      <c r="T46" s="904">
        <f>S46-J46</f>
        <v>6470</v>
      </c>
      <c r="U46" s="1031">
        <f>+ROUND(SUMIF('10.mell_támogatások2018'!$B$6:$B$123,'14.mell_Önk kiegészítés2018'!$A46,'10.mell_támogatások2018'!D$6:D$123)/1000,0)-67</f>
        <v>6612</v>
      </c>
      <c r="V46" s="905">
        <f>+T46-U46</f>
        <v>-142</v>
      </c>
      <c r="W46" s="1195"/>
      <c r="AK46" s="266">
        <f>-(50+17)</f>
        <v>-67</v>
      </c>
    </row>
    <row r="47" spans="1:43" s="558" customFormat="1" ht="12.75" thickBot="1">
      <c r="A47" s="356" t="s">
        <v>805</v>
      </c>
      <c r="B47" s="517" t="s">
        <v>421</v>
      </c>
      <c r="C47" s="574">
        <f>SUM(C44:C46)</f>
        <v>0</v>
      </c>
      <c r="D47" s="574">
        <f t="shared" ref="D47:V47" si="29">SUM(D44:D46)</f>
        <v>0</v>
      </c>
      <c r="E47" s="574">
        <f t="shared" si="29"/>
        <v>1450</v>
      </c>
      <c r="F47" s="574">
        <f t="shared" si="29"/>
        <v>0</v>
      </c>
      <c r="G47" s="574">
        <f t="shared" si="29"/>
        <v>0</v>
      </c>
      <c r="H47" s="574">
        <f t="shared" si="29"/>
        <v>0</v>
      </c>
      <c r="I47" s="574">
        <f t="shared" si="29"/>
        <v>0</v>
      </c>
      <c r="J47" s="577">
        <f t="shared" si="29"/>
        <v>1450</v>
      </c>
      <c r="K47" s="574">
        <f t="shared" si="29"/>
        <v>17163</v>
      </c>
      <c r="L47" s="574">
        <f t="shared" si="29"/>
        <v>3304</v>
      </c>
      <c r="M47" s="574">
        <f t="shared" si="29"/>
        <v>10642</v>
      </c>
      <c r="N47" s="574">
        <f t="shared" si="29"/>
        <v>0</v>
      </c>
      <c r="O47" s="574">
        <f t="shared" si="29"/>
        <v>0</v>
      </c>
      <c r="P47" s="574">
        <f t="shared" si="29"/>
        <v>6181</v>
      </c>
      <c r="Q47" s="574">
        <f t="shared" si="29"/>
        <v>2351</v>
      </c>
      <c r="R47" s="574">
        <f t="shared" si="29"/>
        <v>0</v>
      </c>
      <c r="S47" s="577">
        <f t="shared" si="29"/>
        <v>39641</v>
      </c>
      <c r="T47" s="574">
        <f t="shared" si="29"/>
        <v>38191</v>
      </c>
      <c r="U47" s="578">
        <f t="shared" si="29"/>
        <v>25008</v>
      </c>
      <c r="V47" s="577">
        <f t="shared" si="29"/>
        <v>13183</v>
      </c>
      <c r="W47" s="1195"/>
      <c r="AC47" s="266"/>
      <c r="AD47" s="266"/>
      <c r="AE47" s="266"/>
      <c r="AF47" s="266"/>
      <c r="AG47" s="266"/>
      <c r="AH47" s="266"/>
      <c r="AI47" s="266"/>
      <c r="AJ47" s="266"/>
      <c r="AK47" s="266"/>
      <c r="AL47" s="266"/>
      <c r="AM47" s="266"/>
      <c r="AN47" s="266"/>
      <c r="AO47" s="266"/>
      <c r="AP47" s="266"/>
      <c r="AQ47" s="266"/>
    </row>
    <row r="48" spans="1:43" ht="12.75" thickBot="1">
      <c r="A48" s="908">
        <f>+A46+1</f>
        <v>27</v>
      </c>
      <c r="B48" s="909" t="s">
        <v>807</v>
      </c>
      <c r="C48" s="910">
        <f>+SUMIF('13.mell_ÖNKfeladatok2018'!$B$5:$B$160,'14.mell_Önk kiegészítés2018'!$A48,'13.mell_ÖNKfeladatok2018'!O$5:O$160)</f>
        <v>0</v>
      </c>
      <c r="D48" s="910">
        <f>+SUMIF('13.mell_ÖNKfeladatok2018'!$B$5:$B$160,'14.mell_Önk kiegészítés2018'!$A48,'13.mell_ÖNKfeladatok2018'!S$5:S$160)</f>
        <v>0</v>
      </c>
      <c r="E48" s="910">
        <f>+SUMIF('13.mell_ÖNKfeladatok2018'!$B$5:$B$160,'14.mell_Önk kiegészítés2018'!$A48,'13.mell_ÖNKfeladatok2018'!W$5:W$160)</f>
        <v>0</v>
      </c>
      <c r="F48" s="910">
        <f>+SUMIF('13.mell_ÖNKfeladatok2018'!$B$5:$B$160,'14.mell_Önk kiegészítés2018'!$A48,'13.mell_ÖNKfeladatok2018'!AA$5:AA$160)</f>
        <v>0</v>
      </c>
      <c r="G48" s="910">
        <f>+SUMIF('13.mell_ÖNKfeladatok2018'!$B$5:$B$160,'14.mell_Önk kiegészítés2018'!$A48,'13.mell_ÖNKfeladatok2018'!AI$5:AI$160)</f>
        <v>0</v>
      </c>
      <c r="H48" s="910">
        <f>+SUMIF('13.mell_ÖNKfeladatok2018'!$B$5:$B$160,'14.mell_Önk kiegészítés2018'!$A48,'13.mell_ÖNKfeladatok2018'!AM$5:AM$160)</f>
        <v>0</v>
      </c>
      <c r="I48" s="910">
        <f>+SUMIF('13.mell_ÖNKfeladatok2018'!$B$5:$B$160,'14.mell_Önk kiegészítés2018'!$A48,'13.mell_ÖNKfeladatok2018'!AQ$5:AQ$160)</f>
        <v>0</v>
      </c>
      <c r="J48" s="911">
        <f>SUM(C48:I48)</f>
        <v>0</v>
      </c>
      <c r="K48" s="910">
        <f>+SUMIF('13.mell_ÖNKfeladatok2018'!$B$168:$B$323,'14.mell_Önk kiegészítés2018'!$A48,'13.mell_ÖNKfeladatok2018'!O$168:O$323)</f>
        <v>0</v>
      </c>
      <c r="L48" s="910">
        <f>+SUMIF('13.mell_ÖNKfeladatok2018'!$B$168:$B$323,'14.mell_Önk kiegészítés2018'!$A48,'13.mell_ÖNKfeladatok2018'!S$168:S$323)</f>
        <v>0</v>
      </c>
      <c r="M48" s="910">
        <f>+SUMIF('13.mell_ÖNKfeladatok2018'!$B$168:$B$323,'14.mell_Önk kiegészítés2018'!$A48,'13.mell_ÖNKfeladatok2018'!W$168:W$323)</f>
        <v>0</v>
      </c>
      <c r="N48" s="910">
        <f>+SUMIF('13.mell_ÖNKfeladatok2018'!$B$168:$B$323,'14.mell_Önk kiegészítés2018'!$A48,'13.mell_ÖNKfeladatok2018'!AA$168:AA$323)</f>
        <v>0</v>
      </c>
      <c r="O48" s="910">
        <f>+SUMIF('13.mell_ÖNKfeladatok2018'!$B$168:$B$323,'14.mell_Önk kiegészítés2018'!$A48,'13.mell_ÖNKfeladatok2018'!AE$168:AE$323)</f>
        <v>0</v>
      </c>
      <c r="P48" s="910">
        <f>+SUMIF('13.mell_ÖNKfeladatok2018'!$B$168:$B$323,'14.mell_Önk kiegészítés2018'!$A48,'13.mell_ÖNKfeladatok2018'!AM$168:AM$323)</f>
        <v>0</v>
      </c>
      <c r="Q48" s="910">
        <f>+SUMIF('13.mell_ÖNKfeladatok2018'!$B$168:$B$323,'14.mell_Önk kiegészítés2018'!$A48,'13.mell_ÖNKfeladatok2018'!AQ$168:AQ$323)</f>
        <v>0</v>
      </c>
      <c r="R48" s="910">
        <f>+SUMIF('13.mell_ÖNKfeladatok2018'!$B$168:$B$323,'14.mell_Önk kiegészítés2018'!$A48,'13.mell_ÖNKfeladatok2018'!AU$168:AU$323)</f>
        <v>0</v>
      </c>
      <c r="S48" s="911">
        <f>SUM(K48:R48)</f>
        <v>0</v>
      </c>
      <c r="T48" s="574">
        <f>S48-J48</f>
        <v>0</v>
      </c>
      <c r="U48" s="1032">
        <f>+ROUND(SUMIF('10.mell_támogatások2018'!$B$6:$B$123,'14.mell_Önk kiegészítés2018'!$A48,'10.mell_támogatások2018'!D$6:D$123)/1000,0)</f>
        <v>0</v>
      </c>
      <c r="V48" s="577">
        <f>+T48-U48</f>
        <v>0</v>
      </c>
      <c r="W48" s="1195"/>
    </row>
    <row r="49" spans="1:43" s="558" customFormat="1" ht="12.75" thickBot="1">
      <c r="A49" s="1044" t="s">
        <v>641</v>
      </c>
      <c r="B49" s="528" t="s">
        <v>807</v>
      </c>
      <c r="C49" s="906">
        <f>SUM(C48)</f>
        <v>0</v>
      </c>
      <c r="D49" s="906">
        <f t="shared" ref="D49:V49" si="30">SUM(D48)</f>
        <v>0</v>
      </c>
      <c r="E49" s="906">
        <f t="shared" si="30"/>
        <v>0</v>
      </c>
      <c r="F49" s="906">
        <f t="shared" si="30"/>
        <v>0</v>
      </c>
      <c r="G49" s="906">
        <f t="shared" si="30"/>
        <v>0</v>
      </c>
      <c r="H49" s="906">
        <f t="shared" si="30"/>
        <v>0</v>
      </c>
      <c r="I49" s="906">
        <f t="shared" si="30"/>
        <v>0</v>
      </c>
      <c r="J49" s="907">
        <f t="shared" si="30"/>
        <v>0</v>
      </c>
      <c r="K49" s="906">
        <f t="shared" si="30"/>
        <v>0</v>
      </c>
      <c r="L49" s="906">
        <f t="shared" si="30"/>
        <v>0</v>
      </c>
      <c r="M49" s="906">
        <f t="shared" si="30"/>
        <v>0</v>
      </c>
      <c r="N49" s="906">
        <f t="shared" si="30"/>
        <v>0</v>
      </c>
      <c r="O49" s="906">
        <f t="shared" si="30"/>
        <v>0</v>
      </c>
      <c r="P49" s="906">
        <f t="shared" si="30"/>
        <v>0</v>
      </c>
      <c r="Q49" s="906">
        <f t="shared" si="30"/>
        <v>0</v>
      </c>
      <c r="R49" s="906">
        <f t="shared" si="30"/>
        <v>0</v>
      </c>
      <c r="S49" s="907">
        <f t="shared" si="30"/>
        <v>0</v>
      </c>
      <c r="T49" s="906">
        <f t="shared" si="30"/>
        <v>0</v>
      </c>
      <c r="U49" s="1033">
        <f t="shared" si="30"/>
        <v>0</v>
      </c>
      <c r="V49" s="907">
        <f t="shared" si="30"/>
        <v>0</v>
      </c>
      <c r="W49" s="1195"/>
      <c r="AC49" s="266"/>
      <c r="AD49" s="266"/>
      <c r="AE49" s="266"/>
      <c r="AF49" s="266"/>
      <c r="AG49" s="266"/>
      <c r="AH49" s="266"/>
      <c r="AI49" s="266"/>
      <c r="AJ49" s="266"/>
      <c r="AK49" s="266"/>
      <c r="AL49" s="266"/>
      <c r="AM49" s="266"/>
      <c r="AN49" s="266"/>
      <c r="AO49" s="266"/>
      <c r="AP49" s="266"/>
      <c r="AQ49" s="266"/>
    </row>
    <row r="50" spans="1:43" ht="12.75" thickBot="1">
      <c r="A50" s="908">
        <f>+A48+1</f>
        <v>28</v>
      </c>
      <c r="B50" s="909" t="s">
        <v>822</v>
      </c>
      <c r="C50" s="910">
        <f>+SUMIF('13.mell_ÖNKfeladatok2018'!$B$5:$B$160,'14.mell_Önk kiegészítés2018'!$A50,'13.mell_ÖNKfeladatok2018'!O$5:O$160)</f>
        <v>0</v>
      </c>
      <c r="D50" s="910">
        <f>+SUMIF('13.mell_ÖNKfeladatok2018'!$B$5:$B$160,'14.mell_Önk kiegészítés2018'!$A50,'13.mell_ÖNKfeladatok2018'!S$5:S$160)</f>
        <v>0</v>
      </c>
      <c r="E50" s="910">
        <f>+SUMIF('13.mell_ÖNKfeladatok2018'!$B$5:$B$160,'14.mell_Önk kiegészítés2018'!$A50,'13.mell_ÖNKfeladatok2018'!W$5:W$160)</f>
        <v>0</v>
      </c>
      <c r="F50" s="910">
        <f>+SUMIF('13.mell_ÖNKfeladatok2018'!$B$5:$B$160,'14.mell_Önk kiegészítés2018'!$A50,'13.mell_ÖNKfeladatok2018'!AA$5:AA$160)</f>
        <v>0</v>
      </c>
      <c r="G50" s="910">
        <f>+SUMIF('13.mell_ÖNKfeladatok2018'!$B$5:$B$160,'14.mell_Önk kiegészítés2018'!$A50,'13.mell_ÖNKfeladatok2018'!AI$5:AI$160)</f>
        <v>0</v>
      </c>
      <c r="H50" s="910">
        <f>+SUMIF('13.mell_ÖNKfeladatok2018'!$B$5:$B$160,'14.mell_Önk kiegészítés2018'!$A50,'13.mell_ÖNKfeladatok2018'!AM$5:AM$160)</f>
        <v>0</v>
      </c>
      <c r="I50" s="910">
        <f>+SUMIF('13.mell_ÖNKfeladatok2018'!$B$5:$B$160,'14.mell_Önk kiegészítés2018'!$A50,'13.mell_ÖNKfeladatok2018'!AQ$5:AQ$160)</f>
        <v>0</v>
      </c>
      <c r="J50" s="911">
        <f>SUM(C50:I50)</f>
        <v>0</v>
      </c>
      <c r="K50" s="910">
        <f>+SUMIF('13.mell_ÖNKfeladatok2018'!$B$168:$B$323,'14.mell_Önk kiegészítés2018'!$A50,'13.mell_ÖNKfeladatok2018'!O$168:O$323)</f>
        <v>0</v>
      </c>
      <c r="L50" s="910">
        <f>+SUMIF('13.mell_ÖNKfeladatok2018'!$B$168:$B$323,'14.mell_Önk kiegészítés2018'!$A50,'13.mell_ÖNKfeladatok2018'!S$168:S$323)</f>
        <v>0</v>
      </c>
      <c r="M50" s="910">
        <f>+SUMIF('13.mell_ÖNKfeladatok2018'!$B$168:$B$323,'14.mell_Önk kiegészítés2018'!$A50,'13.mell_ÖNKfeladatok2018'!W$168:W$323)</f>
        <v>0</v>
      </c>
      <c r="N50" s="910">
        <f>+SUMIF('13.mell_ÖNKfeladatok2018'!$B$168:$B$323,'14.mell_Önk kiegészítés2018'!$A50,'13.mell_ÖNKfeladatok2018'!AA$168:AA$323)</f>
        <v>0</v>
      </c>
      <c r="O50" s="910">
        <f>+SUMIF('13.mell_ÖNKfeladatok2018'!$B$168:$B$323,'14.mell_Önk kiegészítés2018'!$A50,'13.mell_ÖNKfeladatok2018'!AE$168:AE$323)</f>
        <v>0</v>
      </c>
      <c r="P50" s="910">
        <f>+SUMIF('13.mell_ÖNKfeladatok2018'!$B$168:$B$323,'14.mell_Önk kiegészítés2018'!$A50,'13.mell_ÖNKfeladatok2018'!AM$168:AM$323)</f>
        <v>0</v>
      </c>
      <c r="Q50" s="910">
        <f>+SUMIF('13.mell_ÖNKfeladatok2018'!$B$168:$B$323,'14.mell_Önk kiegészítés2018'!$A50,'13.mell_ÖNKfeladatok2018'!AQ$168:AQ$323)</f>
        <v>0</v>
      </c>
      <c r="R50" s="910">
        <f>+SUMIF('13.mell_ÖNKfeladatok2018'!$B$168:$B$323,'14.mell_Önk kiegészítés2018'!$A50,'13.mell_ÖNKfeladatok2018'!AU$168:AU$323)</f>
        <v>0</v>
      </c>
      <c r="S50" s="911">
        <f>SUM(K50:R50)</f>
        <v>0</v>
      </c>
      <c r="T50" s="574">
        <f>S50-J50</f>
        <v>0</v>
      </c>
      <c r="U50" s="1032">
        <f>+ROUND(SUMIF('10.mell_támogatások2018'!$B$6:$B$123,'14.mell_Önk kiegészítés2018'!$A50,'10.mell_támogatások2018'!D$6:D$123)/1000,0)</f>
        <v>0</v>
      </c>
      <c r="V50" s="577">
        <f>+T50-U50</f>
        <v>0</v>
      </c>
      <c r="W50" s="1195"/>
    </row>
    <row r="51" spans="1:43" s="558" customFormat="1" ht="12.75" thickBot="1">
      <c r="A51" s="1044" t="s">
        <v>806</v>
      </c>
      <c r="B51" s="528" t="s">
        <v>822</v>
      </c>
      <c r="C51" s="906">
        <f>SUM(C50)</f>
        <v>0</v>
      </c>
      <c r="D51" s="906">
        <f t="shared" ref="D51:V51" si="31">SUM(D50)</f>
        <v>0</v>
      </c>
      <c r="E51" s="906">
        <f t="shared" si="31"/>
        <v>0</v>
      </c>
      <c r="F51" s="906">
        <f t="shared" si="31"/>
        <v>0</v>
      </c>
      <c r="G51" s="906">
        <f t="shared" si="31"/>
        <v>0</v>
      </c>
      <c r="H51" s="906">
        <f t="shared" si="31"/>
        <v>0</v>
      </c>
      <c r="I51" s="906">
        <f t="shared" si="31"/>
        <v>0</v>
      </c>
      <c r="J51" s="907">
        <f t="shared" si="31"/>
        <v>0</v>
      </c>
      <c r="K51" s="906">
        <f t="shared" si="31"/>
        <v>0</v>
      </c>
      <c r="L51" s="906">
        <f t="shared" si="31"/>
        <v>0</v>
      </c>
      <c r="M51" s="906">
        <f t="shared" si="31"/>
        <v>0</v>
      </c>
      <c r="N51" s="906">
        <f t="shared" si="31"/>
        <v>0</v>
      </c>
      <c r="O51" s="906">
        <f t="shared" si="31"/>
        <v>0</v>
      </c>
      <c r="P51" s="906">
        <f t="shared" si="31"/>
        <v>0</v>
      </c>
      <c r="Q51" s="906">
        <f t="shared" si="31"/>
        <v>0</v>
      </c>
      <c r="R51" s="906">
        <f t="shared" si="31"/>
        <v>0</v>
      </c>
      <c r="S51" s="907">
        <f t="shared" si="31"/>
        <v>0</v>
      </c>
      <c r="T51" s="906">
        <f t="shared" si="31"/>
        <v>0</v>
      </c>
      <c r="U51" s="1033">
        <f t="shared" si="31"/>
        <v>0</v>
      </c>
      <c r="V51" s="907">
        <f t="shared" si="31"/>
        <v>0</v>
      </c>
      <c r="W51" s="1195"/>
      <c r="AC51" s="266"/>
      <c r="AD51" s="266"/>
      <c r="AE51" s="266"/>
      <c r="AF51" s="266"/>
      <c r="AG51" s="266"/>
      <c r="AH51" s="266"/>
      <c r="AI51" s="266"/>
      <c r="AJ51" s="266"/>
      <c r="AK51" s="266"/>
      <c r="AL51" s="266"/>
      <c r="AM51" s="266"/>
      <c r="AN51" s="266"/>
      <c r="AO51" s="266"/>
      <c r="AP51" s="266"/>
      <c r="AQ51" s="266"/>
    </row>
    <row r="52" spans="1:43" s="558" customFormat="1" ht="12.75" thickBot="1">
      <c r="A52" s="520" t="s">
        <v>20</v>
      </c>
      <c r="B52" s="530" t="s">
        <v>423</v>
      </c>
      <c r="C52" s="583">
        <f>+C47+C49+C51</f>
        <v>0</v>
      </c>
      <c r="D52" s="584">
        <f t="shared" ref="D52:V52" si="32">+D47+D49+D51</f>
        <v>0</v>
      </c>
      <c r="E52" s="584">
        <f t="shared" si="32"/>
        <v>1450</v>
      </c>
      <c r="F52" s="584">
        <f t="shared" si="32"/>
        <v>0</v>
      </c>
      <c r="G52" s="584">
        <f t="shared" si="32"/>
        <v>0</v>
      </c>
      <c r="H52" s="584">
        <f t="shared" si="32"/>
        <v>0</v>
      </c>
      <c r="I52" s="585">
        <f t="shared" si="32"/>
        <v>0</v>
      </c>
      <c r="J52" s="586">
        <f t="shared" si="32"/>
        <v>1450</v>
      </c>
      <c r="K52" s="583">
        <f t="shared" si="32"/>
        <v>17163</v>
      </c>
      <c r="L52" s="583">
        <f t="shared" si="32"/>
        <v>3304</v>
      </c>
      <c r="M52" s="583">
        <f t="shared" si="32"/>
        <v>10642</v>
      </c>
      <c r="N52" s="583">
        <f t="shared" si="32"/>
        <v>0</v>
      </c>
      <c r="O52" s="583">
        <f t="shared" si="32"/>
        <v>0</v>
      </c>
      <c r="P52" s="583">
        <f t="shared" si="32"/>
        <v>6181</v>
      </c>
      <c r="Q52" s="583">
        <f t="shared" si="32"/>
        <v>2351</v>
      </c>
      <c r="R52" s="583">
        <f t="shared" si="32"/>
        <v>0</v>
      </c>
      <c r="S52" s="586">
        <f t="shared" si="32"/>
        <v>39641</v>
      </c>
      <c r="T52" s="583">
        <f t="shared" si="32"/>
        <v>38191</v>
      </c>
      <c r="U52" s="585">
        <f t="shared" si="32"/>
        <v>25008</v>
      </c>
      <c r="V52" s="586">
        <f t="shared" si="32"/>
        <v>13183</v>
      </c>
      <c r="W52" s="1195"/>
      <c r="AC52" s="266"/>
      <c r="AD52" s="266"/>
      <c r="AE52" s="266"/>
      <c r="AF52" s="266"/>
      <c r="AG52" s="266"/>
      <c r="AH52" s="266"/>
      <c r="AI52" s="266"/>
      <c r="AJ52" s="266"/>
      <c r="AK52" s="266"/>
      <c r="AL52" s="266"/>
      <c r="AM52" s="266"/>
      <c r="AN52" s="266"/>
      <c r="AO52" s="266"/>
      <c r="AP52" s="266"/>
      <c r="AQ52" s="266"/>
    </row>
    <row r="53" spans="1:43" s="198" customFormat="1" ht="12.75" thickBot="1">
      <c r="A53" s="542"/>
      <c r="B53" s="598"/>
      <c r="C53" s="587"/>
      <c r="D53" s="588"/>
      <c r="E53" s="588"/>
      <c r="F53" s="588"/>
      <c r="G53" s="588"/>
      <c r="H53" s="588"/>
      <c r="I53" s="589"/>
      <c r="J53" s="590"/>
      <c r="K53" s="599"/>
      <c r="L53" s="599"/>
      <c r="M53" s="599"/>
      <c r="N53" s="599"/>
      <c r="O53" s="599"/>
      <c r="P53" s="599"/>
      <c r="Q53" s="599"/>
      <c r="R53" s="599"/>
      <c r="S53" s="597"/>
      <c r="T53" s="594"/>
      <c r="U53" s="1034"/>
      <c r="V53" s="597"/>
      <c r="W53" s="1195"/>
      <c r="AC53" s="199"/>
      <c r="AD53" s="199"/>
      <c r="AE53" s="199"/>
      <c r="AF53" s="199"/>
      <c r="AG53" s="199"/>
      <c r="AH53" s="199"/>
      <c r="AI53" s="199"/>
      <c r="AJ53" s="199"/>
      <c r="AK53" s="199"/>
      <c r="AL53" s="199"/>
      <c r="AM53" s="199"/>
      <c r="AN53" s="199"/>
      <c r="AO53" s="199"/>
      <c r="AP53" s="199"/>
      <c r="AQ53" s="199"/>
    </row>
    <row r="54" spans="1:43" ht="12.75" thickBot="1">
      <c r="A54" s="850">
        <f>+A50+1</f>
        <v>29</v>
      </c>
      <c r="B54" s="755" t="s">
        <v>923</v>
      </c>
      <c r="C54" s="899">
        <f>+SUMIF('13.mell_ÖNKfeladatok2018'!$B$5:$B$160,'14.mell_Önk kiegészítés2018'!$A54,'13.mell_ÖNKfeladatok2018'!O$5:O$160)</f>
        <v>0</v>
      </c>
      <c r="D54" s="899">
        <f>+SUMIF('13.mell_ÖNKfeladatok2018'!$B$5:$B$160,'14.mell_Önk kiegészítés2018'!$A54,'13.mell_ÖNKfeladatok2018'!S$5:S$160)</f>
        <v>0</v>
      </c>
      <c r="E54" s="899">
        <f>+SUMIF('13.mell_ÖNKfeladatok2018'!$B$5:$B$160,'14.mell_Önk kiegészítés2018'!$A54,'13.mell_ÖNKfeladatok2018'!W$5:W$160)</f>
        <v>0</v>
      </c>
      <c r="F54" s="899">
        <f>+SUMIF('13.mell_ÖNKfeladatok2018'!$B$5:$B$160,'14.mell_Önk kiegészítés2018'!$A54,'13.mell_ÖNKfeladatok2018'!AA$5:AA$160)</f>
        <v>0</v>
      </c>
      <c r="G54" s="899">
        <f>+SUMIF('13.mell_ÖNKfeladatok2018'!$B$5:$B$160,'14.mell_Önk kiegészítés2018'!$A54,'13.mell_ÖNKfeladatok2018'!AI$5:AI$160)</f>
        <v>0</v>
      </c>
      <c r="H54" s="899">
        <f>+SUMIF('13.mell_ÖNKfeladatok2018'!$B$5:$B$160,'14.mell_Önk kiegészítés2018'!$A54,'13.mell_ÖNKfeladatok2018'!AM$5:AM$160)</f>
        <v>0</v>
      </c>
      <c r="I54" s="899">
        <f>+SUMIF('13.mell_ÖNKfeladatok2018'!$B$5:$B$160,'14.mell_Önk kiegészítés2018'!$A54,'13.mell_ÖNKfeladatok2018'!AQ$5:AQ$160)</f>
        <v>0</v>
      </c>
      <c r="J54" s="756">
        <f>SUM(C54:I54)</f>
        <v>0</v>
      </c>
      <c r="K54" s="899">
        <f>+SUMIF('13.mell_ÖNKfeladatok2018'!$B$168:$B$323,'14.mell_Önk kiegészítés2018'!$A54,'13.mell_ÖNKfeladatok2018'!O$168:O$323)</f>
        <v>0</v>
      </c>
      <c r="L54" s="899">
        <f>+SUMIF('13.mell_ÖNKfeladatok2018'!$B$168:$B$323,'14.mell_Önk kiegészítés2018'!$A54,'13.mell_ÖNKfeladatok2018'!S$168:S$323)</f>
        <v>0</v>
      </c>
      <c r="M54" s="899">
        <f>+SUMIF('13.mell_ÖNKfeladatok2018'!$B$168:$B$323,'14.mell_Önk kiegészítés2018'!$A54,'13.mell_ÖNKfeladatok2018'!W$168:W$323)</f>
        <v>0</v>
      </c>
      <c r="N54" s="899">
        <f>+SUMIF('13.mell_ÖNKfeladatok2018'!$B$168:$B$323,'14.mell_Önk kiegészítés2018'!$A54,'13.mell_ÖNKfeladatok2018'!AA$168:AA$323)</f>
        <v>0</v>
      </c>
      <c r="O54" s="899">
        <f>+SUMIF('13.mell_ÖNKfeladatok2018'!$B$168:$B$323,'14.mell_Önk kiegészítés2018'!$A54,'13.mell_ÖNKfeladatok2018'!AE$168:AE$323)</f>
        <v>0</v>
      </c>
      <c r="P54" s="899">
        <f>+SUMIF('13.mell_ÖNKfeladatok2018'!$B$168:$B$323,'14.mell_Önk kiegészítés2018'!$A54,'13.mell_ÖNKfeladatok2018'!AM$168:AM$323)</f>
        <v>0</v>
      </c>
      <c r="Q54" s="899">
        <f>+SUMIF('13.mell_ÖNKfeladatok2018'!$B$168:$B$323,'14.mell_Önk kiegészítés2018'!$A54,'13.mell_ÖNKfeladatok2018'!AQ$168:AQ$323)</f>
        <v>0</v>
      </c>
      <c r="R54" s="899">
        <f>+SUMIF('13.mell_ÖNKfeladatok2018'!$B$168:$B$323,'14.mell_Önk kiegészítés2018'!$A54,'13.mell_ÖNKfeladatok2018'!AU$168:AU$323)</f>
        <v>0</v>
      </c>
      <c r="S54" s="756">
        <f>SUM(K54:R54)</f>
        <v>0</v>
      </c>
      <c r="T54" s="757">
        <f>S54-J54</f>
        <v>0</v>
      </c>
      <c r="U54" s="1029">
        <f>+ROUND(SUMIF('10.mell_támogatások2018'!$B$6:$B$123,'14.mell_Önk kiegészítés2018'!$A54,'10.mell_támogatások2018'!D$6:D$123)/1000,0)</f>
        <v>0</v>
      </c>
      <c r="V54" s="758">
        <f>+T54-U54</f>
        <v>0</v>
      </c>
      <c r="W54" s="1195"/>
    </row>
    <row r="55" spans="1:43" s="558" customFormat="1" ht="12.75" thickBot="1">
      <c r="A55" s="356" t="s">
        <v>948</v>
      </c>
      <c r="B55" s="517" t="s">
        <v>923</v>
      </c>
      <c r="C55" s="574">
        <f>SUM(C54)</f>
        <v>0</v>
      </c>
      <c r="D55" s="574">
        <f t="shared" ref="D55:V55" si="33">SUM(D54)</f>
        <v>0</v>
      </c>
      <c r="E55" s="574">
        <f t="shared" si="33"/>
        <v>0</v>
      </c>
      <c r="F55" s="574">
        <f t="shared" si="33"/>
        <v>0</v>
      </c>
      <c r="G55" s="574">
        <f t="shared" si="33"/>
        <v>0</v>
      </c>
      <c r="H55" s="574">
        <f t="shared" si="33"/>
        <v>0</v>
      </c>
      <c r="I55" s="574">
        <f t="shared" si="33"/>
        <v>0</v>
      </c>
      <c r="J55" s="577">
        <f t="shared" si="33"/>
        <v>0</v>
      </c>
      <c r="K55" s="574">
        <f t="shared" si="33"/>
        <v>0</v>
      </c>
      <c r="L55" s="574">
        <f t="shared" si="33"/>
        <v>0</v>
      </c>
      <c r="M55" s="574">
        <f t="shared" si="33"/>
        <v>0</v>
      </c>
      <c r="N55" s="574">
        <f t="shared" si="33"/>
        <v>0</v>
      </c>
      <c r="O55" s="574">
        <f t="shared" si="33"/>
        <v>0</v>
      </c>
      <c r="P55" s="574">
        <f t="shared" si="33"/>
        <v>0</v>
      </c>
      <c r="Q55" s="574">
        <f t="shared" si="33"/>
        <v>0</v>
      </c>
      <c r="R55" s="574">
        <f t="shared" si="33"/>
        <v>0</v>
      </c>
      <c r="S55" s="577">
        <f t="shared" si="33"/>
        <v>0</v>
      </c>
      <c r="T55" s="574">
        <f t="shared" si="33"/>
        <v>0</v>
      </c>
      <c r="U55" s="578">
        <f t="shared" si="33"/>
        <v>0</v>
      </c>
      <c r="V55" s="577">
        <f t="shared" si="33"/>
        <v>0</v>
      </c>
      <c r="W55" s="1195"/>
      <c r="AC55" s="266"/>
      <c r="AD55" s="266"/>
      <c r="AE55" s="266"/>
      <c r="AF55" s="266"/>
      <c r="AG55" s="266"/>
      <c r="AH55" s="266"/>
      <c r="AI55" s="266"/>
      <c r="AJ55" s="266"/>
      <c r="AK55" s="266"/>
      <c r="AL55" s="266"/>
      <c r="AM55" s="266"/>
      <c r="AN55" s="266"/>
      <c r="AO55" s="266"/>
      <c r="AP55" s="266"/>
      <c r="AQ55" s="266"/>
    </row>
    <row r="56" spans="1:43" ht="12.75" thickBot="1">
      <c r="A56" s="908">
        <f>+A54+1</f>
        <v>30</v>
      </c>
      <c r="B56" s="909" t="s">
        <v>1172</v>
      </c>
      <c r="C56" s="910">
        <f>+SUMIF('13.mell_ÖNKfeladatok2018'!$B$5:$B$160,'14.mell_Önk kiegészítés2018'!$A56,'13.mell_ÖNKfeladatok2018'!O$5:O$160)</f>
        <v>3240</v>
      </c>
      <c r="D56" s="910">
        <f>+SUMIF('13.mell_ÖNKfeladatok2018'!$B$5:$B$160,'14.mell_Önk kiegészítés2018'!$A56,'13.mell_ÖNKfeladatok2018'!S$5:S$160)</f>
        <v>10000</v>
      </c>
      <c r="E56" s="910">
        <f>+SUMIF('13.mell_ÖNKfeladatok2018'!$B$5:$B$160,'14.mell_Önk kiegészítés2018'!$A56,'13.mell_ÖNKfeladatok2018'!W$5:W$160)</f>
        <v>0</v>
      </c>
      <c r="F56" s="910">
        <f>+SUMIF('13.mell_ÖNKfeladatok2018'!$B$5:$B$160,'14.mell_Önk kiegészítés2018'!$A56,'13.mell_ÖNKfeladatok2018'!AA$5:AA$160)</f>
        <v>0</v>
      </c>
      <c r="G56" s="910">
        <f>+SUMIF('13.mell_ÖNKfeladatok2018'!$B$5:$B$160,'14.mell_Önk kiegészítés2018'!$A56,'13.mell_ÖNKfeladatok2018'!AI$5:AI$160)</f>
        <v>0</v>
      </c>
      <c r="H56" s="910">
        <f>+SUMIF('13.mell_ÖNKfeladatok2018'!$B$5:$B$160,'14.mell_Önk kiegészítés2018'!$A56,'13.mell_ÖNKfeladatok2018'!AM$5:AM$160)</f>
        <v>0</v>
      </c>
      <c r="I56" s="910">
        <f>+SUMIF('13.mell_ÖNKfeladatok2018'!$B$5:$B$160,'14.mell_Önk kiegészítés2018'!$A56,'13.mell_ÖNKfeladatok2018'!AQ$5:AQ$160)</f>
        <v>0</v>
      </c>
      <c r="J56" s="911">
        <f>SUM(C56:I56)</f>
        <v>13240</v>
      </c>
      <c r="K56" s="910">
        <f>+SUMIF('13.mell_ÖNKfeladatok2018'!$B$168:$B$323,'14.mell_Önk kiegészítés2018'!$A56,'13.mell_ÖNKfeladatok2018'!O$168:O$323)</f>
        <v>7729</v>
      </c>
      <c r="L56" s="910">
        <f>+SUMIF('13.mell_ÖNKfeladatok2018'!$B$168:$B$323,'14.mell_Önk kiegészítés2018'!$A56,'13.mell_ÖNKfeladatok2018'!S$168:S$323)</f>
        <v>1213</v>
      </c>
      <c r="M56" s="910">
        <f>+SUMIF('13.mell_ÖNKfeladatok2018'!$B$168:$B$323,'14.mell_Önk kiegészítés2018'!$A56,'13.mell_ÖNKfeladatok2018'!W$168:W$323)</f>
        <v>810</v>
      </c>
      <c r="N56" s="910">
        <f>+SUMIF('13.mell_ÖNKfeladatok2018'!$B$168:$B$323,'14.mell_Önk kiegészítés2018'!$A56,'13.mell_ÖNKfeladatok2018'!AA$168:AA$323)</f>
        <v>0</v>
      </c>
      <c r="O56" s="910">
        <f>+SUMIF('13.mell_ÖNKfeladatok2018'!$B$168:$B$323,'14.mell_Önk kiegészítés2018'!$A56,'13.mell_ÖNKfeladatok2018'!AE$168:AE$323)</f>
        <v>3488</v>
      </c>
      <c r="P56" s="910">
        <f>+SUMIF('13.mell_ÖNKfeladatok2018'!$B$168:$B$323,'14.mell_Önk kiegészítés2018'!$A56,'13.mell_ÖNKfeladatok2018'!AM$168:AM$323)</f>
        <v>0</v>
      </c>
      <c r="Q56" s="910">
        <f>+SUMIF('13.mell_ÖNKfeladatok2018'!$B$168:$B$323,'14.mell_Önk kiegészítés2018'!$A56,'13.mell_ÖNKfeladatok2018'!AQ$168:AQ$323)</f>
        <v>0</v>
      </c>
      <c r="R56" s="910">
        <f>+SUMIF('13.mell_ÖNKfeladatok2018'!$B$168:$B$323,'14.mell_Önk kiegészítés2018'!$A56,'13.mell_ÖNKfeladatok2018'!AU$168:AU$323)</f>
        <v>0</v>
      </c>
      <c r="S56" s="911">
        <f>SUM(K56:R56)</f>
        <v>13240</v>
      </c>
      <c r="T56" s="574">
        <f>S56-J56</f>
        <v>0</v>
      </c>
      <c r="U56" s="1032">
        <f>+ROUND(SUMIF('10.mell_támogatások2018'!$B$6:$B$123,'14.mell_Önk kiegészítés2018'!$A56,'10.mell_támogatások2018'!D$6:D$123)/1000,0)-202</f>
        <v>-202</v>
      </c>
      <c r="V56" s="577">
        <f>+T56-U56</f>
        <v>202</v>
      </c>
      <c r="W56" s="1195"/>
      <c r="AK56" s="266">
        <f>-(150+52)</f>
        <v>-202</v>
      </c>
    </row>
    <row r="57" spans="1:43" s="558" customFormat="1" ht="12.75" thickBot="1">
      <c r="A57" s="1044" t="s">
        <v>949</v>
      </c>
      <c r="B57" s="528" t="s">
        <v>924</v>
      </c>
      <c r="C57" s="574">
        <f>SUM(C56)</f>
        <v>3240</v>
      </c>
      <c r="D57" s="574">
        <f t="shared" ref="D57:V57" si="34">SUM(D56)</f>
        <v>10000</v>
      </c>
      <c r="E57" s="574">
        <f t="shared" si="34"/>
        <v>0</v>
      </c>
      <c r="F57" s="574">
        <f t="shared" si="34"/>
        <v>0</v>
      </c>
      <c r="G57" s="574">
        <f t="shared" si="34"/>
        <v>0</v>
      </c>
      <c r="H57" s="574">
        <f t="shared" si="34"/>
        <v>0</v>
      </c>
      <c r="I57" s="574">
        <f t="shared" si="34"/>
        <v>0</v>
      </c>
      <c r="J57" s="577">
        <f t="shared" si="34"/>
        <v>13240</v>
      </c>
      <c r="K57" s="574">
        <f t="shared" si="34"/>
        <v>7729</v>
      </c>
      <c r="L57" s="574">
        <f t="shared" si="34"/>
        <v>1213</v>
      </c>
      <c r="M57" s="574">
        <f t="shared" si="34"/>
        <v>810</v>
      </c>
      <c r="N57" s="574">
        <f t="shared" si="34"/>
        <v>0</v>
      </c>
      <c r="O57" s="574">
        <f t="shared" si="34"/>
        <v>3488</v>
      </c>
      <c r="P57" s="574">
        <f t="shared" si="34"/>
        <v>0</v>
      </c>
      <c r="Q57" s="574">
        <f t="shared" si="34"/>
        <v>0</v>
      </c>
      <c r="R57" s="574">
        <f t="shared" si="34"/>
        <v>0</v>
      </c>
      <c r="S57" s="577">
        <f t="shared" si="34"/>
        <v>13240</v>
      </c>
      <c r="T57" s="574">
        <f t="shared" si="34"/>
        <v>0</v>
      </c>
      <c r="U57" s="578">
        <f t="shared" si="34"/>
        <v>-202</v>
      </c>
      <c r="V57" s="577">
        <f t="shared" si="34"/>
        <v>202</v>
      </c>
      <c r="W57" s="1195"/>
      <c r="AC57" s="266"/>
      <c r="AD57" s="266"/>
      <c r="AE57" s="266"/>
      <c r="AF57" s="266"/>
      <c r="AG57" s="266"/>
      <c r="AH57" s="266"/>
      <c r="AI57" s="266"/>
      <c r="AJ57" s="266"/>
      <c r="AK57" s="266"/>
      <c r="AL57" s="266"/>
      <c r="AM57" s="266"/>
      <c r="AN57" s="266"/>
      <c r="AO57" s="266"/>
      <c r="AP57" s="266"/>
      <c r="AQ57" s="266"/>
    </row>
    <row r="58" spans="1:43" ht="12.75" thickBot="1">
      <c r="A58" s="908">
        <f>+A56+1</f>
        <v>31</v>
      </c>
      <c r="B58" s="909" t="s">
        <v>951</v>
      </c>
      <c r="C58" s="910">
        <f>+SUMIF('13.mell_ÖNKfeladatok2018'!$B$5:$B$160,'14.mell_Önk kiegészítés2018'!$A58,'13.mell_ÖNKfeladatok2018'!O$5:O$160)</f>
        <v>0</v>
      </c>
      <c r="D58" s="910">
        <f>+SUMIF('13.mell_ÖNKfeladatok2018'!$B$5:$B$160,'14.mell_Önk kiegészítés2018'!$A58,'13.mell_ÖNKfeladatok2018'!S$5:S$160)</f>
        <v>0</v>
      </c>
      <c r="E58" s="910">
        <f>+SUMIF('13.mell_ÖNKfeladatok2018'!$B$5:$B$160,'14.mell_Önk kiegészítés2018'!$A58,'13.mell_ÖNKfeladatok2018'!W$5:W$160)</f>
        <v>0</v>
      </c>
      <c r="F58" s="910">
        <f>+SUMIF('13.mell_ÖNKfeladatok2018'!$B$5:$B$160,'14.mell_Önk kiegészítés2018'!$A58,'13.mell_ÖNKfeladatok2018'!AA$5:AA$160)</f>
        <v>0</v>
      </c>
      <c r="G58" s="910">
        <f>+SUMIF('13.mell_ÖNKfeladatok2018'!$B$5:$B$160,'14.mell_Önk kiegészítés2018'!$A58,'13.mell_ÖNKfeladatok2018'!AI$5:AI$160)</f>
        <v>0</v>
      </c>
      <c r="H58" s="910">
        <f>+SUMIF('13.mell_ÖNKfeladatok2018'!$B$5:$B$160,'14.mell_Önk kiegészítés2018'!$A58,'13.mell_ÖNKfeladatok2018'!AM$5:AM$160)</f>
        <v>0</v>
      </c>
      <c r="I58" s="910">
        <f>+SUMIF('13.mell_ÖNKfeladatok2018'!$B$5:$B$160,'14.mell_Önk kiegészítés2018'!$A58,'13.mell_ÖNKfeladatok2018'!AQ$5:AQ$160)</f>
        <v>0</v>
      </c>
      <c r="J58" s="911">
        <f>SUM(C58:I58)</f>
        <v>0</v>
      </c>
      <c r="K58" s="910">
        <f>+SUMIF('13.mell_ÖNKfeladatok2018'!$B$168:$B$323,'14.mell_Önk kiegészítés2018'!$A58,'13.mell_ÖNKfeladatok2018'!O$168:O$323)</f>
        <v>0</v>
      </c>
      <c r="L58" s="910">
        <f>+SUMIF('13.mell_ÖNKfeladatok2018'!$B$168:$B$323,'14.mell_Önk kiegészítés2018'!$A58,'13.mell_ÖNKfeladatok2018'!S$168:S$323)</f>
        <v>0</v>
      </c>
      <c r="M58" s="910">
        <f>+SUMIF('13.mell_ÖNKfeladatok2018'!$B$168:$B$323,'14.mell_Önk kiegészítés2018'!$A58,'13.mell_ÖNKfeladatok2018'!W$168:W$323)</f>
        <v>0</v>
      </c>
      <c r="N58" s="910">
        <f>+SUMIF('13.mell_ÖNKfeladatok2018'!$B$168:$B$323,'14.mell_Önk kiegészítés2018'!$A58,'13.mell_ÖNKfeladatok2018'!AA$168:AA$323)</f>
        <v>0</v>
      </c>
      <c r="O58" s="910">
        <f>+SUMIF('13.mell_ÖNKfeladatok2018'!$B$168:$B$323,'14.mell_Önk kiegészítés2018'!$A58,'13.mell_ÖNKfeladatok2018'!AE$168:AE$323)</f>
        <v>0</v>
      </c>
      <c r="P58" s="910">
        <f>+SUMIF('13.mell_ÖNKfeladatok2018'!$B$168:$B$323,'14.mell_Önk kiegészítés2018'!$A58,'13.mell_ÖNKfeladatok2018'!AM$168:AM$323)</f>
        <v>0</v>
      </c>
      <c r="Q58" s="910">
        <f>+SUMIF('13.mell_ÖNKfeladatok2018'!$B$168:$B$323,'14.mell_Önk kiegészítés2018'!$A58,'13.mell_ÖNKfeladatok2018'!AQ$168:AQ$323)</f>
        <v>0</v>
      </c>
      <c r="R58" s="910">
        <f>+SUMIF('13.mell_ÖNKfeladatok2018'!$B$168:$B$323,'14.mell_Önk kiegészítés2018'!$A58,'13.mell_ÖNKfeladatok2018'!AU$168:AU$323)</f>
        <v>0</v>
      </c>
      <c r="S58" s="911">
        <f>SUM(K58:R58)</f>
        <v>0</v>
      </c>
      <c r="T58" s="574">
        <f>S58-J58</f>
        <v>0</v>
      </c>
      <c r="U58" s="1032">
        <f>+ROUND(SUMIF('10.mell_támogatások2018'!$B$6:$B$123,'14.mell_Önk kiegészítés2018'!$A58,'10.mell_támogatások2018'!D$6:D$123)/1000,0)</f>
        <v>0</v>
      </c>
      <c r="V58" s="577">
        <f>+T58-U58</f>
        <v>0</v>
      </c>
      <c r="W58" s="1195"/>
    </row>
    <row r="59" spans="1:43" s="558" customFormat="1" ht="12.75" thickBot="1">
      <c r="A59" s="1044" t="s">
        <v>950</v>
      </c>
      <c r="B59" s="528" t="s">
        <v>951</v>
      </c>
      <c r="C59" s="574">
        <f>SUM(C58)</f>
        <v>0</v>
      </c>
      <c r="D59" s="574">
        <f t="shared" ref="D59:V59" si="35">SUM(D58)</f>
        <v>0</v>
      </c>
      <c r="E59" s="574">
        <f t="shared" si="35"/>
        <v>0</v>
      </c>
      <c r="F59" s="574">
        <f t="shared" si="35"/>
        <v>0</v>
      </c>
      <c r="G59" s="574">
        <f t="shared" si="35"/>
        <v>0</v>
      </c>
      <c r="H59" s="574">
        <f t="shared" si="35"/>
        <v>0</v>
      </c>
      <c r="I59" s="574">
        <f t="shared" si="35"/>
        <v>0</v>
      </c>
      <c r="J59" s="577">
        <f t="shared" si="35"/>
        <v>0</v>
      </c>
      <c r="K59" s="574">
        <f t="shared" si="35"/>
        <v>0</v>
      </c>
      <c r="L59" s="574">
        <f t="shared" si="35"/>
        <v>0</v>
      </c>
      <c r="M59" s="574">
        <f t="shared" si="35"/>
        <v>0</v>
      </c>
      <c r="N59" s="574">
        <f t="shared" si="35"/>
        <v>0</v>
      </c>
      <c r="O59" s="574">
        <f t="shared" si="35"/>
        <v>0</v>
      </c>
      <c r="P59" s="574">
        <f t="shared" si="35"/>
        <v>0</v>
      </c>
      <c r="Q59" s="574">
        <f t="shared" si="35"/>
        <v>0</v>
      </c>
      <c r="R59" s="574">
        <f t="shared" si="35"/>
        <v>0</v>
      </c>
      <c r="S59" s="577">
        <f t="shared" si="35"/>
        <v>0</v>
      </c>
      <c r="T59" s="574">
        <f t="shared" si="35"/>
        <v>0</v>
      </c>
      <c r="U59" s="578">
        <f t="shared" si="35"/>
        <v>0</v>
      </c>
      <c r="V59" s="577">
        <f t="shared" si="35"/>
        <v>0</v>
      </c>
      <c r="W59" s="1195"/>
      <c r="AC59" s="266"/>
      <c r="AD59" s="266"/>
      <c r="AE59" s="266"/>
      <c r="AF59" s="266"/>
      <c r="AG59" s="266"/>
      <c r="AH59" s="266"/>
      <c r="AI59" s="266"/>
      <c r="AJ59" s="266"/>
      <c r="AK59" s="266"/>
      <c r="AL59" s="266"/>
      <c r="AM59" s="266"/>
      <c r="AN59" s="266"/>
      <c r="AO59" s="266"/>
      <c r="AP59" s="266"/>
      <c r="AQ59" s="266"/>
    </row>
    <row r="60" spans="1:43" s="558" customFormat="1" ht="12.75" thickBot="1">
      <c r="A60" s="520" t="s">
        <v>560</v>
      </c>
      <c r="B60" s="530" t="s">
        <v>925</v>
      </c>
      <c r="C60" s="583">
        <f>+C55+C57+C59</f>
        <v>3240</v>
      </c>
      <c r="D60" s="583">
        <f t="shared" ref="D60:V60" si="36">+D55+D57+D59</f>
        <v>10000</v>
      </c>
      <c r="E60" s="583">
        <f t="shared" si="36"/>
        <v>0</v>
      </c>
      <c r="F60" s="583">
        <f t="shared" si="36"/>
        <v>0</v>
      </c>
      <c r="G60" s="583">
        <f t="shared" si="36"/>
        <v>0</v>
      </c>
      <c r="H60" s="583">
        <f t="shared" si="36"/>
        <v>0</v>
      </c>
      <c r="I60" s="583">
        <f t="shared" si="36"/>
        <v>0</v>
      </c>
      <c r="J60" s="586">
        <f t="shared" si="36"/>
        <v>13240</v>
      </c>
      <c r="K60" s="583">
        <f t="shared" si="36"/>
        <v>7729</v>
      </c>
      <c r="L60" s="583">
        <f t="shared" si="36"/>
        <v>1213</v>
      </c>
      <c r="M60" s="583">
        <f t="shared" si="36"/>
        <v>810</v>
      </c>
      <c r="N60" s="583">
        <f t="shared" si="36"/>
        <v>0</v>
      </c>
      <c r="O60" s="583">
        <f t="shared" si="36"/>
        <v>3488</v>
      </c>
      <c r="P60" s="583">
        <f t="shared" si="36"/>
        <v>0</v>
      </c>
      <c r="Q60" s="583">
        <f t="shared" si="36"/>
        <v>0</v>
      </c>
      <c r="R60" s="583">
        <f t="shared" si="36"/>
        <v>0</v>
      </c>
      <c r="S60" s="586">
        <f t="shared" si="36"/>
        <v>13240</v>
      </c>
      <c r="T60" s="583">
        <f t="shared" si="36"/>
        <v>0</v>
      </c>
      <c r="U60" s="585">
        <f t="shared" si="36"/>
        <v>-202</v>
      </c>
      <c r="V60" s="586">
        <f t="shared" si="36"/>
        <v>202</v>
      </c>
      <c r="W60" s="1195"/>
      <c r="AC60" s="266"/>
      <c r="AD60" s="266"/>
      <c r="AE60" s="266"/>
      <c r="AF60" s="266"/>
      <c r="AG60" s="266"/>
      <c r="AH60" s="266"/>
      <c r="AI60" s="266"/>
      <c r="AJ60" s="266"/>
      <c r="AK60" s="266"/>
      <c r="AL60" s="266"/>
      <c r="AM60" s="266"/>
      <c r="AN60" s="266"/>
      <c r="AO60" s="266"/>
      <c r="AP60" s="266"/>
      <c r="AQ60" s="266"/>
    </row>
    <row r="61" spans="1:43" s="198" customFormat="1" ht="12.75" thickBot="1">
      <c r="A61" s="542"/>
      <c r="B61" s="598"/>
      <c r="C61" s="587"/>
      <c r="D61" s="588"/>
      <c r="E61" s="588"/>
      <c r="F61" s="588"/>
      <c r="G61" s="588"/>
      <c r="H61" s="588"/>
      <c r="I61" s="589"/>
      <c r="J61" s="590"/>
      <c r="K61" s="599"/>
      <c r="L61" s="599"/>
      <c r="M61" s="599"/>
      <c r="N61" s="599"/>
      <c r="O61" s="599"/>
      <c r="P61" s="599"/>
      <c r="Q61" s="599"/>
      <c r="R61" s="599"/>
      <c r="S61" s="597"/>
      <c r="T61" s="594"/>
      <c r="U61" s="1034"/>
      <c r="V61" s="597"/>
      <c r="W61" s="1195"/>
      <c r="AC61" s="199"/>
      <c r="AD61" s="199"/>
      <c r="AE61" s="199"/>
      <c r="AF61" s="199"/>
      <c r="AG61" s="199"/>
      <c r="AH61" s="199"/>
      <c r="AI61" s="199"/>
      <c r="AJ61" s="199"/>
      <c r="AK61" s="199"/>
      <c r="AL61" s="199"/>
      <c r="AM61" s="199"/>
      <c r="AN61" s="199"/>
      <c r="AO61" s="199"/>
      <c r="AP61" s="199"/>
      <c r="AQ61" s="199"/>
    </row>
    <row r="62" spans="1:43" ht="12.75" thickBot="1">
      <c r="A62" s="850">
        <f>+A58+1</f>
        <v>32</v>
      </c>
      <c r="B62" s="755" t="s">
        <v>1270</v>
      </c>
      <c r="C62" s="899">
        <f>+SUMIF('13.mell_ÖNKfeladatok2018'!$B$5:$B$160,'14.mell_Önk kiegészítés2018'!$A62,'13.mell_ÖNKfeladatok2018'!O$5:O$160)</f>
        <v>0</v>
      </c>
      <c r="D62" s="899">
        <f>+SUMIF('13.mell_ÖNKfeladatok2018'!$B$5:$B$160,'14.mell_Önk kiegészítés2018'!$A62,'13.mell_ÖNKfeladatok2018'!S$5:S$160)</f>
        <v>0</v>
      </c>
      <c r="E62" s="899">
        <f>+SUMIF('13.mell_ÖNKfeladatok2018'!$B$5:$B$160,'14.mell_Önk kiegészítés2018'!$A62,'13.mell_ÖNKfeladatok2018'!W$5:W$160)</f>
        <v>0</v>
      </c>
      <c r="F62" s="899">
        <f>+SUMIF('13.mell_ÖNKfeladatok2018'!$B$5:$B$160,'14.mell_Önk kiegészítés2018'!$A62,'13.mell_ÖNKfeladatok2018'!AA$5:AA$160)</f>
        <v>0</v>
      </c>
      <c r="G62" s="899">
        <f>+SUMIF('13.mell_ÖNKfeladatok2018'!$B$5:$B$160,'14.mell_Önk kiegészítés2018'!$A62,'13.mell_ÖNKfeladatok2018'!AI$5:AI$160)</f>
        <v>0</v>
      </c>
      <c r="H62" s="899">
        <f>+SUMIF('13.mell_ÖNKfeladatok2018'!$B$5:$B$160,'14.mell_Önk kiegészítés2018'!$A62,'13.mell_ÖNKfeladatok2018'!AM$5:AM$160)</f>
        <v>0</v>
      </c>
      <c r="I62" s="899">
        <f>+SUMIF('13.mell_ÖNKfeladatok2018'!$B$5:$B$160,'14.mell_Önk kiegészítés2018'!$A62,'13.mell_ÖNKfeladatok2018'!AQ$5:AQ$160)</f>
        <v>0</v>
      </c>
      <c r="J62" s="756">
        <f>SUM(C62:I62)</f>
        <v>0</v>
      </c>
      <c r="K62" s="899">
        <f>+SUMIF('13.mell_ÖNKfeladatok2018'!$B$168:$B$323,'14.mell_Önk kiegészítés2018'!$A62,'13.mell_ÖNKfeladatok2018'!O$168:O$323)</f>
        <v>37881</v>
      </c>
      <c r="L62" s="899">
        <f>+SUMIF('13.mell_ÖNKfeladatok2018'!$B$168:$B$323,'14.mell_Önk kiegészítés2018'!$A62,'13.mell_ÖNKfeladatok2018'!S$168:S$323)</f>
        <v>7316</v>
      </c>
      <c r="M62" s="899">
        <f>+SUMIF('13.mell_ÖNKfeladatok2018'!$B$168:$B$323,'14.mell_Önk kiegészítés2018'!$A62,'13.mell_ÖNKfeladatok2018'!W$168:W$323)</f>
        <v>6014</v>
      </c>
      <c r="N62" s="899">
        <f>+SUMIF('13.mell_ÖNKfeladatok2018'!$B$168:$B$323,'14.mell_Önk kiegészítés2018'!$A62,'13.mell_ÖNKfeladatok2018'!AA$168:AA$323)</f>
        <v>0</v>
      </c>
      <c r="O62" s="899">
        <f>+SUMIF('13.mell_ÖNKfeladatok2018'!$B$168:$B$323,'14.mell_Önk kiegészítés2018'!$A62,'13.mell_ÖNKfeladatok2018'!AE$168:AE$323)</f>
        <v>0</v>
      </c>
      <c r="P62" s="899">
        <f>+SUMIF('13.mell_ÖNKfeladatok2018'!$B$168:$B$323,'14.mell_Önk kiegészítés2018'!$A62,'13.mell_ÖNKfeladatok2018'!AM$168:AM$323)</f>
        <v>0</v>
      </c>
      <c r="Q62" s="899">
        <f>+SUMIF('13.mell_ÖNKfeladatok2018'!$B$168:$B$323,'14.mell_Önk kiegészítés2018'!$A62,'13.mell_ÖNKfeladatok2018'!AQ$168:AQ$323)</f>
        <v>0</v>
      </c>
      <c r="R62" s="899">
        <f>+SUMIF('13.mell_ÖNKfeladatok2018'!$B$168:$B$323,'14.mell_Önk kiegészítés2018'!$A62,'13.mell_ÖNKfeladatok2018'!AU$168:AU$323)</f>
        <v>0</v>
      </c>
      <c r="S62" s="756">
        <f>SUM(K62:R62)</f>
        <v>51211</v>
      </c>
      <c r="T62" s="757">
        <f>S62-J62</f>
        <v>51211</v>
      </c>
      <c r="U62" s="1029">
        <f>+ROUND(SUMIF('10.mell_támogatások2018'!$B$6:$B$123,'14.mell_Önk kiegészítés2018'!$A62,'10.mell_támogatások2018'!D$6:D$123)/1000,0)-1007</f>
        <v>50233</v>
      </c>
      <c r="V62" s="758">
        <f>+T62-U62</f>
        <v>978</v>
      </c>
      <c r="W62" s="1195"/>
      <c r="AK62" s="266">
        <f>-(400+350+137+120)</f>
        <v>-1007</v>
      </c>
    </row>
    <row r="63" spans="1:43" s="558" customFormat="1" ht="12.75" thickBot="1">
      <c r="A63" s="356" t="s">
        <v>1258</v>
      </c>
      <c r="B63" s="517" t="s">
        <v>1203</v>
      </c>
      <c r="C63" s="574">
        <f t="shared" ref="C63:V63" si="37">SUM(C62)</f>
        <v>0</v>
      </c>
      <c r="D63" s="574">
        <f t="shared" si="37"/>
        <v>0</v>
      </c>
      <c r="E63" s="574">
        <f t="shared" si="37"/>
        <v>0</v>
      </c>
      <c r="F63" s="574">
        <f t="shared" si="37"/>
        <v>0</v>
      </c>
      <c r="G63" s="574">
        <f t="shared" si="37"/>
        <v>0</v>
      </c>
      <c r="H63" s="574">
        <f t="shared" si="37"/>
        <v>0</v>
      </c>
      <c r="I63" s="574">
        <f t="shared" si="37"/>
        <v>0</v>
      </c>
      <c r="J63" s="577">
        <f t="shared" si="37"/>
        <v>0</v>
      </c>
      <c r="K63" s="574">
        <f t="shared" si="37"/>
        <v>37881</v>
      </c>
      <c r="L63" s="574">
        <f t="shared" si="37"/>
        <v>7316</v>
      </c>
      <c r="M63" s="574">
        <f t="shared" si="37"/>
        <v>6014</v>
      </c>
      <c r="N63" s="574">
        <f t="shared" si="37"/>
        <v>0</v>
      </c>
      <c r="O63" s="574">
        <f t="shared" si="37"/>
        <v>0</v>
      </c>
      <c r="P63" s="574">
        <f t="shared" si="37"/>
        <v>0</v>
      </c>
      <c r="Q63" s="574">
        <f t="shared" si="37"/>
        <v>0</v>
      </c>
      <c r="R63" s="574">
        <f t="shared" si="37"/>
        <v>0</v>
      </c>
      <c r="S63" s="577">
        <f t="shared" si="37"/>
        <v>51211</v>
      </c>
      <c r="T63" s="574">
        <f t="shared" si="37"/>
        <v>51211</v>
      </c>
      <c r="U63" s="578">
        <f t="shared" si="37"/>
        <v>50233</v>
      </c>
      <c r="V63" s="577">
        <f t="shared" si="37"/>
        <v>978</v>
      </c>
      <c r="W63" s="1195"/>
      <c r="AC63" s="266"/>
      <c r="AD63" s="266"/>
      <c r="AE63" s="266"/>
      <c r="AF63" s="266"/>
      <c r="AG63" s="266"/>
      <c r="AH63" s="266"/>
      <c r="AI63" s="266"/>
      <c r="AJ63" s="266"/>
      <c r="AK63" s="266"/>
      <c r="AL63" s="266"/>
      <c r="AM63" s="266"/>
      <c r="AN63" s="266"/>
      <c r="AO63" s="266"/>
      <c r="AP63" s="266"/>
      <c r="AQ63" s="266"/>
    </row>
    <row r="64" spans="1:43" ht="12.75" thickBot="1">
      <c r="A64" s="908">
        <f>+A62+1</f>
        <v>33</v>
      </c>
      <c r="B64" s="909" t="s">
        <v>1205</v>
      </c>
      <c r="C64" s="910">
        <f>+SUMIF('13.mell_ÖNKfeladatok2018'!$B$5:$B$160,'14.mell_Önk kiegészítés2018'!$A64,'13.mell_ÖNKfeladatok2018'!O$5:O$160)</f>
        <v>0</v>
      </c>
      <c r="D64" s="910">
        <f>+SUMIF('13.mell_ÖNKfeladatok2018'!$B$5:$B$160,'14.mell_Önk kiegészítés2018'!$A64,'13.mell_ÖNKfeladatok2018'!S$5:S$160)</f>
        <v>0</v>
      </c>
      <c r="E64" s="910">
        <f>+SUMIF('13.mell_ÖNKfeladatok2018'!$B$5:$B$160,'14.mell_Önk kiegészítés2018'!$A64,'13.mell_ÖNKfeladatok2018'!W$5:W$160)</f>
        <v>0</v>
      </c>
      <c r="F64" s="910">
        <f>+SUMIF('13.mell_ÖNKfeladatok2018'!$B$5:$B$160,'14.mell_Önk kiegészítés2018'!$A64,'13.mell_ÖNKfeladatok2018'!AA$5:AA$160)</f>
        <v>0</v>
      </c>
      <c r="G64" s="910">
        <f>+SUMIF('13.mell_ÖNKfeladatok2018'!$B$5:$B$160,'14.mell_Önk kiegészítés2018'!$A64,'13.mell_ÖNKfeladatok2018'!AI$5:AI$160)</f>
        <v>0</v>
      </c>
      <c r="H64" s="910">
        <f>+SUMIF('13.mell_ÖNKfeladatok2018'!$B$5:$B$160,'14.mell_Önk kiegészítés2018'!$A64,'13.mell_ÖNKfeladatok2018'!AM$5:AM$160)</f>
        <v>0</v>
      </c>
      <c r="I64" s="910">
        <f>+SUMIF('13.mell_ÖNKfeladatok2018'!$B$5:$B$160,'14.mell_Önk kiegészítés2018'!$A64,'13.mell_ÖNKfeladatok2018'!AQ$5:AQ$160)</f>
        <v>0</v>
      </c>
      <c r="J64" s="911">
        <f>SUM(C64:I64)</f>
        <v>0</v>
      </c>
      <c r="K64" s="910">
        <f>+SUMIF('13.mell_ÖNKfeladatok2018'!$B$168:$B$323,'14.mell_Önk kiegészítés2018'!$A64,'13.mell_ÖNKfeladatok2018'!O$168:O$323)</f>
        <v>0</v>
      </c>
      <c r="L64" s="910">
        <f>+SUMIF('13.mell_ÖNKfeladatok2018'!$B$168:$B$323,'14.mell_Önk kiegészítés2018'!$A64,'13.mell_ÖNKfeladatok2018'!S$168:S$323)</f>
        <v>0</v>
      </c>
      <c r="M64" s="910">
        <f>+SUMIF('13.mell_ÖNKfeladatok2018'!$B$168:$B$323,'14.mell_Önk kiegészítés2018'!$A64,'13.mell_ÖNKfeladatok2018'!W$168:W$323)</f>
        <v>0</v>
      </c>
      <c r="N64" s="910">
        <f>+SUMIF('13.mell_ÖNKfeladatok2018'!$B$168:$B$323,'14.mell_Önk kiegészítés2018'!$A64,'13.mell_ÖNKfeladatok2018'!AA$168:AA$323)</f>
        <v>0</v>
      </c>
      <c r="O64" s="910">
        <f>+SUMIF('13.mell_ÖNKfeladatok2018'!$B$168:$B$323,'14.mell_Önk kiegészítés2018'!$A64,'13.mell_ÖNKfeladatok2018'!AE$168:AE$323)</f>
        <v>0</v>
      </c>
      <c r="P64" s="910">
        <f>+SUMIF('13.mell_ÖNKfeladatok2018'!$B$168:$B$323,'14.mell_Önk kiegészítés2018'!$A64,'13.mell_ÖNKfeladatok2018'!AM$168:AM$323)</f>
        <v>0</v>
      </c>
      <c r="Q64" s="910">
        <f>+SUMIF('13.mell_ÖNKfeladatok2018'!$B$168:$B$323,'14.mell_Önk kiegészítés2018'!$A64,'13.mell_ÖNKfeladatok2018'!AQ$168:AQ$323)</f>
        <v>0</v>
      </c>
      <c r="R64" s="910">
        <f>+SUMIF('13.mell_ÖNKfeladatok2018'!$B$168:$B$323,'14.mell_Önk kiegészítés2018'!$A64,'13.mell_ÖNKfeladatok2018'!AU$168:AU$323)</f>
        <v>0</v>
      </c>
      <c r="S64" s="911">
        <f>SUM(K64:R64)</f>
        <v>0</v>
      </c>
      <c r="T64" s="574">
        <f>S64-J64</f>
        <v>0</v>
      </c>
      <c r="U64" s="1032">
        <f>+ROUND(SUMIF('10.mell_támogatások2018'!$B$6:$B$123,'14.mell_Önk kiegészítés2018'!$A64,'10.mell_támogatások2018'!D$6:D$123)/1000,0)</f>
        <v>0</v>
      </c>
      <c r="V64" s="577">
        <f>+T64-U64</f>
        <v>0</v>
      </c>
      <c r="W64" s="1195"/>
    </row>
    <row r="65" spans="1:43" s="558" customFormat="1" ht="12.75" thickBot="1">
      <c r="A65" s="1044" t="s">
        <v>1259</v>
      </c>
      <c r="B65" s="528" t="s">
        <v>1204</v>
      </c>
      <c r="C65" s="574">
        <f t="shared" ref="C65:V65" si="38">SUM(C64)</f>
        <v>0</v>
      </c>
      <c r="D65" s="574">
        <f t="shared" si="38"/>
        <v>0</v>
      </c>
      <c r="E65" s="574">
        <f t="shared" si="38"/>
        <v>0</v>
      </c>
      <c r="F65" s="574">
        <f t="shared" si="38"/>
        <v>0</v>
      </c>
      <c r="G65" s="574">
        <f t="shared" si="38"/>
        <v>0</v>
      </c>
      <c r="H65" s="574">
        <f t="shared" si="38"/>
        <v>0</v>
      </c>
      <c r="I65" s="574">
        <f t="shared" si="38"/>
        <v>0</v>
      </c>
      <c r="J65" s="577">
        <f t="shared" si="38"/>
        <v>0</v>
      </c>
      <c r="K65" s="574">
        <f t="shared" si="38"/>
        <v>0</v>
      </c>
      <c r="L65" s="574">
        <f t="shared" si="38"/>
        <v>0</v>
      </c>
      <c r="M65" s="574">
        <f t="shared" si="38"/>
        <v>0</v>
      </c>
      <c r="N65" s="574">
        <f t="shared" si="38"/>
        <v>0</v>
      </c>
      <c r="O65" s="574">
        <f t="shared" si="38"/>
        <v>0</v>
      </c>
      <c r="P65" s="574">
        <f t="shared" si="38"/>
        <v>0</v>
      </c>
      <c r="Q65" s="574">
        <f t="shared" si="38"/>
        <v>0</v>
      </c>
      <c r="R65" s="574">
        <f t="shared" si="38"/>
        <v>0</v>
      </c>
      <c r="S65" s="577">
        <f t="shared" si="38"/>
        <v>0</v>
      </c>
      <c r="T65" s="574">
        <f t="shared" si="38"/>
        <v>0</v>
      </c>
      <c r="U65" s="578">
        <f t="shared" si="38"/>
        <v>0</v>
      </c>
      <c r="V65" s="577">
        <f t="shared" si="38"/>
        <v>0</v>
      </c>
      <c r="W65" s="1195"/>
      <c r="AC65" s="266"/>
      <c r="AD65" s="266"/>
      <c r="AE65" s="266"/>
      <c r="AF65" s="266"/>
      <c r="AG65" s="266"/>
      <c r="AH65" s="266"/>
      <c r="AI65" s="266"/>
      <c r="AJ65" s="266"/>
      <c r="AK65" s="266"/>
      <c r="AL65" s="266"/>
      <c r="AM65" s="266"/>
      <c r="AN65" s="266"/>
      <c r="AO65" s="266"/>
      <c r="AP65" s="266"/>
      <c r="AQ65" s="266"/>
    </row>
    <row r="66" spans="1:43" ht="12.75" thickBot="1">
      <c r="A66" s="908">
        <f>+A64+1</f>
        <v>34</v>
      </c>
      <c r="B66" s="909" t="s">
        <v>1205</v>
      </c>
      <c r="C66" s="910">
        <f>+SUMIF('13.mell_ÖNKfeladatok2018'!$B$5:$B$160,'14.mell_Önk kiegészítés2018'!$A66,'13.mell_ÖNKfeladatok2018'!O$5:O$160)</f>
        <v>0</v>
      </c>
      <c r="D66" s="910">
        <f>+SUMIF('13.mell_ÖNKfeladatok2018'!$B$5:$B$160,'14.mell_Önk kiegészítés2018'!$A66,'13.mell_ÖNKfeladatok2018'!S$5:S$160)</f>
        <v>0</v>
      </c>
      <c r="E66" s="910">
        <f>+SUMIF('13.mell_ÖNKfeladatok2018'!$B$5:$B$160,'14.mell_Önk kiegészítés2018'!$A66,'13.mell_ÖNKfeladatok2018'!W$5:W$160)</f>
        <v>0</v>
      </c>
      <c r="F66" s="910">
        <f>+SUMIF('13.mell_ÖNKfeladatok2018'!$B$5:$B$160,'14.mell_Önk kiegészítés2018'!$A66,'13.mell_ÖNKfeladatok2018'!AA$5:AA$160)</f>
        <v>0</v>
      </c>
      <c r="G66" s="910">
        <f>+SUMIF('13.mell_ÖNKfeladatok2018'!$B$5:$B$160,'14.mell_Önk kiegészítés2018'!$A66,'13.mell_ÖNKfeladatok2018'!AI$5:AI$160)</f>
        <v>0</v>
      </c>
      <c r="H66" s="910">
        <f>+SUMIF('13.mell_ÖNKfeladatok2018'!$B$5:$B$160,'14.mell_Önk kiegészítés2018'!$A66,'13.mell_ÖNKfeladatok2018'!AM$5:AM$160)</f>
        <v>0</v>
      </c>
      <c r="I66" s="910">
        <f>+SUMIF('13.mell_ÖNKfeladatok2018'!$B$5:$B$160,'14.mell_Önk kiegészítés2018'!$A66,'13.mell_ÖNKfeladatok2018'!AQ$5:AQ$160)</f>
        <v>0</v>
      </c>
      <c r="J66" s="911">
        <f>SUM(C66:I66)</f>
        <v>0</v>
      </c>
      <c r="K66" s="910">
        <f>+SUMIF('13.mell_ÖNKfeladatok2018'!$B$168:$B$323,'14.mell_Önk kiegészítés2018'!$A66,'13.mell_ÖNKfeladatok2018'!O$168:O$323)</f>
        <v>0</v>
      </c>
      <c r="L66" s="910">
        <f>+SUMIF('13.mell_ÖNKfeladatok2018'!$B$168:$B$323,'14.mell_Önk kiegészítés2018'!$A66,'13.mell_ÖNKfeladatok2018'!S$168:S$323)</f>
        <v>0</v>
      </c>
      <c r="M66" s="910">
        <f>+SUMIF('13.mell_ÖNKfeladatok2018'!$B$168:$B$323,'14.mell_Önk kiegészítés2018'!$A66,'13.mell_ÖNKfeladatok2018'!W$168:W$323)</f>
        <v>0</v>
      </c>
      <c r="N66" s="910">
        <f>+SUMIF('13.mell_ÖNKfeladatok2018'!$B$168:$B$323,'14.mell_Önk kiegészítés2018'!$A66,'13.mell_ÖNKfeladatok2018'!AA$168:AA$323)</f>
        <v>0</v>
      </c>
      <c r="O66" s="910">
        <f>+SUMIF('13.mell_ÖNKfeladatok2018'!$B$168:$B$323,'14.mell_Önk kiegészítés2018'!$A66,'13.mell_ÖNKfeladatok2018'!AE$168:AE$323)</f>
        <v>0</v>
      </c>
      <c r="P66" s="910">
        <f>+SUMIF('13.mell_ÖNKfeladatok2018'!$B$168:$B$323,'14.mell_Önk kiegészítés2018'!$A66,'13.mell_ÖNKfeladatok2018'!AM$168:AM$323)</f>
        <v>0</v>
      </c>
      <c r="Q66" s="910">
        <f>+SUMIF('13.mell_ÖNKfeladatok2018'!$B$168:$B$323,'14.mell_Önk kiegészítés2018'!$A66,'13.mell_ÖNKfeladatok2018'!AQ$168:AQ$323)</f>
        <v>0</v>
      </c>
      <c r="R66" s="910">
        <f>+SUMIF('13.mell_ÖNKfeladatok2018'!$B$168:$B$323,'14.mell_Önk kiegészítés2018'!$A66,'13.mell_ÖNKfeladatok2018'!AU$168:AU$323)</f>
        <v>0</v>
      </c>
      <c r="S66" s="911">
        <f>SUM(K66:R66)</f>
        <v>0</v>
      </c>
      <c r="T66" s="574">
        <f>S66-J66</f>
        <v>0</v>
      </c>
      <c r="U66" s="1032">
        <f>+ROUND(SUMIF('10.mell_támogatások2018'!$B$6:$B$123,'14.mell_Önk kiegészítés2018'!$A66,'10.mell_támogatások2018'!D$6:D$123)/1000,0)</f>
        <v>0</v>
      </c>
      <c r="V66" s="577">
        <f>+T66-U66</f>
        <v>0</v>
      </c>
      <c r="W66" s="1195"/>
    </row>
    <row r="67" spans="1:43" s="558" customFormat="1" ht="24.75" thickBot="1">
      <c r="A67" s="1044" t="s">
        <v>1260</v>
      </c>
      <c r="B67" s="528" t="s">
        <v>1205</v>
      </c>
      <c r="C67" s="574">
        <f t="shared" ref="C67:V67" si="39">SUM(C66)</f>
        <v>0</v>
      </c>
      <c r="D67" s="574">
        <f t="shared" si="39"/>
        <v>0</v>
      </c>
      <c r="E67" s="574">
        <f t="shared" si="39"/>
        <v>0</v>
      </c>
      <c r="F67" s="574">
        <f t="shared" si="39"/>
        <v>0</v>
      </c>
      <c r="G67" s="574">
        <f t="shared" si="39"/>
        <v>0</v>
      </c>
      <c r="H67" s="574">
        <f t="shared" si="39"/>
        <v>0</v>
      </c>
      <c r="I67" s="574">
        <f t="shared" si="39"/>
        <v>0</v>
      </c>
      <c r="J67" s="577">
        <f t="shared" si="39"/>
        <v>0</v>
      </c>
      <c r="K67" s="574">
        <f t="shared" si="39"/>
        <v>0</v>
      </c>
      <c r="L67" s="574">
        <f t="shared" si="39"/>
        <v>0</v>
      </c>
      <c r="M67" s="574">
        <f t="shared" si="39"/>
        <v>0</v>
      </c>
      <c r="N67" s="574">
        <f t="shared" si="39"/>
        <v>0</v>
      </c>
      <c r="O67" s="574">
        <f t="shared" si="39"/>
        <v>0</v>
      </c>
      <c r="P67" s="574">
        <f t="shared" si="39"/>
        <v>0</v>
      </c>
      <c r="Q67" s="574">
        <f t="shared" si="39"/>
        <v>0</v>
      </c>
      <c r="R67" s="574">
        <f t="shared" si="39"/>
        <v>0</v>
      </c>
      <c r="S67" s="577">
        <f t="shared" si="39"/>
        <v>0</v>
      </c>
      <c r="T67" s="574">
        <f t="shared" si="39"/>
        <v>0</v>
      </c>
      <c r="U67" s="578">
        <f t="shared" si="39"/>
        <v>0</v>
      </c>
      <c r="V67" s="577">
        <f t="shared" si="39"/>
        <v>0</v>
      </c>
      <c r="W67" s="1195"/>
      <c r="AC67" s="266"/>
      <c r="AD67" s="266"/>
      <c r="AE67" s="266"/>
      <c r="AF67" s="266"/>
      <c r="AG67" s="266"/>
      <c r="AH67" s="266"/>
      <c r="AI67" s="266"/>
      <c r="AJ67" s="266"/>
      <c r="AK67" s="266"/>
      <c r="AL67" s="266"/>
      <c r="AM67" s="266"/>
      <c r="AN67" s="266"/>
      <c r="AO67" s="266"/>
      <c r="AP67" s="266"/>
      <c r="AQ67" s="266"/>
    </row>
    <row r="68" spans="1:43" s="558" customFormat="1" ht="12.75" thickBot="1">
      <c r="A68" s="520" t="s">
        <v>42</v>
      </c>
      <c r="B68" s="530" t="s">
        <v>1206</v>
      </c>
      <c r="C68" s="583">
        <f t="shared" ref="C68:V68" si="40">+C63+C65+C67</f>
        <v>0</v>
      </c>
      <c r="D68" s="583">
        <f t="shared" si="40"/>
        <v>0</v>
      </c>
      <c r="E68" s="583">
        <f t="shared" si="40"/>
        <v>0</v>
      </c>
      <c r="F68" s="583">
        <f t="shared" si="40"/>
        <v>0</v>
      </c>
      <c r="G68" s="583">
        <f t="shared" si="40"/>
        <v>0</v>
      </c>
      <c r="H68" s="583">
        <f t="shared" si="40"/>
        <v>0</v>
      </c>
      <c r="I68" s="583">
        <f t="shared" si="40"/>
        <v>0</v>
      </c>
      <c r="J68" s="586">
        <f t="shared" si="40"/>
        <v>0</v>
      </c>
      <c r="K68" s="583">
        <f t="shared" si="40"/>
        <v>37881</v>
      </c>
      <c r="L68" s="583">
        <f t="shared" si="40"/>
        <v>7316</v>
      </c>
      <c r="M68" s="583">
        <f t="shared" si="40"/>
        <v>6014</v>
      </c>
      <c r="N68" s="583">
        <f t="shared" si="40"/>
        <v>0</v>
      </c>
      <c r="O68" s="583">
        <f t="shared" si="40"/>
        <v>0</v>
      </c>
      <c r="P68" s="583">
        <f t="shared" si="40"/>
        <v>0</v>
      </c>
      <c r="Q68" s="583">
        <f t="shared" si="40"/>
        <v>0</v>
      </c>
      <c r="R68" s="583">
        <f t="shared" si="40"/>
        <v>0</v>
      </c>
      <c r="S68" s="586">
        <f t="shared" si="40"/>
        <v>51211</v>
      </c>
      <c r="T68" s="583">
        <f t="shared" si="40"/>
        <v>51211</v>
      </c>
      <c r="U68" s="585">
        <f t="shared" si="40"/>
        <v>50233</v>
      </c>
      <c r="V68" s="586">
        <f t="shared" si="40"/>
        <v>978</v>
      </c>
      <c r="W68" s="1195"/>
      <c r="AC68" s="266"/>
      <c r="AD68" s="266"/>
      <c r="AE68" s="266"/>
      <c r="AF68" s="266"/>
      <c r="AG68" s="266"/>
      <c r="AH68" s="266"/>
      <c r="AI68" s="266"/>
      <c r="AJ68" s="266"/>
      <c r="AK68" s="266"/>
      <c r="AL68" s="266"/>
      <c r="AM68" s="266"/>
      <c r="AN68" s="266"/>
      <c r="AO68" s="266"/>
      <c r="AP68" s="266"/>
      <c r="AQ68" s="266"/>
    </row>
    <row r="69" spans="1:43" s="198" customFormat="1" ht="12.75" thickBot="1">
      <c r="A69" s="542"/>
      <c r="B69" s="598"/>
      <c r="C69" s="587"/>
      <c r="D69" s="588"/>
      <c r="E69" s="588"/>
      <c r="F69" s="588"/>
      <c r="G69" s="588"/>
      <c r="H69" s="588"/>
      <c r="I69" s="589"/>
      <c r="J69" s="590"/>
      <c r="K69" s="599"/>
      <c r="L69" s="599"/>
      <c r="M69" s="599"/>
      <c r="N69" s="599"/>
      <c r="O69" s="599"/>
      <c r="P69" s="599"/>
      <c r="Q69" s="599"/>
      <c r="R69" s="599"/>
      <c r="S69" s="597"/>
      <c r="T69" s="594"/>
      <c r="U69" s="1034"/>
      <c r="V69" s="597"/>
      <c r="W69" s="1195"/>
      <c r="AC69" s="199"/>
      <c r="AD69" s="199"/>
      <c r="AE69" s="199"/>
      <c r="AF69" s="199"/>
      <c r="AG69" s="199"/>
      <c r="AH69" s="199"/>
      <c r="AI69" s="199"/>
      <c r="AJ69" s="199"/>
      <c r="AK69" s="199"/>
      <c r="AL69" s="199"/>
      <c r="AM69" s="199"/>
      <c r="AN69" s="199"/>
      <c r="AO69" s="199"/>
      <c r="AP69" s="199"/>
      <c r="AQ69" s="199"/>
    </row>
    <row r="70" spans="1:43" s="558" customFormat="1" ht="12.75" thickBot="1">
      <c r="A70" s="581" t="s">
        <v>41</v>
      </c>
      <c r="B70" s="582" t="s">
        <v>826</v>
      </c>
      <c r="C70" s="583">
        <f t="shared" ref="C70:V70" si="41">+C20+C32+C42+C52+C60+C68</f>
        <v>907219</v>
      </c>
      <c r="D70" s="583">
        <f t="shared" si="41"/>
        <v>328710</v>
      </c>
      <c r="E70" s="583">
        <f t="shared" si="41"/>
        <v>140709</v>
      </c>
      <c r="F70" s="583">
        <f t="shared" si="41"/>
        <v>2000</v>
      </c>
      <c r="G70" s="583">
        <f t="shared" si="41"/>
        <v>71832</v>
      </c>
      <c r="H70" s="583">
        <f t="shared" si="41"/>
        <v>15350</v>
      </c>
      <c r="I70" s="583">
        <f t="shared" si="41"/>
        <v>1500</v>
      </c>
      <c r="J70" s="586">
        <f t="shared" si="41"/>
        <v>1467320</v>
      </c>
      <c r="K70" s="600">
        <f t="shared" si="41"/>
        <v>613440</v>
      </c>
      <c r="L70" s="600">
        <f t="shared" si="41"/>
        <v>124419</v>
      </c>
      <c r="M70" s="600">
        <f t="shared" si="41"/>
        <v>441900</v>
      </c>
      <c r="N70" s="600">
        <f t="shared" si="41"/>
        <v>51635</v>
      </c>
      <c r="O70" s="600">
        <f t="shared" si="41"/>
        <v>333736</v>
      </c>
      <c r="P70" s="600">
        <f t="shared" si="41"/>
        <v>908654</v>
      </c>
      <c r="Q70" s="600">
        <f t="shared" si="41"/>
        <v>808224</v>
      </c>
      <c r="R70" s="600">
        <f t="shared" si="41"/>
        <v>0</v>
      </c>
      <c r="S70" s="601">
        <f t="shared" si="41"/>
        <v>3282008</v>
      </c>
      <c r="T70" s="600">
        <f t="shared" si="41"/>
        <v>1814688</v>
      </c>
      <c r="U70" s="1035">
        <f t="shared" si="41"/>
        <v>1814688</v>
      </c>
      <c r="V70" s="601">
        <f t="shared" si="41"/>
        <v>0</v>
      </c>
      <c r="W70" s="1195"/>
      <c r="AC70" s="266"/>
      <c r="AD70" s="266"/>
      <c r="AE70" s="266"/>
      <c r="AF70" s="266"/>
      <c r="AG70" s="266"/>
      <c r="AH70" s="266"/>
      <c r="AI70" s="266"/>
      <c r="AJ70" s="266"/>
      <c r="AK70" s="266"/>
      <c r="AL70" s="266"/>
      <c r="AM70" s="266"/>
      <c r="AN70" s="266"/>
      <c r="AO70" s="266"/>
      <c r="AP70" s="266"/>
      <c r="AQ70" s="266"/>
    </row>
    <row r="71" spans="1:43" s="558" customFormat="1" ht="12.75" thickBot="1">
      <c r="A71" s="611" t="s">
        <v>37</v>
      </c>
      <c r="B71" s="603" t="s">
        <v>827</v>
      </c>
      <c r="C71" s="604"/>
      <c r="D71" s="604"/>
      <c r="E71" s="604"/>
      <c r="F71" s="604">
        <f>+'1.mell._Össz_Mérleg2018'!$C$71</f>
        <v>1832034</v>
      </c>
      <c r="G71" s="604"/>
      <c r="H71" s="604"/>
      <c r="I71" s="604">
        <f>+'1.mell._Össz_Mérleg2018'!$C$86</f>
        <v>8000</v>
      </c>
      <c r="J71" s="610">
        <f>SUM(C71:I71)</f>
        <v>1840034</v>
      </c>
      <c r="K71" s="604"/>
      <c r="L71" s="604"/>
      <c r="M71" s="604"/>
      <c r="N71" s="604"/>
      <c r="O71" s="604">
        <f>+'1.mell._Össz_Mérleg2018'!$C$177</f>
        <v>25346</v>
      </c>
      <c r="P71" s="604"/>
      <c r="Q71" s="604"/>
      <c r="R71" s="604">
        <f>+'1.mell._Össz_Mérleg2018'!$C$192</f>
        <v>0</v>
      </c>
      <c r="S71" s="610">
        <f>SUM(K71:R71)</f>
        <v>25346</v>
      </c>
      <c r="T71" s="604">
        <f>S71-J71</f>
        <v>-1814688</v>
      </c>
      <c r="U71" s="1036">
        <f>-1832034-8000+25346</f>
        <v>-1814688</v>
      </c>
      <c r="V71" s="605">
        <f>+T71-U71</f>
        <v>0</v>
      </c>
      <c r="W71" s="1195"/>
      <c r="AC71" s="266"/>
      <c r="AD71" s="266">
        <f>-1832034-8000+25346</f>
        <v>-1814688</v>
      </c>
      <c r="AE71" s="266"/>
      <c r="AF71" s="266"/>
      <c r="AG71" s="266"/>
      <c r="AH71" s="266"/>
      <c r="AI71" s="266"/>
      <c r="AJ71" s="266"/>
      <c r="AK71" s="266"/>
      <c r="AL71" s="266"/>
      <c r="AM71" s="266"/>
      <c r="AN71" s="266"/>
      <c r="AO71" s="266"/>
      <c r="AP71" s="266"/>
      <c r="AQ71" s="266"/>
    </row>
    <row r="72" spans="1:43" s="198" customFormat="1" ht="12.75" thickBot="1">
      <c r="A72" s="581" t="s">
        <v>1264</v>
      </c>
      <c r="B72" s="582" t="s">
        <v>828</v>
      </c>
      <c r="C72" s="583">
        <f>+C70+C71</f>
        <v>907219</v>
      </c>
      <c r="D72" s="583">
        <f t="shared" ref="D72:I72" si="42">+D70+D71</f>
        <v>328710</v>
      </c>
      <c r="E72" s="583">
        <f t="shared" si="42"/>
        <v>140709</v>
      </c>
      <c r="F72" s="583">
        <f t="shared" si="42"/>
        <v>1834034</v>
      </c>
      <c r="G72" s="583">
        <f t="shared" si="42"/>
        <v>71832</v>
      </c>
      <c r="H72" s="583">
        <f t="shared" si="42"/>
        <v>15350</v>
      </c>
      <c r="I72" s="583">
        <f t="shared" si="42"/>
        <v>9500</v>
      </c>
      <c r="J72" s="586">
        <f>+J70+J71</f>
        <v>3307354</v>
      </c>
      <c r="K72" s="583">
        <f t="shared" ref="K72:V72" si="43">+K70+K71</f>
        <v>613440</v>
      </c>
      <c r="L72" s="583">
        <f t="shared" si="43"/>
        <v>124419</v>
      </c>
      <c r="M72" s="583">
        <f t="shared" si="43"/>
        <v>441900</v>
      </c>
      <c r="N72" s="583">
        <f t="shared" si="43"/>
        <v>51635</v>
      </c>
      <c r="O72" s="583">
        <f t="shared" si="43"/>
        <v>359082</v>
      </c>
      <c r="P72" s="583">
        <f t="shared" si="43"/>
        <v>908654</v>
      </c>
      <c r="Q72" s="583">
        <f t="shared" si="43"/>
        <v>808224</v>
      </c>
      <c r="R72" s="583">
        <f t="shared" si="43"/>
        <v>0</v>
      </c>
      <c r="S72" s="586">
        <f t="shared" si="43"/>
        <v>3307354</v>
      </c>
      <c r="T72" s="583">
        <f t="shared" si="43"/>
        <v>0</v>
      </c>
      <c r="U72" s="585">
        <f t="shared" si="43"/>
        <v>0</v>
      </c>
      <c r="V72" s="586">
        <f t="shared" si="43"/>
        <v>0</v>
      </c>
      <c r="W72" s="1195"/>
      <c r="AC72" s="199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  <c r="AN72" s="199"/>
      <c r="AO72" s="199"/>
      <c r="AP72" s="199"/>
      <c r="AQ72" s="199"/>
    </row>
    <row r="73" spans="1:43" s="679" customFormat="1" ht="15.75">
      <c r="A73" s="1045"/>
      <c r="B73" s="1045"/>
      <c r="C73" s="1045"/>
      <c r="D73" s="1045"/>
      <c r="E73" s="1045"/>
      <c r="F73" s="1045"/>
      <c r="G73" s="1045"/>
      <c r="H73" s="1045"/>
      <c r="I73" s="1045"/>
      <c r="J73" s="1045"/>
      <c r="K73" s="1045"/>
      <c r="L73" s="1045"/>
      <c r="M73" s="1045"/>
      <c r="N73" s="1045"/>
      <c r="O73" s="1045"/>
      <c r="P73" s="1045"/>
      <c r="Q73" s="1045"/>
      <c r="R73" s="1045"/>
      <c r="S73" s="1045"/>
      <c r="T73" s="1214"/>
      <c r="U73" s="1045"/>
      <c r="V73" s="1045"/>
      <c r="W73" s="1194"/>
      <c r="AC73" s="678"/>
      <c r="AD73" s="678"/>
      <c r="AE73" s="678"/>
      <c r="AF73" s="678"/>
      <c r="AG73" s="678"/>
      <c r="AH73" s="678"/>
      <c r="AI73" s="678"/>
      <c r="AJ73" s="678"/>
      <c r="AK73" s="678"/>
      <c r="AL73" s="678"/>
      <c r="AM73" s="678"/>
      <c r="AN73" s="678"/>
      <c r="AO73" s="678"/>
      <c r="AP73" s="678"/>
      <c r="AQ73" s="678"/>
    </row>
    <row r="74" spans="1:43" ht="12.75" thickBot="1">
      <c r="V74" s="242" t="s">
        <v>458</v>
      </c>
      <c r="W74" s="242"/>
    </row>
    <row r="75" spans="1:43" s="561" customFormat="1" ht="84.75" thickBot="1">
      <c r="A75" s="913" t="s">
        <v>17</v>
      </c>
      <c r="B75" s="914" t="s">
        <v>1481</v>
      </c>
      <c r="C75" s="915" t="s">
        <v>817</v>
      </c>
      <c r="D75" s="367" t="s">
        <v>526</v>
      </c>
      <c r="E75" s="367" t="s">
        <v>818</v>
      </c>
      <c r="F75" s="367" t="s">
        <v>1265</v>
      </c>
      <c r="G75" s="367" t="s">
        <v>533</v>
      </c>
      <c r="H75" s="367" t="s">
        <v>534</v>
      </c>
      <c r="I75" s="366" t="s">
        <v>1266</v>
      </c>
      <c r="J75" s="303" t="s">
        <v>525</v>
      </c>
      <c r="K75" s="915" t="s">
        <v>46</v>
      </c>
      <c r="L75" s="367" t="s">
        <v>447</v>
      </c>
      <c r="M75" s="367" t="s">
        <v>448</v>
      </c>
      <c r="N75" s="367" t="s">
        <v>820</v>
      </c>
      <c r="O75" s="367" t="s">
        <v>1267</v>
      </c>
      <c r="P75" s="367" t="s">
        <v>451</v>
      </c>
      <c r="Q75" s="367" t="s">
        <v>452</v>
      </c>
      <c r="R75" s="297" t="s">
        <v>1268</v>
      </c>
      <c r="S75" s="303" t="s">
        <v>528</v>
      </c>
      <c r="T75" s="916" t="s">
        <v>810</v>
      </c>
      <c r="U75" s="1026" t="s">
        <v>1469</v>
      </c>
      <c r="V75" s="560" t="s">
        <v>811</v>
      </c>
      <c r="W75" s="512"/>
      <c r="AC75" s="561" t="s">
        <v>1162</v>
      </c>
      <c r="AD75" s="561" t="s">
        <v>1132</v>
      </c>
      <c r="AE75" s="561" t="s">
        <v>1467</v>
      </c>
      <c r="AF75" s="561" t="s">
        <v>1272</v>
      </c>
      <c r="AG75" s="561" t="s">
        <v>1494</v>
      </c>
      <c r="AH75" s="561" t="s">
        <v>1271</v>
      </c>
      <c r="AI75" s="561" t="s">
        <v>1495</v>
      </c>
      <c r="AJ75" s="561" t="s">
        <v>1277</v>
      </c>
      <c r="AK75" s="561" t="s">
        <v>1468</v>
      </c>
    </row>
    <row r="76" spans="1:43">
      <c r="A76" s="850">
        <v>1</v>
      </c>
      <c r="B76" s="755" t="s">
        <v>415</v>
      </c>
      <c r="C76" s="563">
        <f>+SUMIF('13.mell_ÖNKfeladatok2018'!$B$5:$B$160,'14.mell_Önk kiegészítés2018'!$A76,'13.mell_ÖNKfeladatok2018'!P$5:P$160)</f>
        <v>0</v>
      </c>
      <c r="D76" s="563">
        <f>+SUMIF('13.mell_ÖNKfeladatok2018'!$B$5:$B$160,'14.mell_Önk kiegészítés2018'!$A76,'13.mell_ÖNKfeladatok2018'!T$5:T$160)</f>
        <v>0</v>
      </c>
      <c r="E76" s="563">
        <f>+SUMIF('13.mell_ÖNKfeladatok2018'!$B$5:$B$160,'14.mell_Önk kiegészítés2018'!$A76,'13.mell_ÖNKfeladatok2018'!X$5:X$160)</f>
        <v>0</v>
      </c>
      <c r="F76" s="563">
        <f>+SUMIF('13.mell_ÖNKfeladatok2018'!$B$5:$B$160,'14.mell_Önk kiegészítés2018'!$A76,'13.mell_ÖNKfeladatok2018'!AB$5:AB$160)</f>
        <v>0</v>
      </c>
      <c r="G76" s="563">
        <f>+SUMIF('13.mell_ÖNKfeladatok2018'!$B$5:$B$160,'14.mell_Önk kiegészítés2018'!$A76,'13.mell_ÖNKfeladatok2018'!AJ$5:AJ$160)</f>
        <v>0</v>
      </c>
      <c r="H76" s="563">
        <f>+SUMIF('13.mell_ÖNKfeladatok2018'!$B$5:$B$160,'14.mell_Önk kiegészítés2018'!$A76,'13.mell_ÖNKfeladatok2018'!AN$5:AN$160)</f>
        <v>0</v>
      </c>
      <c r="I76" s="563">
        <f>+SUMIF('13.mell_ÖNKfeladatok2018'!$B$5:$B$160,'14.mell_Önk kiegészítés2018'!$A76,'13.mell_ÖNKfeladatok2018'!AR$5:AR$160)</f>
        <v>0</v>
      </c>
      <c r="J76" s="756">
        <f>SUM(C76:I76)</f>
        <v>0</v>
      </c>
      <c r="K76" s="563">
        <f>+SUMIF('13.mell_ÖNKfeladatok2018'!$B$168:$B$323,'14.mell_Önk kiegészítés2018'!$A76,'13.mell_ÖNKfeladatok2018'!P$168:P$323)</f>
        <v>0</v>
      </c>
      <c r="L76" s="563">
        <f>+SUMIF('13.mell_ÖNKfeladatok2018'!$B$168:$B$323,'14.mell_Önk kiegészítés2018'!$A76,'13.mell_ÖNKfeladatok2018'!T$168:T$323)</f>
        <v>0</v>
      </c>
      <c r="M76" s="563">
        <f>+SUMIF('13.mell_ÖNKfeladatok2018'!$B$168:$B$323,'14.mell_Önk kiegészítés2018'!$A76,'13.mell_ÖNKfeladatok2018'!X$168:X$323)</f>
        <v>0</v>
      </c>
      <c r="N76" s="563">
        <f>+SUMIF('13.mell_ÖNKfeladatok2018'!$B$168:$B$323,'14.mell_Önk kiegészítés2018'!$A76,'13.mell_ÖNKfeladatok2018'!AB$168:AB$323)</f>
        <v>0</v>
      </c>
      <c r="O76" s="563">
        <f>+SUMIF('13.mell_ÖNKfeladatok2018'!$B$168:$B$323,'14.mell_Önk kiegészítés2018'!$A76,'13.mell_ÖNKfeladatok2018'!AF$168:AF$323)</f>
        <v>0</v>
      </c>
      <c r="P76" s="563">
        <f>+SUMIF('13.mell_ÖNKfeladatok2018'!$B$168:$B$323,'14.mell_Önk kiegészítés2018'!$A76,'13.mell_ÖNKfeladatok2018'!AN$168:AN$323)</f>
        <v>0</v>
      </c>
      <c r="Q76" s="563">
        <f>+SUMIF('13.mell_ÖNKfeladatok2018'!$B$168:$B$323,'14.mell_Önk kiegészítés2018'!$A76,'13.mell_ÖNKfeladatok2018'!AR$168:AR$323)</f>
        <v>0</v>
      </c>
      <c r="R76" s="563">
        <f>+SUMIF('13.mell_ÖNKfeladatok2018'!$B$168:$B$323,'14.mell_Önk kiegészítés2018'!$A76,'13.mell_ÖNKfeladatok2018'!AV$168:AV$323)</f>
        <v>0</v>
      </c>
      <c r="S76" s="756">
        <f>SUM(K76:R76)</f>
        <v>0</v>
      </c>
      <c r="T76" s="757">
        <f>S76-J76</f>
        <v>0</v>
      </c>
      <c r="U76" s="563">
        <f>+ROUND(SUMIF('10.mell_támogatások2018'!$B$6:$B$123,'14.mell_Önk kiegészítés2018'!$A76,'10.mell_támogatások2018'!E$6:E$123)/1000,0)</f>
        <v>2049</v>
      </c>
      <c r="V76" s="758">
        <f>+T76-U76</f>
        <v>-2049</v>
      </c>
      <c r="W76" s="1195"/>
    </row>
    <row r="77" spans="1:43">
      <c r="A77" s="851">
        <f>+A76+1</f>
        <v>2</v>
      </c>
      <c r="B77" s="562" t="s">
        <v>657</v>
      </c>
      <c r="C77" s="563">
        <f>+SUMIF('13.mell_ÖNKfeladatok2018'!$B$5:$B$160,'14.mell_Önk kiegészítés2018'!$A77,'13.mell_ÖNKfeladatok2018'!P$5:P$160)</f>
        <v>0</v>
      </c>
      <c r="D77" s="563">
        <f>+SUMIF('13.mell_ÖNKfeladatok2018'!$B$5:$B$160,'14.mell_Önk kiegészítés2018'!$A77,'13.mell_ÖNKfeladatok2018'!T$5:T$160)</f>
        <v>0</v>
      </c>
      <c r="E77" s="563">
        <f>+SUMIF('13.mell_ÖNKfeladatok2018'!$B$5:$B$160,'14.mell_Önk kiegészítés2018'!$A77,'13.mell_ÖNKfeladatok2018'!X$5:X$160)</f>
        <v>339</v>
      </c>
      <c r="F77" s="563">
        <f>+SUMIF('13.mell_ÖNKfeladatok2018'!$B$5:$B$160,'14.mell_Önk kiegészítés2018'!$A77,'13.mell_ÖNKfeladatok2018'!AB$5:AB$160)</f>
        <v>0</v>
      </c>
      <c r="G77" s="563">
        <f>+SUMIF('13.mell_ÖNKfeladatok2018'!$B$5:$B$160,'14.mell_Önk kiegészítés2018'!$A77,'13.mell_ÖNKfeladatok2018'!AJ$5:AJ$160)</f>
        <v>0</v>
      </c>
      <c r="H77" s="563">
        <f>+SUMIF('13.mell_ÖNKfeladatok2018'!$B$5:$B$160,'14.mell_Önk kiegészítés2018'!$A77,'13.mell_ÖNKfeladatok2018'!AN$5:AN$160)</f>
        <v>1356</v>
      </c>
      <c r="I77" s="563">
        <f>+SUMIF('13.mell_ÖNKfeladatok2018'!$B$5:$B$160,'14.mell_Önk kiegészítés2018'!$A77,'13.mell_ÖNKfeladatok2018'!AR$5:AR$160)</f>
        <v>0</v>
      </c>
      <c r="J77" s="606">
        <f t="shared" ref="J77:J83" si="44">SUM(C77:I77)</f>
        <v>1695</v>
      </c>
      <c r="K77" s="563">
        <f>+SUMIF('13.mell_ÖNKfeladatok2018'!$B$168:$B$323,'14.mell_Önk kiegészítés2018'!$A77,'13.mell_ÖNKfeladatok2018'!P$168:P$323)</f>
        <v>0</v>
      </c>
      <c r="L77" s="563">
        <f>+SUMIF('13.mell_ÖNKfeladatok2018'!$B$168:$B$323,'14.mell_Önk kiegészítés2018'!$A77,'13.mell_ÖNKfeladatok2018'!T$168:T$323)</f>
        <v>0</v>
      </c>
      <c r="M77" s="563">
        <f>+SUMIF('13.mell_ÖNKfeladatok2018'!$B$168:$B$323,'14.mell_Önk kiegészítés2018'!$A77,'13.mell_ÖNKfeladatok2018'!X$168:X$323)</f>
        <v>2197</v>
      </c>
      <c r="N77" s="563">
        <f>+SUMIF('13.mell_ÖNKfeladatok2018'!$B$168:$B$323,'14.mell_Önk kiegészítés2018'!$A77,'13.mell_ÖNKfeladatok2018'!AB$168:AB$323)</f>
        <v>0</v>
      </c>
      <c r="O77" s="563">
        <f>+SUMIF('13.mell_ÖNKfeladatok2018'!$B$168:$B$323,'14.mell_Önk kiegészítés2018'!$A77,'13.mell_ÖNKfeladatok2018'!AF$168:AF$323)</f>
        <v>0</v>
      </c>
      <c r="P77" s="563">
        <f>+SUMIF('13.mell_ÖNKfeladatok2018'!$B$168:$B$323,'14.mell_Önk kiegészítés2018'!$A77,'13.mell_ÖNKfeladatok2018'!AN$168:AN$323)</f>
        <v>0</v>
      </c>
      <c r="Q77" s="563">
        <f>+SUMIF('13.mell_ÖNKfeladatok2018'!$B$168:$B$323,'14.mell_Önk kiegészítés2018'!$A77,'13.mell_ÖNKfeladatok2018'!AR$168:AR$323)</f>
        <v>0</v>
      </c>
      <c r="R77" s="563">
        <f>+SUMIF('13.mell_ÖNKfeladatok2018'!$B$168:$B$323,'14.mell_Önk kiegészítés2018'!$A77,'13.mell_ÖNKfeladatok2018'!AV$168:AV$323)</f>
        <v>0</v>
      </c>
      <c r="S77" s="606">
        <f t="shared" ref="S77:S79" si="45">SUM(K77:R77)</f>
        <v>2197</v>
      </c>
      <c r="T77" s="564">
        <f>S77-J77</f>
        <v>502</v>
      </c>
      <c r="U77" s="1027">
        <f>+ROUND(SUMIF('10.mell_támogatások2018'!$B$6:$B$123,'14.mell_Önk kiegészítés2018'!$A77,'10.mell_támogatások2018'!E$6:E$123)/1000,0)</f>
        <v>3460</v>
      </c>
      <c r="V77" s="565">
        <f t="shared" ref="V77:V79" si="46">+T77-U77</f>
        <v>-2958</v>
      </c>
      <c r="W77" s="1195"/>
    </row>
    <row r="78" spans="1:43">
      <c r="A78" s="851">
        <f>+A77+1</f>
        <v>3</v>
      </c>
      <c r="B78" s="566" t="s">
        <v>652</v>
      </c>
      <c r="C78" s="567">
        <f>+SUMIF('13.mell_ÖNKfeladatok2018'!$B$5:$B$160,'14.mell_Önk kiegészítés2018'!$A78,'13.mell_ÖNKfeladatok2018'!P$5:P$160)</f>
        <v>0</v>
      </c>
      <c r="D78" s="567">
        <f>+SUMIF('13.mell_ÖNKfeladatok2018'!$B$5:$B$160,'14.mell_Önk kiegészítés2018'!$A78,'13.mell_ÖNKfeladatok2018'!T$5:T$160)</f>
        <v>0</v>
      </c>
      <c r="E78" s="567">
        <f>+SUMIF('13.mell_ÖNKfeladatok2018'!$B$5:$B$160,'14.mell_Önk kiegészítés2018'!$A78,'13.mell_ÖNKfeladatok2018'!X$5:X$160)</f>
        <v>0</v>
      </c>
      <c r="F78" s="567">
        <f>+SUMIF('13.mell_ÖNKfeladatok2018'!$B$5:$B$160,'14.mell_Önk kiegészítés2018'!$A78,'13.mell_ÖNKfeladatok2018'!AB$5:AB$160)</f>
        <v>0</v>
      </c>
      <c r="G78" s="563">
        <f>+SUMIF('13.mell_ÖNKfeladatok2018'!$B$5:$B$160,'14.mell_Önk kiegészítés2018'!$A78,'13.mell_ÖNKfeladatok2018'!AJ$5:AJ$160)</f>
        <v>0</v>
      </c>
      <c r="H78" s="567">
        <f>+SUMIF('13.mell_ÖNKfeladatok2018'!$B$5:$B$160,'14.mell_Önk kiegészítés2018'!$A78,'13.mell_ÖNKfeladatok2018'!AN$5:AN$160)</f>
        <v>0</v>
      </c>
      <c r="I78" s="567">
        <f>+SUMIF('13.mell_ÖNKfeladatok2018'!$B$5:$B$160,'14.mell_Önk kiegészítés2018'!$A78,'13.mell_ÖNKfeladatok2018'!AR$5:AR$160)</f>
        <v>0</v>
      </c>
      <c r="J78" s="607">
        <f t="shared" si="44"/>
        <v>0</v>
      </c>
      <c r="K78" s="567">
        <f>+SUMIF('13.mell_ÖNKfeladatok2018'!$B$168:$B$323,'14.mell_Önk kiegészítés2018'!$A78,'13.mell_ÖNKfeladatok2018'!P$168:P$323)</f>
        <v>0</v>
      </c>
      <c r="L78" s="567">
        <f>+SUMIF('13.mell_ÖNKfeladatok2018'!$B$168:$B$323,'14.mell_Önk kiegészítés2018'!$A78,'13.mell_ÖNKfeladatok2018'!T$168:T$323)</f>
        <v>0</v>
      </c>
      <c r="M78" s="567">
        <f>+SUMIF('13.mell_ÖNKfeladatok2018'!$B$168:$B$323,'14.mell_Önk kiegészítés2018'!$A78,'13.mell_ÖNKfeladatok2018'!X$168:X$323)</f>
        <v>26265</v>
      </c>
      <c r="N78" s="567">
        <f>+SUMIF('13.mell_ÖNKfeladatok2018'!$B$168:$B$323,'14.mell_Önk kiegészítés2018'!$A78,'13.mell_ÖNKfeladatok2018'!AB$168:AB$323)</f>
        <v>0</v>
      </c>
      <c r="O78" s="567">
        <f>+SUMIF('13.mell_ÖNKfeladatok2018'!$B$168:$B$323,'14.mell_Önk kiegészítés2018'!$A78,'13.mell_ÖNKfeladatok2018'!AF$168:AF$323)</f>
        <v>0</v>
      </c>
      <c r="P78" s="567">
        <f>+SUMIF('13.mell_ÖNKfeladatok2018'!$B$168:$B$323,'14.mell_Önk kiegészítés2018'!$A78,'13.mell_ÖNKfeladatok2018'!AN$168:AN$323)</f>
        <v>0</v>
      </c>
      <c r="Q78" s="567">
        <f>+SUMIF('13.mell_ÖNKfeladatok2018'!$B$168:$B$323,'14.mell_Önk kiegészítés2018'!$A78,'13.mell_ÖNKfeladatok2018'!AR$168:AR$323)</f>
        <v>0</v>
      </c>
      <c r="R78" s="567">
        <f>+SUMIF('13.mell_ÖNKfeladatok2018'!$B$168:$B$323,'14.mell_Önk kiegészítés2018'!$A78,'13.mell_ÖNKfeladatok2018'!AV$168:AV$323)</f>
        <v>0</v>
      </c>
      <c r="S78" s="607">
        <f t="shared" si="45"/>
        <v>26265</v>
      </c>
      <c r="T78" s="568">
        <f t="shared" ref="T78:T79" si="47">S78-J78</f>
        <v>26265</v>
      </c>
      <c r="U78" s="1027">
        <f>+ROUND(SUMIF('10.mell_támogatások2018'!$B$6:$B$123,'14.mell_Önk kiegészítés2018'!$A78,'10.mell_támogatások2018'!E$6:E$123)/1000,0)</f>
        <v>26600</v>
      </c>
      <c r="V78" s="569">
        <f t="shared" si="46"/>
        <v>-335</v>
      </c>
      <c r="W78" s="1195"/>
    </row>
    <row r="79" spans="1:43">
      <c r="A79" s="851">
        <f>+A78+1</f>
        <v>4</v>
      </c>
      <c r="B79" s="566" t="s">
        <v>654</v>
      </c>
      <c r="C79" s="567">
        <f>+SUMIF('13.mell_ÖNKfeladatok2018'!$B$5:$B$160,'14.mell_Önk kiegészítés2018'!$A79,'13.mell_ÖNKfeladatok2018'!P$5:P$160)</f>
        <v>0</v>
      </c>
      <c r="D79" s="567">
        <f>+SUMIF('13.mell_ÖNKfeladatok2018'!$B$5:$B$160,'14.mell_Önk kiegészítés2018'!$A79,'13.mell_ÖNKfeladatok2018'!T$5:T$160)</f>
        <v>0</v>
      </c>
      <c r="E79" s="567">
        <f>+SUMIF('13.mell_ÖNKfeladatok2018'!$B$5:$B$160,'14.mell_Önk kiegészítés2018'!$A79,'13.mell_ÖNKfeladatok2018'!X$5:X$160)</f>
        <v>0</v>
      </c>
      <c r="F79" s="567">
        <f>+SUMIF('13.mell_ÖNKfeladatok2018'!$B$5:$B$160,'14.mell_Önk kiegészítés2018'!$A79,'13.mell_ÖNKfeladatok2018'!AB$5:AB$160)</f>
        <v>0</v>
      </c>
      <c r="G79" s="563">
        <f>+SUMIF('13.mell_ÖNKfeladatok2018'!$B$5:$B$160,'14.mell_Önk kiegészítés2018'!$A79,'13.mell_ÖNKfeladatok2018'!AJ$5:AJ$160)</f>
        <v>0</v>
      </c>
      <c r="H79" s="567">
        <f>+SUMIF('13.mell_ÖNKfeladatok2018'!$B$5:$B$160,'14.mell_Önk kiegészítés2018'!$A79,'13.mell_ÖNKfeladatok2018'!AN$5:AN$160)</f>
        <v>0</v>
      </c>
      <c r="I79" s="567">
        <f>+SUMIF('13.mell_ÖNKfeladatok2018'!$B$5:$B$160,'14.mell_Önk kiegészítés2018'!$A79,'13.mell_ÖNKfeladatok2018'!AR$5:AR$160)</f>
        <v>0</v>
      </c>
      <c r="J79" s="607">
        <f t="shared" si="44"/>
        <v>0</v>
      </c>
      <c r="K79" s="567">
        <f>+SUMIF('13.mell_ÖNKfeladatok2018'!$B$168:$B$323,'14.mell_Önk kiegészítés2018'!$A79,'13.mell_ÖNKfeladatok2018'!P$168:P$323)</f>
        <v>0</v>
      </c>
      <c r="L79" s="567">
        <f>+SUMIF('13.mell_ÖNKfeladatok2018'!$B$168:$B$323,'14.mell_Önk kiegészítés2018'!$A79,'13.mell_ÖNKfeladatok2018'!T$168:T$323)</f>
        <v>0</v>
      </c>
      <c r="M79" s="567">
        <f>+SUMIF('13.mell_ÖNKfeladatok2018'!$B$168:$B$323,'14.mell_Önk kiegészítés2018'!$A79,'13.mell_ÖNKfeladatok2018'!X$168:X$323)</f>
        <v>6173</v>
      </c>
      <c r="N79" s="567">
        <f>+SUMIF('13.mell_ÖNKfeladatok2018'!$B$168:$B$323,'14.mell_Önk kiegészítés2018'!$A79,'13.mell_ÖNKfeladatok2018'!AB$168:AB$323)</f>
        <v>0</v>
      </c>
      <c r="O79" s="567">
        <f>+SUMIF('13.mell_ÖNKfeladatok2018'!$B$168:$B$323,'14.mell_Önk kiegészítés2018'!$A79,'13.mell_ÖNKfeladatok2018'!AF$168:AF$323)</f>
        <v>0</v>
      </c>
      <c r="P79" s="567">
        <f>+SUMIF('13.mell_ÖNKfeladatok2018'!$B$168:$B$323,'14.mell_Önk kiegészítés2018'!$A79,'13.mell_ÖNKfeladatok2018'!AN$168:AN$323)</f>
        <v>720</v>
      </c>
      <c r="Q79" s="567">
        <f>+SUMIF('13.mell_ÖNKfeladatok2018'!$B$168:$B$323,'14.mell_Önk kiegészítés2018'!$A79,'13.mell_ÖNKfeladatok2018'!AR$168:AR$323)</f>
        <v>0</v>
      </c>
      <c r="R79" s="567">
        <f>+SUMIF('13.mell_ÖNKfeladatok2018'!$B$168:$B$323,'14.mell_Önk kiegészítés2018'!$A79,'13.mell_ÖNKfeladatok2018'!AV$168:AV$323)</f>
        <v>0</v>
      </c>
      <c r="S79" s="607">
        <f t="shared" si="45"/>
        <v>6893</v>
      </c>
      <c r="T79" s="568">
        <f t="shared" si="47"/>
        <v>6893</v>
      </c>
      <c r="U79" s="1027">
        <f>+ROUND(SUMIF('10.mell_támogatások2018'!$B$6:$B$123,'14.mell_Önk kiegészítés2018'!$A79,'10.mell_támogatások2018'!E$6:E$123)/1000,0)</f>
        <v>13509</v>
      </c>
      <c r="V79" s="569">
        <f t="shared" si="46"/>
        <v>-6616</v>
      </c>
      <c r="W79" s="1195"/>
    </row>
    <row r="80" spans="1:43">
      <c r="A80" s="851">
        <f>+A79+1</f>
        <v>5</v>
      </c>
      <c r="B80" s="566" t="s">
        <v>651</v>
      </c>
      <c r="C80" s="567">
        <f>+SUMIF('13.mell_ÖNKfeladatok2018'!$B$5:$B$160,'14.mell_Önk kiegészítés2018'!$A80,'13.mell_ÖNKfeladatok2018'!P$5:P$160)</f>
        <v>0</v>
      </c>
      <c r="D80" s="567">
        <f>+SUMIF('13.mell_ÖNKfeladatok2018'!$B$5:$B$160,'14.mell_Önk kiegészítés2018'!$A80,'13.mell_ÖNKfeladatok2018'!T$5:T$160)</f>
        <v>0</v>
      </c>
      <c r="E80" s="567">
        <f>+SUMIF('13.mell_ÖNKfeladatok2018'!$B$5:$B$160,'14.mell_Önk kiegészítés2018'!$A80,'13.mell_ÖNKfeladatok2018'!X$5:X$160)</f>
        <v>0</v>
      </c>
      <c r="F80" s="567">
        <f>+SUMIF('13.mell_ÖNKfeladatok2018'!$B$5:$B$160,'14.mell_Önk kiegészítés2018'!$A80,'13.mell_ÖNKfeladatok2018'!AB$5:AB$160)</f>
        <v>0</v>
      </c>
      <c r="G80" s="563">
        <f>+SUMIF('13.mell_ÖNKfeladatok2018'!$B$5:$B$160,'14.mell_Önk kiegészítés2018'!$A80,'13.mell_ÖNKfeladatok2018'!AJ$5:AJ$160)</f>
        <v>0</v>
      </c>
      <c r="H80" s="567">
        <f>+SUMIF('13.mell_ÖNKfeladatok2018'!$B$5:$B$160,'14.mell_Önk kiegészítés2018'!$A80,'13.mell_ÖNKfeladatok2018'!AN$5:AN$160)</f>
        <v>0</v>
      </c>
      <c r="I80" s="567">
        <f>+SUMIF('13.mell_ÖNKfeladatok2018'!$B$5:$B$160,'14.mell_Önk kiegészítés2018'!$A80,'13.mell_ÖNKfeladatok2018'!AR$5:AR$160)</f>
        <v>0</v>
      </c>
      <c r="J80" s="607">
        <f t="shared" si="44"/>
        <v>0</v>
      </c>
      <c r="K80" s="567">
        <f>+SUMIF('13.mell_ÖNKfeladatok2018'!$B$168:$B$323,'14.mell_Önk kiegészítés2018'!$A80,'13.mell_ÖNKfeladatok2018'!P$168:P$323)</f>
        <v>0</v>
      </c>
      <c r="L80" s="567">
        <f>+SUMIF('13.mell_ÖNKfeladatok2018'!$B$168:$B$323,'14.mell_Önk kiegészítés2018'!$A80,'13.mell_ÖNKfeladatok2018'!T$168:T$323)</f>
        <v>0</v>
      </c>
      <c r="M80" s="567">
        <f>+SUMIF('13.mell_ÖNKfeladatok2018'!$B$168:$B$323,'14.mell_Önk kiegészítés2018'!$A80,'13.mell_ÖNKfeladatok2018'!X$168:X$323)</f>
        <v>7868</v>
      </c>
      <c r="N80" s="567">
        <f>+SUMIF('13.mell_ÖNKfeladatok2018'!$B$168:$B$323,'14.mell_Önk kiegészítés2018'!$A80,'13.mell_ÖNKfeladatok2018'!AB$168:AB$323)</f>
        <v>0</v>
      </c>
      <c r="O80" s="567">
        <f>+SUMIF('13.mell_ÖNKfeladatok2018'!$B$168:$B$323,'14.mell_Önk kiegészítés2018'!$A80,'13.mell_ÖNKfeladatok2018'!AF$168:AF$323)</f>
        <v>0</v>
      </c>
      <c r="P80" s="567">
        <f>+SUMIF('13.mell_ÖNKfeladatok2018'!$B$168:$B$323,'14.mell_Önk kiegészítés2018'!$A80,'13.mell_ÖNKfeladatok2018'!AN$168:AN$323)</f>
        <v>1032</v>
      </c>
      <c r="Q80" s="567">
        <f>+SUMIF('13.mell_ÖNKfeladatok2018'!$B$168:$B$323,'14.mell_Önk kiegészítés2018'!$A80,'13.mell_ÖNKfeladatok2018'!AR$168:AR$323)</f>
        <v>3810</v>
      </c>
      <c r="R80" s="567">
        <f>+SUMIF('13.mell_ÖNKfeladatok2018'!$B$168:$B$323,'14.mell_Önk kiegészítés2018'!$A80,'13.mell_ÖNKfeladatok2018'!AV$168:AV$323)</f>
        <v>0</v>
      </c>
      <c r="S80" s="607">
        <f>SUM(K80:R80)</f>
        <v>12710</v>
      </c>
      <c r="T80" s="568">
        <f>S80-J80</f>
        <v>12710</v>
      </c>
      <c r="U80" s="1027">
        <f>+ROUND(SUMIF('10.mell_támogatások2018'!$B$6:$B$123,'14.mell_Önk kiegészítés2018'!$A80,'10.mell_támogatások2018'!E$6:E$123)/1000,0)</f>
        <v>14918</v>
      </c>
      <c r="V80" s="569">
        <f>+T80-U80</f>
        <v>-2208</v>
      </c>
      <c r="W80" s="1195"/>
    </row>
    <row r="81" spans="1:43">
      <c r="A81" s="851">
        <f>+A80+1</f>
        <v>6</v>
      </c>
      <c r="B81" s="566" t="s">
        <v>1261</v>
      </c>
      <c r="C81" s="567">
        <f>+SUMIF('13.mell_ÖNKfeladatok2018'!$B$5:$B$160,'14.mell_Önk kiegészítés2018'!$A81,'13.mell_ÖNKfeladatok2018'!P$5:P$160)</f>
        <v>220124</v>
      </c>
      <c r="D81" s="567">
        <f>+SUMIF('13.mell_ÖNKfeladatok2018'!$B$5:$B$160,'14.mell_Önk kiegészítés2018'!$A81,'13.mell_ÖNKfeladatok2018'!T$5:T$160)</f>
        <v>0</v>
      </c>
      <c r="E81" s="567">
        <f>+SUMIF('13.mell_ÖNKfeladatok2018'!$B$5:$B$160,'14.mell_Önk kiegészítés2018'!$A81,'13.mell_ÖNKfeladatok2018'!X$5:X$160)</f>
        <v>8549</v>
      </c>
      <c r="F81" s="567">
        <f>+SUMIF('13.mell_ÖNKfeladatok2018'!$B$5:$B$160,'14.mell_Önk kiegészítés2018'!$A81,'13.mell_ÖNKfeladatok2018'!AB$5:AB$160)</f>
        <v>0</v>
      </c>
      <c r="G81" s="563">
        <f>+SUMIF('13.mell_ÖNKfeladatok2018'!$B$5:$B$160,'14.mell_Önk kiegészítés2018'!$A81,'13.mell_ÖNKfeladatok2018'!AJ$5:AJ$160)</f>
        <v>11296</v>
      </c>
      <c r="H81" s="567">
        <f>+SUMIF('13.mell_ÖNKfeladatok2018'!$B$5:$B$160,'14.mell_Önk kiegészítés2018'!$A81,'13.mell_ÖNKfeladatok2018'!AN$5:AN$160)</f>
        <v>0</v>
      </c>
      <c r="I81" s="567">
        <f>+SUMIF('13.mell_ÖNKfeladatok2018'!$B$5:$B$160,'14.mell_Önk kiegészítés2018'!$A81,'13.mell_ÖNKfeladatok2018'!AR$5:AR$160)</f>
        <v>0</v>
      </c>
      <c r="J81" s="607">
        <f t="shared" si="44"/>
        <v>239969</v>
      </c>
      <c r="K81" s="567">
        <f>+SUMIF('13.mell_ÖNKfeladatok2018'!$B$168:$B$323,'14.mell_Önk kiegészítés2018'!$A81,'13.mell_ÖNKfeladatok2018'!P$168:P$323)</f>
        <v>165320</v>
      </c>
      <c r="L81" s="567">
        <f>+SUMIF('13.mell_ÖNKfeladatok2018'!$B$168:$B$323,'14.mell_Önk kiegészítés2018'!$A81,'13.mell_ÖNKfeladatok2018'!T$168:T$323)</f>
        <v>15781</v>
      </c>
      <c r="M81" s="567">
        <f>+SUMIF('13.mell_ÖNKfeladatok2018'!$B$168:$B$323,'14.mell_Önk kiegészítés2018'!$A81,'13.mell_ÖNKfeladatok2018'!X$168:X$323)</f>
        <v>47699</v>
      </c>
      <c r="N81" s="567">
        <f>+SUMIF('13.mell_ÖNKfeladatok2018'!$B$168:$B$323,'14.mell_Önk kiegészítés2018'!$A81,'13.mell_ÖNKfeladatok2018'!AB$168:AB$323)</f>
        <v>56062</v>
      </c>
      <c r="O81" s="567">
        <f>+SUMIF('13.mell_ÖNKfeladatok2018'!$B$168:$B$323,'14.mell_Önk kiegészítés2018'!$A81,'13.mell_ÖNKfeladatok2018'!AF$168:AF$323)</f>
        <v>2351</v>
      </c>
      <c r="P81" s="567">
        <f>+SUMIF('13.mell_ÖNKfeladatok2018'!$B$168:$B$323,'14.mell_Önk kiegészítés2018'!$A81,'13.mell_ÖNKfeladatok2018'!AN$168:AN$323)</f>
        <v>4868</v>
      </c>
      <c r="Q81" s="567">
        <f>+SUMIF('13.mell_ÖNKfeladatok2018'!$B$168:$B$323,'14.mell_Önk kiegészítés2018'!$A81,'13.mell_ÖNKfeladatok2018'!AR$168:AR$323)</f>
        <v>0</v>
      </c>
      <c r="R81" s="567">
        <f>+SUMIF('13.mell_ÖNKfeladatok2018'!$B$168:$B$323,'14.mell_Önk kiegészítés2018'!$A81,'13.mell_ÖNKfeladatok2018'!AV$168:AV$323)</f>
        <v>0</v>
      </c>
      <c r="S81" s="607">
        <f t="shared" ref="S81" si="48">SUM(K81:R81)</f>
        <v>292081</v>
      </c>
      <c r="T81" s="568">
        <f t="shared" ref="T81" si="49">S81-J81</f>
        <v>52112</v>
      </c>
      <c r="U81" s="1027">
        <f>+ROUND(SUMIF('10.mell_támogatások2018'!$B$6:$B$123,'14.mell_Önk kiegészítés2018'!$A81,'10.mell_támogatások2018'!E$6:E$123)/1000,0)</f>
        <v>94818</v>
      </c>
      <c r="V81" s="569">
        <f t="shared" ref="V81" si="50">+T81-U81</f>
        <v>-42706</v>
      </c>
      <c r="W81" s="1195"/>
      <c r="Z81" s="912">
        <f>+V81+V85+V105+V106+V132-(V105-12642+4983)+9600</f>
        <v>-17720</v>
      </c>
      <c r="AA81" s="266" t="s">
        <v>1273</v>
      </c>
    </row>
    <row r="82" spans="1:43">
      <c r="A82" s="851">
        <f>A81+1</f>
        <v>7</v>
      </c>
      <c r="B82" s="566" t="s">
        <v>831</v>
      </c>
      <c r="C82" s="567">
        <f>+SUMIF('13.mell_ÖNKfeladatok2018'!$B$5:$B$160,'14.mell_Önk kiegészítés2018'!$A82,'13.mell_ÖNKfeladatok2018'!P$5:P$160)</f>
        <v>484375</v>
      </c>
      <c r="D82" s="567">
        <f>+SUMIF('13.mell_ÖNKfeladatok2018'!$B$5:$B$160,'14.mell_Önk kiegészítés2018'!$A82,'13.mell_ÖNKfeladatok2018'!T$5:T$160)</f>
        <v>0</v>
      </c>
      <c r="E82" s="567">
        <f>+SUMIF('13.mell_ÖNKfeladatok2018'!$B$5:$B$160,'14.mell_Önk kiegészítés2018'!$A82,'13.mell_ÖNKfeladatok2018'!X$5:X$160)</f>
        <v>0</v>
      </c>
      <c r="F82" s="567">
        <f>+SUMIF('13.mell_ÖNKfeladatok2018'!$B$5:$B$160,'14.mell_Önk kiegészítés2018'!$A82,'13.mell_ÖNKfeladatok2018'!AB$5:AB$160)</f>
        <v>0</v>
      </c>
      <c r="G82" s="563">
        <f>+SUMIF('13.mell_ÖNKfeladatok2018'!$B$5:$B$160,'14.mell_Önk kiegészítés2018'!$A82,'13.mell_ÖNKfeladatok2018'!AJ$5:AJ$160)</f>
        <v>1289663</v>
      </c>
      <c r="H82" s="567">
        <f>+SUMIF('13.mell_ÖNKfeladatok2018'!$B$5:$B$160,'14.mell_Önk kiegészítés2018'!$A82,'13.mell_ÖNKfeladatok2018'!AN$5:AN$160)</f>
        <v>0</v>
      </c>
      <c r="I82" s="567">
        <f>+SUMIF('13.mell_ÖNKfeladatok2018'!$B$5:$B$160,'14.mell_Önk kiegészítés2018'!$A82,'13.mell_ÖNKfeladatok2018'!AR$5:AR$160)</f>
        <v>0</v>
      </c>
      <c r="J82" s="607">
        <f t="shared" si="44"/>
        <v>1774038</v>
      </c>
      <c r="K82" s="567">
        <f>+SUMIF('13.mell_ÖNKfeladatok2018'!$B$168:$B$323,'14.mell_Önk kiegészítés2018'!$A82,'13.mell_ÖNKfeladatok2018'!P$168:P$323)</f>
        <v>84214</v>
      </c>
      <c r="L82" s="567">
        <f>+SUMIF('13.mell_ÖNKfeladatok2018'!$B$168:$B$323,'14.mell_Önk kiegészítés2018'!$A82,'13.mell_ÖNKfeladatok2018'!T$168:T$323)</f>
        <v>14564</v>
      </c>
      <c r="M82" s="567">
        <f>+SUMIF('13.mell_ÖNKfeladatok2018'!$B$168:$B$323,'14.mell_Önk kiegészítés2018'!$A82,'13.mell_ÖNKfeladatok2018'!X$168:X$323)</f>
        <v>270532</v>
      </c>
      <c r="N82" s="567">
        <f>+SUMIF('13.mell_ÖNKfeladatok2018'!$B$168:$B$323,'14.mell_Önk kiegészítés2018'!$A82,'13.mell_ÖNKfeladatok2018'!AB$168:AB$323)</f>
        <v>0</v>
      </c>
      <c r="O82" s="567">
        <f>+SUMIF('13.mell_ÖNKfeladatok2018'!$B$168:$B$323,'14.mell_Önk kiegészítés2018'!$A82,'13.mell_ÖNKfeladatok2018'!AF$168:AF$323)</f>
        <v>2720</v>
      </c>
      <c r="P82" s="567">
        <f>+SUMIF('13.mell_ÖNKfeladatok2018'!$B$168:$B$323,'14.mell_Önk kiegészítés2018'!$A82,'13.mell_ÖNKfeladatok2018'!AN$168:AN$323)</f>
        <v>364143</v>
      </c>
      <c r="Q82" s="567">
        <f>+SUMIF('13.mell_ÖNKfeladatok2018'!$B$168:$B$323,'14.mell_Önk kiegészítés2018'!$A82,'13.mell_ÖNKfeladatok2018'!AR$168:AR$323)</f>
        <v>212673</v>
      </c>
      <c r="R82" s="567">
        <f>+SUMIF('13.mell_ÖNKfeladatok2018'!$B$168:$B$323,'14.mell_Önk kiegészítés2018'!$A82,'13.mell_ÖNKfeladatok2018'!AV$168:AV$323)</f>
        <v>0</v>
      </c>
      <c r="S82" s="607">
        <f>SUM(K82:R82)</f>
        <v>948846</v>
      </c>
      <c r="T82" s="568">
        <f>S82-J82</f>
        <v>-825192</v>
      </c>
      <c r="U82" s="1028">
        <f>+ROUND(SUMIF('10.mell_támogatások2018'!$B$6:$B$123,'14.mell_Önk kiegészítés2018'!$A82,'10.mell_támogatások2018'!E$6:E$123)/1000,0)</f>
        <v>0</v>
      </c>
      <c r="V82" s="569">
        <f>+T82-U82</f>
        <v>-825192</v>
      </c>
      <c r="W82" s="1195"/>
    </row>
    <row r="83" spans="1:43" ht="12.75" thickBot="1">
      <c r="A83" s="851">
        <f>+A82+1</f>
        <v>8</v>
      </c>
      <c r="B83" s="570" t="s">
        <v>812</v>
      </c>
      <c r="C83" s="567">
        <f>+SUMIF('13.mell_ÖNKfeladatok2018'!$B$5:$B$160,'14.mell_Önk kiegészítés2018'!$A83,'13.mell_ÖNKfeladatok2018'!P$5:P$160)</f>
        <v>804299</v>
      </c>
      <c r="D83" s="571">
        <f>+SUMIF('13.mell_ÖNKfeladatok2018'!$B$5:$B$160,'14.mell_Önk kiegészítés2018'!$A83,'13.mell_ÖNKfeladatok2018'!T$5:T$160)</f>
        <v>485260</v>
      </c>
      <c r="E83" s="571">
        <f>+SUMIF('13.mell_ÖNKfeladatok2018'!$B$5:$B$160,'14.mell_Önk kiegészítés2018'!$A83,'13.mell_ÖNKfeladatok2018'!X$5:X$160)</f>
        <v>70627</v>
      </c>
      <c r="F83" s="571">
        <f>+SUMIF('13.mell_ÖNKfeladatok2018'!$B$5:$B$160,'14.mell_Önk kiegészítés2018'!$A83,'13.mell_ÖNKfeladatok2018'!AB$5:AB$160)</f>
        <v>40382</v>
      </c>
      <c r="G83" s="563">
        <f>+SUMIF('13.mell_ÖNKfeladatok2018'!$B$5:$B$160,'14.mell_Önk kiegészítés2018'!$A83,'13.mell_ÖNKfeladatok2018'!AJ$5:AJ$160)</f>
        <v>30205</v>
      </c>
      <c r="H83" s="571">
        <f>+SUMIF('13.mell_ÖNKfeladatok2018'!$B$5:$B$160,'14.mell_Önk kiegészítés2018'!$A83,'13.mell_ÖNKfeladatok2018'!AN$5:AN$160)</f>
        <v>5430</v>
      </c>
      <c r="I83" s="571">
        <f>+SUMIF('13.mell_ÖNKfeladatok2018'!$B$5:$B$160,'14.mell_Önk kiegészítés2018'!$A83,'13.mell_ÖNKfeladatok2018'!AR$5:AR$160)</f>
        <v>9041</v>
      </c>
      <c r="J83" s="607">
        <f t="shared" si="44"/>
        <v>1445244</v>
      </c>
      <c r="K83" s="567">
        <f>+SUMIF('13.mell_ÖNKfeladatok2018'!$B$168:$B$323,'14.mell_Önk kiegészítés2018'!$A83,'13.mell_ÖNKfeladatok2018'!P$168:P$323)</f>
        <v>49608</v>
      </c>
      <c r="L83" s="567">
        <f>+SUMIF('13.mell_ÖNKfeladatok2018'!$B$168:$B$323,'14.mell_Önk kiegészítés2018'!$A83,'13.mell_ÖNKfeladatok2018'!T$168:T$323)</f>
        <v>10211</v>
      </c>
      <c r="M83" s="567">
        <f>+SUMIF('13.mell_ÖNKfeladatok2018'!$B$168:$B$323,'14.mell_Önk kiegészítés2018'!$A83,'13.mell_ÖNKfeladatok2018'!X$168:X$323)</f>
        <v>176790</v>
      </c>
      <c r="N83" s="567">
        <f>+SUMIF('13.mell_ÖNKfeladatok2018'!$B$168:$B$323,'14.mell_Önk kiegészítés2018'!$A83,'13.mell_ÖNKfeladatok2018'!AB$168:AB$323)</f>
        <v>0</v>
      </c>
      <c r="O83" s="567">
        <f>+SUMIF('13.mell_ÖNKfeladatok2018'!$B$168:$B$323,'14.mell_Önk kiegészítés2018'!$A83,'13.mell_ÖNKfeladatok2018'!AF$168:AF$323)</f>
        <v>3202538</v>
      </c>
      <c r="P83" s="567">
        <f>+SUMIF('13.mell_ÖNKfeladatok2018'!$B$168:$B$323,'14.mell_Önk kiegészítés2018'!$A83,'13.mell_ÖNKfeladatok2018'!AN$168:AN$323)</f>
        <v>134433</v>
      </c>
      <c r="Q83" s="567">
        <f>+SUMIF('13.mell_ÖNKfeladatok2018'!$B$168:$B$323,'14.mell_Önk kiegészítés2018'!$A83,'13.mell_ÖNKfeladatok2018'!AR$168:AR$323)</f>
        <v>12317</v>
      </c>
      <c r="R83" s="567">
        <f>+SUMIF('13.mell_ÖNKfeladatok2018'!$B$168:$B$323,'14.mell_Önk kiegészítés2018'!$A83,'13.mell_ÖNKfeladatok2018'!AV$168:AV$323)</f>
        <v>1200</v>
      </c>
      <c r="S83" s="607">
        <f t="shared" ref="S83" si="51">SUM(K83:R83)</f>
        <v>3587097</v>
      </c>
      <c r="T83" s="568">
        <f t="shared" ref="T83" si="52">S83-J83</f>
        <v>2141853</v>
      </c>
      <c r="U83" s="1028">
        <f>-ROUND('10.mell_támogatások2018'!$E$123/1000,0)+ROUND(SUMIF('10.mell_támogatások2018'!$B$6:$B$123,'14.mell_Önk kiegészítés2018'!$A83,'10.mell_támogatások2018'!E$6:E$123)/1000,0)+2174444-5025-2741-2352</f>
        <v>1457617</v>
      </c>
      <c r="V83" s="569">
        <f t="shared" ref="V83" si="53">+T83-U83</f>
        <v>684236</v>
      </c>
      <c r="W83" s="1195"/>
      <c r="AD83" s="266">
        <f>(1832034+8000-25346-3322)+(364622-1298-73-116-13-44)</f>
        <v>2174444</v>
      </c>
      <c r="AE83" s="266">
        <f>-2351-(1021+368)-1285</f>
        <v>-5025</v>
      </c>
      <c r="AF83" s="266">
        <v>-2741</v>
      </c>
      <c r="AG83" s="266">
        <f>(-1500-660)+-192</f>
        <v>-2352</v>
      </c>
    </row>
    <row r="84" spans="1:43" s="558" customFormat="1" ht="12.75" thickBot="1">
      <c r="A84" s="572" t="s">
        <v>596</v>
      </c>
      <c r="B84" s="573" t="s">
        <v>411</v>
      </c>
      <c r="C84" s="574">
        <f>SUM(C76:C83)</f>
        <v>1508798</v>
      </c>
      <c r="D84" s="575">
        <f t="shared" ref="D84:V84" si="54">SUM(D76:D83)</f>
        <v>485260</v>
      </c>
      <c r="E84" s="575">
        <f t="shared" si="54"/>
        <v>79515</v>
      </c>
      <c r="F84" s="575">
        <f t="shared" si="54"/>
        <v>40382</v>
      </c>
      <c r="G84" s="575">
        <f t="shared" si="54"/>
        <v>1331164</v>
      </c>
      <c r="H84" s="575">
        <f t="shared" si="54"/>
        <v>6786</v>
      </c>
      <c r="I84" s="576">
        <f t="shared" si="54"/>
        <v>9041</v>
      </c>
      <c r="J84" s="577">
        <f t="shared" si="54"/>
        <v>3460946</v>
      </c>
      <c r="K84" s="574">
        <f t="shared" si="54"/>
        <v>299142</v>
      </c>
      <c r="L84" s="574">
        <f t="shared" si="54"/>
        <v>40556</v>
      </c>
      <c r="M84" s="574">
        <f t="shared" si="54"/>
        <v>537524</v>
      </c>
      <c r="N84" s="574">
        <f t="shared" si="54"/>
        <v>56062</v>
      </c>
      <c r="O84" s="574">
        <f t="shared" si="54"/>
        <v>3207609</v>
      </c>
      <c r="P84" s="574">
        <f t="shared" si="54"/>
        <v>505196</v>
      </c>
      <c r="Q84" s="574">
        <f t="shared" si="54"/>
        <v>228800</v>
      </c>
      <c r="R84" s="574">
        <f t="shared" si="54"/>
        <v>1200</v>
      </c>
      <c r="S84" s="577">
        <f t="shared" si="54"/>
        <v>4876089</v>
      </c>
      <c r="T84" s="574">
        <f t="shared" si="54"/>
        <v>1415143</v>
      </c>
      <c r="U84" s="578">
        <f t="shared" si="54"/>
        <v>1612971</v>
      </c>
      <c r="V84" s="577">
        <f t="shared" si="54"/>
        <v>-197828</v>
      </c>
      <c r="W84" s="1195"/>
      <c r="AC84" s="266"/>
      <c r="AD84" s="266"/>
      <c r="AE84" s="266"/>
      <c r="AF84" s="266"/>
      <c r="AG84" s="266"/>
      <c r="AH84" s="266"/>
      <c r="AI84" s="266"/>
      <c r="AJ84" s="266"/>
      <c r="AK84" s="266"/>
      <c r="AL84" s="266"/>
      <c r="AM84" s="266"/>
      <c r="AN84" s="266"/>
      <c r="AO84" s="266"/>
      <c r="AP84" s="266"/>
      <c r="AQ84" s="266"/>
    </row>
    <row r="85" spans="1:43">
      <c r="A85" s="851">
        <f>+A83+1</f>
        <v>9</v>
      </c>
      <c r="B85" s="570" t="s">
        <v>829</v>
      </c>
      <c r="C85" s="571">
        <f>+SUMIF('13.mell_ÖNKfeladatok2018'!$B$5:$B$160,'14.mell_Önk kiegészítés2018'!$A85,'13.mell_ÖNKfeladatok2018'!P$5:P$160)</f>
        <v>0</v>
      </c>
      <c r="D85" s="571">
        <f>+SUMIF('13.mell_ÖNKfeladatok2018'!$B$5:$B$160,'14.mell_Önk kiegészítés2018'!$A85,'13.mell_ÖNKfeladatok2018'!T$5:T$160)</f>
        <v>0</v>
      </c>
      <c r="E85" s="571">
        <f>+SUMIF('13.mell_ÖNKfeladatok2018'!$B$5:$B$160,'14.mell_Önk kiegészítés2018'!$A85,'13.mell_ÖNKfeladatok2018'!X$5:X$160)</f>
        <v>0</v>
      </c>
      <c r="F85" s="571">
        <f>+SUMIF('13.mell_ÖNKfeladatok2018'!$B$5:$B$160,'14.mell_Önk kiegészítés2018'!$A85,'13.mell_ÖNKfeladatok2018'!AB$5:AB$160)</f>
        <v>0</v>
      </c>
      <c r="G85" s="571">
        <f>+SUMIF('13.mell_ÖNKfeladatok2018'!$B$5:$B$160,'14.mell_Önk kiegészítés2018'!$A85,'13.mell_ÖNKfeladatok2018'!AJ$5:AJ$160)</f>
        <v>0</v>
      </c>
      <c r="H85" s="571">
        <f>+SUMIF('13.mell_ÖNKfeladatok2018'!$B$5:$B$160,'14.mell_Önk kiegészítés2018'!$A85,'13.mell_ÖNKfeladatok2018'!AN$5:AN$160)</f>
        <v>0</v>
      </c>
      <c r="I85" s="571">
        <f>+SUMIF('13.mell_ÖNKfeladatok2018'!$B$5:$B$160,'14.mell_Önk kiegészítés2018'!$A85,'13.mell_ÖNKfeladatok2018'!AR$5:AR$160)</f>
        <v>0</v>
      </c>
      <c r="J85" s="608">
        <f t="shared" ref="J85:J86" si="55">SUM(C85:I85)</f>
        <v>0</v>
      </c>
      <c r="K85" s="567">
        <f>+SUMIF('13.mell_ÖNKfeladatok2018'!$B$168:$B$323,'14.mell_Önk kiegészítés2018'!$A85,'13.mell_ÖNKfeladatok2018'!P$168:P$323)</f>
        <v>0</v>
      </c>
      <c r="L85" s="567">
        <f>+SUMIF('13.mell_ÖNKfeladatok2018'!$B$168:$B$323,'14.mell_Önk kiegészítés2018'!$A85,'13.mell_ÖNKfeladatok2018'!T$168:T$323)</f>
        <v>0</v>
      </c>
      <c r="M85" s="567">
        <f>+SUMIF('13.mell_ÖNKfeladatok2018'!$B$168:$B$323,'14.mell_Önk kiegészítés2018'!$A85,'13.mell_ÖNKfeladatok2018'!X$168:X$323)</f>
        <v>0</v>
      </c>
      <c r="N85" s="567">
        <f>+SUMIF('13.mell_ÖNKfeladatok2018'!$B$168:$B$323,'14.mell_Önk kiegészítés2018'!$A85,'13.mell_ÖNKfeladatok2018'!AB$168:AB$323)</f>
        <v>0</v>
      </c>
      <c r="O85" s="567">
        <f>+SUMIF('13.mell_ÖNKfeladatok2018'!$B$168:$B$323,'14.mell_Önk kiegészítés2018'!$A85,'13.mell_ÖNKfeladatok2018'!AF$168:AF$323)</f>
        <v>0</v>
      </c>
      <c r="P85" s="567">
        <f>+SUMIF('13.mell_ÖNKfeladatok2018'!$B$168:$B$323,'14.mell_Önk kiegészítés2018'!$A85,'13.mell_ÖNKfeladatok2018'!AN$168:AN$323)</f>
        <v>0</v>
      </c>
      <c r="Q85" s="567">
        <f>+SUMIF('13.mell_ÖNKfeladatok2018'!$B$168:$B$323,'14.mell_Önk kiegészítés2018'!$A85,'13.mell_ÖNKfeladatok2018'!AR$168:AR$323)</f>
        <v>0</v>
      </c>
      <c r="R85" s="567">
        <f>+SUMIF('13.mell_ÖNKfeladatok2018'!$B$168:$B$323,'14.mell_Önk kiegészítés2018'!$A85,'13.mell_ÖNKfeladatok2018'!AV$168:AV$323)</f>
        <v>0</v>
      </c>
      <c r="S85" s="607">
        <f>SUM(K85:R85)</f>
        <v>0</v>
      </c>
      <c r="T85" s="568">
        <f>S85-J85</f>
        <v>0</v>
      </c>
      <c r="U85" s="1028">
        <f>+ROUND(SUMIF('10.mell_támogatások2018'!$B$6:$B$123,'14.mell_Önk kiegészítés2018'!$A85,'10.mell_támogatások2018'!E$6:E$123)/1000,0)</f>
        <v>0</v>
      </c>
      <c r="V85" s="569">
        <f>+T85-U85</f>
        <v>0</v>
      </c>
      <c r="W85" s="1195"/>
    </row>
    <row r="86" spans="1:43" ht="12.75" thickBot="1">
      <c r="A86" s="851">
        <f>+A85+1</f>
        <v>10</v>
      </c>
      <c r="B86" s="570" t="s">
        <v>813</v>
      </c>
      <c r="C86" s="571">
        <f>+SUMIF('13.mell_ÖNKfeladatok2018'!$B$5:$B$160,'14.mell_Önk kiegészítés2018'!$A86,'13.mell_ÖNKfeladatok2018'!P$5:P$160)</f>
        <v>0</v>
      </c>
      <c r="D86" s="571">
        <f>+SUMIF('13.mell_ÖNKfeladatok2018'!$B$5:$B$160,'14.mell_Önk kiegészítés2018'!$A86,'13.mell_ÖNKfeladatok2018'!T$5:T$160)</f>
        <v>3065</v>
      </c>
      <c r="E86" s="571">
        <f>+SUMIF('13.mell_ÖNKfeladatok2018'!$B$5:$B$160,'14.mell_Önk kiegészítés2018'!$A86,'13.mell_ÖNKfeladatok2018'!X$5:X$160)</f>
        <v>0</v>
      </c>
      <c r="F86" s="571">
        <f>+SUMIF('13.mell_ÖNKfeladatok2018'!$B$5:$B$160,'14.mell_Önk kiegészítés2018'!$A86,'13.mell_ÖNKfeladatok2018'!AB$5:AB$160)</f>
        <v>0</v>
      </c>
      <c r="G86" s="571">
        <f>+SUMIF('13.mell_ÖNKfeladatok2018'!$B$5:$B$160,'14.mell_Önk kiegészítés2018'!$A86,'13.mell_ÖNKfeladatok2018'!AJ$5:AJ$160)</f>
        <v>0</v>
      </c>
      <c r="H86" s="571">
        <f>+SUMIF('13.mell_ÖNKfeladatok2018'!$B$5:$B$160,'14.mell_Önk kiegészítés2018'!$A86,'13.mell_ÖNKfeladatok2018'!AN$5:AN$160)</f>
        <v>0</v>
      </c>
      <c r="I86" s="571">
        <f>+SUMIF('13.mell_ÖNKfeladatok2018'!$B$5:$B$160,'14.mell_Önk kiegészítés2018'!$A86,'13.mell_ÖNKfeladatok2018'!AR$5:AR$160)</f>
        <v>889</v>
      </c>
      <c r="J86" s="608">
        <f t="shared" si="55"/>
        <v>3954</v>
      </c>
      <c r="K86" s="567">
        <f>+SUMIF('13.mell_ÖNKfeladatok2018'!$B$168:$B$323,'14.mell_Önk kiegészítés2018'!$A86,'13.mell_ÖNKfeladatok2018'!P$168:P$323)</f>
        <v>10</v>
      </c>
      <c r="L86" s="567">
        <f>+SUMIF('13.mell_ÖNKfeladatok2018'!$B$168:$B$323,'14.mell_Önk kiegészítés2018'!$A86,'13.mell_ÖNKfeladatok2018'!T$168:T$323)</f>
        <v>0</v>
      </c>
      <c r="M86" s="567">
        <f>+SUMIF('13.mell_ÖNKfeladatok2018'!$B$168:$B$323,'14.mell_Önk kiegészítés2018'!$A86,'13.mell_ÖNKfeladatok2018'!X$168:X$323)</f>
        <v>100</v>
      </c>
      <c r="N86" s="567">
        <f>+SUMIF('13.mell_ÖNKfeladatok2018'!$B$168:$B$323,'14.mell_Önk kiegészítés2018'!$A86,'13.mell_ÖNKfeladatok2018'!AB$168:AB$323)</f>
        <v>0</v>
      </c>
      <c r="O86" s="567">
        <f>+SUMIF('13.mell_ÖNKfeladatok2018'!$B$168:$B$323,'14.mell_Önk kiegészítés2018'!$A86,'13.mell_ÖNKfeladatok2018'!AF$168:AF$323)</f>
        <v>0</v>
      </c>
      <c r="P86" s="567">
        <f>+SUMIF('13.mell_ÖNKfeladatok2018'!$B$168:$B$323,'14.mell_Önk kiegészítés2018'!$A86,'13.mell_ÖNKfeladatok2018'!AN$168:AN$323)</f>
        <v>0</v>
      </c>
      <c r="Q86" s="567">
        <f>+SUMIF('13.mell_ÖNKfeladatok2018'!$B$168:$B$323,'14.mell_Önk kiegészítés2018'!$A86,'13.mell_ÖNKfeladatok2018'!AR$168:AR$323)</f>
        <v>0</v>
      </c>
      <c r="R86" s="567">
        <f>+SUMIF('13.mell_ÖNKfeladatok2018'!$B$168:$B$323,'14.mell_Önk kiegészítés2018'!$A86,'13.mell_ÖNKfeladatok2018'!AV$168:AV$323)</f>
        <v>0</v>
      </c>
      <c r="S86" s="607">
        <f>SUM(K86:R86)</f>
        <v>110</v>
      </c>
      <c r="T86" s="568">
        <f t="shared" ref="T86" si="56">S86-J86</f>
        <v>-3844</v>
      </c>
      <c r="U86" s="1028">
        <f>+ROUND(SUMIF('10.mell_támogatások2018'!$B$6:$B$123,'14.mell_Önk kiegészítés2018'!$A86,'10.mell_támogatások2018'!E$6:E$123)/1000,0)</f>
        <v>0</v>
      </c>
      <c r="V86" s="569">
        <f>+T86-U86</f>
        <v>-3844</v>
      </c>
      <c r="W86" s="1195"/>
    </row>
    <row r="87" spans="1:43" s="558" customFormat="1" ht="12.75" thickBot="1">
      <c r="A87" s="572" t="s">
        <v>597</v>
      </c>
      <c r="B87" s="573" t="s">
        <v>412</v>
      </c>
      <c r="C87" s="574">
        <f t="shared" ref="C87:V87" si="57">SUM(C85:C86)</f>
        <v>0</v>
      </c>
      <c r="D87" s="575">
        <f t="shared" si="57"/>
        <v>3065</v>
      </c>
      <c r="E87" s="575">
        <f t="shared" si="57"/>
        <v>0</v>
      </c>
      <c r="F87" s="575">
        <f t="shared" si="57"/>
        <v>0</v>
      </c>
      <c r="G87" s="575">
        <f t="shared" si="57"/>
        <v>0</v>
      </c>
      <c r="H87" s="575">
        <f t="shared" si="57"/>
        <v>0</v>
      </c>
      <c r="I87" s="578">
        <f t="shared" si="57"/>
        <v>889</v>
      </c>
      <c r="J87" s="577">
        <f t="shared" si="57"/>
        <v>3954</v>
      </c>
      <c r="K87" s="574">
        <f t="shared" si="57"/>
        <v>10</v>
      </c>
      <c r="L87" s="574">
        <f t="shared" si="57"/>
        <v>0</v>
      </c>
      <c r="M87" s="574">
        <f t="shared" si="57"/>
        <v>100</v>
      </c>
      <c r="N87" s="574">
        <f t="shared" si="57"/>
        <v>0</v>
      </c>
      <c r="O87" s="574">
        <f t="shared" si="57"/>
        <v>0</v>
      </c>
      <c r="P87" s="574">
        <f t="shared" si="57"/>
        <v>0</v>
      </c>
      <c r="Q87" s="574">
        <f t="shared" si="57"/>
        <v>0</v>
      </c>
      <c r="R87" s="574">
        <f t="shared" si="57"/>
        <v>0</v>
      </c>
      <c r="S87" s="577">
        <f t="shared" si="57"/>
        <v>110</v>
      </c>
      <c r="T87" s="574">
        <f t="shared" si="57"/>
        <v>-3844</v>
      </c>
      <c r="U87" s="578">
        <f t="shared" si="57"/>
        <v>0</v>
      </c>
      <c r="V87" s="577">
        <f t="shared" si="57"/>
        <v>-3844</v>
      </c>
      <c r="W87" s="1195"/>
      <c r="AC87" s="266"/>
      <c r="AD87" s="266"/>
      <c r="AE87" s="266"/>
      <c r="AF87" s="266"/>
      <c r="AG87" s="266"/>
      <c r="AH87" s="266"/>
      <c r="AI87" s="266"/>
      <c r="AJ87" s="266"/>
      <c r="AK87" s="266"/>
      <c r="AL87" s="266"/>
      <c r="AM87" s="266"/>
      <c r="AN87" s="266"/>
      <c r="AO87" s="266"/>
      <c r="AP87" s="266"/>
      <c r="AQ87" s="266"/>
    </row>
    <row r="88" spans="1:43" ht="12.75" thickBot="1">
      <c r="A88" s="851">
        <f>+A86+1</f>
        <v>11</v>
      </c>
      <c r="B88" s="579" t="s">
        <v>413</v>
      </c>
      <c r="C88" s="580">
        <f>+SUMIF('13.mell_ÖNKfeladatok2018'!$B$5:$B$160,'14.mell_Önk kiegészítés2018'!$A88,'13.mell_ÖNKfeladatok2018'!P$5:P$160)</f>
        <v>0</v>
      </c>
      <c r="D88" s="580">
        <f>+SUMIF('13.mell_ÖNKfeladatok2018'!$B$5:$B$160,'14.mell_Önk kiegészítés2018'!$A88,'13.mell_ÖNKfeladatok2018'!T$5:T$160)</f>
        <v>0</v>
      </c>
      <c r="E88" s="580">
        <f>+SUMIF('13.mell_ÖNKfeladatok2018'!$B$5:$B$160,'14.mell_Önk kiegészítés2018'!$A88,'13.mell_ÖNKfeladatok2018'!X$5:X$160)</f>
        <v>0</v>
      </c>
      <c r="F88" s="580">
        <f>+SUMIF('13.mell_ÖNKfeladatok2018'!$B$5:$B$160,'14.mell_Önk kiegészítés2018'!$A88,'13.mell_ÖNKfeladatok2018'!AB$5:AB$160)</f>
        <v>0</v>
      </c>
      <c r="G88" s="580">
        <f>+SUMIF('13.mell_ÖNKfeladatok2018'!$B$5:$B$160,'14.mell_Önk kiegészítés2018'!$A88,'13.mell_ÖNKfeladatok2018'!AJ$5:AJ$160)</f>
        <v>0</v>
      </c>
      <c r="H88" s="580">
        <f>+SUMIF('13.mell_ÖNKfeladatok2018'!$B$5:$B$160,'14.mell_Önk kiegészítés2018'!$A88,'13.mell_ÖNKfeladatok2018'!AN$5:AN$160)</f>
        <v>0</v>
      </c>
      <c r="I88" s="580">
        <f>+SUMIF('13.mell_ÖNKfeladatok2018'!$B$5:$B$160,'14.mell_Önk kiegészítés2018'!$A88,'13.mell_ÖNKfeladatok2018'!AR$5:AR$160)</f>
        <v>0</v>
      </c>
      <c r="J88" s="609">
        <f>SUM(C88:I88)</f>
        <v>0</v>
      </c>
      <c r="K88" s="567">
        <f>+SUMIF('13.mell_ÖNKfeladatok2018'!$B$168:$B$323,'14.mell_Önk kiegészítés2018'!$A88,'13.mell_ÖNKfeladatok2018'!P$168:P$323)</f>
        <v>0</v>
      </c>
      <c r="L88" s="567">
        <f>+SUMIF('13.mell_ÖNKfeladatok2018'!$B$168:$B$323,'14.mell_Önk kiegészítés2018'!$A88,'13.mell_ÖNKfeladatok2018'!T$168:T$323)</f>
        <v>0</v>
      </c>
      <c r="M88" s="567">
        <f>+SUMIF('13.mell_ÖNKfeladatok2018'!$B$168:$B$323,'14.mell_Önk kiegészítés2018'!$A88,'13.mell_ÖNKfeladatok2018'!X$168:X$323)</f>
        <v>0</v>
      </c>
      <c r="N88" s="567">
        <f>+SUMIF('13.mell_ÖNKfeladatok2018'!$B$168:$B$323,'14.mell_Önk kiegészítés2018'!$A88,'13.mell_ÖNKfeladatok2018'!AB$168:AB$323)</f>
        <v>0</v>
      </c>
      <c r="O88" s="567">
        <f>+SUMIF('13.mell_ÖNKfeladatok2018'!$B$168:$B$323,'14.mell_Önk kiegészítés2018'!$A88,'13.mell_ÖNKfeladatok2018'!AF$168:AF$323)</f>
        <v>0</v>
      </c>
      <c r="P88" s="567">
        <f>+SUMIF('13.mell_ÖNKfeladatok2018'!$B$168:$B$323,'14.mell_Önk kiegészítés2018'!$A88,'13.mell_ÖNKfeladatok2018'!AN$168:AN$323)</f>
        <v>0</v>
      </c>
      <c r="Q88" s="567">
        <f>+SUMIF('13.mell_ÖNKfeladatok2018'!$B$168:$B$323,'14.mell_Önk kiegészítés2018'!$A88,'13.mell_ÖNKfeladatok2018'!AR$168:AR$323)</f>
        <v>0</v>
      </c>
      <c r="R88" s="567">
        <f>+SUMIF('13.mell_ÖNKfeladatok2018'!$B$168:$B$323,'14.mell_Önk kiegészítés2018'!$A88,'13.mell_ÖNKfeladatok2018'!AV$168:AV$323)</f>
        <v>0</v>
      </c>
      <c r="S88" s="607">
        <f>SUM(K88:R88)</f>
        <v>0</v>
      </c>
      <c r="T88" s="568">
        <f t="shared" ref="T88" si="58">S88-J88</f>
        <v>0</v>
      </c>
      <c r="U88" s="1028">
        <f>+ROUND(SUMIF('10.mell_támogatások2018'!$B$6:$B$123,'14.mell_Önk kiegészítés2018'!$A88,'10.mell_támogatások2018'!E$6:E$123)/1000,0)</f>
        <v>0</v>
      </c>
      <c r="V88" s="569">
        <f>+T88-U88</f>
        <v>0</v>
      </c>
      <c r="W88" s="1195"/>
    </row>
    <row r="89" spans="1:43" s="558" customFormat="1" ht="12.75" thickBot="1">
      <c r="A89" s="572" t="s">
        <v>598</v>
      </c>
      <c r="B89" s="573" t="s">
        <v>413</v>
      </c>
      <c r="C89" s="574">
        <f>SUM(C88)</f>
        <v>0</v>
      </c>
      <c r="D89" s="575">
        <f t="shared" ref="D89:V89" si="59">SUM(D88)</f>
        <v>0</v>
      </c>
      <c r="E89" s="575">
        <f t="shared" si="59"/>
        <v>0</v>
      </c>
      <c r="F89" s="575">
        <f t="shared" si="59"/>
        <v>0</v>
      </c>
      <c r="G89" s="575">
        <f t="shared" si="59"/>
        <v>0</v>
      </c>
      <c r="H89" s="575">
        <f t="shared" si="59"/>
        <v>0</v>
      </c>
      <c r="I89" s="578">
        <f t="shared" si="59"/>
        <v>0</v>
      </c>
      <c r="J89" s="577">
        <f t="shared" si="59"/>
        <v>0</v>
      </c>
      <c r="K89" s="574">
        <f t="shared" si="59"/>
        <v>0</v>
      </c>
      <c r="L89" s="574">
        <f t="shared" si="59"/>
        <v>0</v>
      </c>
      <c r="M89" s="574">
        <f t="shared" si="59"/>
        <v>0</v>
      </c>
      <c r="N89" s="574">
        <f t="shared" si="59"/>
        <v>0</v>
      </c>
      <c r="O89" s="574">
        <f t="shared" si="59"/>
        <v>0</v>
      </c>
      <c r="P89" s="574">
        <f t="shared" si="59"/>
        <v>0</v>
      </c>
      <c r="Q89" s="574">
        <f t="shared" si="59"/>
        <v>0</v>
      </c>
      <c r="R89" s="574">
        <f t="shared" si="59"/>
        <v>0</v>
      </c>
      <c r="S89" s="577">
        <f t="shared" si="59"/>
        <v>0</v>
      </c>
      <c r="T89" s="574">
        <f t="shared" si="59"/>
        <v>0</v>
      </c>
      <c r="U89" s="578">
        <f t="shared" si="59"/>
        <v>0</v>
      </c>
      <c r="V89" s="577">
        <f t="shared" si="59"/>
        <v>0</v>
      </c>
      <c r="W89" s="1195"/>
      <c r="AC89" s="266"/>
      <c r="AD89" s="266"/>
      <c r="AE89" s="266"/>
      <c r="AF89" s="266"/>
      <c r="AG89" s="266"/>
      <c r="AH89" s="266"/>
      <c r="AI89" s="266"/>
      <c r="AJ89" s="266"/>
      <c r="AK89" s="266"/>
      <c r="AL89" s="266"/>
      <c r="AM89" s="266"/>
      <c r="AN89" s="266"/>
      <c r="AO89" s="266"/>
      <c r="AP89" s="266"/>
      <c r="AQ89" s="266"/>
    </row>
    <row r="90" spans="1:43" s="558" customFormat="1" ht="12.75" thickBot="1">
      <c r="A90" s="581" t="s">
        <v>23</v>
      </c>
      <c r="B90" s="582" t="s">
        <v>414</v>
      </c>
      <c r="C90" s="583">
        <f t="shared" ref="C90:V90" si="60">+C84+C87+C89</f>
        <v>1508798</v>
      </c>
      <c r="D90" s="584">
        <f t="shared" si="60"/>
        <v>488325</v>
      </c>
      <c r="E90" s="584">
        <f t="shared" si="60"/>
        <v>79515</v>
      </c>
      <c r="F90" s="584">
        <f t="shared" si="60"/>
        <v>40382</v>
      </c>
      <c r="G90" s="584">
        <f t="shared" si="60"/>
        <v>1331164</v>
      </c>
      <c r="H90" s="584">
        <f t="shared" si="60"/>
        <v>6786</v>
      </c>
      <c r="I90" s="585">
        <f t="shared" si="60"/>
        <v>9930</v>
      </c>
      <c r="J90" s="586">
        <f t="shared" si="60"/>
        <v>3464900</v>
      </c>
      <c r="K90" s="583">
        <f t="shared" si="60"/>
        <v>299152</v>
      </c>
      <c r="L90" s="583">
        <f t="shared" si="60"/>
        <v>40556</v>
      </c>
      <c r="M90" s="583">
        <f t="shared" si="60"/>
        <v>537624</v>
      </c>
      <c r="N90" s="583">
        <f t="shared" si="60"/>
        <v>56062</v>
      </c>
      <c r="O90" s="583">
        <f t="shared" si="60"/>
        <v>3207609</v>
      </c>
      <c r="P90" s="583">
        <f t="shared" si="60"/>
        <v>505196</v>
      </c>
      <c r="Q90" s="583">
        <f t="shared" si="60"/>
        <v>228800</v>
      </c>
      <c r="R90" s="583">
        <f t="shared" si="60"/>
        <v>1200</v>
      </c>
      <c r="S90" s="586">
        <f t="shared" si="60"/>
        <v>4876199</v>
      </c>
      <c r="T90" s="583">
        <f t="shared" si="60"/>
        <v>1411299</v>
      </c>
      <c r="U90" s="585">
        <f t="shared" si="60"/>
        <v>1612971</v>
      </c>
      <c r="V90" s="586">
        <f t="shared" si="60"/>
        <v>-201672</v>
      </c>
      <c r="W90" s="1195"/>
      <c r="AC90" s="266"/>
      <c r="AD90" s="266"/>
      <c r="AE90" s="266"/>
      <c r="AF90" s="266"/>
      <c r="AG90" s="266"/>
      <c r="AH90" s="266"/>
      <c r="AI90" s="266"/>
      <c r="AJ90" s="266"/>
      <c r="AK90" s="266"/>
      <c r="AL90" s="266"/>
      <c r="AM90" s="266"/>
      <c r="AN90" s="266"/>
      <c r="AO90" s="266"/>
      <c r="AP90" s="266"/>
      <c r="AQ90" s="266"/>
    </row>
    <row r="91" spans="1:43" s="558" customFormat="1" ht="12.75" thickBot="1">
      <c r="A91" s="592"/>
      <c r="B91" s="593"/>
      <c r="C91" s="594"/>
      <c r="D91" s="594"/>
      <c r="E91" s="594"/>
      <c r="F91" s="594"/>
      <c r="G91" s="594"/>
      <c r="H91" s="594"/>
      <c r="I91" s="896"/>
      <c r="J91" s="597"/>
      <c r="K91" s="594"/>
      <c r="L91" s="594"/>
      <c r="M91" s="594"/>
      <c r="N91" s="594"/>
      <c r="O91" s="594"/>
      <c r="P91" s="594"/>
      <c r="Q91" s="594"/>
      <c r="R91" s="594"/>
      <c r="S91" s="597"/>
      <c r="T91" s="594"/>
      <c r="U91" s="596"/>
      <c r="V91" s="597"/>
      <c r="W91" s="1195"/>
      <c r="AC91" s="266"/>
      <c r="AD91" s="266"/>
      <c r="AE91" s="266"/>
      <c r="AF91" s="266"/>
      <c r="AG91" s="266"/>
      <c r="AH91" s="266"/>
      <c r="AI91" s="266"/>
      <c r="AJ91" s="266"/>
      <c r="AK91" s="266"/>
      <c r="AL91" s="266"/>
      <c r="AM91" s="266"/>
      <c r="AN91" s="266"/>
      <c r="AO91" s="266"/>
      <c r="AP91" s="266"/>
      <c r="AQ91" s="266"/>
    </row>
    <row r="92" spans="1:43">
      <c r="A92" s="897">
        <f>+A88+1</f>
        <v>12</v>
      </c>
      <c r="B92" s="898" t="s">
        <v>830</v>
      </c>
      <c r="C92" s="580">
        <f>+SUMIF('13.mell_ÖNKfeladatok2018'!$B$5:$B$160,'14.mell_Önk kiegészítés2018'!$A92,'13.mell_ÖNKfeladatok2018'!P$5:P$160)</f>
        <v>80604</v>
      </c>
      <c r="D92" s="580">
        <f>+SUMIF('13.mell_ÖNKfeladatok2018'!$B$5:$B$160,'14.mell_Önk kiegészítés2018'!$A92,'13.mell_ÖNKfeladatok2018'!T$5:T$160)</f>
        <v>10</v>
      </c>
      <c r="E92" s="580">
        <f>+SUMIF('13.mell_ÖNKfeladatok2018'!$B$5:$B$160,'14.mell_Önk kiegészítés2018'!$A92,'13.mell_ÖNKfeladatok2018'!X$5:X$160)</f>
        <v>12825</v>
      </c>
      <c r="F92" s="580">
        <f>+SUMIF('13.mell_ÖNKfeladatok2018'!$B$5:$B$160,'14.mell_Önk kiegészítés2018'!$A92,'13.mell_ÖNKfeladatok2018'!AB$5:AB$160)</f>
        <v>0</v>
      </c>
      <c r="G92" s="580">
        <f>+SUMIF('13.mell_ÖNKfeladatok2018'!$B$5:$B$160,'14.mell_Önk kiegészítés2018'!$A92,'13.mell_ÖNKfeladatok2018'!AJ$5:AJ$160)</f>
        <v>0</v>
      </c>
      <c r="H92" s="580">
        <f>+SUMIF('13.mell_ÖNKfeladatok2018'!$B$5:$B$160,'14.mell_Önk kiegészítés2018'!$A92,'13.mell_ÖNKfeladatok2018'!AN$5:AN$160)</f>
        <v>0</v>
      </c>
      <c r="I92" s="580">
        <f>+SUMIF('13.mell_ÖNKfeladatok2018'!$B$5:$B$160,'14.mell_Önk kiegészítés2018'!$A92,'13.mell_ÖNKfeladatok2018'!AR$5:AR$160)</f>
        <v>0</v>
      </c>
      <c r="J92" s="606">
        <f t="shared" ref="J92:J94" si="61">SUM(C92:I92)</f>
        <v>93439</v>
      </c>
      <c r="K92" s="563">
        <f>+SUMIF('13.mell_ÖNKfeladatok2018'!$B$168:$B$323,'14.mell_Önk kiegészítés2018'!$A92,'13.mell_ÖNKfeladatok2018'!P$168:P$323)</f>
        <v>158314</v>
      </c>
      <c r="L92" s="563">
        <f>+SUMIF('13.mell_ÖNKfeladatok2018'!$B$168:$B$323,'14.mell_Önk kiegészítés2018'!$A92,'13.mell_ÖNKfeladatok2018'!T$168:T$323)</f>
        <v>35897</v>
      </c>
      <c r="M92" s="563">
        <f>+SUMIF('13.mell_ÖNKfeladatok2018'!$B$168:$B$323,'14.mell_Önk kiegészítés2018'!$A92,'13.mell_ÖNKfeladatok2018'!X$168:X$323)</f>
        <v>44088</v>
      </c>
      <c r="N92" s="563">
        <f>+SUMIF('13.mell_ÖNKfeladatok2018'!$B$168:$B$323,'14.mell_Önk kiegészítés2018'!$A92,'13.mell_ÖNKfeladatok2018'!AB$168:AB$323)</f>
        <v>0</v>
      </c>
      <c r="O92" s="563">
        <f>+SUMIF('13.mell_ÖNKfeladatok2018'!$B$168:$B$323,'14.mell_Önk kiegészítés2018'!$A92,'13.mell_ÖNKfeladatok2018'!AF$168:AF$323)</f>
        <v>0</v>
      </c>
      <c r="P92" s="563">
        <f>+SUMIF('13.mell_ÖNKfeladatok2018'!$B$168:$B$323,'14.mell_Önk kiegészítés2018'!$A92,'13.mell_ÖNKfeladatok2018'!AN$168:AN$323)</f>
        <v>14066</v>
      </c>
      <c r="Q92" s="563">
        <f>+SUMIF('13.mell_ÖNKfeladatok2018'!$B$168:$B$323,'14.mell_Önk kiegészítés2018'!$A92,'13.mell_ÖNKfeladatok2018'!AR$168:AR$323)</f>
        <v>0</v>
      </c>
      <c r="R92" s="563">
        <f>+SUMIF('13.mell_ÖNKfeladatok2018'!$B$168:$B$323,'14.mell_Önk kiegészítés2018'!$A92,'13.mell_ÖNKfeladatok2018'!AV$168:AV$323)</f>
        <v>0</v>
      </c>
      <c r="S92" s="606">
        <f>SUM(K92:R92)</f>
        <v>252365</v>
      </c>
      <c r="T92" s="564">
        <f>S92-J92</f>
        <v>158926</v>
      </c>
      <c r="U92" s="1027">
        <f>+ROUND(SUMIF('10.mell_támogatások2018'!$B$6:$B$123,'14.mell_Önk kiegészítés2018'!$A92,'10.mell_támogatások2018'!E$6:E$123)/1000,0)+1285+2741+1845</f>
        <v>152523</v>
      </c>
      <c r="V92" s="565">
        <f>+T92-U92</f>
        <v>6403</v>
      </c>
      <c r="W92" s="1195"/>
      <c r="AE92" s="266">
        <v>1285</v>
      </c>
      <c r="AF92" s="266">
        <v>2741</v>
      </c>
      <c r="AG92" s="266">
        <f>(1500+(224+44))+(65+12)</f>
        <v>1845</v>
      </c>
    </row>
    <row r="93" spans="1:43">
      <c r="A93" s="851">
        <f>+A92+1</f>
        <v>13</v>
      </c>
      <c r="B93" s="566" t="s">
        <v>831</v>
      </c>
      <c r="C93" s="571">
        <f>+SUMIF('13.mell_ÖNKfeladatok2018'!$B$5:$B$160,'14.mell_Önk kiegészítés2018'!$A93,'13.mell_ÖNKfeladatok2018'!P$5:P$160)</f>
        <v>0</v>
      </c>
      <c r="D93" s="571">
        <f>+SUMIF('13.mell_ÖNKfeladatok2018'!$B$5:$B$160,'14.mell_Önk kiegészítés2018'!$A93,'13.mell_ÖNKfeladatok2018'!T$5:T$160)</f>
        <v>0</v>
      </c>
      <c r="E93" s="571">
        <f>+SUMIF('13.mell_ÖNKfeladatok2018'!$B$5:$B$160,'14.mell_Önk kiegészítés2018'!$A93,'13.mell_ÖNKfeladatok2018'!X$5:X$160)</f>
        <v>0</v>
      </c>
      <c r="F93" s="571">
        <f>+SUMIF('13.mell_ÖNKfeladatok2018'!$B$5:$B$160,'14.mell_Önk kiegészítés2018'!$A93,'13.mell_ÖNKfeladatok2018'!AB$5:AB$160)</f>
        <v>0</v>
      </c>
      <c r="G93" s="571">
        <f>+SUMIF('13.mell_ÖNKfeladatok2018'!$B$5:$B$160,'14.mell_Önk kiegészítés2018'!$A93,'13.mell_ÖNKfeladatok2018'!AJ$5:AJ$160)</f>
        <v>0</v>
      </c>
      <c r="H93" s="571">
        <f>+SUMIF('13.mell_ÖNKfeladatok2018'!$B$5:$B$160,'14.mell_Önk kiegészítés2018'!$A93,'13.mell_ÖNKfeladatok2018'!AN$5:AN$160)</f>
        <v>0</v>
      </c>
      <c r="I93" s="571">
        <f>+SUMIF('13.mell_ÖNKfeladatok2018'!$B$5:$B$160,'14.mell_Önk kiegészítés2018'!$A93,'13.mell_ÖNKfeladatok2018'!AR$5:AR$160)</f>
        <v>0</v>
      </c>
      <c r="J93" s="607">
        <f t="shared" si="61"/>
        <v>0</v>
      </c>
      <c r="K93" s="567">
        <f>+SUMIF('13.mell_ÖNKfeladatok2018'!$B$168:$B$323,'14.mell_Önk kiegészítés2018'!$A93,'13.mell_ÖNKfeladatok2018'!P$168:P$323)</f>
        <v>0</v>
      </c>
      <c r="L93" s="567">
        <f>+SUMIF('13.mell_ÖNKfeladatok2018'!$B$168:$B$323,'14.mell_Önk kiegészítés2018'!$A93,'13.mell_ÖNKfeladatok2018'!T$168:T$323)</f>
        <v>0</v>
      </c>
      <c r="M93" s="567">
        <f>+SUMIF('13.mell_ÖNKfeladatok2018'!$B$168:$B$323,'14.mell_Önk kiegészítés2018'!$A93,'13.mell_ÖNKfeladatok2018'!X$168:X$323)</f>
        <v>0</v>
      </c>
      <c r="N93" s="567">
        <f>+SUMIF('13.mell_ÖNKfeladatok2018'!$B$168:$B$323,'14.mell_Önk kiegészítés2018'!$A93,'13.mell_ÖNKfeladatok2018'!AB$168:AB$323)</f>
        <v>0</v>
      </c>
      <c r="O93" s="567">
        <f>+SUMIF('13.mell_ÖNKfeladatok2018'!$B$168:$B$323,'14.mell_Önk kiegészítés2018'!$A93,'13.mell_ÖNKfeladatok2018'!AF$168:AF$323)</f>
        <v>0</v>
      </c>
      <c r="P93" s="567">
        <f>+SUMIF('13.mell_ÖNKfeladatok2018'!$B$168:$B$323,'14.mell_Önk kiegészítés2018'!$A93,'13.mell_ÖNKfeladatok2018'!AN$168:AN$323)</f>
        <v>0</v>
      </c>
      <c r="Q93" s="567">
        <f>+SUMIF('13.mell_ÖNKfeladatok2018'!$B$168:$B$323,'14.mell_Önk kiegészítés2018'!$A93,'13.mell_ÖNKfeladatok2018'!AR$168:AR$323)</f>
        <v>0</v>
      </c>
      <c r="R93" s="567">
        <f>+SUMIF('13.mell_ÖNKfeladatok2018'!$B$168:$B$323,'14.mell_Önk kiegészítés2018'!$A93,'13.mell_ÖNKfeladatok2018'!AV$168:AV$323)</f>
        <v>0</v>
      </c>
      <c r="S93" s="607">
        <f>SUM(K93:R93)</f>
        <v>0</v>
      </c>
      <c r="T93" s="568">
        <f>S93-J93</f>
        <v>0</v>
      </c>
      <c r="U93" s="1028">
        <f>+ROUND(SUMIF('10.mell_támogatások2018'!$B$6:$B$123,'14.mell_Önk kiegészítés2018'!$A93,'10.mell_támogatások2018'!E$6:E$123)/1000,0)</f>
        <v>0</v>
      </c>
      <c r="V93" s="569">
        <f>+T93-U93</f>
        <v>0</v>
      </c>
      <c r="W93" s="1195"/>
    </row>
    <row r="94" spans="1:43" ht="12.75" thickBot="1">
      <c r="A94" s="851">
        <f>+A93+1</f>
        <v>14</v>
      </c>
      <c r="B94" s="570" t="s">
        <v>814</v>
      </c>
      <c r="C94" s="571">
        <f>+SUMIF('13.mell_ÖNKfeladatok2018'!$B$5:$B$160,'14.mell_Önk kiegészítés2018'!$A94,'13.mell_ÖNKfeladatok2018'!P$5:P$160)</f>
        <v>0</v>
      </c>
      <c r="D94" s="571">
        <f>+SUMIF('13.mell_ÖNKfeladatok2018'!$B$5:$B$160,'14.mell_Önk kiegészítés2018'!$A94,'13.mell_ÖNKfeladatok2018'!T$5:T$160)</f>
        <v>0</v>
      </c>
      <c r="E94" s="571">
        <f>+SUMIF('13.mell_ÖNKfeladatok2018'!$B$5:$B$160,'14.mell_Önk kiegészítés2018'!$A94,'13.mell_ÖNKfeladatok2018'!X$5:X$160)</f>
        <v>733</v>
      </c>
      <c r="F94" s="571">
        <f>+SUMIF('13.mell_ÖNKfeladatok2018'!$B$5:$B$160,'14.mell_Önk kiegészítés2018'!$A94,'13.mell_ÖNKfeladatok2018'!AB$5:AB$160)</f>
        <v>0</v>
      </c>
      <c r="G94" s="571">
        <f>+SUMIF('13.mell_ÖNKfeladatok2018'!$B$5:$B$160,'14.mell_Önk kiegészítés2018'!$A94,'13.mell_ÖNKfeladatok2018'!AJ$5:AJ$160)</f>
        <v>0</v>
      </c>
      <c r="H94" s="571">
        <f>+SUMIF('13.mell_ÖNKfeladatok2018'!$B$5:$B$160,'14.mell_Önk kiegészítés2018'!$A94,'13.mell_ÖNKfeladatok2018'!AN$5:AN$160)</f>
        <v>0</v>
      </c>
      <c r="I94" s="571">
        <f>+SUMIF('13.mell_ÖNKfeladatok2018'!$B$5:$B$160,'14.mell_Önk kiegészítés2018'!$A94,'13.mell_ÖNKfeladatok2018'!AR$5:AR$160)</f>
        <v>0</v>
      </c>
      <c r="J94" s="607">
        <f t="shared" si="61"/>
        <v>733</v>
      </c>
      <c r="K94" s="567">
        <f>+SUMIF('13.mell_ÖNKfeladatok2018'!$B$168:$B$323,'14.mell_Önk kiegészítés2018'!$A94,'13.mell_ÖNKfeladatok2018'!P$168:P$323)</f>
        <v>87815</v>
      </c>
      <c r="L94" s="567">
        <f>+SUMIF('13.mell_ÖNKfeladatok2018'!$B$168:$B$323,'14.mell_Önk kiegészítés2018'!$A94,'13.mell_ÖNKfeladatok2018'!T$168:T$323)</f>
        <v>17084</v>
      </c>
      <c r="M94" s="567">
        <f>+SUMIF('13.mell_ÖNKfeladatok2018'!$B$168:$B$323,'14.mell_Önk kiegészítés2018'!$A94,'13.mell_ÖNKfeladatok2018'!X$168:X$323)</f>
        <v>8140</v>
      </c>
      <c r="N94" s="567">
        <f>+SUMIF('13.mell_ÖNKfeladatok2018'!$B$168:$B$323,'14.mell_Önk kiegészítés2018'!$A94,'13.mell_ÖNKfeladatok2018'!AB$168:AB$323)</f>
        <v>0</v>
      </c>
      <c r="O94" s="567">
        <f>+SUMIF('13.mell_ÖNKfeladatok2018'!$B$168:$B$323,'14.mell_Önk kiegészítés2018'!$A94,'13.mell_ÖNKfeladatok2018'!AF$168:AF$323)</f>
        <v>1298</v>
      </c>
      <c r="P94" s="567">
        <f>+SUMIF('13.mell_ÖNKfeladatok2018'!$B$168:$B$323,'14.mell_Önk kiegészítés2018'!$A94,'13.mell_ÖNKfeladatok2018'!AN$168:AN$323)</f>
        <v>0</v>
      </c>
      <c r="Q94" s="567">
        <f>+SUMIF('13.mell_ÖNKfeladatok2018'!$B$168:$B$323,'14.mell_Önk kiegészítés2018'!$A94,'13.mell_ÖNKfeladatok2018'!AR$168:AR$323)</f>
        <v>0</v>
      </c>
      <c r="R94" s="567">
        <f>+SUMIF('13.mell_ÖNKfeladatok2018'!$B$168:$B$323,'14.mell_Önk kiegészítés2018'!$A94,'13.mell_ÖNKfeladatok2018'!AV$168:AV$323)</f>
        <v>0</v>
      </c>
      <c r="S94" s="607">
        <f>SUM(K94:R94)</f>
        <v>114337</v>
      </c>
      <c r="T94" s="568">
        <f>S94-J94</f>
        <v>113604</v>
      </c>
      <c r="U94" s="1028">
        <f>+ROUND(SUMIF('10.mell_támogatások2018'!$B$6:$B$123,'14.mell_Önk kiegészítés2018'!$A94,'10.mell_támogatások2018'!E$6:E$123)/1000,0)+1298</f>
        <v>1298</v>
      </c>
      <c r="V94" s="569">
        <f>+T94-U94</f>
        <v>112306</v>
      </c>
      <c r="W94" s="1195"/>
      <c r="AD94" s="266">
        <v>1298</v>
      </c>
    </row>
    <row r="95" spans="1:43" s="558" customFormat="1" ht="12.75" thickBot="1">
      <c r="A95" s="572" t="s">
        <v>599</v>
      </c>
      <c r="B95" s="573" t="s">
        <v>932</v>
      </c>
      <c r="C95" s="574">
        <f t="shared" ref="C95:V95" si="62">SUM(C92:C94)</f>
        <v>80604</v>
      </c>
      <c r="D95" s="575">
        <f t="shared" si="62"/>
        <v>10</v>
      </c>
      <c r="E95" s="575">
        <f t="shared" si="62"/>
        <v>13558</v>
      </c>
      <c r="F95" s="575">
        <f t="shared" si="62"/>
        <v>0</v>
      </c>
      <c r="G95" s="575">
        <f t="shared" si="62"/>
        <v>0</v>
      </c>
      <c r="H95" s="575">
        <f t="shared" si="62"/>
        <v>0</v>
      </c>
      <c r="I95" s="576">
        <f t="shared" si="62"/>
        <v>0</v>
      </c>
      <c r="J95" s="577">
        <f t="shared" si="62"/>
        <v>94172</v>
      </c>
      <c r="K95" s="574">
        <f t="shared" si="62"/>
        <v>246129</v>
      </c>
      <c r="L95" s="574">
        <f t="shared" si="62"/>
        <v>52981</v>
      </c>
      <c r="M95" s="574">
        <f t="shared" si="62"/>
        <v>52228</v>
      </c>
      <c r="N95" s="574">
        <f t="shared" si="62"/>
        <v>0</v>
      </c>
      <c r="O95" s="574">
        <f t="shared" si="62"/>
        <v>1298</v>
      </c>
      <c r="P95" s="574">
        <f t="shared" si="62"/>
        <v>14066</v>
      </c>
      <c r="Q95" s="574">
        <f t="shared" si="62"/>
        <v>0</v>
      </c>
      <c r="R95" s="574">
        <f t="shared" si="62"/>
        <v>0</v>
      </c>
      <c r="S95" s="577">
        <f t="shared" si="62"/>
        <v>366702</v>
      </c>
      <c r="T95" s="574">
        <f t="shared" si="62"/>
        <v>272530</v>
      </c>
      <c r="U95" s="578">
        <f t="shared" si="62"/>
        <v>153821</v>
      </c>
      <c r="V95" s="577">
        <f t="shared" si="62"/>
        <v>118709</v>
      </c>
      <c r="W95" s="1195"/>
      <c r="AC95" s="266"/>
      <c r="AD95" s="266"/>
      <c r="AE95" s="266"/>
      <c r="AF95" s="266"/>
      <c r="AG95" s="266"/>
      <c r="AH95" s="266"/>
      <c r="AI95" s="266"/>
      <c r="AJ95" s="266"/>
      <c r="AK95" s="266"/>
      <c r="AL95" s="266"/>
      <c r="AM95" s="266"/>
      <c r="AN95" s="266"/>
      <c r="AO95" s="266"/>
      <c r="AP95" s="266"/>
      <c r="AQ95" s="266"/>
    </row>
    <row r="96" spans="1:43">
      <c r="A96" s="851">
        <f>+A94+1</f>
        <v>15</v>
      </c>
      <c r="B96" s="591" t="s">
        <v>417</v>
      </c>
      <c r="C96" s="563">
        <f>+SUMIF('13.mell_ÖNKfeladatok2018'!$B$5:$B$160,'14.mell_Önk kiegészítés2018'!$A96,'13.mell_ÖNKfeladatok2018'!P$5:P$160)</f>
        <v>0</v>
      </c>
      <c r="D96" s="563">
        <f>+SUMIF('13.mell_ÖNKfeladatok2018'!$B$5:$B$160,'14.mell_Önk kiegészítés2018'!$A96,'13.mell_ÖNKfeladatok2018'!T$5:T$160)</f>
        <v>0</v>
      </c>
      <c r="E96" s="563">
        <f>+SUMIF('13.mell_ÖNKfeladatok2018'!$B$5:$B$160,'14.mell_Önk kiegészítés2018'!$A96,'13.mell_ÖNKfeladatok2018'!X$5:X$160)</f>
        <v>23715</v>
      </c>
      <c r="F96" s="563">
        <f>+SUMIF('13.mell_ÖNKfeladatok2018'!$B$5:$B$160,'14.mell_Önk kiegészítés2018'!$A96,'13.mell_ÖNKfeladatok2018'!AB$5:AB$160)</f>
        <v>0</v>
      </c>
      <c r="G96" s="563">
        <f>+SUMIF('13.mell_ÖNKfeladatok2018'!$B$5:$B$160,'14.mell_Önk kiegészítés2018'!$A96,'13.mell_ÖNKfeladatok2018'!AJ$5:AJ$160)</f>
        <v>0</v>
      </c>
      <c r="H96" s="563">
        <f>+SUMIF('13.mell_ÖNKfeladatok2018'!$B$5:$B$160,'14.mell_Önk kiegészítés2018'!$A96,'13.mell_ÖNKfeladatok2018'!AN$5:AN$160)</f>
        <v>0</v>
      </c>
      <c r="I96" s="563">
        <f>+SUMIF('13.mell_ÖNKfeladatok2018'!$B$5:$B$160,'14.mell_Önk kiegészítés2018'!$A96,'13.mell_ÖNKfeladatok2018'!AR$5:AR$160)</f>
        <v>0</v>
      </c>
      <c r="J96" s="607">
        <f t="shared" ref="J96:J98" si="63">SUM(C96:I96)</f>
        <v>23715</v>
      </c>
      <c r="K96" s="567">
        <f>+SUMIF('13.mell_ÖNKfeladatok2018'!$B$168:$B$323,'14.mell_Önk kiegészítés2018'!$A96,'13.mell_ÖNKfeladatok2018'!P$168:P$323)</f>
        <v>5583</v>
      </c>
      <c r="L96" s="567">
        <f>+SUMIF('13.mell_ÖNKfeladatok2018'!$B$168:$B$323,'14.mell_Önk kiegészítés2018'!$A96,'13.mell_ÖNKfeladatok2018'!T$168:T$323)</f>
        <v>1191</v>
      </c>
      <c r="M96" s="567">
        <f>+SUMIF('13.mell_ÖNKfeladatok2018'!$B$168:$B$323,'14.mell_Önk kiegészítés2018'!$A96,'13.mell_ÖNKfeladatok2018'!X$168:X$323)</f>
        <v>22121</v>
      </c>
      <c r="N96" s="567">
        <f>+SUMIF('13.mell_ÖNKfeladatok2018'!$B$168:$B$323,'14.mell_Önk kiegészítés2018'!$A96,'13.mell_ÖNKfeladatok2018'!AB$168:AB$323)</f>
        <v>0</v>
      </c>
      <c r="O96" s="567">
        <f>+SUMIF('13.mell_ÖNKfeladatok2018'!$B$168:$B$323,'14.mell_Önk kiegészítés2018'!$A96,'13.mell_ÖNKfeladatok2018'!AF$168:AF$323)</f>
        <v>0</v>
      </c>
      <c r="P96" s="567">
        <f>+SUMIF('13.mell_ÖNKfeladatok2018'!$B$168:$B$323,'14.mell_Önk kiegészítés2018'!$A96,'13.mell_ÖNKfeladatok2018'!AN$168:AN$323)</f>
        <v>422</v>
      </c>
      <c r="Q96" s="567">
        <f>+SUMIF('13.mell_ÖNKfeladatok2018'!$B$168:$B$323,'14.mell_Önk kiegészítés2018'!$A96,'13.mell_ÖNKfeladatok2018'!AR$168:AR$323)</f>
        <v>0</v>
      </c>
      <c r="R96" s="567">
        <f>+SUMIF('13.mell_ÖNKfeladatok2018'!$B$168:$B$323,'14.mell_Önk kiegészítés2018'!$A96,'13.mell_ÖNKfeladatok2018'!AV$168:AV$323)</f>
        <v>0</v>
      </c>
      <c r="S96" s="607">
        <f>SUM(K96:R96)</f>
        <v>29317</v>
      </c>
      <c r="T96" s="568">
        <f>S96-J96</f>
        <v>5602</v>
      </c>
      <c r="U96" s="1028">
        <f>+ROUND(SUMIF('10.mell_támogatások2018'!$B$6:$B$123,'14.mell_Önk kiegészítés2018'!$A96,'10.mell_támogatások2018'!E$6:E$123)/1000,0)</f>
        <v>0</v>
      </c>
      <c r="V96" s="569">
        <f>+T96-U96</f>
        <v>5602</v>
      </c>
      <c r="W96" s="1195"/>
    </row>
    <row r="97" spans="1:43">
      <c r="A97" s="851">
        <f>+A96+1</f>
        <v>16</v>
      </c>
      <c r="B97" s="570" t="s">
        <v>655</v>
      </c>
      <c r="C97" s="571">
        <f>+SUMIF('13.mell_ÖNKfeladatok2018'!$B$5:$B$160,'14.mell_Önk kiegészítés2018'!$A97,'13.mell_ÖNKfeladatok2018'!P$5:P$160)</f>
        <v>0</v>
      </c>
      <c r="D97" s="571">
        <f>+SUMIF('13.mell_ÖNKfeladatok2018'!$B$5:$B$160,'14.mell_Önk kiegészítés2018'!$A97,'13.mell_ÖNKfeladatok2018'!T$5:T$160)</f>
        <v>0</v>
      </c>
      <c r="E97" s="571">
        <f>+SUMIF('13.mell_ÖNKfeladatok2018'!$B$5:$B$160,'14.mell_Önk kiegészítés2018'!$A97,'13.mell_ÖNKfeladatok2018'!X$5:X$160)</f>
        <v>0</v>
      </c>
      <c r="F97" s="571">
        <f>+SUMIF('13.mell_ÖNKfeladatok2018'!$B$5:$B$160,'14.mell_Önk kiegészítés2018'!$A97,'13.mell_ÖNKfeladatok2018'!AB$5:AB$160)</f>
        <v>0</v>
      </c>
      <c r="G97" s="571">
        <f>+SUMIF('13.mell_ÖNKfeladatok2018'!$B$5:$B$160,'14.mell_Önk kiegészítés2018'!$A97,'13.mell_ÖNKfeladatok2018'!AJ$5:AJ$160)</f>
        <v>0</v>
      </c>
      <c r="H97" s="571">
        <f>+SUMIF('13.mell_ÖNKfeladatok2018'!$B$5:$B$160,'14.mell_Önk kiegészítés2018'!$A97,'13.mell_ÖNKfeladatok2018'!AN$5:AN$160)</f>
        <v>0</v>
      </c>
      <c r="I97" s="571">
        <f>+SUMIF('13.mell_ÖNKfeladatok2018'!$B$5:$B$160,'14.mell_Önk kiegészítés2018'!$A97,'13.mell_ÖNKfeladatok2018'!AR$5:AR$160)</f>
        <v>0</v>
      </c>
      <c r="J97" s="608">
        <f t="shared" si="63"/>
        <v>0</v>
      </c>
      <c r="K97" s="567">
        <f>+SUMIF('13.mell_ÖNKfeladatok2018'!$B$168:$B$323,'14.mell_Önk kiegészítés2018'!$A97,'13.mell_ÖNKfeladatok2018'!P$168:P$323)</f>
        <v>0</v>
      </c>
      <c r="L97" s="567">
        <f>+SUMIF('13.mell_ÖNKfeladatok2018'!$B$168:$B$323,'14.mell_Önk kiegészítés2018'!$A97,'13.mell_ÖNKfeladatok2018'!T$168:T$323)</f>
        <v>0</v>
      </c>
      <c r="M97" s="567">
        <f>+SUMIF('13.mell_ÖNKfeladatok2018'!$B$168:$B$323,'14.mell_Önk kiegészítés2018'!$A97,'13.mell_ÖNKfeladatok2018'!X$168:X$323)</f>
        <v>0</v>
      </c>
      <c r="N97" s="567">
        <f>+SUMIF('13.mell_ÖNKfeladatok2018'!$B$168:$B$323,'14.mell_Önk kiegészítés2018'!$A97,'13.mell_ÖNKfeladatok2018'!AB$168:AB$323)</f>
        <v>0</v>
      </c>
      <c r="O97" s="567">
        <f>+SUMIF('13.mell_ÖNKfeladatok2018'!$B$168:$B$323,'14.mell_Önk kiegészítés2018'!$A97,'13.mell_ÖNKfeladatok2018'!AF$168:AF$323)</f>
        <v>0</v>
      </c>
      <c r="P97" s="567">
        <f>+SUMIF('13.mell_ÖNKfeladatok2018'!$B$168:$B$323,'14.mell_Önk kiegészítés2018'!$A97,'13.mell_ÖNKfeladatok2018'!AN$168:AN$323)</f>
        <v>0</v>
      </c>
      <c r="Q97" s="567">
        <f>+SUMIF('13.mell_ÖNKfeladatok2018'!$B$168:$B$323,'14.mell_Önk kiegészítés2018'!$A97,'13.mell_ÖNKfeladatok2018'!AR$168:AR$323)</f>
        <v>0</v>
      </c>
      <c r="R97" s="567">
        <f>+SUMIF('13.mell_ÖNKfeladatok2018'!$B$168:$B$323,'14.mell_Önk kiegészítés2018'!$A97,'13.mell_ÖNKfeladatok2018'!AV$168:AV$323)</f>
        <v>0</v>
      </c>
      <c r="S97" s="607">
        <f>SUM(K97:R97)</f>
        <v>0</v>
      </c>
      <c r="T97" s="568">
        <f>S97-J97</f>
        <v>0</v>
      </c>
      <c r="U97" s="1028">
        <f>+ROUND(SUMIF('10.mell_támogatások2018'!$B$6:$B$123,'14.mell_Önk kiegészítés2018'!$A97,'10.mell_támogatások2018'!E$6:E$123)/1000,0)</f>
        <v>0</v>
      </c>
      <c r="V97" s="569">
        <f>+T97-U97</f>
        <v>0</v>
      </c>
      <c r="W97" s="1195"/>
    </row>
    <row r="98" spans="1:43" ht="12.75" thickBot="1">
      <c r="A98" s="851">
        <f>+A97+1</f>
        <v>17</v>
      </c>
      <c r="B98" s="570" t="s">
        <v>958</v>
      </c>
      <c r="C98" s="571">
        <f>+SUMIF('13.mell_ÖNKfeladatok2018'!$B$5:$B$160,'14.mell_Önk kiegészítés2018'!$A98,'13.mell_ÖNKfeladatok2018'!P$5:P$160)</f>
        <v>0</v>
      </c>
      <c r="D98" s="571">
        <f>+SUMIF('13.mell_ÖNKfeladatok2018'!$B$5:$B$160,'14.mell_Önk kiegészítés2018'!$A98,'13.mell_ÖNKfeladatok2018'!T$5:T$160)</f>
        <v>0</v>
      </c>
      <c r="E98" s="571">
        <f>+SUMIF('13.mell_ÖNKfeladatok2018'!$B$5:$B$160,'14.mell_Önk kiegészítés2018'!$A98,'13.mell_ÖNKfeladatok2018'!X$5:X$160)</f>
        <v>0</v>
      </c>
      <c r="F98" s="571">
        <f>+SUMIF('13.mell_ÖNKfeladatok2018'!$B$5:$B$160,'14.mell_Önk kiegészítés2018'!$A98,'13.mell_ÖNKfeladatok2018'!AB$5:AB$160)</f>
        <v>0</v>
      </c>
      <c r="G98" s="571">
        <f>+SUMIF('13.mell_ÖNKfeladatok2018'!$B$5:$B$160,'14.mell_Önk kiegészítés2018'!$A98,'13.mell_ÖNKfeladatok2018'!AJ$5:AJ$160)</f>
        <v>0</v>
      </c>
      <c r="H98" s="571">
        <f>+SUMIF('13.mell_ÖNKfeladatok2018'!$B$5:$B$160,'14.mell_Önk kiegészítés2018'!$A98,'13.mell_ÖNKfeladatok2018'!AN$5:AN$160)</f>
        <v>0</v>
      </c>
      <c r="I98" s="571">
        <f>+SUMIF('13.mell_ÖNKfeladatok2018'!$B$5:$B$160,'14.mell_Önk kiegészítés2018'!$A98,'13.mell_ÖNKfeladatok2018'!AR$5:AR$160)</f>
        <v>0</v>
      </c>
      <c r="J98" s="608">
        <f t="shared" si="63"/>
        <v>0</v>
      </c>
      <c r="K98" s="567">
        <f>+SUMIF('13.mell_ÖNKfeladatok2018'!$B$168:$B$323,'14.mell_Önk kiegészítés2018'!$A98,'13.mell_ÖNKfeladatok2018'!P$168:P$323)</f>
        <v>0</v>
      </c>
      <c r="L98" s="567">
        <f>+SUMIF('13.mell_ÖNKfeladatok2018'!$B$168:$B$323,'14.mell_Önk kiegészítés2018'!$A98,'13.mell_ÖNKfeladatok2018'!T$168:T$323)</f>
        <v>0</v>
      </c>
      <c r="M98" s="567">
        <f>+SUMIF('13.mell_ÖNKfeladatok2018'!$B$168:$B$323,'14.mell_Önk kiegészítés2018'!$A98,'13.mell_ÖNKfeladatok2018'!X$168:X$323)</f>
        <v>0</v>
      </c>
      <c r="N98" s="567">
        <f>+SUMIF('13.mell_ÖNKfeladatok2018'!$B$168:$B$323,'14.mell_Önk kiegészítés2018'!$A98,'13.mell_ÖNKfeladatok2018'!AB$168:AB$323)</f>
        <v>0</v>
      </c>
      <c r="O98" s="567">
        <f>+SUMIF('13.mell_ÖNKfeladatok2018'!$B$168:$B$323,'14.mell_Önk kiegészítés2018'!$A98,'13.mell_ÖNKfeladatok2018'!AF$168:AF$323)</f>
        <v>0</v>
      </c>
      <c r="P98" s="567">
        <f>+SUMIF('13.mell_ÖNKfeladatok2018'!$B$168:$B$323,'14.mell_Önk kiegészítés2018'!$A98,'13.mell_ÖNKfeladatok2018'!AN$168:AN$323)</f>
        <v>0</v>
      </c>
      <c r="Q98" s="567">
        <f>+SUMIF('13.mell_ÖNKfeladatok2018'!$B$168:$B$323,'14.mell_Önk kiegészítés2018'!$A98,'13.mell_ÖNKfeladatok2018'!AR$168:AR$323)</f>
        <v>0</v>
      </c>
      <c r="R98" s="567">
        <f>+SUMIF('13.mell_ÖNKfeladatok2018'!$B$168:$B$323,'14.mell_Önk kiegészítés2018'!$A98,'13.mell_ÖNKfeladatok2018'!AV$168:AV$323)</f>
        <v>0</v>
      </c>
      <c r="S98" s="607">
        <f>SUM(K98:R98)</f>
        <v>0</v>
      </c>
      <c r="T98" s="568">
        <f>S98-J98</f>
        <v>0</v>
      </c>
      <c r="U98" s="1028">
        <f>+ROUND(SUMIF('10.mell_támogatások2018'!$B$6:$B$123,'14.mell_Önk kiegészítés2018'!$A98,'10.mell_támogatások2018'!E$6:E$123)/1000,0)</f>
        <v>0</v>
      </c>
      <c r="V98" s="569">
        <f>+T98-U98</f>
        <v>0</v>
      </c>
      <c r="W98" s="1195"/>
    </row>
    <row r="99" spans="1:43" s="558" customFormat="1" ht="12.75" thickBot="1">
      <c r="A99" s="572" t="s">
        <v>640</v>
      </c>
      <c r="B99" s="573" t="s">
        <v>933</v>
      </c>
      <c r="C99" s="574">
        <f>SUM(C96:C98)</f>
        <v>0</v>
      </c>
      <c r="D99" s="575">
        <f t="shared" ref="D99:V99" si="64">SUM(D96:D98)</f>
        <v>0</v>
      </c>
      <c r="E99" s="575">
        <f t="shared" si="64"/>
        <v>23715</v>
      </c>
      <c r="F99" s="575">
        <f t="shared" si="64"/>
        <v>0</v>
      </c>
      <c r="G99" s="575">
        <f t="shared" si="64"/>
        <v>0</v>
      </c>
      <c r="H99" s="575">
        <f t="shared" si="64"/>
        <v>0</v>
      </c>
      <c r="I99" s="578">
        <f t="shared" si="64"/>
        <v>0</v>
      </c>
      <c r="J99" s="577">
        <f t="shared" si="64"/>
        <v>23715</v>
      </c>
      <c r="K99" s="574">
        <f t="shared" si="64"/>
        <v>5583</v>
      </c>
      <c r="L99" s="574">
        <f t="shared" si="64"/>
        <v>1191</v>
      </c>
      <c r="M99" s="574">
        <f t="shared" si="64"/>
        <v>22121</v>
      </c>
      <c r="N99" s="574">
        <f t="shared" si="64"/>
        <v>0</v>
      </c>
      <c r="O99" s="574">
        <f t="shared" si="64"/>
        <v>0</v>
      </c>
      <c r="P99" s="574">
        <f t="shared" si="64"/>
        <v>422</v>
      </c>
      <c r="Q99" s="574">
        <f t="shared" si="64"/>
        <v>0</v>
      </c>
      <c r="R99" s="574">
        <f t="shared" si="64"/>
        <v>0</v>
      </c>
      <c r="S99" s="577">
        <f t="shared" si="64"/>
        <v>29317</v>
      </c>
      <c r="T99" s="574">
        <f t="shared" si="64"/>
        <v>5602</v>
      </c>
      <c r="U99" s="578">
        <f t="shared" si="64"/>
        <v>0</v>
      </c>
      <c r="V99" s="577">
        <f t="shared" si="64"/>
        <v>5602</v>
      </c>
      <c r="W99" s="1195"/>
      <c r="AC99" s="266"/>
      <c r="AD99" s="266"/>
      <c r="AE99" s="266"/>
      <c r="AF99" s="266"/>
      <c r="AG99" s="266"/>
      <c r="AH99" s="266"/>
      <c r="AI99" s="266"/>
      <c r="AJ99" s="266"/>
      <c r="AK99" s="266"/>
      <c r="AL99" s="266"/>
      <c r="AM99" s="266"/>
      <c r="AN99" s="266"/>
      <c r="AO99" s="266"/>
      <c r="AP99" s="266"/>
      <c r="AQ99" s="266"/>
    </row>
    <row r="100" spans="1:43" ht="12.75" thickBot="1">
      <c r="A100" s="851">
        <f>+A98+1</f>
        <v>18</v>
      </c>
      <c r="B100" s="579" t="s">
        <v>934</v>
      </c>
      <c r="C100" s="580">
        <f>+SUMIF('13.mell_ÖNKfeladatok2018'!$B$5:$B$160,'14.mell_Önk kiegészítés2018'!$A100,'13.mell_ÖNKfeladatok2018'!P$5:P$160)</f>
        <v>2827</v>
      </c>
      <c r="D100" s="580">
        <f>+SUMIF('13.mell_ÖNKfeladatok2018'!$B$5:$B$160,'14.mell_Önk kiegészítés2018'!$A100,'13.mell_ÖNKfeladatok2018'!T$5:T$160)</f>
        <v>0</v>
      </c>
      <c r="E100" s="580">
        <f>+SUMIF('13.mell_ÖNKfeladatok2018'!$B$5:$B$160,'14.mell_Önk kiegészítés2018'!$A100,'13.mell_ÖNKfeladatok2018'!X$5:X$160)</f>
        <v>0</v>
      </c>
      <c r="F100" s="580">
        <f>+SUMIF('13.mell_ÖNKfeladatok2018'!$B$5:$B$160,'14.mell_Önk kiegészítés2018'!$A100,'13.mell_ÖNKfeladatok2018'!AB$5:AB$160)</f>
        <v>0</v>
      </c>
      <c r="G100" s="580">
        <f>+SUMIF('13.mell_ÖNKfeladatok2018'!$B$5:$B$160,'14.mell_Önk kiegészítés2018'!$A100,'13.mell_ÖNKfeladatok2018'!AJ$5:AJ$160)</f>
        <v>0</v>
      </c>
      <c r="H100" s="580">
        <f>+SUMIF('13.mell_ÖNKfeladatok2018'!$B$5:$B$160,'14.mell_Önk kiegészítés2018'!$A100,'13.mell_ÖNKfeladatok2018'!AN$5:AN$160)</f>
        <v>0</v>
      </c>
      <c r="I100" s="580">
        <f>+SUMIF('13.mell_ÖNKfeladatok2018'!$B$5:$B$160,'14.mell_Önk kiegészítés2018'!$A100,'13.mell_ÖNKfeladatok2018'!AR$5:AR$160)</f>
        <v>0</v>
      </c>
      <c r="J100" s="609">
        <f>SUM(C100:I100)</f>
        <v>2827</v>
      </c>
      <c r="K100" s="567">
        <f>+SUMIF('13.mell_ÖNKfeladatok2018'!$B$168:$B$323,'14.mell_Önk kiegészítés2018'!$A100,'13.mell_ÖNKfeladatok2018'!P$168:P$323)</f>
        <v>2503</v>
      </c>
      <c r="L100" s="567">
        <f>+SUMIF('13.mell_ÖNKfeladatok2018'!$B$168:$B$323,'14.mell_Önk kiegészítés2018'!$A100,'13.mell_ÖNKfeladatok2018'!T$168:T$323)</f>
        <v>561</v>
      </c>
      <c r="M100" s="567">
        <f>+SUMIF('13.mell_ÖNKfeladatok2018'!$B$168:$B$323,'14.mell_Önk kiegészítés2018'!$A100,'13.mell_ÖNKfeladatok2018'!X$168:X$323)</f>
        <v>272</v>
      </c>
      <c r="N100" s="567">
        <f>+SUMIF('13.mell_ÖNKfeladatok2018'!$B$168:$B$323,'14.mell_Önk kiegészítés2018'!$A100,'13.mell_ÖNKfeladatok2018'!AB$168:AB$323)</f>
        <v>0</v>
      </c>
      <c r="O100" s="567">
        <f>+SUMIF('13.mell_ÖNKfeladatok2018'!$B$168:$B$323,'14.mell_Önk kiegészítés2018'!$A100,'13.mell_ÖNKfeladatok2018'!AF$168:AF$323)</f>
        <v>0</v>
      </c>
      <c r="P100" s="567">
        <f>+SUMIF('13.mell_ÖNKfeladatok2018'!$B$168:$B$323,'14.mell_Önk kiegészítés2018'!$A100,'13.mell_ÖNKfeladatok2018'!AN$168:AN$323)</f>
        <v>0</v>
      </c>
      <c r="Q100" s="567">
        <f>+SUMIF('13.mell_ÖNKfeladatok2018'!$B$168:$B$323,'14.mell_Önk kiegészítés2018'!$A100,'13.mell_ÖNKfeladatok2018'!AR$168:AR$323)</f>
        <v>0</v>
      </c>
      <c r="R100" s="567">
        <f>+SUMIF('13.mell_ÖNKfeladatok2018'!$B$168:$B$323,'14.mell_Önk kiegészítés2018'!$A100,'13.mell_ÖNKfeladatok2018'!AV$168:AV$323)</f>
        <v>0</v>
      </c>
      <c r="S100" s="607">
        <f>SUM(K100:R100)</f>
        <v>3336</v>
      </c>
      <c r="T100" s="568">
        <f>S100-J100</f>
        <v>509</v>
      </c>
      <c r="U100" s="1028">
        <f>+ROUND(SUMIF('10.mell_támogatások2018'!$B$6:$B$123,'14.mell_Önk kiegészítés2018'!$A100,'10.mell_támogatások2018'!E$6:E$123)/1000,0)</f>
        <v>0</v>
      </c>
      <c r="V100" s="569">
        <f>+T100-U100</f>
        <v>509</v>
      </c>
      <c r="W100" s="1195"/>
    </row>
    <row r="101" spans="1:43" s="558" customFormat="1" ht="12.75" thickBot="1">
      <c r="A101" s="572" t="s">
        <v>801</v>
      </c>
      <c r="B101" s="573" t="s">
        <v>934</v>
      </c>
      <c r="C101" s="574">
        <f>SUM(C100)</f>
        <v>2827</v>
      </c>
      <c r="D101" s="575">
        <f t="shared" ref="D101:V101" si="65">SUM(D100)</f>
        <v>0</v>
      </c>
      <c r="E101" s="575">
        <f t="shared" si="65"/>
        <v>0</v>
      </c>
      <c r="F101" s="575">
        <f t="shared" si="65"/>
        <v>0</v>
      </c>
      <c r="G101" s="575">
        <f t="shared" si="65"/>
        <v>0</v>
      </c>
      <c r="H101" s="575">
        <f t="shared" si="65"/>
        <v>0</v>
      </c>
      <c r="I101" s="578">
        <f t="shared" si="65"/>
        <v>0</v>
      </c>
      <c r="J101" s="577">
        <f t="shared" si="65"/>
        <v>2827</v>
      </c>
      <c r="K101" s="574">
        <f t="shared" si="65"/>
        <v>2503</v>
      </c>
      <c r="L101" s="574">
        <f t="shared" si="65"/>
        <v>561</v>
      </c>
      <c r="M101" s="574">
        <f t="shared" si="65"/>
        <v>272</v>
      </c>
      <c r="N101" s="574">
        <f t="shared" si="65"/>
        <v>0</v>
      </c>
      <c r="O101" s="574">
        <f t="shared" si="65"/>
        <v>0</v>
      </c>
      <c r="P101" s="574">
        <f t="shared" si="65"/>
        <v>0</v>
      </c>
      <c r="Q101" s="574">
        <f t="shared" si="65"/>
        <v>0</v>
      </c>
      <c r="R101" s="574">
        <f t="shared" si="65"/>
        <v>0</v>
      </c>
      <c r="S101" s="577">
        <f t="shared" si="65"/>
        <v>3336</v>
      </c>
      <c r="T101" s="574">
        <f t="shared" si="65"/>
        <v>509</v>
      </c>
      <c r="U101" s="578">
        <f t="shared" si="65"/>
        <v>0</v>
      </c>
      <c r="V101" s="577">
        <f t="shared" si="65"/>
        <v>509</v>
      </c>
      <c r="W101" s="1195"/>
      <c r="AC101" s="266"/>
      <c r="AD101" s="266"/>
      <c r="AE101" s="266"/>
      <c r="AF101" s="266"/>
      <c r="AG101" s="266"/>
      <c r="AH101" s="266"/>
      <c r="AI101" s="266"/>
      <c r="AJ101" s="266"/>
      <c r="AK101" s="266"/>
      <c r="AL101" s="266"/>
      <c r="AM101" s="266"/>
      <c r="AN101" s="266"/>
      <c r="AO101" s="266"/>
      <c r="AP101" s="266"/>
      <c r="AQ101" s="266"/>
    </row>
    <row r="102" spans="1:43" s="558" customFormat="1" ht="12.75" thickBot="1">
      <c r="A102" s="581" t="s">
        <v>22</v>
      </c>
      <c r="B102" s="582" t="s">
        <v>935</v>
      </c>
      <c r="C102" s="583">
        <f>+C95+C99+C101</f>
        <v>83431</v>
      </c>
      <c r="D102" s="584">
        <f t="shared" ref="D102:V102" si="66">+D95+D99+D101</f>
        <v>10</v>
      </c>
      <c r="E102" s="584">
        <f t="shared" si="66"/>
        <v>37273</v>
      </c>
      <c r="F102" s="584">
        <f t="shared" si="66"/>
        <v>0</v>
      </c>
      <c r="G102" s="584">
        <f t="shared" si="66"/>
        <v>0</v>
      </c>
      <c r="H102" s="584">
        <f t="shared" si="66"/>
        <v>0</v>
      </c>
      <c r="I102" s="585">
        <f t="shared" si="66"/>
        <v>0</v>
      </c>
      <c r="J102" s="586">
        <f t="shared" si="66"/>
        <v>120714</v>
      </c>
      <c r="K102" s="583">
        <f t="shared" si="66"/>
        <v>254215</v>
      </c>
      <c r="L102" s="583">
        <f t="shared" si="66"/>
        <v>54733</v>
      </c>
      <c r="M102" s="583">
        <f t="shared" si="66"/>
        <v>74621</v>
      </c>
      <c r="N102" s="583">
        <f t="shared" si="66"/>
        <v>0</v>
      </c>
      <c r="O102" s="583">
        <f t="shared" si="66"/>
        <v>1298</v>
      </c>
      <c r="P102" s="583">
        <f t="shared" si="66"/>
        <v>14488</v>
      </c>
      <c r="Q102" s="583">
        <f t="shared" si="66"/>
        <v>0</v>
      </c>
      <c r="R102" s="583">
        <f t="shared" si="66"/>
        <v>0</v>
      </c>
      <c r="S102" s="586">
        <f t="shared" si="66"/>
        <v>399355</v>
      </c>
      <c r="T102" s="583">
        <f t="shared" si="66"/>
        <v>278641</v>
      </c>
      <c r="U102" s="585">
        <f t="shared" si="66"/>
        <v>153821</v>
      </c>
      <c r="V102" s="586">
        <f t="shared" si="66"/>
        <v>124820</v>
      </c>
      <c r="W102" s="1195"/>
      <c r="AC102" s="266"/>
      <c r="AD102" s="266"/>
      <c r="AE102" s="266"/>
      <c r="AF102" s="266"/>
      <c r="AG102" s="266"/>
      <c r="AH102" s="266"/>
      <c r="AI102" s="266"/>
      <c r="AJ102" s="266"/>
      <c r="AK102" s="266"/>
      <c r="AL102" s="266"/>
      <c r="AM102" s="266"/>
      <c r="AN102" s="266"/>
      <c r="AO102" s="266"/>
      <c r="AP102" s="266"/>
      <c r="AQ102" s="266"/>
    </row>
    <row r="103" spans="1:43" s="558" customFormat="1" ht="12.75" thickBot="1">
      <c r="A103" s="592"/>
      <c r="B103" s="593"/>
      <c r="C103" s="594"/>
      <c r="D103" s="594"/>
      <c r="E103" s="594"/>
      <c r="F103" s="594"/>
      <c r="G103" s="594"/>
      <c r="H103" s="594"/>
      <c r="I103" s="896"/>
      <c r="J103" s="597"/>
      <c r="K103" s="594"/>
      <c r="L103" s="594"/>
      <c r="M103" s="594"/>
      <c r="N103" s="594"/>
      <c r="O103" s="594"/>
      <c r="P103" s="594"/>
      <c r="Q103" s="594"/>
      <c r="R103" s="594"/>
      <c r="S103" s="597"/>
      <c r="T103" s="594"/>
      <c r="U103" s="596"/>
      <c r="V103" s="597"/>
      <c r="W103" s="1195"/>
      <c r="AC103" s="266"/>
      <c r="AD103" s="266"/>
      <c r="AE103" s="266"/>
      <c r="AF103" s="266"/>
      <c r="AG103" s="266"/>
      <c r="AH103" s="266"/>
      <c r="AI103" s="266"/>
      <c r="AJ103" s="266"/>
      <c r="AK103" s="266"/>
      <c r="AL103" s="266"/>
      <c r="AM103" s="266"/>
      <c r="AN103" s="266"/>
      <c r="AO103" s="266"/>
      <c r="AP103" s="266"/>
      <c r="AQ103" s="266"/>
    </row>
    <row r="104" spans="1:43">
      <c r="A104" s="850">
        <f>+A100+1</f>
        <v>19</v>
      </c>
      <c r="B104" s="755" t="s">
        <v>1175</v>
      </c>
      <c r="C104" s="899">
        <f>+SUMIF('13.mell_ÖNKfeladatok2018'!$B$5:$B$160,'14.mell_Önk kiegészítés2018'!$A104,'13.mell_ÖNKfeladatok2018'!P$5:P$160)</f>
        <v>0</v>
      </c>
      <c r="D104" s="899">
        <f>+SUMIF('13.mell_ÖNKfeladatok2018'!$B$5:$B$160,'14.mell_Önk kiegészítés2018'!$A104,'13.mell_ÖNKfeladatok2018'!T$5:T$160)</f>
        <v>0</v>
      </c>
      <c r="E104" s="899">
        <f>+SUMIF('13.mell_ÖNKfeladatok2018'!$B$5:$B$160,'14.mell_Önk kiegészítés2018'!$A104,'13.mell_ÖNKfeladatok2018'!X$5:X$160)</f>
        <v>8654</v>
      </c>
      <c r="F104" s="899">
        <f>+SUMIF('13.mell_ÖNKfeladatok2018'!$B$5:$B$160,'14.mell_Önk kiegészítés2018'!$A104,'13.mell_ÖNKfeladatok2018'!AB$5:AB$160)</f>
        <v>0</v>
      </c>
      <c r="G104" s="899">
        <f>+SUMIF('13.mell_ÖNKfeladatok2018'!$B$5:$B$160,'14.mell_Önk kiegészítés2018'!$A104,'13.mell_ÖNKfeladatok2018'!AJ$5:AJ$160)</f>
        <v>0</v>
      </c>
      <c r="H104" s="899">
        <f>+SUMIF('13.mell_ÖNKfeladatok2018'!$B$5:$B$160,'14.mell_Önk kiegészítés2018'!$A104,'13.mell_ÖNKfeladatok2018'!AN$5:AN$160)</f>
        <v>0</v>
      </c>
      <c r="I104" s="899">
        <f>+SUMIF('13.mell_ÖNKfeladatok2018'!$B$5:$B$160,'14.mell_Önk kiegészítés2018'!$A104,'13.mell_ÖNKfeladatok2018'!AR$5:AR$160)</f>
        <v>0</v>
      </c>
      <c r="J104" s="756">
        <f t="shared" ref="J104:J106" si="67">SUM(C104:I104)</f>
        <v>8654</v>
      </c>
      <c r="K104" s="899">
        <f>+SUMIF('13.mell_ÖNKfeladatok2018'!$B$168:$B$323,'14.mell_Önk kiegészítés2018'!$A104,'13.mell_ÖNKfeladatok2018'!P$168:P$323)</f>
        <v>187477</v>
      </c>
      <c r="L104" s="899">
        <f>+SUMIF('13.mell_ÖNKfeladatok2018'!$B$168:$B$323,'14.mell_Önk kiegészítés2018'!$A104,'13.mell_ÖNKfeladatok2018'!T$168:T$323)</f>
        <v>40590</v>
      </c>
      <c r="M104" s="899">
        <f>+SUMIF('13.mell_ÖNKfeladatok2018'!$B$168:$B$323,'14.mell_Önk kiegészítés2018'!$A104,'13.mell_ÖNKfeladatok2018'!X$168:X$323)</f>
        <v>31442</v>
      </c>
      <c r="N104" s="899">
        <f>+SUMIF('13.mell_ÖNKfeladatok2018'!$B$168:$B$323,'14.mell_Önk kiegészítés2018'!$A104,'13.mell_ÖNKfeladatok2018'!AB$168:AB$323)</f>
        <v>0</v>
      </c>
      <c r="O104" s="899">
        <f>+SUMIF('13.mell_ÖNKfeladatok2018'!$B$168:$B$323,'14.mell_Önk kiegészítés2018'!$A104,'13.mell_ÖNKfeladatok2018'!AF$168:AF$323)</f>
        <v>73</v>
      </c>
      <c r="P104" s="899">
        <f>+SUMIF('13.mell_ÖNKfeladatok2018'!$B$168:$B$323,'14.mell_Önk kiegészítés2018'!$A104,'13.mell_ÖNKfeladatok2018'!AN$168:AN$323)</f>
        <v>319</v>
      </c>
      <c r="Q104" s="899">
        <f>+SUMIF('13.mell_ÖNKfeladatok2018'!$B$168:$B$323,'14.mell_Önk kiegészítés2018'!$A104,'13.mell_ÖNKfeladatok2018'!AR$168:AR$323)</f>
        <v>0</v>
      </c>
      <c r="R104" s="899">
        <f>+SUMIF('13.mell_ÖNKfeladatok2018'!$B$168:$B$323,'14.mell_Önk kiegészítés2018'!$A104,'13.mell_ÖNKfeladatok2018'!AV$168:AV$323)</f>
        <v>0</v>
      </c>
      <c r="S104" s="756">
        <f>SUM(K104:R104)</f>
        <v>259901</v>
      </c>
      <c r="T104" s="757">
        <f>S104-J104</f>
        <v>251247</v>
      </c>
      <c r="U104" s="1029">
        <f>+ROUND(SUMIF('10.mell_támogatások2018'!$B$6:$B$123,'14.mell_Önk kiegészítés2018'!$A104,'10.mell_támogatások2018'!E$6:E$123)/1000,0)+73+1389</f>
        <v>224611</v>
      </c>
      <c r="V104" s="758">
        <f>+T104-U104</f>
        <v>26636</v>
      </c>
      <c r="W104" s="1195"/>
      <c r="AD104" s="266">
        <v>73</v>
      </c>
      <c r="AE104" s="266">
        <f>+(1021+368)</f>
        <v>1389</v>
      </c>
    </row>
    <row r="105" spans="1:43">
      <c r="A105" s="851">
        <f>+A104+1</f>
        <v>20</v>
      </c>
      <c r="B105" s="566" t="s">
        <v>1269</v>
      </c>
      <c r="C105" s="567">
        <f>+SUMIF('13.mell_ÖNKfeladatok2018'!$B$5:$B$160,'14.mell_Önk kiegészítés2018'!$A105,'13.mell_ÖNKfeladatok2018'!P$5:P$160)</f>
        <v>0</v>
      </c>
      <c r="D105" s="567">
        <f>+SUMIF('13.mell_ÖNKfeladatok2018'!$B$5:$B$160,'14.mell_Önk kiegészítés2018'!$A105,'13.mell_ÖNKfeladatok2018'!T$5:T$160)</f>
        <v>0</v>
      </c>
      <c r="E105" s="567">
        <f>+SUMIF('13.mell_ÖNKfeladatok2018'!$B$5:$B$160,'14.mell_Önk kiegészítés2018'!$A105,'13.mell_ÖNKfeladatok2018'!X$5:X$160)</f>
        <v>10750</v>
      </c>
      <c r="F105" s="567">
        <f>+SUMIF('13.mell_ÖNKfeladatok2018'!$B$5:$B$160,'14.mell_Önk kiegészítés2018'!$A105,'13.mell_ÖNKfeladatok2018'!AB$5:AB$160)</f>
        <v>0</v>
      </c>
      <c r="G105" s="567">
        <f>+SUMIF('13.mell_ÖNKfeladatok2018'!$B$5:$B$160,'14.mell_Önk kiegészítés2018'!$A105,'13.mell_ÖNKfeladatok2018'!AJ$5:AJ$160)</f>
        <v>0</v>
      </c>
      <c r="H105" s="567">
        <f>+SUMIF('13.mell_ÖNKfeladatok2018'!$B$5:$B$160,'14.mell_Önk kiegészítés2018'!$A105,'13.mell_ÖNKfeladatok2018'!AN$5:AN$160)</f>
        <v>0</v>
      </c>
      <c r="I105" s="567">
        <f>+SUMIF('13.mell_ÖNKfeladatok2018'!$B$5:$B$160,'14.mell_Önk kiegészítés2018'!$A105,'13.mell_ÖNKfeladatok2018'!AR$5:AR$160)</f>
        <v>0</v>
      </c>
      <c r="J105" s="607">
        <f t="shared" si="67"/>
        <v>10750</v>
      </c>
      <c r="K105" s="567">
        <f>+SUMIF('13.mell_ÖNKfeladatok2018'!$B$168:$B$323,'14.mell_Önk kiegészítés2018'!$A105,'13.mell_ÖNKfeladatok2018'!P$168:P$323)</f>
        <v>0</v>
      </c>
      <c r="L105" s="567">
        <f>+SUMIF('13.mell_ÖNKfeladatok2018'!$B$168:$B$323,'14.mell_Önk kiegészítés2018'!$A105,'13.mell_ÖNKfeladatok2018'!T$168:T$323)</f>
        <v>0</v>
      </c>
      <c r="M105" s="567">
        <f>+SUMIF('13.mell_ÖNKfeladatok2018'!$B$168:$B$323,'14.mell_Önk kiegészítés2018'!$A105,'13.mell_ÖNKfeladatok2018'!X$168:X$323)</f>
        <v>82388</v>
      </c>
      <c r="N105" s="567">
        <f>+SUMIF('13.mell_ÖNKfeladatok2018'!$B$168:$B$323,'14.mell_Önk kiegészítés2018'!$A105,'13.mell_ÖNKfeladatok2018'!AB$168:AB$323)</f>
        <v>0</v>
      </c>
      <c r="O105" s="567">
        <f>+SUMIF('13.mell_ÖNKfeladatok2018'!$B$168:$B$323,'14.mell_Önk kiegészítés2018'!$A105,'13.mell_ÖNKfeladatok2018'!AF$168:AF$323)</f>
        <v>0</v>
      </c>
      <c r="P105" s="567">
        <f>+SUMIF('13.mell_ÖNKfeladatok2018'!$B$168:$B$323,'14.mell_Önk kiegészítés2018'!$A105,'13.mell_ÖNKfeladatok2018'!AN$168:AN$323)</f>
        <v>0</v>
      </c>
      <c r="Q105" s="567">
        <f>+SUMIF('13.mell_ÖNKfeladatok2018'!$B$168:$B$323,'14.mell_Önk kiegészítés2018'!$A105,'13.mell_ÖNKfeladatok2018'!AR$168:AR$323)</f>
        <v>0</v>
      </c>
      <c r="R105" s="567">
        <f>+SUMIF('13.mell_ÖNKfeladatok2018'!$B$168:$B$323,'14.mell_Önk kiegészítés2018'!$A105,'13.mell_ÖNKfeladatok2018'!AV$168:AV$323)</f>
        <v>0</v>
      </c>
      <c r="S105" s="607">
        <f>SUM(K105:R105)</f>
        <v>82388</v>
      </c>
      <c r="T105" s="568">
        <f>S105-J105</f>
        <v>71638</v>
      </c>
      <c r="U105" s="1028">
        <f>+ROUND(SUMIF('10.mell_támogatások2018'!$B$6:$B$123,'14.mell_Önk kiegészítés2018'!$A105,'10.mell_támogatások2018'!E$6:E$123)/1000,0)</f>
        <v>67463</v>
      </c>
      <c r="V105" s="569">
        <f>+T105-U105</f>
        <v>4175</v>
      </c>
      <c r="W105" s="1195"/>
    </row>
    <row r="106" spans="1:43" ht="12.75" thickBot="1">
      <c r="A106" s="897">
        <f>+A105+1</f>
        <v>21</v>
      </c>
      <c r="B106" s="579" t="s">
        <v>1262</v>
      </c>
      <c r="C106" s="580">
        <f>+SUMIF('13.mell_ÖNKfeladatok2018'!$B$5:$B$160,'14.mell_Önk kiegészítés2018'!$A106,'13.mell_ÖNKfeladatok2018'!P$5:P$160)</f>
        <v>0</v>
      </c>
      <c r="D106" s="580">
        <f>+SUMIF('13.mell_ÖNKfeladatok2018'!$B$5:$B$160,'14.mell_Önk kiegészítés2018'!$A106,'13.mell_ÖNKfeladatok2018'!T$5:T$160)</f>
        <v>0</v>
      </c>
      <c r="E106" s="580">
        <f>+SUMIF('13.mell_ÖNKfeladatok2018'!$B$5:$B$160,'14.mell_Önk kiegészítés2018'!$A106,'13.mell_ÖNKfeladatok2018'!X$5:X$160)</f>
        <v>0</v>
      </c>
      <c r="F106" s="580">
        <f>+SUMIF('13.mell_ÖNKfeladatok2018'!$B$5:$B$160,'14.mell_Önk kiegészítés2018'!$A106,'13.mell_ÖNKfeladatok2018'!AB$5:AB$160)</f>
        <v>0</v>
      </c>
      <c r="G106" s="580">
        <f>+SUMIF('13.mell_ÖNKfeladatok2018'!$B$5:$B$160,'14.mell_Önk kiegészítés2018'!$A106,'13.mell_ÖNKfeladatok2018'!AJ$5:AJ$160)</f>
        <v>0</v>
      </c>
      <c r="H106" s="580">
        <f>+SUMIF('13.mell_ÖNKfeladatok2018'!$B$5:$B$160,'14.mell_Önk kiegészítés2018'!$A106,'13.mell_ÖNKfeladatok2018'!AN$5:AN$160)</f>
        <v>0</v>
      </c>
      <c r="I106" s="580">
        <f>+SUMIF('13.mell_ÖNKfeladatok2018'!$B$5:$B$160,'14.mell_Önk kiegészítés2018'!$A106,'13.mell_ÖNKfeladatok2018'!AR$5:AR$160)</f>
        <v>0</v>
      </c>
      <c r="J106" s="609">
        <f t="shared" si="67"/>
        <v>0</v>
      </c>
      <c r="K106" s="563">
        <f>+SUMIF('13.mell_ÖNKfeladatok2018'!$B$168:$B$323,'14.mell_Önk kiegészítés2018'!$A106,'13.mell_ÖNKfeladatok2018'!P$168:P$323)</f>
        <v>25151</v>
      </c>
      <c r="L106" s="563">
        <f>+SUMIF('13.mell_ÖNKfeladatok2018'!$B$168:$B$323,'14.mell_Önk kiegészítés2018'!$A106,'13.mell_ÖNKfeladatok2018'!T$168:T$323)</f>
        <v>5162</v>
      </c>
      <c r="M106" s="563">
        <f>+SUMIF('13.mell_ÖNKfeladatok2018'!$B$168:$B$323,'14.mell_Önk kiegészítés2018'!$A106,'13.mell_ÖNKfeladatok2018'!X$168:X$323)</f>
        <v>2543</v>
      </c>
      <c r="N106" s="563">
        <f>+SUMIF('13.mell_ÖNKfeladatok2018'!$B$168:$B$323,'14.mell_Önk kiegészítés2018'!$A106,'13.mell_ÖNKfeladatok2018'!AB$168:AB$323)</f>
        <v>0</v>
      </c>
      <c r="O106" s="563">
        <f>+SUMIF('13.mell_ÖNKfeladatok2018'!$B$168:$B$323,'14.mell_Önk kiegészítés2018'!$A106,'13.mell_ÖNKfeladatok2018'!AF$168:AF$323)</f>
        <v>0</v>
      </c>
      <c r="P106" s="563">
        <f>+SUMIF('13.mell_ÖNKfeladatok2018'!$B$168:$B$323,'14.mell_Önk kiegészítés2018'!$A106,'13.mell_ÖNKfeladatok2018'!AN$168:AN$323)</f>
        <v>0</v>
      </c>
      <c r="Q106" s="563">
        <f>+SUMIF('13.mell_ÖNKfeladatok2018'!$B$168:$B$323,'14.mell_Önk kiegészítés2018'!$A106,'13.mell_ÖNKfeladatok2018'!AR$168:AR$323)</f>
        <v>0</v>
      </c>
      <c r="R106" s="563">
        <f>+SUMIF('13.mell_ÖNKfeladatok2018'!$B$168:$B$323,'14.mell_Önk kiegészítés2018'!$A106,'13.mell_ÖNKfeladatok2018'!AV$168:AV$323)</f>
        <v>0</v>
      </c>
      <c r="S106" s="606">
        <f>SUM(K106:R106)</f>
        <v>32856</v>
      </c>
      <c r="T106" s="564">
        <f>S106-J106</f>
        <v>32856</v>
      </c>
      <c r="U106" s="1027">
        <f>+ROUND(SUMIF('10.mell_támogatások2018'!$B$6:$B$123,'14.mell_Önk kiegészítés2018'!$A106,'10.mell_támogatások2018'!E$6:E$123)/1000,0)</f>
        <v>24386</v>
      </c>
      <c r="V106" s="565">
        <f>+T106-U106</f>
        <v>8470</v>
      </c>
      <c r="W106" s="1195"/>
    </row>
    <row r="107" spans="1:43" s="558" customFormat="1" ht="12.75" thickBot="1">
      <c r="A107" s="356" t="s">
        <v>802</v>
      </c>
      <c r="B107" s="517" t="s">
        <v>418</v>
      </c>
      <c r="C107" s="574">
        <f>SUM(C104:C106)</f>
        <v>0</v>
      </c>
      <c r="D107" s="574">
        <f t="shared" ref="D107:V107" si="68">SUM(D104:D106)</f>
        <v>0</v>
      </c>
      <c r="E107" s="574">
        <f t="shared" si="68"/>
        <v>19404</v>
      </c>
      <c r="F107" s="574">
        <f t="shared" si="68"/>
        <v>0</v>
      </c>
      <c r="G107" s="574">
        <f t="shared" si="68"/>
        <v>0</v>
      </c>
      <c r="H107" s="574">
        <f t="shared" si="68"/>
        <v>0</v>
      </c>
      <c r="I107" s="574">
        <f t="shared" si="68"/>
        <v>0</v>
      </c>
      <c r="J107" s="577">
        <f t="shared" si="68"/>
        <v>19404</v>
      </c>
      <c r="K107" s="574">
        <f t="shared" si="68"/>
        <v>212628</v>
      </c>
      <c r="L107" s="574">
        <f t="shared" si="68"/>
        <v>45752</v>
      </c>
      <c r="M107" s="574">
        <f t="shared" si="68"/>
        <v>116373</v>
      </c>
      <c r="N107" s="574">
        <f t="shared" si="68"/>
        <v>0</v>
      </c>
      <c r="O107" s="574">
        <f t="shared" si="68"/>
        <v>73</v>
      </c>
      <c r="P107" s="574">
        <f t="shared" si="68"/>
        <v>319</v>
      </c>
      <c r="Q107" s="574">
        <f t="shared" si="68"/>
        <v>0</v>
      </c>
      <c r="R107" s="574">
        <f t="shared" si="68"/>
        <v>0</v>
      </c>
      <c r="S107" s="577">
        <f t="shared" si="68"/>
        <v>375145</v>
      </c>
      <c r="T107" s="574">
        <f t="shared" si="68"/>
        <v>355741</v>
      </c>
      <c r="U107" s="578">
        <f t="shared" si="68"/>
        <v>316460</v>
      </c>
      <c r="V107" s="577">
        <f t="shared" si="68"/>
        <v>39281</v>
      </c>
      <c r="W107" s="1195"/>
      <c r="AC107" s="266"/>
      <c r="AD107" s="266"/>
      <c r="AE107" s="266"/>
      <c r="AF107" s="266"/>
      <c r="AG107" s="266"/>
      <c r="AH107" s="266"/>
      <c r="AI107" s="266"/>
      <c r="AJ107" s="266"/>
      <c r="AK107" s="266"/>
      <c r="AL107" s="266"/>
      <c r="AM107" s="266"/>
      <c r="AN107" s="266"/>
      <c r="AO107" s="266"/>
      <c r="AP107" s="266"/>
      <c r="AQ107" s="266"/>
    </row>
    <row r="108" spans="1:43" ht="12.75" thickBot="1">
      <c r="A108" s="900">
        <f>+A106+1</f>
        <v>22</v>
      </c>
      <c r="B108" s="579" t="s">
        <v>419</v>
      </c>
      <c r="C108" s="580">
        <f>+SUMIF('13.mell_ÖNKfeladatok2018'!$B$5:$B$160,'14.mell_Önk kiegészítés2018'!$A108,'13.mell_ÖNKfeladatok2018'!P$5:P$160)</f>
        <v>0</v>
      </c>
      <c r="D108" s="580">
        <f>+SUMIF('13.mell_ÖNKfeladatok2018'!$B$5:$B$160,'14.mell_Önk kiegészítés2018'!$A108,'13.mell_ÖNKfeladatok2018'!T$5:T$160)</f>
        <v>0</v>
      </c>
      <c r="E108" s="580">
        <f>+SUMIF('13.mell_ÖNKfeladatok2018'!$B$5:$B$160,'14.mell_Önk kiegészítés2018'!$A108,'13.mell_ÖNKfeladatok2018'!X$5:X$160)</f>
        <v>0</v>
      </c>
      <c r="F108" s="580">
        <f>+SUMIF('13.mell_ÖNKfeladatok2018'!$B$5:$B$160,'14.mell_Önk kiegészítés2018'!$A108,'13.mell_ÖNKfeladatok2018'!AB$5:AB$160)</f>
        <v>0</v>
      </c>
      <c r="G108" s="580">
        <f>+SUMIF('13.mell_ÖNKfeladatok2018'!$B$5:$B$160,'14.mell_Önk kiegészítés2018'!$A108,'13.mell_ÖNKfeladatok2018'!AJ$5:AJ$160)</f>
        <v>0</v>
      </c>
      <c r="H108" s="580">
        <f>+SUMIF('13.mell_ÖNKfeladatok2018'!$B$5:$B$160,'14.mell_Önk kiegészítés2018'!$A108,'13.mell_ÖNKfeladatok2018'!AN$5:AN$160)</f>
        <v>0</v>
      </c>
      <c r="I108" s="580">
        <f>+SUMIF('13.mell_ÖNKfeladatok2018'!$B$5:$B$160,'14.mell_Önk kiegészítés2018'!$A108,'13.mell_ÖNKfeladatok2018'!AR$5:AR$160)</f>
        <v>0</v>
      </c>
      <c r="J108" s="609">
        <f>SUM(C108:I108)</f>
        <v>0</v>
      </c>
      <c r="K108" s="571">
        <f>+SUMIF('13.mell_ÖNKfeladatok2018'!$B$168:$B$323,'14.mell_Önk kiegészítés2018'!$A108,'13.mell_ÖNKfeladatok2018'!P$168:P$323)</f>
        <v>0</v>
      </c>
      <c r="L108" s="571">
        <f>+SUMIF('13.mell_ÖNKfeladatok2018'!$B$168:$B$323,'14.mell_Önk kiegészítés2018'!$A108,'13.mell_ÖNKfeladatok2018'!T$168:T$323)</f>
        <v>0</v>
      </c>
      <c r="M108" s="571">
        <f>+SUMIF('13.mell_ÖNKfeladatok2018'!$B$168:$B$323,'14.mell_Önk kiegészítés2018'!$A108,'13.mell_ÖNKfeladatok2018'!X$168:X$323)</f>
        <v>0</v>
      </c>
      <c r="N108" s="571">
        <f>+SUMIF('13.mell_ÖNKfeladatok2018'!$B$168:$B$323,'14.mell_Önk kiegészítés2018'!$A108,'13.mell_ÖNKfeladatok2018'!AB$168:AB$323)</f>
        <v>0</v>
      </c>
      <c r="O108" s="571">
        <f>+SUMIF('13.mell_ÖNKfeladatok2018'!$B$168:$B$323,'14.mell_Önk kiegészítés2018'!$A108,'13.mell_ÖNKfeladatok2018'!AF$168:AF$323)</f>
        <v>0</v>
      </c>
      <c r="P108" s="571">
        <f>+SUMIF('13.mell_ÖNKfeladatok2018'!$B$168:$B$323,'14.mell_Önk kiegészítés2018'!$A108,'13.mell_ÖNKfeladatok2018'!AN$168:AN$323)</f>
        <v>0</v>
      </c>
      <c r="Q108" s="571">
        <f>+SUMIF('13.mell_ÖNKfeladatok2018'!$B$168:$B$323,'14.mell_Önk kiegészítés2018'!$A108,'13.mell_ÖNKfeladatok2018'!AR$168:AR$323)</f>
        <v>0</v>
      </c>
      <c r="R108" s="571">
        <f>+SUMIF('13.mell_ÖNKfeladatok2018'!$B$168:$B$323,'14.mell_Önk kiegészítés2018'!$A108,'13.mell_ÖNKfeladatok2018'!AV$168:AV$323)</f>
        <v>0</v>
      </c>
      <c r="S108" s="608">
        <f>SUM(K108:R108)</f>
        <v>0</v>
      </c>
      <c r="T108" s="901">
        <f>S108-J108</f>
        <v>0</v>
      </c>
      <c r="U108" s="1030">
        <f>+ROUND(SUMIF('10.mell_támogatások2018'!$B$6:$B$123,'14.mell_Önk kiegészítés2018'!$A108,'10.mell_támogatások2018'!E$6:E$123)/1000,0)</f>
        <v>0</v>
      </c>
      <c r="V108" s="902">
        <f>+T108-U108</f>
        <v>0</v>
      </c>
      <c r="W108" s="1195"/>
    </row>
    <row r="109" spans="1:43" s="558" customFormat="1" ht="12.75" thickBot="1">
      <c r="A109" s="356" t="s">
        <v>803</v>
      </c>
      <c r="B109" s="517" t="s">
        <v>419</v>
      </c>
      <c r="C109" s="574">
        <f>SUM(C108)</f>
        <v>0</v>
      </c>
      <c r="D109" s="574">
        <f t="shared" ref="D109:V109" si="69">SUM(D108)</f>
        <v>0</v>
      </c>
      <c r="E109" s="574">
        <f t="shared" si="69"/>
        <v>0</v>
      </c>
      <c r="F109" s="574">
        <f t="shared" si="69"/>
        <v>0</v>
      </c>
      <c r="G109" s="574">
        <f t="shared" si="69"/>
        <v>0</v>
      </c>
      <c r="H109" s="574">
        <f t="shared" si="69"/>
        <v>0</v>
      </c>
      <c r="I109" s="574">
        <f t="shared" si="69"/>
        <v>0</v>
      </c>
      <c r="J109" s="577">
        <f t="shared" si="69"/>
        <v>0</v>
      </c>
      <c r="K109" s="574">
        <f t="shared" si="69"/>
        <v>0</v>
      </c>
      <c r="L109" s="574">
        <f t="shared" si="69"/>
        <v>0</v>
      </c>
      <c r="M109" s="574">
        <f t="shared" si="69"/>
        <v>0</v>
      </c>
      <c r="N109" s="574">
        <f t="shared" si="69"/>
        <v>0</v>
      </c>
      <c r="O109" s="574">
        <f t="shared" si="69"/>
        <v>0</v>
      </c>
      <c r="P109" s="574">
        <f t="shared" si="69"/>
        <v>0</v>
      </c>
      <c r="Q109" s="574">
        <f t="shared" si="69"/>
        <v>0</v>
      </c>
      <c r="R109" s="574">
        <f t="shared" si="69"/>
        <v>0</v>
      </c>
      <c r="S109" s="577">
        <f t="shared" si="69"/>
        <v>0</v>
      </c>
      <c r="T109" s="574">
        <f t="shared" si="69"/>
        <v>0</v>
      </c>
      <c r="U109" s="578">
        <f t="shared" si="69"/>
        <v>0</v>
      </c>
      <c r="V109" s="577">
        <f t="shared" si="69"/>
        <v>0</v>
      </c>
      <c r="W109" s="1195"/>
      <c r="AC109" s="266"/>
      <c r="AD109" s="266"/>
      <c r="AE109" s="266"/>
      <c r="AF109" s="266"/>
      <c r="AG109" s="266"/>
      <c r="AH109" s="266"/>
      <c r="AI109" s="266"/>
      <c r="AJ109" s="266"/>
      <c r="AK109" s="266"/>
      <c r="AL109" s="266"/>
      <c r="AM109" s="266"/>
      <c r="AN109" s="266"/>
      <c r="AO109" s="266"/>
      <c r="AP109" s="266"/>
      <c r="AQ109" s="266"/>
    </row>
    <row r="110" spans="1:43" ht="12.75" thickBot="1">
      <c r="A110" s="900">
        <f>+A108+1</f>
        <v>23</v>
      </c>
      <c r="B110" s="579" t="s">
        <v>821</v>
      </c>
      <c r="C110" s="580">
        <f>+SUMIF('13.mell_ÖNKfeladatok2018'!$B$5:$B$160,'14.mell_Önk kiegészítés2018'!$A110,'13.mell_ÖNKfeladatok2018'!P$5:P$160)</f>
        <v>0</v>
      </c>
      <c r="D110" s="580">
        <f>+SUMIF('13.mell_ÖNKfeladatok2018'!$B$5:$B$160,'14.mell_Önk kiegészítés2018'!$A110,'13.mell_ÖNKfeladatok2018'!T$5:T$160)</f>
        <v>0</v>
      </c>
      <c r="E110" s="580">
        <f>+SUMIF('13.mell_ÖNKfeladatok2018'!$B$5:$B$160,'14.mell_Önk kiegészítés2018'!$A110,'13.mell_ÖNKfeladatok2018'!X$5:X$160)</f>
        <v>0</v>
      </c>
      <c r="F110" s="580">
        <f>+SUMIF('13.mell_ÖNKfeladatok2018'!$B$5:$B$160,'14.mell_Önk kiegészítés2018'!$A110,'13.mell_ÖNKfeladatok2018'!AB$5:AB$160)</f>
        <v>0</v>
      </c>
      <c r="G110" s="580">
        <f>+SUMIF('13.mell_ÖNKfeladatok2018'!$B$5:$B$160,'14.mell_Önk kiegészítés2018'!$A110,'13.mell_ÖNKfeladatok2018'!AJ$5:AJ$160)</f>
        <v>0</v>
      </c>
      <c r="H110" s="580">
        <f>+SUMIF('13.mell_ÖNKfeladatok2018'!$B$5:$B$160,'14.mell_Önk kiegészítés2018'!$A110,'13.mell_ÖNKfeladatok2018'!AN$5:AN$160)</f>
        <v>0</v>
      </c>
      <c r="I110" s="580">
        <f>+SUMIF('13.mell_ÖNKfeladatok2018'!$B$5:$B$160,'14.mell_Önk kiegészítés2018'!$A110,'13.mell_ÖNKfeladatok2018'!AR$5:AR$160)</f>
        <v>0</v>
      </c>
      <c r="J110" s="609">
        <f>SUM(C110:I110)</f>
        <v>0</v>
      </c>
      <c r="K110" s="571">
        <f>+SUMIF('13.mell_ÖNKfeladatok2018'!$B$168:$B$323,'14.mell_Önk kiegészítés2018'!$A110,'13.mell_ÖNKfeladatok2018'!P$168:P$323)</f>
        <v>0</v>
      </c>
      <c r="L110" s="571">
        <f>+SUMIF('13.mell_ÖNKfeladatok2018'!$B$168:$B$323,'14.mell_Önk kiegészítés2018'!$A110,'13.mell_ÖNKfeladatok2018'!T$168:T$323)</f>
        <v>0</v>
      </c>
      <c r="M110" s="571">
        <f>+SUMIF('13.mell_ÖNKfeladatok2018'!$B$168:$B$323,'14.mell_Önk kiegészítés2018'!$A110,'13.mell_ÖNKfeladatok2018'!X$168:X$323)</f>
        <v>0</v>
      </c>
      <c r="N110" s="571">
        <f>+SUMIF('13.mell_ÖNKfeladatok2018'!$B$168:$B$323,'14.mell_Önk kiegészítés2018'!$A110,'13.mell_ÖNKfeladatok2018'!AB$168:AB$323)</f>
        <v>0</v>
      </c>
      <c r="O110" s="571">
        <f>+SUMIF('13.mell_ÖNKfeladatok2018'!$B$168:$B$323,'14.mell_Önk kiegészítés2018'!$A110,'13.mell_ÖNKfeladatok2018'!AF$168:AF$323)</f>
        <v>0</v>
      </c>
      <c r="P110" s="571">
        <f>+SUMIF('13.mell_ÖNKfeladatok2018'!$B$168:$B$323,'14.mell_Önk kiegészítés2018'!$A110,'13.mell_ÖNKfeladatok2018'!AN$168:AN$323)</f>
        <v>0</v>
      </c>
      <c r="Q110" s="571">
        <f>+SUMIF('13.mell_ÖNKfeladatok2018'!$B$168:$B$323,'14.mell_Önk kiegészítés2018'!$A110,'13.mell_ÖNKfeladatok2018'!AR$168:AR$323)</f>
        <v>0</v>
      </c>
      <c r="R110" s="571">
        <f>+SUMIF('13.mell_ÖNKfeladatok2018'!$B$168:$B$323,'14.mell_Önk kiegészítés2018'!$A110,'13.mell_ÖNKfeladatok2018'!AV$168:AV$323)</f>
        <v>0</v>
      </c>
      <c r="S110" s="608">
        <f>SUM(K110:R110)</f>
        <v>0</v>
      </c>
      <c r="T110" s="901">
        <f>S110-J110</f>
        <v>0</v>
      </c>
      <c r="U110" s="1030">
        <f>+ROUND(SUMIF('10.mell_támogatások2018'!$B$6:$B$123,'14.mell_Önk kiegészítés2018'!$A110,'10.mell_támogatások2018'!E$6:E$123)/1000,0)</f>
        <v>0</v>
      </c>
      <c r="V110" s="902">
        <f>+T110-U110</f>
        <v>0</v>
      </c>
      <c r="W110" s="1195"/>
    </row>
    <row r="111" spans="1:43" s="558" customFormat="1" ht="12.75" thickBot="1">
      <c r="A111" s="356" t="s">
        <v>804</v>
      </c>
      <c r="B111" s="517" t="s">
        <v>821</v>
      </c>
      <c r="C111" s="574">
        <f>SUM(C110)</f>
        <v>0</v>
      </c>
      <c r="D111" s="574">
        <f t="shared" ref="D111:V111" si="70">SUM(D110)</f>
        <v>0</v>
      </c>
      <c r="E111" s="574">
        <f t="shared" si="70"/>
        <v>0</v>
      </c>
      <c r="F111" s="574">
        <f t="shared" si="70"/>
        <v>0</v>
      </c>
      <c r="G111" s="574">
        <f t="shared" si="70"/>
        <v>0</v>
      </c>
      <c r="H111" s="574">
        <f t="shared" si="70"/>
        <v>0</v>
      </c>
      <c r="I111" s="574">
        <f t="shared" si="70"/>
        <v>0</v>
      </c>
      <c r="J111" s="577">
        <f t="shared" si="70"/>
        <v>0</v>
      </c>
      <c r="K111" s="574">
        <f t="shared" si="70"/>
        <v>0</v>
      </c>
      <c r="L111" s="574">
        <f t="shared" si="70"/>
        <v>0</v>
      </c>
      <c r="M111" s="574">
        <f t="shared" si="70"/>
        <v>0</v>
      </c>
      <c r="N111" s="574">
        <f t="shared" si="70"/>
        <v>0</v>
      </c>
      <c r="O111" s="574">
        <f t="shared" si="70"/>
        <v>0</v>
      </c>
      <c r="P111" s="574">
        <f t="shared" si="70"/>
        <v>0</v>
      </c>
      <c r="Q111" s="574">
        <f t="shared" si="70"/>
        <v>0</v>
      </c>
      <c r="R111" s="574">
        <f t="shared" si="70"/>
        <v>0</v>
      </c>
      <c r="S111" s="577">
        <f t="shared" si="70"/>
        <v>0</v>
      </c>
      <c r="T111" s="574">
        <f t="shared" si="70"/>
        <v>0</v>
      </c>
      <c r="U111" s="578">
        <f t="shared" si="70"/>
        <v>0</v>
      </c>
      <c r="V111" s="577">
        <f t="shared" si="70"/>
        <v>0</v>
      </c>
      <c r="W111" s="1195"/>
      <c r="AC111" s="266"/>
      <c r="AD111" s="266"/>
      <c r="AE111" s="266"/>
      <c r="AF111" s="266"/>
      <c r="AG111" s="266"/>
      <c r="AH111" s="266"/>
      <c r="AI111" s="266"/>
      <c r="AJ111" s="266"/>
      <c r="AK111" s="266"/>
      <c r="AL111" s="266"/>
      <c r="AM111" s="266"/>
      <c r="AN111" s="266"/>
      <c r="AO111" s="266"/>
      <c r="AP111" s="266"/>
      <c r="AQ111" s="266"/>
    </row>
    <row r="112" spans="1:43" s="558" customFormat="1" ht="12.75" thickBot="1">
      <c r="A112" s="520" t="s">
        <v>21</v>
      </c>
      <c r="B112" s="530" t="s">
        <v>420</v>
      </c>
      <c r="C112" s="583">
        <f>+C107+C109+C111</f>
        <v>0</v>
      </c>
      <c r="D112" s="584">
        <f t="shared" ref="D112:V112" si="71">+D107+D109+D111</f>
        <v>0</v>
      </c>
      <c r="E112" s="584">
        <f t="shared" si="71"/>
        <v>19404</v>
      </c>
      <c r="F112" s="584">
        <f t="shared" si="71"/>
        <v>0</v>
      </c>
      <c r="G112" s="584">
        <f t="shared" si="71"/>
        <v>0</v>
      </c>
      <c r="H112" s="584">
        <f t="shared" si="71"/>
        <v>0</v>
      </c>
      <c r="I112" s="585">
        <f t="shared" si="71"/>
        <v>0</v>
      </c>
      <c r="J112" s="586">
        <f t="shared" si="71"/>
        <v>19404</v>
      </c>
      <c r="K112" s="583">
        <f t="shared" si="71"/>
        <v>212628</v>
      </c>
      <c r="L112" s="583">
        <f t="shared" si="71"/>
        <v>45752</v>
      </c>
      <c r="M112" s="583">
        <f t="shared" si="71"/>
        <v>116373</v>
      </c>
      <c r="N112" s="583">
        <f t="shared" si="71"/>
        <v>0</v>
      </c>
      <c r="O112" s="583">
        <f t="shared" si="71"/>
        <v>73</v>
      </c>
      <c r="P112" s="583">
        <f t="shared" si="71"/>
        <v>319</v>
      </c>
      <c r="Q112" s="583">
        <f t="shared" si="71"/>
        <v>0</v>
      </c>
      <c r="R112" s="583">
        <f t="shared" si="71"/>
        <v>0</v>
      </c>
      <c r="S112" s="586">
        <f t="shared" si="71"/>
        <v>375145</v>
      </c>
      <c r="T112" s="583">
        <f t="shared" si="71"/>
        <v>355741</v>
      </c>
      <c r="U112" s="585">
        <f t="shared" si="71"/>
        <v>316460</v>
      </c>
      <c r="V112" s="586">
        <f t="shared" si="71"/>
        <v>39281</v>
      </c>
      <c r="W112" s="1195"/>
      <c r="AC112" s="266"/>
      <c r="AD112" s="266"/>
      <c r="AE112" s="266"/>
      <c r="AF112" s="266"/>
      <c r="AG112" s="266"/>
      <c r="AH112" s="266"/>
      <c r="AI112" s="266"/>
      <c r="AJ112" s="266"/>
      <c r="AK112" s="266"/>
      <c r="AL112" s="266"/>
      <c r="AM112" s="266"/>
      <c r="AN112" s="266"/>
      <c r="AO112" s="266"/>
      <c r="AP112" s="266"/>
      <c r="AQ112" s="266"/>
    </row>
    <row r="113" spans="1:43" s="198" customFormat="1" ht="12.75" thickBot="1">
      <c r="A113" s="356"/>
      <c r="B113" s="517"/>
      <c r="C113" s="594"/>
      <c r="D113" s="595"/>
      <c r="E113" s="595"/>
      <c r="F113" s="595"/>
      <c r="G113" s="595"/>
      <c r="H113" s="595"/>
      <c r="I113" s="596"/>
      <c r="J113" s="597"/>
      <c r="K113" s="594"/>
      <c r="L113" s="594"/>
      <c r="M113" s="594"/>
      <c r="N113" s="594"/>
      <c r="O113" s="594"/>
      <c r="P113" s="594"/>
      <c r="Q113" s="594"/>
      <c r="R113" s="594"/>
      <c r="S113" s="597"/>
      <c r="T113" s="594"/>
      <c r="U113" s="596"/>
      <c r="V113" s="597"/>
      <c r="W113" s="1195"/>
      <c r="AC113" s="199"/>
      <c r="AD113" s="199"/>
      <c r="AE113" s="199"/>
      <c r="AF113" s="199"/>
      <c r="AG113" s="199"/>
      <c r="AH113" s="199"/>
      <c r="AI113" s="199"/>
      <c r="AJ113" s="199"/>
      <c r="AK113" s="199"/>
      <c r="AL113" s="199"/>
      <c r="AM113" s="199"/>
      <c r="AN113" s="199"/>
      <c r="AO113" s="199"/>
      <c r="AP113" s="199"/>
      <c r="AQ113" s="199"/>
    </row>
    <row r="114" spans="1:43">
      <c r="A114" s="850">
        <f>+A110+1</f>
        <v>24</v>
      </c>
      <c r="B114" s="755" t="s">
        <v>1190</v>
      </c>
      <c r="C114" s="899">
        <f>+SUMIF('13.mell_ÖNKfeladatok2018'!$B$5:$B$160,'14.mell_Önk kiegészítés2018'!$A114,'13.mell_ÖNKfeladatok2018'!P$5:P$160)</f>
        <v>0</v>
      </c>
      <c r="D114" s="899">
        <f>+SUMIF('13.mell_ÖNKfeladatok2018'!$B$5:$B$160,'14.mell_Önk kiegészítés2018'!$A114,'13.mell_ÖNKfeladatok2018'!T$5:T$160)</f>
        <v>0</v>
      </c>
      <c r="E114" s="899">
        <f>+SUMIF('13.mell_ÖNKfeladatok2018'!$B$5:$B$160,'14.mell_Önk kiegészítés2018'!$A114,'13.mell_ÖNKfeladatok2018'!X$5:X$160)</f>
        <v>0</v>
      </c>
      <c r="F114" s="899">
        <f>+SUMIF('13.mell_ÖNKfeladatok2018'!$B$5:$B$160,'14.mell_Önk kiegészítés2018'!$A114,'13.mell_ÖNKfeladatok2018'!AB$5:AB$160)</f>
        <v>0</v>
      </c>
      <c r="G114" s="899">
        <f>+SUMIF('13.mell_ÖNKfeladatok2018'!$B$5:$B$160,'14.mell_Önk kiegészítés2018'!$A114,'13.mell_ÖNKfeladatok2018'!AJ$5:AJ$160)</f>
        <v>0</v>
      </c>
      <c r="H114" s="899">
        <f>+SUMIF('13.mell_ÖNKfeladatok2018'!$B$5:$B$160,'14.mell_Önk kiegészítés2018'!$A114,'13.mell_ÖNKfeladatok2018'!AN$5:AN$160)</f>
        <v>0</v>
      </c>
      <c r="I114" s="899">
        <f>+SUMIF('13.mell_ÖNKfeladatok2018'!$B$5:$B$160,'14.mell_Önk kiegészítés2018'!$A114,'13.mell_ÖNKfeladatok2018'!AR$5:AR$160)</f>
        <v>0</v>
      </c>
      <c r="J114" s="756">
        <f t="shared" ref="J114:J116" si="72">SUM(C114:I114)</f>
        <v>0</v>
      </c>
      <c r="K114" s="899">
        <f>+SUMIF('13.mell_ÖNKfeladatok2018'!$B$168:$B$323,'14.mell_Önk kiegészítés2018'!$A114,'13.mell_ÖNKfeladatok2018'!P$168:P$323)</f>
        <v>0</v>
      </c>
      <c r="L114" s="899">
        <f>+SUMIF('13.mell_ÖNKfeladatok2018'!$B$168:$B$323,'14.mell_Önk kiegészítés2018'!$A114,'13.mell_ÖNKfeladatok2018'!T$168:T$323)</f>
        <v>0</v>
      </c>
      <c r="M114" s="899">
        <f>+SUMIF('13.mell_ÖNKfeladatok2018'!$B$168:$B$323,'14.mell_Önk kiegészítés2018'!$A114,'13.mell_ÖNKfeladatok2018'!X$168:X$323)</f>
        <v>1749</v>
      </c>
      <c r="N114" s="899">
        <f>+SUMIF('13.mell_ÖNKfeladatok2018'!$B$168:$B$323,'14.mell_Önk kiegészítés2018'!$A114,'13.mell_ÖNKfeladatok2018'!AB$168:AB$323)</f>
        <v>0</v>
      </c>
      <c r="O114" s="899">
        <f>+SUMIF('13.mell_ÖNKfeladatok2018'!$B$168:$B$323,'14.mell_Önk kiegészítés2018'!$A114,'13.mell_ÖNKfeladatok2018'!AF$168:AF$323)</f>
        <v>0</v>
      </c>
      <c r="P114" s="899">
        <f>+SUMIF('13.mell_ÖNKfeladatok2018'!$B$168:$B$323,'14.mell_Önk kiegészítés2018'!$A114,'13.mell_ÖNKfeladatok2018'!AN$168:AN$323)</f>
        <v>0</v>
      </c>
      <c r="Q114" s="899">
        <f>+SUMIF('13.mell_ÖNKfeladatok2018'!$B$168:$B$323,'14.mell_Önk kiegészítés2018'!$A114,'13.mell_ÖNKfeladatok2018'!AR$168:AR$323)</f>
        <v>0</v>
      </c>
      <c r="R114" s="899">
        <f>+SUMIF('13.mell_ÖNKfeladatok2018'!$B$168:$B$323,'14.mell_Önk kiegészítés2018'!$A114,'13.mell_ÖNKfeladatok2018'!AV$168:AV$323)</f>
        <v>0</v>
      </c>
      <c r="S114" s="756">
        <f>SUM(K114:R114)</f>
        <v>1749</v>
      </c>
      <c r="T114" s="757">
        <f>S114-J114</f>
        <v>1749</v>
      </c>
      <c r="U114" s="1029">
        <f>+ROUND(SUMIF('10.mell_támogatások2018'!$B$6:$B$123,'14.mell_Önk kiegészítés2018'!$A114,'10.mell_támogatások2018'!E$6:E$123)/1000,0)+1313</f>
        <v>1313</v>
      </c>
      <c r="V114" s="758">
        <f>+T114-U114</f>
        <v>436</v>
      </c>
      <c r="W114" s="1195"/>
      <c r="AI114" s="266">
        <v>1313</v>
      </c>
    </row>
    <row r="115" spans="1:43">
      <c r="A115" s="851">
        <f>+A114+1</f>
        <v>25</v>
      </c>
      <c r="B115" s="566" t="s">
        <v>1263</v>
      </c>
      <c r="C115" s="567">
        <f>+SUMIF('13.mell_ÖNKfeladatok2018'!$B$5:$B$160,'14.mell_Önk kiegészítés2018'!$A115,'13.mell_ÖNKfeladatok2018'!P$5:P$160)</f>
        <v>0</v>
      </c>
      <c r="D115" s="567">
        <f>+SUMIF('13.mell_ÖNKfeladatok2018'!$B$5:$B$160,'14.mell_Önk kiegészítés2018'!$A115,'13.mell_ÖNKfeladatok2018'!T$5:T$160)</f>
        <v>0</v>
      </c>
      <c r="E115" s="567">
        <f>+SUMIF('13.mell_ÖNKfeladatok2018'!$B$5:$B$160,'14.mell_Önk kiegészítés2018'!$A115,'13.mell_ÖNKfeladatok2018'!X$5:X$160)</f>
        <v>737</v>
      </c>
      <c r="F115" s="567">
        <f>+SUMIF('13.mell_ÖNKfeladatok2018'!$B$5:$B$160,'14.mell_Önk kiegészítés2018'!$A115,'13.mell_ÖNKfeladatok2018'!AB$5:AB$160)</f>
        <v>12</v>
      </c>
      <c r="G115" s="567">
        <f>+SUMIF('13.mell_ÖNKfeladatok2018'!$B$5:$B$160,'14.mell_Önk kiegészítés2018'!$A115,'13.mell_ÖNKfeladatok2018'!AJ$5:AJ$160)</f>
        <v>0</v>
      </c>
      <c r="H115" s="567">
        <f>+SUMIF('13.mell_ÖNKfeladatok2018'!$B$5:$B$160,'14.mell_Önk kiegészítés2018'!$A115,'13.mell_ÖNKfeladatok2018'!AN$5:AN$160)</f>
        <v>400</v>
      </c>
      <c r="I115" s="567">
        <f>+SUMIF('13.mell_ÖNKfeladatok2018'!$B$5:$B$160,'14.mell_Önk kiegészítés2018'!$A115,'13.mell_ÖNKfeladatok2018'!AR$5:AR$160)</f>
        <v>0</v>
      </c>
      <c r="J115" s="607">
        <f t="shared" si="72"/>
        <v>1149</v>
      </c>
      <c r="K115" s="567">
        <f>+SUMIF('13.mell_ÖNKfeladatok2018'!$B$168:$B$323,'14.mell_Önk kiegészítés2018'!$A115,'13.mell_ÖNKfeladatok2018'!P$168:P$323)</f>
        <v>15601</v>
      </c>
      <c r="L115" s="567">
        <f>+SUMIF('13.mell_ÖNKfeladatok2018'!$B$168:$B$323,'14.mell_Önk kiegészítés2018'!$A115,'13.mell_ÖNKfeladatok2018'!T$168:T$323)</f>
        <v>2969</v>
      </c>
      <c r="M115" s="567">
        <f>+SUMIF('13.mell_ÖNKfeladatok2018'!$B$168:$B$323,'14.mell_Önk kiegészítés2018'!$A115,'13.mell_ÖNKfeladatok2018'!X$168:X$323)</f>
        <v>7225</v>
      </c>
      <c r="N115" s="567">
        <f>+SUMIF('13.mell_ÖNKfeladatok2018'!$B$168:$B$323,'14.mell_Önk kiegészítés2018'!$A115,'13.mell_ÖNKfeladatok2018'!AB$168:AB$323)</f>
        <v>0</v>
      </c>
      <c r="O115" s="567">
        <f>+SUMIF('13.mell_ÖNKfeladatok2018'!$B$168:$B$323,'14.mell_Önk kiegészítés2018'!$A115,'13.mell_ÖNKfeladatok2018'!AF$168:AF$323)</f>
        <v>116</v>
      </c>
      <c r="P115" s="567">
        <f>+SUMIF('13.mell_ÖNKfeladatok2018'!$B$168:$B$323,'14.mell_Önk kiegészítés2018'!$A115,'13.mell_ÖNKfeladatok2018'!AN$168:AN$323)</f>
        <v>0</v>
      </c>
      <c r="Q115" s="567">
        <f>+SUMIF('13.mell_ÖNKfeladatok2018'!$B$168:$B$323,'14.mell_Önk kiegészítés2018'!$A115,'13.mell_ÖNKfeladatok2018'!AR$168:AR$323)</f>
        <v>0</v>
      </c>
      <c r="R115" s="567">
        <f>+SUMIF('13.mell_ÖNKfeladatok2018'!$B$168:$B$323,'14.mell_Önk kiegészítés2018'!$A115,'13.mell_ÖNKfeladatok2018'!AV$168:AV$323)</f>
        <v>0</v>
      </c>
      <c r="S115" s="607">
        <f>SUM(K115:R115)</f>
        <v>25911</v>
      </c>
      <c r="T115" s="568">
        <f>S115-J115</f>
        <v>24762</v>
      </c>
      <c r="U115" s="1028">
        <f>+ROUND(SUMIF('10.mell_támogatások2018'!$B$6:$B$123,'14.mell_Önk kiegészítés2018'!$A115,'10.mell_támogatások2018'!E$6:E$123)/1000,0)+3438+2351+136-1313</f>
        <v>19772</v>
      </c>
      <c r="V115" s="569">
        <f>+T115-U115</f>
        <v>4990</v>
      </c>
      <c r="W115" s="1195"/>
      <c r="AD115" s="266">
        <v>3438</v>
      </c>
      <c r="AE115" s="266">
        <v>2351</v>
      </c>
      <c r="AG115" s="266">
        <f>(83+16)+(31+6)</f>
        <v>136</v>
      </c>
      <c r="AI115" s="266">
        <v>-1313</v>
      </c>
    </row>
    <row r="116" spans="1:43" ht="12.75" thickBot="1">
      <c r="A116" s="903">
        <f>+A115+1</f>
        <v>26</v>
      </c>
      <c r="B116" s="579" t="s">
        <v>1199</v>
      </c>
      <c r="C116" s="580">
        <f>+SUMIF('13.mell_ÖNKfeladatok2018'!$B$5:$B$160,'14.mell_Önk kiegészítés2018'!$A116,'13.mell_ÖNKfeladatok2018'!P$5:P$160)</f>
        <v>0</v>
      </c>
      <c r="D116" s="580">
        <f>+SUMIF('13.mell_ÖNKfeladatok2018'!$B$5:$B$160,'14.mell_Önk kiegészítés2018'!$A116,'13.mell_ÖNKfeladatok2018'!T$5:T$160)</f>
        <v>0</v>
      </c>
      <c r="E116" s="580">
        <f>+SUMIF('13.mell_ÖNKfeladatok2018'!$B$5:$B$160,'14.mell_Önk kiegészítés2018'!$A116,'13.mell_ÖNKfeladatok2018'!X$5:X$160)</f>
        <v>152</v>
      </c>
      <c r="F116" s="580">
        <f>+SUMIF('13.mell_ÖNKfeladatok2018'!$B$5:$B$160,'14.mell_Önk kiegészítés2018'!$A116,'13.mell_ÖNKfeladatok2018'!AB$5:AB$160)</f>
        <v>0</v>
      </c>
      <c r="G116" s="580">
        <f>+SUMIF('13.mell_ÖNKfeladatok2018'!$B$5:$B$160,'14.mell_Önk kiegészítés2018'!$A116,'13.mell_ÖNKfeladatok2018'!AJ$5:AJ$160)</f>
        <v>0</v>
      </c>
      <c r="H116" s="580">
        <f>+SUMIF('13.mell_ÖNKfeladatok2018'!$B$5:$B$160,'14.mell_Önk kiegészítés2018'!$A116,'13.mell_ÖNKfeladatok2018'!AN$5:AN$160)</f>
        <v>0</v>
      </c>
      <c r="I116" s="580">
        <f>+SUMIF('13.mell_ÖNKfeladatok2018'!$B$5:$B$160,'14.mell_Önk kiegészítés2018'!$A116,'13.mell_ÖNKfeladatok2018'!AR$5:AR$160)</f>
        <v>0</v>
      </c>
      <c r="J116" s="609">
        <f t="shared" si="72"/>
        <v>152</v>
      </c>
      <c r="K116" s="580">
        <f>+SUMIF('13.mell_ÖNKfeladatok2018'!$B$168:$B$323,'14.mell_Önk kiegészítés2018'!$A116,'13.mell_ÖNKfeladatok2018'!P$168:P$323)</f>
        <v>3863</v>
      </c>
      <c r="L116" s="580">
        <f>+SUMIF('13.mell_ÖNKfeladatok2018'!$B$168:$B$323,'14.mell_Önk kiegészítés2018'!$A116,'13.mell_ÖNKfeladatok2018'!T$168:T$323)</f>
        <v>761</v>
      </c>
      <c r="M116" s="580">
        <f>+SUMIF('13.mell_ÖNKfeladatok2018'!$B$168:$B$323,'14.mell_Önk kiegészítés2018'!$A116,'13.mell_ÖNKfeladatok2018'!X$168:X$323)</f>
        <v>2156</v>
      </c>
      <c r="N116" s="580">
        <f>+SUMIF('13.mell_ÖNKfeladatok2018'!$B$168:$B$323,'14.mell_Önk kiegészítés2018'!$A116,'13.mell_ÖNKfeladatok2018'!AB$168:AB$323)</f>
        <v>0</v>
      </c>
      <c r="O116" s="580">
        <f>+SUMIF('13.mell_ÖNKfeladatok2018'!$B$168:$B$323,'14.mell_Önk kiegészítés2018'!$A116,'13.mell_ÖNKfeladatok2018'!AF$168:AF$323)</f>
        <v>0</v>
      </c>
      <c r="P116" s="580">
        <f>+SUMIF('13.mell_ÖNKfeladatok2018'!$B$168:$B$323,'14.mell_Önk kiegészítés2018'!$A116,'13.mell_ÖNKfeladatok2018'!AN$168:AN$323)</f>
        <v>19</v>
      </c>
      <c r="Q116" s="580">
        <f>+SUMIF('13.mell_ÖNKfeladatok2018'!$B$168:$B$323,'14.mell_Önk kiegészítés2018'!$A116,'13.mell_ÖNKfeladatok2018'!AR$168:AR$323)</f>
        <v>0</v>
      </c>
      <c r="R116" s="580">
        <f>+SUMIF('13.mell_ÖNKfeladatok2018'!$B$168:$B$323,'14.mell_Önk kiegészítés2018'!$A116,'13.mell_ÖNKfeladatok2018'!AV$168:AV$323)</f>
        <v>0</v>
      </c>
      <c r="S116" s="609">
        <f>SUM(K116:R116)</f>
        <v>6799</v>
      </c>
      <c r="T116" s="904">
        <f>S116-J116</f>
        <v>6647</v>
      </c>
      <c r="U116" s="1031">
        <f>+ROUND(SUMIF('10.mell_támogatások2018'!$B$6:$B$123,'14.mell_Önk kiegészítés2018'!$A116,'10.mell_támogatások2018'!E$6:E$123)/1000,0)</f>
        <v>6679</v>
      </c>
      <c r="V116" s="905">
        <f>+T116-U116</f>
        <v>-32</v>
      </c>
      <c r="W116" s="1195"/>
    </row>
    <row r="117" spans="1:43" s="558" customFormat="1" ht="12.75" thickBot="1">
      <c r="A117" s="356" t="s">
        <v>805</v>
      </c>
      <c r="B117" s="517" t="s">
        <v>421</v>
      </c>
      <c r="C117" s="574">
        <f>SUM(C114:C116)</f>
        <v>0</v>
      </c>
      <c r="D117" s="574">
        <f t="shared" ref="D117:V117" si="73">SUM(D114:D116)</f>
        <v>0</v>
      </c>
      <c r="E117" s="574">
        <f t="shared" si="73"/>
        <v>889</v>
      </c>
      <c r="F117" s="574">
        <f t="shared" si="73"/>
        <v>12</v>
      </c>
      <c r="G117" s="574">
        <f t="shared" si="73"/>
        <v>0</v>
      </c>
      <c r="H117" s="574">
        <f t="shared" si="73"/>
        <v>400</v>
      </c>
      <c r="I117" s="574">
        <f t="shared" si="73"/>
        <v>0</v>
      </c>
      <c r="J117" s="577">
        <f t="shared" si="73"/>
        <v>1301</v>
      </c>
      <c r="K117" s="574">
        <f t="shared" si="73"/>
        <v>19464</v>
      </c>
      <c r="L117" s="574">
        <f t="shared" si="73"/>
        <v>3730</v>
      </c>
      <c r="M117" s="574">
        <f t="shared" si="73"/>
        <v>11130</v>
      </c>
      <c r="N117" s="574">
        <f t="shared" si="73"/>
        <v>0</v>
      </c>
      <c r="O117" s="574">
        <f t="shared" si="73"/>
        <v>116</v>
      </c>
      <c r="P117" s="574">
        <f t="shared" si="73"/>
        <v>19</v>
      </c>
      <c r="Q117" s="574">
        <f t="shared" si="73"/>
        <v>0</v>
      </c>
      <c r="R117" s="574">
        <f t="shared" si="73"/>
        <v>0</v>
      </c>
      <c r="S117" s="577">
        <f t="shared" si="73"/>
        <v>34459</v>
      </c>
      <c r="T117" s="574">
        <f t="shared" si="73"/>
        <v>33158</v>
      </c>
      <c r="U117" s="578">
        <f t="shared" si="73"/>
        <v>27764</v>
      </c>
      <c r="V117" s="577">
        <f t="shared" si="73"/>
        <v>5394</v>
      </c>
      <c r="W117" s="1195"/>
      <c r="AC117" s="266"/>
      <c r="AD117" s="266"/>
      <c r="AE117" s="266"/>
      <c r="AF117" s="266"/>
      <c r="AG117" s="266"/>
      <c r="AH117" s="266"/>
      <c r="AI117" s="266"/>
      <c r="AJ117" s="266"/>
      <c r="AK117" s="266"/>
      <c r="AL117" s="266"/>
      <c r="AM117" s="266"/>
      <c r="AN117" s="266"/>
      <c r="AO117" s="266"/>
      <c r="AP117" s="266"/>
      <c r="AQ117" s="266"/>
    </row>
    <row r="118" spans="1:43" ht="12.75" thickBot="1">
      <c r="A118" s="908">
        <f>+A116+1</f>
        <v>27</v>
      </c>
      <c r="B118" s="909" t="s">
        <v>807</v>
      </c>
      <c r="C118" s="910">
        <f>+SUMIF('13.mell_ÖNKfeladatok2018'!$B$5:$B$160,'14.mell_Önk kiegészítés2018'!$A118,'13.mell_ÖNKfeladatok2018'!P$5:P$160)</f>
        <v>0</v>
      </c>
      <c r="D118" s="910">
        <f>+SUMIF('13.mell_ÖNKfeladatok2018'!$B$5:$B$160,'14.mell_Önk kiegészítés2018'!$A118,'13.mell_ÖNKfeladatok2018'!T$5:T$160)</f>
        <v>0</v>
      </c>
      <c r="E118" s="910">
        <f>+SUMIF('13.mell_ÖNKfeladatok2018'!$B$5:$B$160,'14.mell_Önk kiegészítés2018'!$A118,'13.mell_ÖNKfeladatok2018'!X$5:X$160)</f>
        <v>0</v>
      </c>
      <c r="F118" s="910">
        <f>+SUMIF('13.mell_ÖNKfeladatok2018'!$B$5:$B$160,'14.mell_Önk kiegészítés2018'!$A118,'13.mell_ÖNKfeladatok2018'!AB$5:AB$160)</f>
        <v>0</v>
      </c>
      <c r="G118" s="910">
        <f>+SUMIF('13.mell_ÖNKfeladatok2018'!$B$5:$B$160,'14.mell_Önk kiegészítés2018'!$A118,'13.mell_ÖNKfeladatok2018'!AJ$5:AJ$160)</f>
        <v>0</v>
      </c>
      <c r="H118" s="910">
        <f>+SUMIF('13.mell_ÖNKfeladatok2018'!$B$5:$B$160,'14.mell_Önk kiegészítés2018'!$A118,'13.mell_ÖNKfeladatok2018'!AN$5:AN$160)</f>
        <v>0</v>
      </c>
      <c r="I118" s="910">
        <f>+SUMIF('13.mell_ÖNKfeladatok2018'!$B$5:$B$160,'14.mell_Önk kiegészítés2018'!$A118,'13.mell_ÖNKfeladatok2018'!AR$5:AR$160)</f>
        <v>0</v>
      </c>
      <c r="J118" s="911">
        <f>SUM(C118:I118)</f>
        <v>0</v>
      </c>
      <c r="K118" s="910">
        <f>+SUMIF('13.mell_ÖNKfeladatok2018'!$B$168:$B$323,'14.mell_Önk kiegészítés2018'!$A118,'13.mell_ÖNKfeladatok2018'!P$168:P$323)</f>
        <v>0</v>
      </c>
      <c r="L118" s="910">
        <f>+SUMIF('13.mell_ÖNKfeladatok2018'!$B$168:$B$323,'14.mell_Önk kiegészítés2018'!$A118,'13.mell_ÖNKfeladatok2018'!T$168:T$323)</f>
        <v>0</v>
      </c>
      <c r="M118" s="910">
        <f>+SUMIF('13.mell_ÖNKfeladatok2018'!$B$168:$B$323,'14.mell_Önk kiegészítés2018'!$A118,'13.mell_ÖNKfeladatok2018'!X$168:X$323)</f>
        <v>0</v>
      </c>
      <c r="N118" s="910">
        <f>+SUMIF('13.mell_ÖNKfeladatok2018'!$B$168:$B$323,'14.mell_Önk kiegészítés2018'!$A118,'13.mell_ÖNKfeladatok2018'!AB$168:AB$323)</f>
        <v>0</v>
      </c>
      <c r="O118" s="910">
        <f>+SUMIF('13.mell_ÖNKfeladatok2018'!$B$168:$B$323,'14.mell_Önk kiegészítés2018'!$A118,'13.mell_ÖNKfeladatok2018'!AF$168:AF$323)</f>
        <v>0</v>
      </c>
      <c r="P118" s="910">
        <f>+SUMIF('13.mell_ÖNKfeladatok2018'!$B$168:$B$323,'14.mell_Önk kiegészítés2018'!$A118,'13.mell_ÖNKfeladatok2018'!AN$168:AN$323)</f>
        <v>0</v>
      </c>
      <c r="Q118" s="910">
        <f>+SUMIF('13.mell_ÖNKfeladatok2018'!$B$168:$B$323,'14.mell_Önk kiegészítés2018'!$A118,'13.mell_ÖNKfeladatok2018'!AR$168:AR$323)</f>
        <v>0</v>
      </c>
      <c r="R118" s="910">
        <f>+SUMIF('13.mell_ÖNKfeladatok2018'!$B$168:$B$323,'14.mell_Önk kiegészítés2018'!$A118,'13.mell_ÖNKfeladatok2018'!AV$168:AV$323)</f>
        <v>0</v>
      </c>
      <c r="S118" s="911">
        <f>SUM(K118:R118)</f>
        <v>0</v>
      </c>
      <c r="T118" s="574">
        <f>S118-J118</f>
        <v>0</v>
      </c>
      <c r="U118" s="1032">
        <f>+ROUND(SUMIF('10.mell_támogatások2018'!$B$6:$B$123,'14.mell_Önk kiegészítés2018'!$A118,'10.mell_támogatások2018'!E$6:E$123)/1000,0)</f>
        <v>0</v>
      </c>
      <c r="V118" s="577">
        <f>+T118-U118</f>
        <v>0</v>
      </c>
      <c r="W118" s="1195"/>
    </row>
    <row r="119" spans="1:43" s="558" customFormat="1" ht="12.75" thickBot="1">
      <c r="A119" s="1044" t="s">
        <v>641</v>
      </c>
      <c r="B119" s="528" t="s">
        <v>807</v>
      </c>
      <c r="C119" s="906">
        <f>SUM(C118)</f>
        <v>0</v>
      </c>
      <c r="D119" s="906">
        <f t="shared" ref="D119:V119" si="74">SUM(D118)</f>
        <v>0</v>
      </c>
      <c r="E119" s="906">
        <f t="shared" si="74"/>
        <v>0</v>
      </c>
      <c r="F119" s="906">
        <f t="shared" si="74"/>
        <v>0</v>
      </c>
      <c r="G119" s="906">
        <f t="shared" si="74"/>
        <v>0</v>
      </c>
      <c r="H119" s="906">
        <f t="shared" si="74"/>
        <v>0</v>
      </c>
      <c r="I119" s="906">
        <f t="shared" si="74"/>
        <v>0</v>
      </c>
      <c r="J119" s="907">
        <f t="shared" si="74"/>
        <v>0</v>
      </c>
      <c r="K119" s="906">
        <f t="shared" si="74"/>
        <v>0</v>
      </c>
      <c r="L119" s="906">
        <f t="shared" si="74"/>
        <v>0</v>
      </c>
      <c r="M119" s="906">
        <f t="shared" si="74"/>
        <v>0</v>
      </c>
      <c r="N119" s="906">
        <f t="shared" si="74"/>
        <v>0</v>
      </c>
      <c r="O119" s="906">
        <f t="shared" si="74"/>
        <v>0</v>
      </c>
      <c r="P119" s="906">
        <f t="shared" si="74"/>
        <v>0</v>
      </c>
      <c r="Q119" s="906">
        <f t="shared" si="74"/>
        <v>0</v>
      </c>
      <c r="R119" s="906">
        <f t="shared" si="74"/>
        <v>0</v>
      </c>
      <c r="S119" s="907">
        <f t="shared" si="74"/>
        <v>0</v>
      </c>
      <c r="T119" s="906">
        <f t="shared" si="74"/>
        <v>0</v>
      </c>
      <c r="U119" s="1033">
        <f t="shared" si="74"/>
        <v>0</v>
      </c>
      <c r="V119" s="907">
        <f t="shared" si="74"/>
        <v>0</v>
      </c>
      <c r="W119" s="1195"/>
      <c r="AC119" s="266"/>
      <c r="AD119" s="266"/>
      <c r="AE119" s="266"/>
      <c r="AF119" s="266"/>
      <c r="AG119" s="266"/>
      <c r="AH119" s="266"/>
      <c r="AI119" s="266"/>
      <c r="AJ119" s="266"/>
      <c r="AK119" s="266"/>
      <c r="AL119" s="266"/>
      <c r="AM119" s="266"/>
      <c r="AN119" s="266"/>
      <c r="AO119" s="266"/>
      <c r="AP119" s="266"/>
      <c r="AQ119" s="266"/>
    </row>
    <row r="120" spans="1:43" ht="12.75" thickBot="1">
      <c r="A120" s="908">
        <f>+A118+1</f>
        <v>28</v>
      </c>
      <c r="B120" s="909" t="s">
        <v>822</v>
      </c>
      <c r="C120" s="910">
        <f>+SUMIF('13.mell_ÖNKfeladatok2018'!$B$5:$B$160,'14.mell_Önk kiegészítés2018'!$A120,'13.mell_ÖNKfeladatok2018'!P$5:P$160)</f>
        <v>0</v>
      </c>
      <c r="D120" s="910">
        <f>+SUMIF('13.mell_ÖNKfeladatok2018'!$B$5:$B$160,'14.mell_Önk kiegészítés2018'!$A120,'13.mell_ÖNKfeladatok2018'!T$5:T$160)</f>
        <v>0</v>
      </c>
      <c r="E120" s="910">
        <f>+SUMIF('13.mell_ÖNKfeladatok2018'!$B$5:$B$160,'14.mell_Önk kiegészítés2018'!$A120,'13.mell_ÖNKfeladatok2018'!X$5:X$160)</f>
        <v>0</v>
      </c>
      <c r="F120" s="910">
        <f>+SUMIF('13.mell_ÖNKfeladatok2018'!$B$5:$B$160,'14.mell_Önk kiegészítés2018'!$A120,'13.mell_ÖNKfeladatok2018'!AB$5:AB$160)</f>
        <v>0</v>
      </c>
      <c r="G120" s="910">
        <f>+SUMIF('13.mell_ÖNKfeladatok2018'!$B$5:$B$160,'14.mell_Önk kiegészítés2018'!$A120,'13.mell_ÖNKfeladatok2018'!AJ$5:AJ$160)</f>
        <v>0</v>
      </c>
      <c r="H120" s="910">
        <f>+SUMIF('13.mell_ÖNKfeladatok2018'!$B$5:$B$160,'14.mell_Önk kiegészítés2018'!$A120,'13.mell_ÖNKfeladatok2018'!AN$5:AN$160)</f>
        <v>0</v>
      </c>
      <c r="I120" s="910">
        <f>+SUMIF('13.mell_ÖNKfeladatok2018'!$B$5:$B$160,'14.mell_Önk kiegészítés2018'!$A120,'13.mell_ÖNKfeladatok2018'!AR$5:AR$160)</f>
        <v>0</v>
      </c>
      <c r="J120" s="911">
        <f>SUM(C120:I120)</f>
        <v>0</v>
      </c>
      <c r="K120" s="910">
        <f>+SUMIF('13.mell_ÖNKfeladatok2018'!$B$168:$B$323,'14.mell_Önk kiegészítés2018'!$A120,'13.mell_ÖNKfeladatok2018'!P$168:P$323)</f>
        <v>0</v>
      </c>
      <c r="L120" s="910">
        <f>+SUMIF('13.mell_ÖNKfeladatok2018'!$B$168:$B$323,'14.mell_Önk kiegészítés2018'!$A120,'13.mell_ÖNKfeladatok2018'!T$168:T$323)</f>
        <v>0</v>
      </c>
      <c r="M120" s="910">
        <f>+SUMIF('13.mell_ÖNKfeladatok2018'!$B$168:$B$323,'14.mell_Önk kiegészítés2018'!$A120,'13.mell_ÖNKfeladatok2018'!X$168:X$323)</f>
        <v>0</v>
      </c>
      <c r="N120" s="910">
        <f>+SUMIF('13.mell_ÖNKfeladatok2018'!$B$168:$B$323,'14.mell_Önk kiegészítés2018'!$A120,'13.mell_ÖNKfeladatok2018'!AB$168:AB$323)</f>
        <v>0</v>
      </c>
      <c r="O120" s="910">
        <f>+SUMIF('13.mell_ÖNKfeladatok2018'!$B$168:$B$323,'14.mell_Önk kiegészítés2018'!$A120,'13.mell_ÖNKfeladatok2018'!AF$168:AF$323)</f>
        <v>0</v>
      </c>
      <c r="P120" s="910">
        <f>+SUMIF('13.mell_ÖNKfeladatok2018'!$B$168:$B$323,'14.mell_Önk kiegészítés2018'!$A120,'13.mell_ÖNKfeladatok2018'!AN$168:AN$323)</f>
        <v>0</v>
      </c>
      <c r="Q120" s="910">
        <f>+SUMIF('13.mell_ÖNKfeladatok2018'!$B$168:$B$323,'14.mell_Önk kiegészítés2018'!$A120,'13.mell_ÖNKfeladatok2018'!AR$168:AR$323)</f>
        <v>0</v>
      </c>
      <c r="R120" s="910">
        <f>+SUMIF('13.mell_ÖNKfeladatok2018'!$B$168:$B$323,'14.mell_Önk kiegészítés2018'!$A120,'13.mell_ÖNKfeladatok2018'!AV$168:AV$323)</f>
        <v>0</v>
      </c>
      <c r="S120" s="911">
        <f>SUM(K120:R120)</f>
        <v>0</v>
      </c>
      <c r="T120" s="574">
        <f>S120-J120</f>
        <v>0</v>
      </c>
      <c r="U120" s="1032">
        <f>+ROUND(SUMIF('10.mell_támogatások2018'!$B$6:$B$123,'14.mell_Önk kiegészítés2018'!$A120,'10.mell_támogatások2018'!E$6:E$123)/1000,0)</f>
        <v>0</v>
      </c>
      <c r="V120" s="577">
        <f>+T120-U120</f>
        <v>0</v>
      </c>
      <c r="W120" s="1195"/>
    </row>
    <row r="121" spans="1:43" s="558" customFormat="1" ht="12.75" thickBot="1">
      <c r="A121" s="1044" t="s">
        <v>806</v>
      </c>
      <c r="B121" s="528" t="s">
        <v>822</v>
      </c>
      <c r="C121" s="906">
        <f>SUM(C120)</f>
        <v>0</v>
      </c>
      <c r="D121" s="906">
        <f t="shared" ref="D121:V121" si="75">SUM(D120)</f>
        <v>0</v>
      </c>
      <c r="E121" s="906">
        <f t="shared" si="75"/>
        <v>0</v>
      </c>
      <c r="F121" s="906">
        <f t="shared" si="75"/>
        <v>0</v>
      </c>
      <c r="G121" s="906">
        <f t="shared" si="75"/>
        <v>0</v>
      </c>
      <c r="H121" s="906">
        <f t="shared" si="75"/>
        <v>0</v>
      </c>
      <c r="I121" s="906">
        <f t="shared" si="75"/>
        <v>0</v>
      </c>
      <c r="J121" s="907">
        <f t="shared" si="75"/>
        <v>0</v>
      </c>
      <c r="K121" s="906">
        <f t="shared" si="75"/>
        <v>0</v>
      </c>
      <c r="L121" s="906">
        <f t="shared" si="75"/>
        <v>0</v>
      </c>
      <c r="M121" s="906">
        <f t="shared" si="75"/>
        <v>0</v>
      </c>
      <c r="N121" s="906">
        <f t="shared" si="75"/>
        <v>0</v>
      </c>
      <c r="O121" s="906">
        <f t="shared" si="75"/>
        <v>0</v>
      </c>
      <c r="P121" s="906">
        <f t="shared" si="75"/>
        <v>0</v>
      </c>
      <c r="Q121" s="906">
        <f t="shared" si="75"/>
        <v>0</v>
      </c>
      <c r="R121" s="906">
        <f t="shared" si="75"/>
        <v>0</v>
      </c>
      <c r="S121" s="907">
        <f t="shared" si="75"/>
        <v>0</v>
      </c>
      <c r="T121" s="906">
        <f t="shared" si="75"/>
        <v>0</v>
      </c>
      <c r="U121" s="1033">
        <f t="shared" si="75"/>
        <v>0</v>
      </c>
      <c r="V121" s="907">
        <f t="shared" si="75"/>
        <v>0</v>
      </c>
      <c r="W121" s="1195"/>
      <c r="AC121" s="266"/>
      <c r="AD121" s="266"/>
      <c r="AE121" s="266"/>
      <c r="AF121" s="266"/>
      <c r="AG121" s="266"/>
      <c r="AH121" s="266"/>
      <c r="AI121" s="266"/>
      <c r="AJ121" s="266"/>
      <c r="AK121" s="266"/>
      <c r="AL121" s="266"/>
      <c r="AM121" s="266"/>
      <c r="AN121" s="266"/>
      <c r="AO121" s="266"/>
      <c r="AP121" s="266"/>
      <c r="AQ121" s="266"/>
    </row>
    <row r="122" spans="1:43" s="558" customFormat="1" ht="12.75" thickBot="1">
      <c r="A122" s="520" t="s">
        <v>20</v>
      </c>
      <c r="B122" s="530" t="s">
        <v>423</v>
      </c>
      <c r="C122" s="583">
        <f>+C117+C119+C121</f>
        <v>0</v>
      </c>
      <c r="D122" s="584">
        <f t="shared" ref="D122:V122" si="76">+D117+D119+D121</f>
        <v>0</v>
      </c>
      <c r="E122" s="584">
        <f t="shared" si="76"/>
        <v>889</v>
      </c>
      <c r="F122" s="584">
        <f t="shared" si="76"/>
        <v>12</v>
      </c>
      <c r="G122" s="584">
        <f t="shared" si="76"/>
        <v>0</v>
      </c>
      <c r="H122" s="584">
        <f t="shared" si="76"/>
        <v>400</v>
      </c>
      <c r="I122" s="585">
        <f t="shared" si="76"/>
        <v>0</v>
      </c>
      <c r="J122" s="586">
        <f t="shared" si="76"/>
        <v>1301</v>
      </c>
      <c r="K122" s="583">
        <f t="shared" si="76"/>
        <v>19464</v>
      </c>
      <c r="L122" s="583">
        <f t="shared" si="76"/>
        <v>3730</v>
      </c>
      <c r="M122" s="583">
        <f t="shared" si="76"/>
        <v>11130</v>
      </c>
      <c r="N122" s="583">
        <f t="shared" si="76"/>
        <v>0</v>
      </c>
      <c r="O122" s="583">
        <f t="shared" si="76"/>
        <v>116</v>
      </c>
      <c r="P122" s="583">
        <f t="shared" si="76"/>
        <v>19</v>
      </c>
      <c r="Q122" s="583">
        <f t="shared" si="76"/>
        <v>0</v>
      </c>
      <c r="R122" s="583">
        <f t="shared" si="76"/>
        <v>0</v>
      </c>
      <c r="S122" s="586">
        <f t="shared" si="76"/>
        <v>34459</v>
      </c>
      <c r="T122" s="583">
        <f t="shared" si="76"/>
        <v>33158</v>
      </c>
      <c r="U122" s="585">
        <f t="shared" si="76"/>
        <v>27764</v>
      </c>
      <c r="V122" s="586">
        <f t="shared" si="76"/>
        <v>5394</v>
      </c>
      <c r="W122" s="1195"/>
      <c r="AC122" s="266"/>
      <c r="AD122" s="266"/>
      <c r="AE122" s="266"/>
      <c r="AF122" s="266"/>
      <c r="AG122" s="266"/>
      <c r="AH122" s="266"/>
      <c r="AI122" s="266"/>
      <c r="AJ122" s="266"/>
      <c r="AK122" s="266"/>
      <c r="AL122" s="266"/>
      <c r="AM122" s="266"/>
      <c r="AN122" s="266"/>
      <c r="AO122" s="266"/>
      <c r="AP122" s="266"/>
      <c r="AQ122" s="266"/>
    </row>
    <row r="123" spans="1:43" s="198" customFormat="1" ht="12.75" thickBot="1">
      <c r="A123" s="542"/>
      <c r="B123" s="598"/>
      <c r="C123" s="587"/>
      <c r="D123" s="588"/>
      <c r="E123" s="588"/>
      <c r="F123" s="588"/>
      <c r="G123" s="588"/>
      <c r="H123" s="588"/>
      <c r="I123" s="589"/>
      <c r="J123" s="590"/>
      <c r="K123" s="599"/>
      <c r="L123" s="599"/>
      <c r="M123" s="599"/>
      <c r="N123" s="599"/>
      <c r="O123" s="599"/>
      <c r="P123" s="599"/>
      <c r="Q123" s="599"/>
      <c r="R123" s="599"/>
      <c r="S123" s="597"/>
      <c r="T123" s="594"/>
      <c r="U123" s="1034"/>
      <c r="V123" s="597"/>
      <c r="W123" s="1195"/>
      <c r="AC123" s="199"/>
      <c r="AD123" s="199"/>
      <c r="AE123" s="199"/>
      <c r="AF123" s="199"/>
      <c r="AG123" s="199"/>
      <c r="AH123" s="199"/>
      <c r="AI123" s="199"/>
      <c r="AJ123" s="199"/>
      <c r="AK123" s="199"/>
      <c r="AL123" s="199"/>
      <c r="AM123" s="199"/>
      <c r="AN123" s="199"/>
      <c r="AO123" s="199"/>
      <c r="AP123" s="199"/>
      <c r="AQ123" s="199"/>
    </row>
    <row r="124" spans="1:43" ht="12.75" thickBot="1">
      <c r="A124" s="850">
        <f>+A120+1</f>
        <v>29</v>
      </c>
      <c r="B124" s="755" t="s">
        <v>923</v>
      </c>
      <c r="C124" s="899">
        <f>+SUMIF('13.mell_ÖNKfeladatok2018'!$B$5:$B$160,'14.mell_Önk kiegészítés2018'!$A124,'13.mell_ÖNKfeladatok2018'!P$5:P$160)</f>
        <v>0</v>
      </c>
      <c r="D124" s="899">
        <f>+SUMIF('13.mell_ÖNKfeladatok2018'!$B$5:$B$160,'14.mell_Önk kiegészítés2018'!$A124,'13.mell_ÖNKfeladatok2018'!T$5:T$160)</f>
        <v>0</v>
      </c>
      <c r="E124" s="899">
        <f>+SUMIF('13.mell_ÖNKfeladatok2018'!$B$5:$B$160,'14.mell_Önk kiegészítés2018'!$A124,'13.mell_ÖNKfeladatok2018'!X$5:X$160)</f>
        <v>0</v>
      </c>
      <c r="F124" s="899">
        <f>+SUMIF('13.mell_ÖNKfeladatok2018'!$B$5:$B$160,'14.mell_Önk kiegészítés2018'!$A124,'13.mell_ÖNKfeladatok2018'!AB$5:AB$160)</f>
        <v>0</v>
      </c>
      <c r="G124" s="899">
        <f>+SUMIF('13.mell_ÖNKfeladatok2018'!$B$5:$B$160,'14.mell_Önk kiegészítés2018'!$A124,'13.mell_ÖNKfeladatok2018'!AJ$5:AJ$160)</f>
        <v>0</v>
      </c>
      <c r="H124" s="899">
        <f>+SUMIF('13.mell_ÖNKfeladatok2018'!$B$5:$B$160,'14.mell_Önk kiegészítés2018'!$A124,'13.mell_ÖNKfeladatok2018'!AN$5:AN$160)</f>
        <v>0</v>
      </c>
      <c r="I124" s="899">
        <f>+SUMIF('13.mell_ÖNKfeladatok2018'!$B$5:$B$160,'14.mell_Önk kiegészítés2018'!$A124,'13.mell_ÖNKfeladatok2018'!AR$5:AR$160)</f>
        <v>0</v>
      </c>
      <c r="J124" s="756">
        <f>SUM(C124:I124)</f>
        <v>0</v>
      </c>
      <c r="K124" s="899">
        <f>+SUMIF('13.mell_ÖNKfeladatok2018'!$B$168:$B$323,'14.mell_Önk kiegészítés2018'!$A124,'13.mell_ÖNKfeladatok2018'!P$168:P$323)</f>
        <v>0</v>
      </c>
      <c r="L124" s="899">
        <f>+SUMIF('13.mell_ÖNKfeladatok2018'!$B$168:$B$323,'14.mell_Önk kiegészítés2018'!$A124,'13.mell_ÖNKfeladatok2018'!T$168:T$323)</f>
        <v>0</v>
      </c>
      <c r="M124" s="899">
        <f>+SUMIF('13.mell_ÖNKfeladatok2018'!$B$168:$B$323,'14.mell_Önk kiegészítés2018'!$A124,'13.mell_ÖNKfeladatok2018'!X$168:X$323)</f>
        <v>0</v>
      </c>
      <c r="N124" s="899">
        <f>+SUMIF('13.mell_ÖNKfeladatok2018'!$B$168:$B$323,'14.mell_Önk kiegészítés2018'!$A124,'13.mell_ÖNKfeladatok2018'!AB$168:AB$323)</f>
        <v>0</v>
      </c>
      <c r="O124" s="899">
        <f>+SUMIF('13.mell_ÖNKfeladatok2018'!$B$168:$B$323,'14.mell_Önk kiegészítés2018'!$A124,'13.mell_ÖNKfeladatok2018'!AF$168:AF$323)</f>
        <v>0</v>
      </c>
      <c r="P124" s="899">
        <f>+SUMIF('13.mell_ÖNKfeladatok2018'!$B$168:$B$323,'14.mell_Önk kiegészítés2018'!$A124,'13.mell_ÖNKfeladatok2018'!AN$168:AN$323)</f>
        <v>0</v>
      </c>
      <c r="Q124" s="899">
        <f>+SUMIF('13.mell_ÖNKfeladatok2018'!$B$168:$B$323,'14.mell_Önk kiegészítés2018'!$A124,'13.mell_ÖNKfeladatok2018'!AR$168:AR$323)</f>
        <v>0</v>
      </c>
      <c r="R124" s="899">
        <f>+SUMIF('13.mell_ÖNKfeladatok2018'!$B$168:$B$323,'14.mell_Önk kiegészítés2018'!$A124,'13.mell_ÖNKfeladatok2018'!AV$168:AV$323)</f>
        <v>0</v>
      </c>
      <c r="S124" s="756">
        <f>SUM(K124:R124)</f>
        <v>0</v>
      </c>
      <c r="T124" s="757">
        <f>S124-J124</f>
        <v>0</v>
      </c>
      <c r="U124" s="1029">
        <f>+ROUND(SUMIF('10.mell_támogatások2018'!$B$6:$B$123,'14.mell_Önk kiegészítés2018'!$A124,'10.mell_támogatások2018'!E$6:E$123)/1000,0)</f>
        <v>0</v>
      </c>
      <c r="V124" s="758">
        <f>+T124-U124</f>
        <v>0</v>
      </c>
      <c r="W124" s="1195"/>
    </row>
    <row r="125" spans="1:43" s="558" customFormat="1" ht="12.75" thickBot="1">
      <c r="A125" s="356" t="s">
        <v>948</v>
      </c>
      <c r="B125" s="517" t="s">
        <v>923</v>
      </c>
      <c r="C125" s="574">
        <f>SUM(C124)</f>
        <v>0</v>
      </c>
      <c r="D125" s="574">
        <f t="shared" ref="D125:V125" si="77">SUM(D124)</f>
        <v>0</v>
      </c>
      <c r="E125" s="574">
        <f t="shared" si="77"/>
        <v>0</v>
      </c>
      <c r="F125" s="574">
        <f t="shared" si="77"/>
        <v>0</v>
      </c>
      <c r="G125" s="574">
        <f t="shared" si="77"/>
        <v>0</v>
      </c>
      <c r="H125" s="574">
        <f t="shared" si="77"/>
        <v>0</v>
      </c>
      <c r="I125" s="574">
        <f t="shared" si="77"/>
        <v>0</v>
      </c>
      <c r="J125" s="577">
        <f t="shared" si="77"/>
        <v>0</v>
      </c>
      <c r="K125" s="574">
        <f t="shared" si="77"/>
        <v>0</v>
      </c>
      <c r="L125" s="574">
        <f t="shared" si="77"/>
        <v>0</v>
      </c>
      <c r="M125" s="574">
        <f t="shared" si="77"/>
        <v>0</v>
      </c>
      <c r="N125" s="574">
        <f t="shared" si="77"/>
        <v>0</v>
      </c>
      <c r="O125" s="574">
        <f t="shared" si="77"/>
        <v>0</v>
      </c>
      <c r="P125" s="574">
        <f t="shared" si="77"/>
        <v>0</v>
      </c>
      <c r="Q125" s="574">
        <f t="shared" si="77"/>
        <v>0</v>
      </c>
      <c r="R125" s="574">
        <f t="shared" si="77"/>
        <v>0</v>
      </c>
      <c r="S125" s="577">
        <f t="shared" si="77"/>
        <v>0</v>
      </c>
      <c r="T125" s="574">
        <f t="shared" si="77"/>
        <v>0</v>
      </c>
      <c r="U125" s="578">
        <f t="shared" si="77"/>
        <v>0</v>
      </c>
      <c r="V125" s="577">
        <f t="shared" si="77"/>
        <v>0</v>
      </c>
      <c r="W125" s="1195"/>
      <c r="AC125" s="266"/>
      <c r="AD125" s="266"/>
      <c r="AE125" s="266"/>
      <c r="AF125" s="266"/>
      <c r="AG125" s="266"/>
      <c r="AH125" s="266"/>
      <c r="AI125" s="266"/>
      <c r="AJ125" s="266"/>
      <c r="AK125" s="266"/>
      <c r="AL125" s="266"/>
      <c r="AM125" s="266"/>
      <c r="AN125" s="266"/>
      <c r="AO125" s="266"/>
      <c r="AP125" s="266"/>
      <c r="AQ125" s="266"/>
    </row>
    <row r="126" spans="1:43" ht="12.75" thickBot="1">
      <c r="A126" s="908">
        <f>+A124+1</f>
        <v>30</v>
      </c>
      <c r="B126" s="909" t="s">
        <v>1172</v>
      </c>
      <c r="C126" s="910">
        <f>+SUMIF('13.mell_ÖNKfeladatok2018'!$B$5:$B$160,'14.mell_Önk kiegészítés2018'!$A126,'13.mell_ÖNKfeladatok2018'!P$5:P$160)</f>
        <v>0</v>
      </c>
      <c r="D126" s="910">
        <f>+SUMIF('13.mell_ÖNKfeladatok2018'!$B$5:$B$160,'14.mell_Önk kiegészítés2018'!$A126,'13.mell_ÖNKfeladatok2018'!T$5:T$160)</f>
        <v>0</v>
      </c>
      <c r="E126" s="910">
        <f>+SUMIF('13.mell_ÖNKfeladatok2018'!$B$5:$B$160,'14.mell_Önk kiegészítés2018'!$A126,'13.mell_ÖNKfeladatok2018'!X$5:X$160)</f>
        <v>0</v>
      </c>
      <c r="F126" s="910">
        <f>+SUMIF('13.mell_ÖNKfeladatok2018'!$B$5:$B$160,'14.mell_Önk kiegészítés2018'!$A126,'13.mell_ÖNKfeladatok2018'!AB$5:AB$160)</f>
        <v>0</v>
      </c>
      <c r="G126" s="910">
        <f>+SUMIF('13.mell_ÖNKfeladatok2018'!$B$5:$B$160,'14.mell_Önk kiegészítés2018'!$A126,'13.mell_ÖNKfeladatok2018'!AJ$5:AJ$160)</f>
        <v>0</v>
      </c>
      <c r="H126" s="910">
        <f>+SUMIF('13.mell_ÖNKfeladatok2018'!$B$5:$B$160,'14.mell_Önk kiegészítés2018'!$A126,'13.mell_ÖNKfeladatok2018'!AN$5:AN$160)</f>
        <v>0</v>
      </c>
      <c r="I126" s="910">
        <f>+SUMIF('13.mell_ÖNKfeladatok2018'!$B$5:$B$160,'14.mell_Önk kiegészítés2018'!$A126,'13.mell_ÖNKfeladatok2018'!AR$5:AR$160)</f>
        <v>0</v>
      </c>
      <c r="J126" s="911">
        <f>SUM(C126:I126)</f>
        <v>0</v>
      </c>
      <c r="K126" s="910">
        <f>+SUMIF('13.mell_ÖNKfeladatok2018'!$B$168:$B$323,'14.mell_Önk kiegészítés2018'!$A126,'13.mell_ÖNKfeladatok2018'!P$168:P$323)</f>
        <v>7870</v>
      </c>
      <c r="L126" s="910">
        <f>+SUMIF('13.mell_ÖNKfeladatok2018'!$B$168:$B$323,'14.mell_Önk kiegészítés2018'!$A126,'13.mell_ÖNKfeladatok2018'!T$168:T$323)</f>
        <v>1290</v>
      </c>
      <c r="M126" s="910">
        <f>+SUMIF('13.mell_ÖNKfeladatok2018'!$B$168:$B$323,'14.mell_Önk kiegészítés2018'!$A126,'13.mell_ÖNKfeladatok2018'!X$168:X$323)</f>
        <v>417</v>
      </c>
      <c r="N126" s="910">
        <f>+SUMIF('13.mell_ÖNKfeladatok2018'!$B$168:$B$323,'14.mell_Önk kiegészítés2018'!$A126,'13.mell_ÖNKfeladatok2018'!AB$168:AB$323)</f>
        <v>0</v>
      </c>
      <c r="O126" s="910">
        <f>+SUMIF('13.mell_ÖNKfeladatok2018'!$B$168:$B$323,'14.mell_Önk kiegészítés2018'!$A126,'13.mell_ÖNKfeladatok2018'!AF$168:AF$323)</f>
        <v>12</v>
      </c>
      <c r="P126" s="910">
        <f>+SUMIF('13.mell_ÖNKfeladatok2018'!$B$168:$B$323,'14.mell_Önk kiegészítés2018'!$A126,'13.mell_ÖNKfeladatok2018'!AN$168:AN$323)</f>
        <v>0</v>
      </c>
      <c r="Q126" s="910">
        <f>+SUMIF('13.mell_ÖNKfeladatok2018'!$B$168:$B$323,'14.mell_Önk kiegészítés2018'!$A126,'13.mell_ÖNKfeladatok2018'!AR$168:AR$323)</f>
        <v>0</v>
      </c>
      <c r="R126" s="910">
        <f>+SUMIF('13.mell_ÖNKfeladatok2018'!$B$168:$B$323,'14.mell_Önk kiegészítés2018'!$A126,'13.mell_ÖNKfeladatok2018'!AV$168:AV$323)</f>
        <v>0</v>
      </c>
      <c r="S126" s="911">
        <f>SUM(K126:R126)</f>
        <v>9589</v>
      </c>
      <c r="T126" s="574">
        <f>S126-J126</f>
        <v>9589</v>
      </c>
      <c r="U126" s="1032">
        <f>+ROUND(SUMIF('10.mell_támogatások2018'!$B$6:$B$123,'14.mell_Önk kiegészítés2018'!$A126,'10.mell_támogatások2018'!E$6:E$123)/1000,0)+13</f>
        <v>13</v>
      </c>
      <c r="V126" s="577">
        <f>+T126-U126</f>
        <v>9576</v>
      </c>
      <c r="W126" s="1195"/>
      <c r="AD126" s="266">
        <v>13</v>
      </c>
    </row>
    <row r="127" spans="1:43" s="558" customFormat="1" ht="12.75" thickBot="1">
      <c r="A127" s="1044" t="s">
        <v>949</v>
      </c>
      <c r="B127" s="528" t="s">
        <v>924</v>
      </c>
      <c r="C127" s="574">
        <f>SUM(C126)</f>
        <v>0</v>
      </c>
      <c r="D127" s="574">
        <f t="shared" ref="D127:V127" si="78">SUM(D126)</f>
        <v>0</v>
      </c>
      <c r="E127" s="574">
        <f t="shared" si="78"/>
        <v>0</v>
      </c>
      <c r="F127" s="574">
        <f t="shared" si="78"/>
        <v>0</v>
      </c>
      <c r="G127" s="574">
        <f t="shared" si="78"/>
        <v>0</v>
      </c>
      <c r="H127" s="574">
        <f t="shared" si="78"/>
        <v>0</v>
      </c>
      <c r="I127" s="574">
        <f t="shared" si="78"/>
        <v>0</v>
      </c>
      <c r="J127" s="577">
        <f t="shared" si="78"/>
        <v>0</v>
      </c>
      <c r="K127" s="574">
        <f t="shared" si="78"/>
        <v>7870</v>
      </c>
      <c r="L127" s="574">
        <f t="shared" si="78"/>
        <v>1290</v>
      </c>
      <c r="M127" s="574">
        <f t="shared" si="78"/>
        <v>417</v>
      </c>
      <c r="N127" s="574">
        <f t="shared" si="78"/>
        <v>0</v>
      </c>
      <c r="O127" s="574">
        <f t="shared" si="78"/>
        <v>12</v>
      </c>
      <c r="P127" s="574">
        <f t="shared" si="78"/>
        <v>0</v>
      </c>
      <c r="Q127" s="574">
        <f t="shared" si="78"/>
        <v>0</v>
      </c>
      <c r="R127" s="574">
        <f t="shared" si="78"/>
        <v>0</v>
      </c>
      <c r="S127" s="577">
        <f t="shared" si="78"/>
        <v>9589</v>
      </c>
      <c r="T127" s="574">
        <f t="shared" si="78"/>
        <v>9589</v>
      </c>
      <c r="U127" s="578">
        <f t="shared" si="78"/>
        <v>13</v>
      </c>
      <c r="V127" s="577">
        <f t="shared" si="78"/>
        <v>9576</v>
      </c>
      <c r="W127" s="1195"/>
      <c r="AC127" s="266"/>
      <c r="AD127" s="266"/>
      <c r="AE127" s="266"/>
      <c r="AF127" s="266"/>
      <c r="AG127" s="266"/>
      <c r="AH127" s="266"/>
      <c r="AI127" s="266"/>
      <c r="AJ127" s="266"/>
      <c r="AK127" s="266"/>
      <c r="AL127" s="266"/>
      <c r="AM127" s="266"/>
      <c r="AN127" s="266"/>
      <c r="AO127" s="266"/>
      <c r="AP127" s="266"/>
      <c r="AQ127" s="266"/>
    </row>
    <row r="128" spans="1:43" ht="12.75" thickBot="1">
      <c r="A128" s="908">
        <f>+A126+1</f>
        <v>31</v>
      </c>
      <c r="B128" s="909" t="s">
        <v>951</v>
      </c>
      <c r="C128" s="910">
        <f>+SUMIF('13.mell_ÖNKfeladatok2018'!$B$5:$B$160,'14.mell_Önk kiegészítés2018'!$A128,'13.mell_ÖNKfeladatok2018'!P$5:P$160)</f>
        <v>0</v>
      </c>
      <c r="D128" s="910">
        <f>+SUMIF('13.mell_ÖNKfeladatok2018'!$B$5:$B$160,'14.mell_Önk kiegészítés2018'!$A128,'13.mell_ÖNKfeladatok2018'!T$5:T$160)</f>
        <v>0</v>
      </c>
      <c r="E128" s="910">
        <f>+SUMIF('13.mell_ÖNKfeladatok2018'!$B$5:$B$160,'14.mell_Önk kiegészítés2018'!$A128,'13.mell_ÖNKfeladatok2018'!X$5:X$160)</f>
        <v>0</v>
      </c>
      <c r="F128" s="910">
        <f>+SUMIF('13.mell_ÖNKfeladatok2018'!$B$5:$B$160,'14.mell_Önk kiegészítés2018'!$A128,'13.mell_ÖNKfeladatok2018'!AB$5:AB$160)</f>
        <v>0</v>
      </c>
      <c r="G128" s="910">
        <f>+SUMIF('13.mell_ÖNKfeladatok2018'!$B$5:$B$160,'14.mell_Önk kiegészítés2018'!$A128,'13.mell_ÖNKfeladatok2018'!AJ$5:AJ$160)</f>
        <v>0</v>
      </c>
      <c r="H128" s="910">
        <f>+SUMIF('13.mell_ÖNKfeladatok2018'!$B$5:$B$160,'14.mell_Önk kiegészítés2018'!$A128,'13.mell_ÖNKfeladatok2018'!AN$5:AN$160)</f>
        <v>0</v>
      </c>
      <c r="I128" s="910">
        <f>+SUMIF('13.mell_ÖNKfeladatok2018'!$B$5:$B$160,'14.mell_Önk kiegészítés2018'!$A128,'13.mell_ÖNKfeladatok2018'!AR$5:AR$160)</f>
        <v>0</v>
      </c>
      <c r="J128" s="911">
        <f>SUM(C128:I128)</f>
        <v>0</v>
      </c>
      <c r="K128" s="910">
        <f>+SUMIF('13.mell_ÖNKfeladatok2018'!$B$168:$B$323,'14.mell_Önk kiegészítés2018'!$A128,'13.mell_ÖNKfeladatok2018'!P$168:P$323)</f>
        <v>0</v>
      </c>
      <c r="L128" s="910">
        <f>+SUMIF('13.mell_ÖNKfeladatok2018'!$B$168:$B$323,'14.mell_Önk kiegészítés2018'!$A128,'13.mell_ÖNKfeladatok2018'!T$168:T$323)</f>
        <v>0</v>
      </c>
      <c r="M128" s="910">
        <f>+SUMIF('13.mell_ÖNKfeladatok2018'!$B$168:$B$323,'14.mell_Önk kiegészítés2018'!$A128,'13.mell_ÖNKfeladatok2018'!X$168:X$323)</f>
        <v>0</v>
      </c>
      <c r="N128" s="910">
        <f>+SUMIF('13.mell_ÖNKfeladatok2018'!$B$168:$B$323,'14.mell_Önk kiegészítés2018'!$A128,'13.mell_ÖNKfeladatok2018'!AB$168:AB$323)</f>
        <v>0</v>
      </c>
      <c r="O128" s="910">
        <f>+SUMIF('13.mell_ÖNKfeladatok2018'!$B$168:$B$323,'14.mell_Önk kiegészítés2018'!$A128,'13.mell_ÖNKfeladatok2018'!AF$168:AF$323)</f>
        <v>0</v>
      </c>
      <c r="P128" s="910">
        <f>+SUMIF('13.mell_ÖNKfeladatok2018'!$B$168:$B$323,'14.mell_Önk kiegészítés2018'!$A128,'13.mell_ÖNKfeladatok2018'!AN$168:AN$323)</f>
        <v>0</v>
      </c>
      <c r="Q128" s="910">
        <f>+SUMIF('13.mell_ÖNKfeladatok2018'!$B$168:$B$323,'14.mell_Önk kiegészítés2018'!$A128,'13.mell_ÖNKfeladatok2018'!AR$168:AR$323)</f>
        <v>0</v>
      </c>
      <c r="R128" s="910">
        <f>+SUMIF('13.mell_ÖNKfeladatok2018'!$B$168:$B$323,'14.mell_Önk kiegészítés2018'!$A128,'13.mell_ÖNKfeladatok2018'!AV$168:AV$323)</f>
        <v>0</v>
      </c>
      <c r="S128" s="911">
        <f>SUM(K128:R128)</f>
        <v>0</v>
      </c>
      <c r="T128" s="574">
        <f>S128-J128</f>
        <v>0</v>
      </c>
      <c r="U128" s="1032">
        <f>+ROUND(SUMIF('10.mell_támogatások2018'!$B$6:$B$123,'14.mell_Önk kiegészítés2018'!$A128,'10.mell_támogatások2018'!E$6:E$123)/1000,0)</f>
        <v>0</v>
      </c>
      <c r="V128" s="577">
        <f>+T128-U128</f>
        <v>0</v>
      </c>
      <c r="W128" s="1195"/>
    </row>
    <row r="129" spans="1:43" s="558" customFormat="1" ht="12.75" thickBot="1">
      <c r="A129" s="1044" t="s">
        <v>950</v>
      </c>
      <c r="B129" s="528" t="s">
        <v>951</v>
      </c>
      <c r="C129" s="574">
        <f>SUM(C128)</f>
        <v>0</v>
      </c>
      <c r="D129" s="574">
        <f t="shared" ref="D129:V129" si="79">SUM(D128)</f>
        <v>0</v>
      </c>
      <c r="E129" s="574">
        <f t="shared" si="79"/>
        <v>0</v>
      </c>
      <c r="F129" s="574">
        <f t="shared" si="79"/>
        <v>0</v>
      </c>
      <c r="G129" s="574">
        <f t="shared" si="79"/>
        <v>0</v>
      </c>
      <c r="H129" s="574">
        <f t="shared" si="79"/>
        <v>0</v>
      </c>
      <c r="I129" s="574">
        <f t="shared" si="79"/>
        <v>0</v>
      </c>
      <c r="J129" s="577">
        <f t="shared" si="79"/>
        <v>0</v>
      </c>
      <c r="K129" s="574">
        <f t="shared" si="79"/>
        <v>0</v>
      </c>
      <c r="L129" s="574">
        <f t="shared" si="79"/>
        <v>0</v>
      </c>
      <c r="M129" s="574">
        <f t="shared" si="79"/>
        <v>0</v>
      </c>
      <c r="N129" s="574">
        <f t="shared" si="79"/>
        <v>0</v>
      </c>
      <c r="O129" s="574">
        <f t="shared" si="79"/>
        <v>0</v>
      </c>
      <c r="P129" s="574">
        <f t="shared" si="79"/>
        <v>0</v>
      </c>
      <c r="Q129" s="574">
        <f t="shared" si="79"/>
        <v>0</v>
      </c>
      <c r="R129" s="574">
        <f t="shared" si="79"/>
        <v>0</v>
      </c>
      <c r="S129" s="577">
        <f t="shared" si="79"/>
        <v>0</v>
      </c>
      <c r="T129" s="574">
        <f t="shared" si="79"/>
        <v>0</v>
      </c>
      <c r="U129" s="578">
        <f t="shared" si="79"/>
        <v>0</v>
      </c>
      <c r="V129" s="577">
        <f t="shared" si="79"/>
        <v>0</v>
      </c>
      <c r="W129" s="1195"/>
      <c r="AC129" s="266"/>
      <c r="AD129" s="266"/>
      <c r="AE129" s="266"/>
      <c r="AF129" s="266"/>
      <c r="AG129" s="266"/>
      <c r="AH129" s="266"/>
      <c r="AI129" s="266"/>
      <c r="AJ129" s="266"/>
      <c r="AK129" s="266"/>
      <c r="AL129" s="266"/>
      <c r="AM129" s="266"/>
      <c r="AN129" s="266"/>
      <c r="AO129" s="266"/>
      <c r="AP129" s="266"/>
      <c r="AQ129" s="266"/>
    </row>
    <row r="130" spans="1:43" s="558" customFormat="1" ht="12.75" thickBot="1">
      <c r="A130" s="520" t="s">
        <v>560</v>
      </c>
      <c r="B130" s="530" t="s">
        <v>925</v>
      </c>
      <c r="C130" s="583">
        <f>+C125+C127+C129</f>
        <v>0</v>
      </c>
      <c r="D130" s="583">
        <f t="shared" ref="D130:V130" si="80">+D125+D127+D129</f>
        <v>0</v>
      </c>
      <c r="E130" s="583">
        <f t="shared" si="80"/>
        <v>0</v>
      </c>
      <c r="F130" s="583">
        <f t="shared" si="80"/>
        <v>0</v>
      </c>
      <c r="G130" s="583">
        <f t="shared" si="80"/>
        <v>0</v>
      </c>
      <c r="H130" s="583">
        <f t="shared" si="80"/>
        <v>0</v>
      </c>
      <c r="I130" s="583">
        <f t="shared" si="80"/>
        <v>0</v>
      </c>
      <c r="J130" s="586">
        <f t="shared" si="80"/>
        <v>0</v>
      </c>
      <c r="K130" s="583">
        <f t="shared" si="80"/>
        <v>7870</v>
      </c>
      <c r="L130" s="583">
        <f t="shared" si="80"/>
        <v>1290</v>
      </c>
      <c r="M130" s="583">
        <f t="shared" si="80"/>
        <v>417</v>
      </c>
      <c r="N130" s="583">
        <f t="shared" si="80"/>
        <v>0</v>
      </c>
      <c r="O130" s="583">
        <f t="shared" si="80"/>
        <v>12</v>
      </c>
      <c r="P130" s="583">
        <f t="shared" si="80"/>
        <v>0</v>
      </c>
      <c r="Q130" s="583">
        <f t="shared" si="80"/>
        <v>0</v>
      </c>
      <c r="R130" s="583">
        <f t="shared" si="80"/>
        <v>0</v>
      </c>
      <c r="S130" s="586">
        <f t="shared" si="80"/>
        <v>9589</v>
      </c>
      <c r="T130" s="583">
        <f t="shared" si="80"/>
        <v>9589</v>
      </c>
      <c r="U130" s="585">
        <f t="shared" si="80"/>
        <v>13</v>
      </c>
      <c r="V130" s="586">
        <f t="shared" si="80"/>
        <v>9576</v>
      </c>
      <c r="W130" s="1195"/>
      <c r="AC130" s="266"/>
      <c r="AD130" s="266"/>
      <c r="AE130" s="266"/>
      <c r="AF130" s="266"/>
      <c r="AG130" s="266"/>
      <c r="AH130" s="266"/>
      <c r="AI130" s="266"/>
      <c r="AJ130" s="266"/>
      <c r="AK130" s="266"/>
      <c r="AL130" s="266"/>
      <c r="AM130" s="266"/>
      <c r="AN130" s="266"/>
      <c r="AO130" s="266"/>
      <c r="AP130" s="266"/>
      <c r="AQ130" s="266"/>
    </row>
    <row r="131" spans="1:43" s="198" customFormat="1" ht="12.75" thickBot="1">
      <c r="A131" s="542"/>
      <c r="B131" s="598"/>
      <c r="C131" s="587"/>
      <c r="D131" s="588"/>
      <c r="E131" s="588"/>
      <c r="F131" s="588"/>
      <c r="G131" s="588"/>
      <c r="H131" s="588"/>
      <c r="I131" s="589"/>
      <c r="J131" s="590"/>
      <c r="K131" s="599"/>
      <c r="L131" s="599"/>
      <c r="M131" s="599"/>
      <c r="N131" s="599"/>
      <c r="O131" s="599"/>
      <c r="P131" s="599"/>
      <c r="Q131" s="599"/>
      <c r="R131" s="599"/>
      <c r="S131" s="597"/>
      <c r="T131" s="594"/>
      <c r="U131" s="1034"/>
      <c r="V131" s="597"/>
      <c r="W131" s="1195"/>
      <c r="AC131" s="199"/>
      <c r="AD131" s="199"/>
      <c r="AE131" s="199"/>
      <c r="AF131" s="199"/>
      <c r="AG131" s="199"/>
      <c r="AH131" s="199"/>
      <c r="AI131" s="199"/>
      <c r="AJ131" s="199"/>
      <c r="AK131" s="199"/>
      <c r="AL131" s="199"/>
      <c r="AM131" s="199"/>
      <c r="AN131" s="199"/>
      <c r="AO131" s="199"/>
      <c r="AP131" s="199"/>
      <c r="AQ131" s="199"/>
    </row>
    <row r="132" spans="1:43" ht="12.75" thickBot="1">
      <c r="A132" s="850">
        <f>+A128+1</f>
        <v>32</v>
      </c>
      <c r="B132" s="755" t="s">
        <v>1270</v>
      </c>
      <c r="C132" s="899">
        <f>+SUMIF('13.mell_ÖNKfeladatok2018'!$B$5:$B$160,'14.mell_Önk kiegészítés2018'!$A132,'13.mell_ÖNKfeladatok2018'!P$5:P$160)</f>
        <v>0</v>
      </c>
      <c r="D132" s="899">
        <f>+SUMIF('13.mell_ÖNKfeladatok2018'!$B$5:$B$160,'14.mell_Önk kiegészítés2018'!$A132,'13.mell_ÖNKfeladatok2018'!T$5:T$160)</f>
        <v>0</v>
      </c>
      <c r="E132" s="899">
        <f>+SUMIF('13.mell_ÖNKfeladatok2018'!$B$5:$B$160,'14.mell_Önk kiegészítés2018'!$A132,'13.mell_ÖNKfeladatok2018'!X$5:X$160)</f>
        <v>79</v>
      </c>
      <c r="F132" s="899">
        <f>+SUMIF('13.mell_ÖNKfeladatok2018'!$B$5:$B$160,'14.mell_Önk kiegészítés2018'!$A132,'13.mell_ÖNKfeladatok2018'!AB$5:AB$160)</f>
        <v>0</v>
      </c>
      <c r="G132" s="899">
        <f>+SUMIF('13.mell_ÖNKfeladatok2018'!$B$5:$B$160,'14.mell_Önk kiegészítés2018'!$A132,'13.mell_ÖNKfeladatok2018'!AJ$5:AJ$160)</f>
        <v>0</v>
      </c>
      <c r="H132" s="899">
        <f>+SUMIF('13.mell_ÖNKfeladatok2018'!$B$5:$B$160,'14.mell_Önk kiegészítés2018'!$A132,'13.mell_ÖNKfeladatok2018'!AN$5:AN$160)</f>
        <v>1200</v>
      </c>
      <c r="I132" s="899">
        <f>+SUMIF('13.mell_ÖNKfeladatok2018'!$B$5:$B$160,'14.mell_Önk kiegészítés2018'!$A132,'13.mell_ÖNKfeladatok2018'!AR$5:AR$160)</f>
        <v>0</v>
      </c>
      <c r="J132" s="756">
        <f>SUM(C132:I132)</f>
        <v>1279</v>
      </c>
      <c r="K132" s="899">
        <f>+SUMIF('13.mell_ÖNKfeladatok2018'!$B$168:$B$323,'14.mell_Önk kiegészítés2018'!$A132,'13.mell_ÖNKfeladatok2018'!P$168:P$323)</f>
        <v>45729</v>
      </c>
      <c r="L132" s="899">
        <f>+SUMIF('13.mell_ÖNKfeladatok2018'!$B$168:$B$323,'14.mell_Önk kiegészítés2018'!$A132,'13.mell_ÖNKfeladatok2018'!T$168:T$323)</f>
        <v>8760</v>
      </c>
      <c r="M132" s="899">
        <f>+SUMIF('13.mell_ÖNKfeladatok2018'!$B$168:$B$323,'14.mell_Önk kiegészítés2018'!$A132,'13.mell_ÖNKfeladatok2018'!X$168:X$323)</f>
        <v>4093</v>
      </c>
      <c r="N132" s="899">
        <f>+SUMIF('13.mell_ÖNKfeladatok2018'!$B$168:$B$323,'14.mell_Önk kiegészítés2018'!$A132,'13.mell_ÖNKfeladatok2018'!AB$168:AB$323)</f>
        <v>0</v>
      </c>
      <c r="O132" s="899">
        <f>+SUMIF('13.mell_ÖNKfeladatok2018'!$B$168:$B$323,'14.mell_Önk kiegészítés2018'!$A132,'13.mell_ÖNKfeladatok2018'!AF$168:AF$323)</f>
        <v>44</v>
      </c>
      <c r="P132" s="899">
        <f>+SUMIF('13.mell_ÖNKfeladatok2018'!$B$168:$B$323,'14.mell_Önk kiegészítés2018'!$A132,'13.mell_ÖNKfeladatok2018'!AN$168:AN$323)</f>
        <v>10191</v>
      </c>
      <c r="Q132" s="899">
        <f>+SUMIF('13.mell_ÖNKfeladatok2018'!$B$168:$B$323,'14.mell_Önk kiegészítés2018'!$A132,'13.mell_ÖNKfeladatok2018'!AR$168:AR$323)</f>
        <v>0</v>
      </c>
      <c r="R132" s="899">
        <f>+SUMIF('13.mell_ÖNKfeladatok2018'!$B$168:$B$323,'14.mell_Önk kiegészítés2018'!$A132,'13.mell_ÖNKfeladatok2018'!AV$168:AV$323)</f>
        <v>0</v>
      </c>
      <c r="S132" s="756">
        <f>SUM(K132:R132)</f>
        <v>68817</v>
      </c>
      <c r="T132" s="757">
        <f>S132-J132</f>
        <v>67538</v>
      </c>
      <c r="U132" s="1029">
        <f>+ROUND(SUMIF('10.mell_támogatások2018'!$B$6:$B$123,'14.mell_Önk kiegészítés2018'!$A132,'10.mell_támogatások2018'!E$6:E$123)/1000,0)+44+371</f>
        <v>68281</v>
      </c>
      <c r="V132" s="758">
        <f>+T132-U132</f>
        <v>-743</v>
      </c>
      <c r="W132" s="1195"/>
      <c r="AD132" s="266">
        <v>44</v>
      </c>
      <c r="AG132" s="266">
        <f>(245+48)+(65+13)</f>
        <v>371</v>
      </c>
    </row>
    <row r="133" spans="1:43" s="558" customFormat="1" ht="12.75" thickBot="1">
      <c r="A133" s="356" t="s">
        <v>1258</v>
      </c>
      <c r="B133" s="517" t="s">
        <v>1203</v>
      </c>
      <c r="C133" s="574">
        <f t="shared" ref="C133:V133" si="81">SUM(C132)</f>
        <v>0</v>
      </c>
      <c r="D133" s="574">
        <f t="shared" si="81"/>
        <v>0</v>
      </c>
      <c r="E133" s="574">
        <f t="shared" si="81"/>
        <v>79</v>
      </c>
      <c r="F133" s="574">
        <f t="shared" si="81"/>
        <v>0</v>
      </c>
      <c r="G133" s="574">
        <f t="shared" si="81"/>
        <v>0</v>
      </c>
      <c r="H133" s="574">
        <f t="shared" si="81"/>
        <v>1200</v>
      </c>
      <c r="I133" s="574">
        <f t="shared" si="81"/>
        <v>0</v>
      </c>
      <c r="J133" s="577">
        <f t="shared" si="81"/>
        <v>1279</v>
      </c>
      <c r="K133" s="574">
        <f t="shared" si="81"/>
        <v>45729</v>
      </c>
      <c r="L133" s="574">
        <f t="shared" si="81"/>
        <v>8760</v>
      </c>
      <c r="M133" s="574">
        <f t="shared" si="81"/>
        <v>4093</v>
      </c>
      <c r="N133" s="574">
        <f t="shared" si="81"/>
        <v>0</v>
      </c>
      <c r="O133" s="574">
        <f t="shared" si="81"/>
        <v>44</v>
      </c>
      <c r="P133" s="574">
        <f t="shared" si="81"/>
        <v>10191</v>
      </c>
      <c r="Q133" s="574">
        <f t="shared" si="81"/>
        <v>0</v>
      </c>
      <c r="R133" s="574">
        <f t="shared" si="81"/>
        <v>0</v>
      </c>
      <c r="S133" s="577">
        <f t="shared" si="81"/>
        <v>68817</v>
      </c>
      <c r="T133" s="574">
        <f t="shared" si="81"/>
        <v>67538</v>
      </c>
      <c r="U133" s="578">
        <f t="shared" si="81"/>
        <v>68281</v>
      </c>
      <c r="V133" s="577">
        <f t="shared" si="81"/>
        <v>-743</v>
      </c>
      <c r="W133" s="1195"/>
      <c r="AC133" s="266"/>
      <c r="AD133" s="266"/>
      <c r="AE133" s="266"/>
      <c r="AF133" s="266"/>
      <c r="AG133" s="266"/>
      <c r="AH133" s="266"/>
      <c r="AI133" s="266"/>
      <c r="AJ133" s="266"/>
      <c r="AK133" s="266"/>
      <c r="AL133" s="266"/>
      <c r="AM133" s="266"/>
      <c r="AN133" s="266"/>
      <c r="AO133" s="266"/>
      <c r="AP133" s="266"/>
      <c r="AQ133" s="266"/>
    </row>
    <row r="134" spans="1:43" ht="12.75" thickBot="1">
      <c r="A134" s="908">
        <f>+A132+1</f>
        <v>33</v>
      </c>
      <c r="B134" s="909" t="s">
        <v>1205</v>
      </c>
      <c r="C134" s="910">
        <f>+SUMIF('13.mell_ÖNKfeladatok2018'!$B$5:$B$160,'14.mell_Önk kiegészítés2018'!$A134,'13.mell_ÖNKfeladatok2018'!P$5:P$160)</f>
        <v>0</v>
      </c>
      <c r="D134" s="910">
        <f>+SUMIF('13.mell_ÖNKfeladatok2018'!$B$5:$B$160,'14.mell_Önk kiegészítés2018'!$A134,'13.mell_ÖNKfeladatok2018'!T$5:T$160)</f>
        <v>0</v>
      </c>
      <c r="E134" s="910">
        <f>+SUMIF('13.mell_ÖNKfeladatok2018'!$B$5:$B$160,'14.mell_Önk kiegészítés2018'!$A134,'13.mell_ÖNKfeladatok2018'!X$5:X$160)</f>
        <v>0</v>
      </c>
      <c r="F134" s="910">
        <f>+SUMIF('13.mell_ÖNKfeladatok2018'!$B$5:$B$160,'14.mell_Önk kiegészítés2018'!$A134,'13.mell_ÖNKfeladatok2018'!AB$5:AB$160)</f>
        <v>0</v>
      </c>
      <c r="G134" s="910">
        <f>+SUMIF('13.mell_ÖNKfeladatok2018'!$B$5:$B$160,'14.mell_Önk kiegészítés2018'!$A134,'13.mell_ÖNKfeladatok2018'!AJ$5:AJ$160)</f>
        <v>0</v>
      </c>
      <c r="H134" s="910">
        <f>+SUMIF('13.mell_ÖNKfeladatok2018'!$B$5:$B$160,'14.mell_Önk kiegészítés2018'!$A134,'13.mell_ÖNKfeladatok2018'!AN$5:AN$160)</f>
        <v>0</v>
      </c>
      <c r="I134" s="910">
        <f>+SUMIF('13.mell_ÖNKfeladatok2018'!$B$5:$B$160,'14.mell_Önk kiegészítés2018'!$A134,'13.mell_ÖNKfeladatok2018'!AR$5:AR$160)</f>
        <v>0</v>
      </c>
      <c r="J134" s="911">
        <f>SUM(C134:I134)</f>
        <v>0</v>
      </c>
      <c r="K134" s="910">
        <f>+SUMIF('13.mell_ÖNKfeladatok2018'!$B$168:$B$323,'14.mell_Önk kiegészítés2018'!$A134,'13.mell_ÖNKfeladatok2018'!P$168:P$323)</f>
        <v>0</v>
      </c>
      <c r="L134" s="910">
        <f>+SUMIF('13.mell_ÖNKfeladatok2018'!$B$168:$B$323,'14.mell_Önk kiegészítés2018'!$A134,'13.mell_ÖNKfeladatok2018'!T$168:T$323)</f>
        <v>0</v>
      </c>
      <c r="M134" s="910">
        <f>+SUMIF('13.mell_ÖNKfeladatok2018'!$B$168:$B$323,'14.mell_Önk kiegészítés2018'!$A134,'13.mell_ÖNKfeladatok2018'!X$168:X$323)</f>
        <v>0</v>
      </c>
      <c r="N134" s="910">
        <f>+SUMIF('13.mell_ÖNKfeladatok2018'!$B$168:$B$323,'14.mell_Önk kiegészítés2018'!$A134,'13.mell_ÖNKfeladatok2018'!AB$168:AB$323)</f>
        <v>0</v>
      </c>
      <c r="O134" s="910">
        <f>+SUMIF('13.mell_ÖNKfeladatok2018'!$B$168:$B$323,'14.mell_Önk kiegészítés2018'!$A134,'13.mell_ÖNKfeladatok2018'!AF$168:AF$323)</f>
        <v>0</v>
      </c>
      <c r="P134" s="910">
        <f>+SUMIF('13.mell_ÖNKfeladatok2018'!$B$168:$B$323,'14.mell_Önk kiegészítés2018'!$A134,'13.mell_ÖNKfeladatok2018'!AN$168:AN$323)</f>
        <v>0</v>
      </c>
      <c r="Q134" s="910">
        <f>+SUMIF('13.mell_ÖNKfeladatok2018'!$B$168:$B$323,'14.mell_Önk kiegészítés2018'!$A134,'13.mell_ÖNKfeladatok2018'!AR$168:AR$323)</f>
        <v>0</v>
      </c>
      <c r="R134" s="910">
        <f>+SUMIF('13.mell_ÖNKfeladatok2018'!$B$168:$B$323,'14.mell_Önk kiegészítés2018'!$A134,'13.mell_ÖNKfeladatok2018'!AV$168:AV$323)</f>
        <v>0</v>
      </c>
      <c r="S134" s="911">
        <f>SUM(K134:R134)</f>
        <v>0</v>
      </c>
      <c r="T134" s="574">
        <f>S134-J134</f>
        <v>0</v>
      </c>
      <c r="U134" s="1032">
        <f>+ROUND(SUMIF('10.mell_támogatások2018'!$B$6:$B$123,'14.mell_Önk kiegészítés2018'!$A134,'10.mell_támogatások2018'!E$6:E$123)/1000,0)</f>
        <v>0</v>
      </c>
      <c r="V134" s="577">
        <f>+T134-U134</f>
        <v>0</v>
      </c>
      <c r="W134" s="1195"/>
    </row>
    <row r="135" spans="1:43" s="558" customFormat="1" ht="12.75" thickBot="1">
      <c r="A135" s="1044" t="s">
        <v>1259</v>
      </c>
      <c r="B135" s="528" t="s">
        <v>1204</v>
      </c>
      <c r="C135" s="574">
        <f t="shared" ref="C135:V135" si="82">SUM(C134)</f>
        <v>0</v>
      </c>
      <c r="D135" s="574">
        <f t="shared" si="82"/>
        <v>0</v>
      </c>
      <c r="E135" s="574">
        <f t="shared" si="82"/>
        <v>0</v>
      </c>
      <c r="F135" s="574">
        <f t="shared" si="82"/>
        <v>0</v>
      </c>
      <c r="G135" s="574">
        <f t="shared" si="82"/>
        <v>0</v>
      </c>
      <c r="H135" s="574">
        <f t="shared" si="82"/>
        <v>0</v>
      </c>
      <c r="I135" s="574">
        <f t="shared" si="82"/>
        <v>0</v>
      </c>
      <c r="J135" s="577">
        <f t="shared" si="82"/>
        <v>0</v>
      </c>
      <c r="K135" s="574">
        <f t="shared" si="82"/>
        <v>0</v>
      </c>
      <c r="L135" s="574">
        <f t="shared" si="82"/>
        <v>0</v>
      </c>
      <c r="M135" s="574">
        <f t="shared" si="82"/>
        <v>0</v>
      </c>
      <c r="N135" s="574">
        <f t="shared" si="82"/>
        <v>0</v>
      </c>
      <c r="O135" s="574">
        <f t="shared" si="82"/>
        <v>0</v>
      </c>
      <c r="P135" s="574">
        <f t="shared" si="82"/>
        <v>0</v>
      </c>
      <c r="Q135" s="574">
        <f t="shared" si="82"/>
        <v>0</v>
      </c>
      <c r="R135" s="574">
        <f t="shared" si="82"/>
        <v>0</v>
      </c>
      <c r="S135" s="577">
        <f t="shared" si="82"/>
        <v>0</v>
      </c>
      <c r="T135" s="574">
        <f t="shared" si="82"/>
        <v>0</v>
      </c>
      <c r="U135" s="578">
        <f t="shared" si="82"/>
        <v>0</v>
      </c>
      <c r="V135" s="577">
        <f t="shared" si="82"/>
        <v>0</v>
      </c>
      <c r="W135" s="1195"/>
      <c r="AC135" s="266"/>
      <c r="AD135" s="266"/>
      <c r="AE135" s="266"/>
      <c r="AF135" s="266"/>
      <c r="AG135" s="266"/>
      <c r="AH135" s="266"/>
      <c r="AI135" s="266"/>
      <c r="AJ135" s="266"/>
      <c r="AK135" s="266"/>
      <c r="AL135" s="266"/>
      <c r="AM135" s="266"/>
      <c r="AN135" s="266"/>
      <c r="AO135" s="266"/>
      <c r="AP135" s="266"/>
      <c r="AQ135" s="266"/>
    </row>
    <row r="136" spans="1:43" ht="12.75" thickBot="1">
      <c r="A136" s="908">
        <f>+A134+1</f>
        <v>34</v>
      </c>
      <c r="B136" s="909" t="s">
        <v>1205</v>
      </c>
      <c r="C136" s="910">
        <f>+SUMIF('13.mell_ÖNKfeladatok2018'!$B$5:$B$160,'14.mell_Önk kiegészítés2018'!$A136,'13.mell_ÖNKfeladatok2018'!P$5:P$160)</f>
        <v>0</v>
      </c>
      <c r="D136" s="910">
        <f>+SUMIF('13.mell_ÖNKfeladatok2018'!$B$5:$B$160,'14.mell_Önk kiegészítés2018'!$A136,'13.mell_ÖNKfeladatok2018'!T$5:T$160)</f>
        <v>0</v>
      </c>
      <c r="E136" s="910">
        <f>+SUMIF('13.mell_ÖNKfeladatok2018'!$B$5:$B$160,'14.mell_Önk kiegészítés2018'!$A136,'13.mell_ÖNKfeladatok2018'!X$5:X$160)</f>
        <v>0</v>
      </c>
      <c r="F136" s="910">
        <f>+SUMIF('13.mell_ÖNKfeladatok2018'!$B$5:$B$160,'14.mell_Önk kiegészítés2018'!$A136,'13.mell_ÖNKfeladatok2018'!AB$5:AB$160)</f>
        <v>0</v>
      </c>
      <c r="G136" s="910">
        <f>+SUMIF('13.mell_ÖNKfeladatok2018'!$B$5:$B$160,'14.mell_Önk kiegészítés2018'!$A136,'13.mell_ÖNKfeladatok2018'!AJ$5:AJ$160)</f>
        <v>0</v>
      </c>
      <c r="H136" s="910">
        <f>+SUMIF('13.mell_ÖNKfeladatok2018'!$B$5:$B$160,'14.mell_Önk kiegészítés2018'!$A136,'13.mell_ÖNKfeladatok2018'!AN$5:AN$160)</f>
        <v>0</v>
      </c>
      <c r="I136" s="910">
        <f>+SUMIF('13.mell_ÖNKfeladatok2018'!$B$5:$B$160,'14.mell_Önk kiegészítés2018'!$A136,'13.mell_ÖNKfeladatok2018'!AR$5:AR$160)</f>
        <v>0</v>
      </c>
      <c r="J136" s="911">
        <f>SUM(C136:I136)</f>
        <v>0</v>
      </c>
      <c r="K136" s="910">
        <f>+SUMIF('13.mell_ÖNKfeladatok2018'!$B$168:$B$323,'14.mell_Önk kiegészítés2018'!$A136,'13.mell_ÖNKfeladatok2018'!P$168:P$323)</f>
        <v>0</v>
      </c>
      <c r="L136" s="910">
        <f>+SUMIF('13.mell_ÖNKfeladatok2018'!$B$168:$B$323,'14.mell_Önk kiegészítés2018'!$A136,'13.mell_ÖNKfeladatok2018'!T$168:T$323)</f>
        <v>0</v>
      </c>
      <c r="M136" s="910">
        <f>+SUMIF('13.mell_ÖNKfeladatok2018'!$B$168:$B$323,'14.mell_Önk kiegészítés2018'!$A136,'13.mell_ÖNKfeladatok2018'!X$168:X$323)</f>
        <v>0</v>
      </c>
      <c r="N136" s="910">
        <f>+SUMIF('13.mell_ÖNKfeladatok2018'!$B$168:$B$323,'14.mell_Önk kiegészítés2018'!$A136,'13.mell_ÖNKfeladatok2018'!AB$168:AB$323)</f>
        <v>0</v>
      </c>
      <c r="O136" s="910">
        <f>+SUMIF('13.mell_ÖNKfeladatok2018'!$B$168:$B$323,'14.mell_Önk kiegészítés2018'!$A136,'13.mell_ÖNKfeladatok2018'!AF$168:AF$323)</f>
        <v>0</v>
      </c>
      <c r="P136" s="910">
        <f>+SUMIF('13.mell_ÖNKfeladatok2018'!$B$168:$B$323,'14.mell_Önk kiegészítés2018'!$A136,'13.mell_ÖNKfeladatok2018'!AN$168:AN$323)</f>
        <v>0</v>
      </c>
      <c r="Q136" s="910">
        <f>+SUMIF('13.mell_ÖNKfeladatok2018'!$B$168:$B$323,'14.mell_Önk kiegészítés2018'!$A136,'13.mell_ÖNKfeladatok2018'!AR$168:AR$323)</f>
        <v>0</v>
      </c>
      <c r="R136" s="910">
        <f>+SUMIF('13.mell_ÖNKfeladatok2018'!$B$168:$B$323,'14.mell_Önk kiegészítés2018'!$A136,'13.mell_ÖNKfeladatok2018'!AV$168:AV$323)</f>
        <v>0</v>
      </c>
      <c r="S136" s="911">
        <f>SUM(K136:R136)</f>
        <v>0</v>
      </c>
      <c r="T136" s="574">
        <f>S136-J136</f>
        <v>0</v>
      </c>
      <c r="U136" s="1032">
        <f>+ROUND(SUMIF('10.mell_támogatások2018'!$B$6:$B$123,'14.mell_Önk kiegészítés2018'!$A136,'10.mell_támogatások2018'!E$6:E$123)/1000,0)</f>
        <v>0</v>
      </c>
      <c r="V136" s="577">
        <f>+T136-U136</f>
        <v>0</v>
      </c>
      <c r="W136" s="1195"/>
    </row>
    <row r="137" spans="1:43" s="558" customFormat="1" ht="24.75" thickBot="1">
      <c r="A137" s="1044" t="s">
        <v>1260</v>
      </c>
      <c r="B137" s="528" t="s">
        <v>1205</v>
      </c>
      <c r="C137" s="574">
        <f t="shared" ref="C137:V137" si="83">SUM(C136)</f>
        <v>0</v>
      </c>
      <c r="D137" s="574">
        <f t="shared" si="83"/>
        <v>0</v>
      </c>
      <c r="E137" s="574">
        <f t="shared" si="83"/>
        <v>0</v>
      </c>
      <c r="F137" s="574">
        <f t="shared" si="83"/>
        <v>0</v>
      </c>
      <c r="G137" s="574">
        <f t="shared" si="83"/>
        <v>0</v>
      </c>
      <c r="H137" s="574">
        <f t="shared" si="83"/>
        <v>0</v>
      </c>
      <c r="I137" s="574">
        <f t="shared" si="83"/>
        <v>0</v>
      </c>
      <c r="J137" s="577">
        <f t="shared" si="83"/>
        <v>0</v>
      </c>
      <c r="K137" s="574">
        <f t="shared" si="83"/>
        <v>0</v>
      </c>
      <c r="L137" s="574">
        <f t="shared" si="83"/>
        <v>0</v>
      </c>
      <c r="M137" s="574">
        <f t="shared" si="83"/>
        <v>0</v>
      </c>
      <c r="N137" s="574">
        <f t="shared" si="83"/>
        <v>0</v>
      </c>
      <c r="O137" s="574">
        <f t="shared" si="83"/>
        <v>0</v>
      </c>
      <c r="P137" s="574">
        <f t="shared" si="83"/>
        <v>0</v>
      </c>
      <c r="Q137" s="574">
        <f t="shared" si="83"/>
        <v>0</v>
      </c>
      <c r="R137" s="574">
        <f t="shared" si="83"/>
        <v>0</v>
      </c>
      <c r="S137" s="577">
        <f t="shared" si="83"/>
        <v>0</v>
      </c>
      <c r="T137" s="574">
        <f t="shared" si="83"/>
        <v>0</v>
      </c>
      <c r="U137" s="578">
        <f t="shared" si="83"/>
        <v>0</v>
      </c>
      <c r="V137" s="577">
        <f t="shared" si="83"/>
        <v>0</v>
      </c>
      <c r="W137" s="1195"/>
      <c r="AC137" s="266"/>
      <c r="AD137" s="266"/>
      <c r="AE137" s="266"/>
      <c r="AF137" s="266"/>
      <c r="AG137" s="266"/>
      <c r="AH137" s="266"/>
      <c r="AI137" s="266"/>
      <c r="AJ137" s="266"/>
      <c r="AK137" s="266"/>
      <c r="AL137" s="266"/>
      <c r="AM137" s="266"/>
      <c r="AN137" s="266"/>
      <c r="AO137" s="266"/>
      <c r="AP137" s="266"/>
      <c r="AQ137" s="266"/>
    </row>
    <row r="138" spans="1:43" s="558" customFormat="1" ht="12.75" thickBot="1">
      <c r="A138" s="520" t="s">
        <v>42</v>
      </c>
      <c r="B138" s="530" t="s">
        <v>1206</v>
      </c>
      <c r="C138" s="583">
        <f t="shared" ref="C138:V138" si="84">+C133+C135+C137</f>
        <v>0</v>
      </c>
      <c r="D138" s="583">
        <f t="shared" si="84"/>
        <v>0</v>
      </c>
      <c r="E138" s="583">
        <f t="shared" si="84"/>
        <v>79</v>
      </c>
      <c r="F138" s="583">
        <f t="shared" si="84"/>
        <v>0</v>
      </c>
      <c r="G138" s="583">
        <f t="shared" si="84"/>
        <v>0</v>
      </c>
      <c r="H138" s="583">
        <f t="shared" si="84"/>
        <v>1200</v>
      </c>
      <c r="I138" s="583">
        <f t="shared" si="84"/>
        <v>0</v>
      </c>
      <c r="J138" s="586">
        <f t="shared" si="84"/>
        <v>1279</v>
      </c>
      <c r="K138" s="583">
        <f t="shared" si="84"/>
        <v>45729</v>
      </c>
      <c r="L138" s="583">
        <f t="shared" si="84"/>
        <v>8760</v>
      </c>
      <c r="M138" s="583">
        <f t="shared" si="84"/>
        <v>4093</v>
      </c>
      <c r="N138" s="583">
        <f t="shared" si="84"/>
        <v>0</v>
      </c>
      <c r="O138" s="583">
        <f t="shared" si="84"/>
        <v>44</v>
      </c>
      <c r="P138" s="583">
        <f t="shared" si="84"/>
        <v>10191</v>
      </c>
      <c r="Q138" s="583">
        <f t="shared" si="84"/>
        <v>0</v>
      </c>
      <c r="R138" s="583">
        <f t="shared" si="84"/>
        <v>0</v>
      </c>
      <c r="S138" s="586">
        <f t="shared" si="84"/>
        <v>68817</v>
      </c>
      <c r="T138" s="583">
        <f t="shared" si="84"/>
        <v>67538</v>
      </c>
      <c r="U138" s="585">
        <f t="shared" si="84"/>
        <v>68281</v>
      </c>
      <c r="V138" s="586">
        <f t="shared" si="84"/>
        <v>-743</v>
      </c>
      <c r="W138" s="1195"/>
      <c r="AC138" s="266"/>
      <c r="AD138" s="266"/>
      <c r="AE138" s="266"/>
      <c r="AF138" s="266"/>
      <c r="AG138" s="266"/>
      <c r="AH138" s="266"/>
      <c r="AI138" s="266"/>
      <c r="AJ138" s="266"/>
      <c r="AK138" s="266"/>
      <c r="AL138" s="266"/>
      <c r="AM138" s="266"/>
      <c r="AN138" s="266"/>
      <c r="AO138" s="266"/>
      <c r="AP138" s="266"/>
      <c r="AQ138" s="266"/>
    </row>
    <row r="139" spans="1:43" s="198" customFormat="1" ht="12.75" thickBot="1">
      <c r="A139" s="542"/>
      <c r="B139" s="598"/>
      <c r="C139" s="587"/>
      <c r="D139" s="588"/>
      <c r="E139" s="588"/>
      <c r="F139" s="588"/>
      <c r="G139" s="588"/>
      <c r="H139" s="588"/>
      <c r="I139" s="589"/>
      <c r="J139" s="590"/>
      <c r="K139" s="599"/>
      <c r="L139" s="599"/>
      <c r="M139" s="599"/>
      <c r="N139" s="599"/>
      <c r="O139" s="599"/>
      <c r="P139" s="599"/>
      <c r="Q139" s="599"/>
      <c r="R139" s="599"/>
      <c r="S139" s="597"/>
      <c r="T139" s="594"/>
      <c r="U139" s="1034"/>
      <c r="V139" s="597"/>
      <c r="W139" s="1195"/>
      <c r="AC139" s="199"/>
      <c r="AD139" s="199"/>
      <c r="AE139" s="199"/>
      <c r="AF139" s="199"/>
      <c r="AG139" s="199"/>
      <c r="AH139" s="199"/>
      <c r="AI139" s="199"/>
      <c r="AJ139" s="199"/>
      <c r="AK139" s="199"/>
      <c r="AL139" s="199"/>
      <c r="AM139" s="199"/>
      <c r="AN139" s="199"/>
      <c r="AO139" s="199"/>
      <c r="AP139" s="199"/>
      <c r="AQ139" s="199"/>
    </row>
    <row r="140" spans="1:43" s="558" customFormat="1" ht="12.75" thickBot="1">
      <c r="A140" s="581" t="s">
        <v>41</v>
      </c>
      <c r="B140" s="582" t="s">
        <v>826</v>
      </c>
      <c r="C140" s="583">
        <f t="shared" ref="C140:V140" si="85">+C90+C102+C112+C122+C130+C138</f>
        <v>1592229</v>
      </c>
      <c r="D140" s="583">
        <f t="shared" si="85"/>
        <v>488335</v>
      </c>
      <c r="E140" s="583">
        <f t="shared" si="85"/>
        <v>137160</v>
      </c>
      <c r="F140" s="583">
        <f t="shared" si="85"/>
        <v>40394</v>
      </c>
      <c r="G140" s="583">
        <f t="shared" si="85"/>
        <v>1331164</v>
      </c>
      <c r="H140" s="583">
        <f t="shared" si="85"/>
        <v>8386</v>
      </c>
      <c r="I140" s="583">
        <f t="shared" si="85"/>
        <v>9930</v>
      </c>
      <c r="J140" s="586">
        <f t="shared" si="85"/>
        <v>3607598</v>
      </c>
      <c r="K140" s="600">
        <f t="shared" si="85"/>
        <v>839058</v>
      </c>
      <c r="L140" s="600">
        <f t="shared" si="85"/>
        <v>154821</v>
      </c>
      <c r="M140" s="600">
        <f t="shared" si="85"/>
        <v>744258</v>
      </c>
      <c r="N140" s="600">
        <f t="shared" si="85"/>
        <v>56062</v>
      </c>
      <c r="O140" s="600">
        <f t="shared" si="85"/>
        <v>3209152</v>
      </c>
      <c r="P140" s="600">
        <f t="shared" si="85"/>
        <v>530213</v>
      </c>
      <c r="Q140" s="600">
        <f t="shared" si="85"/>
        <v>228800</v>
      </c>
      <c r="R140" s="600">
        <f t="shared" si="85"/>
        <v>1200</v>
      </c>
      <c r="S140" s="601">
        <f t="shared" si="85"/>
        <v>5763564</v>
      </c>
      <c r="T140" s="600">
        <f t="shared" si="85"/>
        <v>2155966</v>
      </c>
      <c r="U140" s="1035">
        <f t="shared" si="85"/>
        <v>2179310</v>
      </c>
      <c r="V140" s="601">
        <f t="shared" si="85"/>
        <v>-23344</v>
      </c>
      <c r="W140" s="1195"/>
      <c r="AC140" s="266"/>
      <c r="AD140" s="266"/>
      <c r="AE140" s="266"/>
      <c r="AF140" s="266"/>
      <c r="AG140" s="266"/>
      <c r="AH140" s="266"/>
      <c r="AI140" s="266"/>
      <c r="AJ140" s="266"/>
      <c r="AK140" s="266"/>
      <c r="AL140" s="266"/>
      <c r="AM140" s="266"/>
      <c r="AN140" s="266"/>
      <c r="AO140" s="266"/>
      <c r="AP140" s="266"/>
      <c r="AQ140" s="266"/>
    </row>
    <row r="141" spans="1:43" s="558" customFormat="1" ht="12.75" thickBot="1">
      <c r="A141" s="611" t="s">
        <v>37</v>
      </c>
      <c r="B141" s="603" t="s">
        <v>827</v>
      </c>
      <c r="C141" s="604"/>
      <c r="D141" s="604"/>
      <c r="E141" s="604"/>
      <c r="F141" s="604">
        <f>+'1.mell._Össz_Mérleg2018'!$D$71</f>
        <v>449560</v>
      </c>
      <c r="G141" s="604"/>
      <c r="H141" s="604"/>
      <c r="I141" s="604">
        <f>+'1.mell._Össz_Mérleg2018'!$D$86</f>
        <v>1857788</v>
      </c>
      <c r="J141" s="610">
        <f>SUM(C141:I141)</f>
        <v>2307348</v>
      </c>
      <c r="K141" s="604"/>
      <c r="L141" s="604"/>
      <c r="M141" s="604"/>
      <c r="N141" s="604"/>
      <c r="O141" s="604">
        <f>+'1.mell._Össz_Mérleg2018'!$D$177</f>
        <v>151382</v>
      </c>
      <c r="P141" s="604"/>
      <c r="Q141" s="604"/>
      <c r="R141" s="604">
        <f>+'1.mell._Össz_Mérleg2018'!$C$192</f>
        <v>0</v>
      </c>
      <c r="S141" s="610">
        <f>SUM(K141:R141)</f>
        <v>151382</v>
      </c>
      <c r="T141" s="604">
        <f>S141-J141</f>
        <v>-2155966</v>
      </c>
      <c r="U141" s="1036">
        <v>-2179310</v>
      </c>
      <c r="V141" s="605">
        <f>+T141-U141</f>
        <v>23344</v>
      </c>
      <c r="W141" s="1195"/>
      <c r="AC141" s="266"/>
      <c r="AD141" s="266">
        <f>(-1832034-8000+25346)+-364622</f>
        <v>-2179310</v>
      </c>
      <c r="AE141" s="266"/>
      <c r="AF141" s="266"/>
      <c r="AG141" s="266"/>
      <c r="AH141" s="266"/>
      <c r="AI141" s="266"/>
      <c r="AJ141" s="266"/>
      <c r="AK141" s="266"/>
      <c r="AL141" s="266"/>
      <c r="AM141" s="266"/>
      <c r="AN141" s="266"/>
      <c r="AO141" s="266"/>
      <c r="AP141" s="266"/>
      <c r="AQ141" s="266"/>
    </row>
    <row r="142" spans="1:43" s="198" customFormat="1" ht="12.75" thickBot="1">
      <c r="A142" s="581" t="s">
        <v>1264</v>
      </c>
      <c r="B142" s="582" t="s">
        <v>828</v>
      </c>
      <c r="C142" s="583">
        <f>+C140+C141</f>
        <v>1592229</v>
      </c>
      <c r="D142" s="583">
        <f t="shared" ref="D142:I142" si="86">+D140+D141</f>
        <v>488335</v>
      </c>
      <c r="E142" s="583">
        <f t="shared" si="86"/>
        <v>137160</v>
      </c>
      <c r="F142" s="583">
        <f t="shared" si="86"/>
        <v>489954</v>
      </c>
      <c r="G142" s="583">
        <f t="shared" si="86"/>
        <v>1331164</v>
      </c>
      <c r="H142" s="583">
        <f t="shared" si="86"/>
        <v>8386</v>
      </c>
      <c r="I142" s="583">
        <f t="shared" si="86"/>
        <v>1867718</v>
      </c>
      <c r="J142" s="586">
        <f>+J140+J141</f>
        <v>5914946</v>
      </c>
      <c r="K142" s="583">
        <f t="shared" ref="K142:V142" si="87">+K140+K141</f>
        <v>839058</v>
      </c>
      <c r="L142" s="583">
        <f t="shared" si="87"/>
        <v>154821</v>
      </c>
      <c r="M142" s="583">
        <f t="shared" si="87"/>
        <v>744258</v>
      </c>
      <c r="N142" s="583">
        <f t="shared" si="87"/>
        <v>56062</v>
      </c>
      <c r="O142" s="583">
        <f t="shared" si="87"/>
        <v>3360534</v>
      </c>
      <c r="P142" s="583">
        <f t="shared" si="87"/>
        <v>530213</v>
      </c>
      <c r="Q142" s="583">
        <f t="shared" si="87"/>
        <v>228800</v>
      </c>
      <c r="R142" s="583">
        <f t="shared" si="87"/>
        <v>1200</v>
      </c>
      <c r="S142" s="586">
        <f t="shared" si="87"/>
        <v>5914946</v>
      </c>
      <c r="T142" s="583">
        <f t="shared" si="87"/>
        <v>0</v>
      </c>
      <c r="U142" s="585">
        <f t="shared" si="87"/>
        <v>0</v>
      </c>
      <c r="V142" s="586">
        <f t="shared" si="87"/>
        <v>0</v>
      </c>
      <c r="W142" s="1195"/>
      <c r="AC142" s="199"/>
      <c r="AD142" s="199"/>
      <c r="AE142" s="199"/>
      <c r="AF142" s="199"/>
      <c r="AG142" s="199"/>
      <c r="AH142" s="199"/>
      <c r="AI142" s="199"/>
      <c r="AJ142" s="199"/>
      <c r="AK142" s="199"/>
      <c r="AL142" s="199"/>
      <c r="AM142" s="199"/>
      <c r="AN142" s="199"/>
      <c r="AO142" s="199"/>
      <c r="AP142" s="199"/>
      <c r="AQ142" s="199"/>
    </row>
    <row r="143" spans="1:43" s="679" customFormat="1" ht="15.75">
      <c r="A143" s="1045"/>
      <c r="B143" s="1045"/>
      <c r="C143" s="1045"/>
      <c r="D143" s="1045"/>
      <c r="E143" s="1045"/>
      <c r="F143" s="1045"/>
      <c r="G143" s="1045"/>
      <c r="H143" s="1045"/>
      <c r="I143" s="1045"/>
      <c r="J143" s="1045"/>
      <c r="K143" s="1045"/>
      <c r="L143" s="1045"/>
      <c r="M143" s="1045"/>
      <c r="N143" s="1045"/>
      <c r="O143" s="1045"/>
      <c r="P143" s="1045"/>
      <c r="Q143" s="1045"/>
      <c r="R143" s="1045"/>
      <c r="S143" s="1045"/>
      <c r="T143" s="1214"/>
      <c r="U143" s="1045"/>
      <c r="V143" s="1045"/>
      <c r="W143" s="1194"/>
      <c r="AC143" s="678"/>
      <c r="AD143" s="678"/>
      <c r="AE143" s="678"/>
      <c r="AF143" s="678"/>
      <c r="AG143" s="678"/>
      <c r="AH143" s="678"/>
      <c r="AI143" s="678"/>
      <c r="AJ143" s="678"/>
      <c r="AK143" s="678"/>
      <c r="AL143" s="678"/>
      <c r="AM143" s="678"/>
      <c r="AN143" s="678"/>
      <c r="AO143" s="678"/>
      <c r="AP143" s="678"/>
      <c r="AQ143" s="678"/>
    </row>
    <row r="144" spans="1:43" ht="12.75" thickBot="1">
      <c r="V144" s="242" t="s">
        <v>458</v>
      </c>
      <c r="W144" s="242"/>
    </row>
    <row r="145" spans="1:43" s="561" customFormat="1" ht="84.75" thickBot="1">
      <c r="A145" s="913" t="s">
        <v>17</v>
      </c>
      <c r="B145" s="914" t="s">
        <v>1529</v>
      </c>
      <c r="C145" s="915" t="s">
        <v>817</v>
      </c>
      <c r="D145" s="367" t="s">
        <v>526</v>
      </c>
      <c r="E145" s="367" t="s">
        <v>818</v>
      </c>
      <c r="F145" s="367" t="s">
        <v>1265</v>
      </c>
      <c r="G145" s="367" t="s">
        <v>533</v>
      </c>
      <c r="H145" s="367" t="s">
        <v>534</v>
      </c>
      <c r="I145" s="366" t="s">
        <v>1266</v>
      </c>
      <c r="J145" s="303" t="s">
        <v>525</v>
      </c>
      <c r="K145" s="915" t="s">
        <v>46</v>
      </c>
      <c r="L145" s="367" t="s">
        <v>447</v>
      </c>
      <c r="M145" s="367" t="s">
        <v>448</v>
      </c>
      <c r="N145" s="367" t="s">
        <v>820</v>
      </c>
      <c r="O145" s="367" t="s">
        <v>1267</v>
      </c>
      <c r="P145" s="367" t="s">
        <v>451</v>
      </c>
      <c r="Q145" s="367" t="s">
        <v>452</v>
      </c>
      <c r="R145" s="297" t="s">
        <v>1268</v>
      </c>
      <c r="S145" s="303" t="s">
        <v>528</v>
      </c>
      <c r="T145" s="916" t="s">
        <v>810</v>
      </c>
      <c r="U145" s="1026" t="s">
        <v>1469</v>
      </c>
      <c r="V145" s="560" t="s">
        <v>811</v>
      </c>
      <c r="W145" s="512"/>
      <c r="AC145" s="561" t="s">
        <v>1162</v>
      </c>
      <c r="AD145" s="561" t="s">
        <v>1132</v>
      </c>
      <c r="AE145" s="561" t="s">
        <v>1467</v>
      </c>
      <c r="AF145" s="561" t="s">
        <v>1272</v>
      </c>
      <c r="AG145" s="561" t="s">
        <v>1494</v>
      </c>
      <c r="AH145" s="561" t="s">
        <v>1271</v>
      </c>
      <c r="AI145" s="561" t="s">
        <v>1495</v>
      </c>
      <c r="AJ145" s="561" t="s">
        <v>1277</v>
      </c>
      <c r="AK145" s="561" t="s">
        <v>1468</v>
      </c>
    </row>
    <row r="146" spans="1:43">
      <c r="A146" s="850">
        <v>1</v>
      </c>
      <c r="B146" s="755" t="s">
        <v>415</v>
      </c>
      <c r="C146" s="563">
        <f>+SUMIF('13.mell_ÖNKfeladatok2018'!$B$5:$B$160,'14.mell_Önk kiegészítés2018'!$A146,'13.mell_ÖNKfeladatok2018'!Q$5:Q$160)</f>
        <v>0</v>
      </c>
      <c r="D146" s="563">
        <f>+SUMIF('13.mell_ÖNKfeladatok2018'!$B$5:$B$160,'14.mell_Önk kiegészítés2018'!$A146,'13.mell_ÖNKfeladatok2018'!U$5:U$160)</f>
        <v>0</v>
      </c>
      <c r="E146" s="563">
        <f>+SUMIF('13.mell_ÖNKfeladatok2018'!$B$5:$B$160,'14.mell_Önk kiegészítés2018'!$A146,'13.mell_ÖNKfeladatok2018'!Y$5:Y$160)</f>
        <v>0</v>
      </c>
      <c r="F146" s="563">
        <f>+SUMIF('13.mell_ÖNKfeladatok2018'!$B$5:$B$160,'14.mell_Önk kiegészítés2018'!$A146,'13.mell_ÖNKfeladatok2018'!AC$5:AC$160)</f>
        <v>0</v>
      </c>
      <c r="G146" s="563">
        <f>+SUMIF('13.mell_ÖNKfeladatok2018'!$B$5:$B$160,'14.mell_Önk kiegészítés2018'!$A146,'13.mell_ÖNKfeladatok2018'!AK$5:AK$160)</f>
        <v>0</v>
      </c>
      <c r="H146" s="563">
        <f>+SUMIF('13.mell_ÖNKfeladatok2018'!$B$5:$B$160,'14.mell_Önk kiegészítés2018'!$A146,'13.mell_ÖNKfeladatok2018'!AO$5:AO$160)</f>
        <v>0</v>
      </c>
      <c r="I146" s="563">
        <f>+SUMIF('13.mell_ÖNKfeladatok2018'!$B$5:$B$160,'14.mell_Önk kiegészítés2018'!$A146,'13.mell_ÖNKfeladatok2018'!AS$5:AS$160)</f>
        <v>0</v>
      </c>
      <c r="J146" s="756">
        <f>SUM(C146:I146)</f>
        <v>0</v>
      </c>
      <c r="K146" s="563">
        <f>+SUMIF('13.mell_ÖNKfeladatok2018'!$B$168:$B$323,'14.mell_Önk kiegészítés2018'!$A146,'13.mell_ÖNKfeladatok2018'!Q$168:Q$323)</f>
        <v>0</v>
      </c>
      <c r="L146" s="563">
        <f>+SUMIF('13.mell_ÖNKfeladatok2018'!$B$168:$B$323,'14.mell_Önk kiegészítés2018'!$A146,'13.mell_ÖNKfeladatok2018'!U$168:U$323)</f>
        <v>0</v>
      </c>
      <c r="M146" s="563">
        <f>+SUMIF('13.mell_ÖNKfeladatok2018'!$B$168:$B$323,'14.mell_Önk kiegészítés2018'!$A146,'13.mell_ÖNKfeladatok2018'!Y$168:Y$323)</f>
        <v>0</v>
      </c>
      <c r="N146" s="563">
        <f>+SUMIF('13.mell_ÖNKfeladatok2018'!$B$168:$B$323,'14.mell_Önk kiegészítés2018'!$A146,'13.mell_ÖNKfeladatok2018'!AC$168:AC$323)</f>
        <v>0</v>
      </c>
      <c r="O146" s="563">
        <f>+SUMIF('13.mell_ÖNKfeladatok2018'!$B$168:$B$323,'14.mell_Önk kiegészítés2018'!$A146,'13.mell_ÖNKfeladatok2018'!AG$168:AG$323)</f>
        <v>0</v>
      </c>
      <c r="P146" s="563">
        <f>+SUMIF('13.mell_ÖNKfeladatok2018'!$B$168:$B$323,'14.mell_Önk kiegészítés2018'!$A146,'13.mell_ÖNKfeladatok2018'!AO$168:AO$323)</f>
        <v>0</v>
      </c>
      <c r="Q146" s="563">
        <f>+SUMIF('13.mell_ÖNKfeladatok2018'!$B$168:$B$323,'14.mell_Önk kiegészítés2018'!$A146,'13.mell_ÖNKfeladatok2018'!AS$168:AS$323)</f>
        <v>0</v>
      </c>
      <c r="R146" s="563">
        <f>+SUMIF('13.mell_ÖNKfeladatok2018'!$B$168:$B$323,'14.mell_Önk kiegészítés2018'!$A146,'13.mell_ÖNKfeladatok2018'!AW$168:AW$323)</f>
        <v>0</v>
      </c>
      <c r="S146" s="756">
        <f>SUM(K146:R146)</f>
        <v>0</v>
      </c>
      <c r="T146" s="757">
        <f>S146-J146</f>
        <v>0</v>
      </c>
      <c r="U146" s="563">
        <f>+ROUND(SUMIF('10.mell_támogatások2018'!$B$6:$B$123,'14.mell_Önk kiegészítés2018'!$A146,'10.mell_támogatások2018'!F$6:F$123)/1000,0)</f>
        <v>2049</v>
      </c>
      <c r="V146" s="758">
        <f>+T146-U146</f>
        <v>-2049</v>
      </c>
      <c r="W146" s="1195"/>
    </row>
    <row r="147" spans="1:43">
      <c r="A147" s="851">
        <f>+A146+1</f>
        <v>2</v>
      </c>
      <c r="B147" s="562" t="s">
        <v>657</v>
      </c>
      <c r="C147" s="563">
        <f>+SUMIF('13.mell_ÖNKfeladatok2018'!$B$5:$B$160,'14.mell_Önk kiegészítés2018'!$A147,'13.mell_ÖNKfeladatok2018'!Q$5:Q$160)</f>
        <v>0</v>
      </c>
      <c r="D147" s="563">
        <f>+SUMIF('13.mell_ÖNKfeladatok2018'!$B$5:$B$160,'14.mell_Önk kiegészítés2018'!$A147,'13.mell_ÖNKfeladatok2018'!U$5:U$160)</f>
        <v>0</v>
      </c>
      <c r="E147" s="563">
        <f>+SUMIF('13.mell_ÖNKfeladatok2018'!$B$5:$B$160,'14.mell_Önk kiegészítés2018'!$A147,'13.mell_ÖNKfeladatok2018'!Y$5:Y$160)</f>
        <v>339</v>
      </c>
      <c r="F147" s="563">
        <f>+SUMIF('13.mell_ÖNKfeladatok2018'!$B$5:$B$160,'14.mell_Önk kiegészítés2018'!$A147,'13.mell_ÖNKfeladatok2018'!AC$5:AC$160)</f>
        <v>0</v>
      </c>
      <c r="G147" s="563">
        <f>+SUMIF('13.mell_ÖNKfeladatok2018'!$B$5:$B$160,'14.mell_Önk kiegészítés2018'!$A147,'13.mell_ÖNKfeladatok2018'!AK$5:AK$160)</f>
        <v>0</v>
      </c>
      <c r="H147" s="563">
        <f>+SUMIF('13.mell_ÖNKfeladatok2018'!$B$5:$B$160,'14.mell_Önk kiegészítés2018'!$A147,'13.mell_ÖNKfeladatok2018'!AO$5:AO$160)</f>
        <v>1356</v>
      </c>
      <c r="I147" s="563">
        <f>+SUMIF('13.mell_ÖNKfeladatok2018'!$B$5:$B$160,'14.mell_Önk kiegészítés2018'!$A147,'13.mell_ÖNKfeladatok2018'!AS$5:AS$160)</f>
        <v>0</v>
      </c>
      <c r="J147" s="606">
        <f t="shared" ref="J147:J153" si="88">SUM(C147:I147)</f>
        <v>1695</v>
      </c>
      <c r="K147" s="563">
        <f>+SUMIF('13.mell_ÖNKfeladatok2018'!$B$168:$B$323,'14.mell_Önk kiegészítés2018'!$A147,'13.mell_ÖNKfeladatok2018'!Q$168:Q$323)</f>
        <v>0</v>
      </c>
      <c r="L147" s="563">
        <f>+SUMIF('13.mell_ÖNKfeladatok2018'!$B$168:$B$323,'14.mell_Önk kiegészítés2018'!$A147,'13.mell_ÖNKfeladatok2018'!U$168:U$323)</f>
        <v>0</v>
      </c>
      <c r="M147" s="563">
        <f>+SUMIF('13.mell_ÖNKfeladatok2018'!$B$168:$B$323,'14.mell_Önk kiegészítés2018'!$A147,'13.mell_ÖNKfeladatok2018'!Y$168:Y$323)</f>
        <v>2197</v>
      </c>
      <c r="N147" s="563">
        <f>+SUMIF('13.mell_ÖNKfeladatok2018'!$B$168:$B$323,'14.mell_Önk kiegészítés2018'!$A147,'13.mell_ÖNKfeladatok2018'!AC$168:AC$323)</f>
        <v>0</v>
      </c>
      <c r="O147" s="563">
        <f>+SUMIF('13.mell_ÖNKfeladatok2018'!$B$168:$B$323,'14.mell_Önk kiegészítés2018'!$A147,'13.mell_ÖNKfeladatok2018'!AG$168:AG$323)</f>
        <v>0</v>
      </c>
      <c r="P147" s="563">
        <f>+SUMIF('13.mell_ÖNKfeladatok2018'!$B$168:$B$323,'14.mell_Önk kiegészítés2018'!$A147,'13.mell_ÖNKfeladatok2018'!AO$168:AO$323)</f>
        <v>0</v>
      </c>
      <c r="Q147" s="563">
        <f>+SUMIF('13.mell_ÖNKfeladatok2018'!$B$168:$B$323,'14.mell_Önk kiegészítés2018'!$A147,'13.mell_ÖNKfeladatok2018'!AS$168:AS$323)</f>
        <v>0</v>
      </c>
      <c r="R147" s="563">
        <f>+SUMIF('13.mell_ÖNKfeladatok2018'!$B$168:$B$323,'14.mell_Önk kiegészítés2018'!$A147,'13.mell_ÖNKfeladatok2018'!AW$168:AW$323)</f>
        <v>0</v>
      </c>
      <c r="S147" s="606">
        <f t="shared" ref="S147:S149" si="89">SUM(K147:R147)</f>
        <v>2197</v>
      </c>
      <c r="T147" s="564">
        <f>S147-J147</f>
        <v>502</v>
      </c>
      <c r="U147" s="1027">
        <f>+ROUND(SUMIF('10.mell_támogatások2018'!$B$6:$B$123,'14.mell_Önk kiegészítés2018'!$A147,'10.mell_támogatások2018'!F$6:F$123)/1000,0)</f>
        <v>3460</v>
      </c>
      <c r="V147" s="565">
        <f t="shared" ref="V147:V149" si="90">+T147-U147</f>
        <v>-2958</v>
      </c>
      <c r="W147" s="1195"/>
    </row>
    <row r="148" spans="1:43">
      <c r="A148" s="851">
        <f>+A147+1</f>
        <v>3</v>
      </c>
      <c r="B148" s="566" t="s">
        <v>652</v>
      </c>
      <c r="C148" s="567">
        <f>+SUMIF('13.mell_ÖNKfeladatok2018'!$B$5:$B$160,'14.mell_Önk kiegészítés2018'!$A148,'13.mell_ÖNKfeladatok2018'!Q$5:Q$160)</f>
        <v>0</v>
      </c>
      <c r="D148" s="567">
        <f>+SUMIF('13.mell_ÖNKfeladatok2018'!$B$5:$B$160,'14.mell_Önk kiegészítés2018'!$A148,'13.mell_ÖNKfeladatok2018'!U$5:U$160)</f>
        <v>0</v>
      </c>
      <c r="E148" s="567">
        <f>+SUMIF('13.mell_ÖNKfeladatok2018'!$B$5:$B$160,'14.mell_Önk kiegészítés2018'!$A148,'13.mell_ÖNKfeladatok2018'!Y$5:Y$160)</f>
        <v>0</v>
      </c>
      <c r="F148" s="567">
        <f>+SUMIF('13.mell_ÖNKfeladatok2018'!$B$5:$B$160,'14.mell_Önk kiegészítés2018'!$A148,'13.mell_ÖNKfeladatok2018'!AC$5:AC$160)</f>
        <v>0</v>
      </c>
      <c r="G148" s="563">
        <f>+SUMIF('13.mell_ÖNKfeladatok2018'!$B$5:$B$160,'14.mell_Önk kiegészítés2018'!$A148,'13.mell_ÖNKfeladatok2018'!AK$5:AK$160)</f>
        <v>0</v>
      </c>
      <c r="H148" s="567">
        <f>+SUMIF('13.mell_ÖNKfeladatok2018'!$B$5:$B$160,'14.mell_Önk kiegészítés2018'!$A148,'13.mell_ÖNKfeladatok2018'!AO$5:AO$160)</f>
        <v>0</v>
      </c>
      <c r="I148" s="567">
        <f>+SUMIF('13.mell_ÖNKfeladatok2018'!$B$5:$B$160,'14.mell_Önk kiegészítés2018'!$A148,'13.mell_ÖNKfeladatok2018'!AS$5:AS$160)</f>
        <v>0</v>
      </c>
      <c r="J148" s="607">
        <f t="shared" si="88"/>
        <v>0</v>
      </c>
      <c r="K148" s="567">
        <f>+SUMIF('13.mell_ÖNKfeladatok2018'!$B$168:$B$323,'14.mell_Önk kiegészítés2018'!$A148,'13.mell_ÖNKfeladatok2018'!Q$168:Q$323)</f>
        <v>0</v>
      </c>
      <c r="L148" s="567">
        <f>+SUMIF('13.mell_ÖNKfeladatok2018'!$B$168:$B$323,'14.mell_Önk kiegészítés2018'!$A148,'13.mell_ÖNKfeladatok2018'!U$168:U$323)</f>
        <v>0</v>
      </c>
      <c r="M148" s="567">
        <f>+SUMIF('13.mell_ÖNKfeladatok2018'!$B$168:$B$323,'14.mell_Önk kiegészítés2018'!$A148,'13.mell_ÖNKfeladatok2018'!Y$168:Y$323)</f>
        <v>26265</v>
      </c>
      <c r="N148" s="567">
        <f>+SUMIF('13.mell_ÖNKfeladatok2018'!$B$168:$B$323,'14.mell_Önk kiegészítés2018'!$A148,'13.mell_ÖNKfeladatok2018'!AC$168:AC$323)</f>
        <v>0</v>
      </c>
      <c r="O148" s="567">
        <f>+SUMIF('13.mell_ÖNKfeladatok2018'!$B$168:$B$323,'14.mell_Önk kiegészítés2018'!$A148,'13.mell_ÖNKfeladatok2018'!AG$168:AG$323)</f>
        <v>0</v>
      </c>
      <c r="P148" s="567">
        <f>+SUMIF('13.mell_ÖNKfeladatok2018'!$B$168:$B$323,'14.mell_Önk kiegészítés2018'!$A148,'13.mell_ÖNKfeladatok2018'!AO$168:AO$323)</f>
        <v>0</v>
      </c>
      <c r="Q148" s="567">
        <f>+SUMIF('13.mell_ÖNKfeladatok2018'!$B$168:$B$323,'14.mell_Önk kiegészítés2018'!$A148,'13.mell_ÖNKfeladatok2018'!AS$168:AS$323)</f>
        <v>0</v>
      </c>
      <c r="R148" s="567">
        <f>+SUMIF('13.mell_ÖNKfeladatok2018'!$B$168:$B$323,'14.mell_Önk kiegészítés2018'!$A148,'13.mell_ÖNKfeladatok2018'!AW$168:AW$323)</f>
        <v>0</v>
      </c>
      <c r="S148" s="607">
        <f t="shared" si="89"/>
        <v>26265</v>
      </c>
      <c r="T148" s="568">
        <f t="shared" ref="T148:T149" si="91">S148-J148</f>
        <v>26265</v>
      </c>
      <c r="U148" s="1027">
        <f>+ROUND(SUMIF('10.mell_támogatások2018'!$B$6:$B$123,'14.mell_Önk kiegészítés2018'!$A148,'10.mell_támogatások2018'!F$6:F$123)/1000,0)</f>
        <v>26600</v>
      </c>
      <c r="V148" s="569">
        <f t="shared" si="90"/>
        <v>-335</v>
      </c>
      <c r="W148" s="1195"/>
    </row>
    <row r="149" spans="1:43">
      <c r="A149" s="851">
        <f>+A148+1</f>
        <v>4</v>
      </c>
      <c r="B149" s="566" t="s">
        <v>654</v>
      </c>
      <c r="C149" s="567">
        <f>+SUMIF('13.mell_ÖNKfeladatok2018'!$B$5:$B$160,'14.mell_Önk kiegészítés2018'!$A149,'13.mell_ÖNKfeladatok2018'!Q$5:Q$160)</f>
        <v>0</v>
      </c>
      <c r="D149" s="567">
        <f>+SUMIF('13.mell_ÖNKfeladatok2018'!$B$5:$B$160,'14.mell_Önk kiegészítés2018'!$A149,'13.mell_ÖNKfeladatok2018'!U$5:U$160)</f>
        <v>0</v>
      </c>
      <c r="E149" s="567">
        <f>+SUMIF('13.mell_ÖNKfeladatok2018'!$B$5:$B$160,'14.mell_Önk kiegészítés2018'!$A149,'13.mell_ÖNKfeladatok2018'!Y$5:Y$160)</f>
        <v>0</v>
      </c>
      <c r="F149" s="567">
        <f>+SUMIF('13.mell_ÖNKfeladatok2018'!$B$5:$B$160,'14.mell_Önk kiegészítés2018'!$A149,'13.mell_ÖNKfeladatok2018'!AC$5:AC$160)</f>
        <v>0</v>
      </c>
      <c r="G149" s="563">
        <f>+SUMIF('13.mell_ÖNKfeladatok2018'!$B$5:$B$160,'14.mell_Önk kiegészítés2018'!$A149,'13.mell_ÖNKfeladatok2018'!AK$5:AK$160)</f>
        <v>0</v>
      </c>
      <c r="H149" s="567">
        <f>+SUMIF('13.mell_ÖNKfeladatok2018'!$B$5:$B$160,'14.mell_Önk kiegészítés2018'!$A149,'13.mell_ÖNKfeladatok2018'!AO$5:AO$160)</f>
        <v>0</v>
      </c>
      <c r="I149" s="567">
        <f>+SUMIF('13.mell_ÖNKfeladatok2018'!$B$5:$B$160,'14.mell_Önk kiegészítés2018'!$A149,'13.mell_ÖNKfeladatok2018'!AS$5:AS$160)</f>
        <v>0</v>
      </c>
      <c r="J149" s="607">
        <f t="shared" si="88"/>
        <v>0</v>
      </c>
      <c r="K149" s="567">
        <f>+SUMIF('13.mell_ÖNKfeladatok2018'!$B$168:$B$323,'14.mell_Önk kiegészítés2018'!$A149,'13.mell_ÖNKfeladatok2018'!Q$168:Q$323)</f>
        <v>0</v>
      </c>
      <c r="L149" s="567">
        <f>+SUMIF('13.mell_ÖNKfeladatok2018'!$B$168:$B$323,'14.mell_Önk kiegészítés2018'!$A149,'13.mell_ÖNKfeladatok2018'!U$168:U$323)</f>
        <v>0</v>
      </c>
      <c r="M149" s="567">
        <f>+SUMIF('13.mell_ÖNKfeladatok2018'!$B$168:$B$323,'14.mell_Önk kiegészítés2018'!$A149,'13.mell_ÖNKfeladatok2018'!Y$168:Y$323)</f>
        <v>6173</v>
      </c>
      <c r="N149" s="567">
        <f>+SUMIF('13.mell_ÖNKfeladatok2018'!$B$168:$B$323,'14.mell_Önk kiegészítés2018'!$A149,'13.mell_ÖNKfeladatok2018'!AC$168:AC$323)</f>
        <v>0</v>
      </c>
      <c r="O149" s="567">
        <f>+SUMIF('13.mell_ÖNKfeladatok2018'!$B$168:$B$323,'14.mell_Önk kiegészítés2018'!$A149,'13.mell_ÖNKfeladatok2018'!AG$168:AG$323)</f>
        <v>0</v>
      </c>
      <c r="P149" s="567">
        <f>+SUMIF('13.mell_ÖNKfeladatok2018'!$B$168:$B$323,'14.mell_Önk kiegészítés2018'!$A149,'13.mell_ÖNKfeladatok2018'!AO$168:AO$323)</f>
        <v>720</v>
      </c>
      <c r="Q149" s="567">
        <f>+SUMIF('13.mell_ÖNKfeladatok2018'!$B$168:$B$323,'14.mell_Önk kiegészítés2018'!$A149,'13.mell_ÖNKfeladatok2018'!AS$168:AS$323)</f>
        <v>0</v>
      </c>
      <c r="R149" s="567">
        <f>+SUMIF('13.mell_ÖNKfeladatok2018'!$B$168:$B$323,'14.mell_Önk kiegészítés2018'!$A149,'13.mell_ÖNKfeladatok2018'!AW$168:AW$323)</f>
        <v>0</v>
      </c>
      <c r="S149" s="607">
        <f t="shared" si="89"/>
        <v>6893</v>
      </c>
      <c r="T149" s="568">
        <f t="shared" si="91"/>
        <v>6893</v>
      </c>
      <c r="U149" s="1027">
        <f>+ROUND(SUMIF('10.mell_támogatások2018'!$B$6:$B$123,'14.mell_Önk kiegészítés2018'!$A149,'10.mell_támogatások2018'!F$6:F$123)/1000,0)</f>
        <v>13509</v>
      </c>
      <c r="V149" s="569">
        <f t="shared" si="90"/>
        <v>-6616</v>
      </c>
      <c r="W149" s="1195"/>
    </row>
    <row r="150" spans="1:43">
      <c r="A150" s="851">
        <f>+A149+1</f>
        <v>5</v>
      </c>
      <c r="B150" s="566" t="s">
        <v>651</v>
      </c>
      <c r="C150" s="567">
        <f>+SUMIF('13.mell_ÖNKfeladatok2018'!$B$5:$B$160,'14.mell_Önk kiegészítés2018'!$A150,'13.mell_ÖNKfeladatok2018'!Q$5:Q$160)</f>
        <v>0</v>
      </c>
      <c r="D150" s="567">
        <f>+SUMIF('13.mell_ÖNKfeladatok2018'!$B$5:$B$160,'14.mell_Önk kiegészítés2018'!$A150,'13.mell_ÖNKfeladatok2018'!U$5:U$160)</f>
        <v>0</v>
      </c>
      <c r="E150" s="567">
        <f>+SUMIF('13.mell_ÖNKfeladatok2018'!$B$5:$B$160,'14.mell_Önk kiegészítés2018'!$A150,'13.mell_ÖNKfeladatok2018'!Y$5:Y$160)</f>
        <v>0</v>
      </c>
      <c r="F150" s="567">
        <f>+SUMIF('13.mell_ÖNKfeladatok2018'!$B$5:$B$160,'14.mell_Önk kiegészítés2018'!$A150,'13.mell_ÖNKfeladatok2018'!AC$5:AC$160)</f>
        <v>0</v>
      </c>
      <c r="G150" s="563">
        <f>+SUMIF('13.mell_ÖNKfeladatok2018'!$B$5:$B$160,'14.mell_Önk kiegészítés2018'!$A150,'13.mell_ÖNKfeladatok2018'!AK$5:AK$160)</f>
        <v>0</v>
      </c>
      <c r="H150" s="567">
        <f>+SUMIF('13.mell_ÖNKfeladatok2018'!$B$5:$B$160,'14.mell_Önk kiegészítés2018'!$A150,'13.mell_ÖNKfeladatok2018'!AO$5:AO$160)</f>
        <v>0</v>
      </c>
      <c r="I150" s="567">
        <f>+SUMIF('13.mell_ÖNKfeladatok2018'!$B$5:$B$160,'14.mell_Önk kiegészítés2018'!$A150,'13.mell_ÖNKfeladatok2018'!AS$5:AS$160)</f>
        <v>0</v>
      </c>
      <c r="J150" s="607">
        <f t="shared" si="88"/>
        <v>0</v>
      </c>
      <c r="K150" s="567">
        <f>+SUMIF('13.mell_ÖNKfeladatok2018'!$B$168:$B$323,'14.mell_Önk kiegészítés2018'!$A150,'13.mell_ÖNKfeladatok2018'!Q$168:Q$323)</f>
        <v>0</v>
      </c>
      <c r="L150" s="567">
        <f>+SUMIF('13.mell_ÖNKfeladatok2018'!$B$168:$B$323,'14.mell_Önk kiegészítés2018'!$A150,'13.mell_ÖNKfeladatok2018'!U$168:U$323)</f>
        <v>0</v>
      </c>
      <c r="M150" s="567">
        <f>+SUMIF('13.mell_ÖNKfeladatok2018'!$B$168:$B$323,'14.mell_Önk kiegészítés2018'!$A150,'13.mell_ÖNKfeladatok2018'!Y$168:Y$323)</f>
        <v>7868</v>
      </c>
      <c r="N150" s="567">
        <f>+SUMIF('13.mell_ÖNKfeladatok2018'!$B$168:$B$323,'14.mell_Önk kiegészítés2018'!$A150,'13.mell_ÖNKfeladatok2018'!AC$168:AC$323)</f>
        <v>0</v>
      </c>
      <c r="O150" s="567">
        <f>+SUMIF('13.mell_ÖNKfeladatok2018'!$B$168:$B$323,'14.mell_Önk kiegészítés2018'!$A150,'13.mell_ÖNKfeladatok2018'!AG$168:AG$323)</f>
        <v>0</v>
      </c>
      <c r="P150" s="567">
        <f>+SUMIF('13.mell_ÖNKfeladatok2018'!$B$168:$B$323,'14.mell_Önk kiegészítés2018'!$A150,'13.mell_ÖNKfeladatok2018'!AO$168:AO$323)</f>
        <v>1032</v>
      </c>
      <c r="Q150" s="567">
        <f>+SUMIF('13.mell_ÖNKfeladatok2018'!$B$168:$B$323,'14.mell_Önk kiegészítés2018'!$A150,'13.mell_ÖNKfeladatok2018'!AS$168:AS$323)</f>
        <v>3810</v>
      </c>
      <c r="R150" s="567">
        <f>+SUMIF('13.mell_ÖNKfeladatok2018'!$B$168:$B$323,'14.mell_Önk kiegészítés2018'!$A150,'13.mell_ÖNKfeladatok2018'!AW$168:AW$323)</f>
        <v>0</v>
      </c>
      <c r="S150" s="607">
        <f>SUM(K150:R150)</f>
        <v>12710</v>
      </c>
      <c r="T150" s="568">
        <f>S150-J150</f>
        <v>12710</v>
      </c>
      <c r="U150" s="1027">
        <f>+ROUND(SUMIF('10.mell_támogatások2018'!$B$6:$B$123,'14.mell_Önk kiegészítés2018'!$A150,'10.mell_támogatások2018'!F$6:F$123)/1000,0)</f>
        <v>14918</v>
      </c>
      <c r="V150" s="569">
        <f>+T150-U150</f>
        <v>-2208</v>
      </c>
      <c r="W150" s="1195"/>
    </row>
    <row r="151" spans="1:43">
      <c r="A151" s="851">
        <f>+A150+1</f>
        <v>6</v>
      </c>
      <c r="B151" s="566" t="s">
        <v>1261</v>
      </c>
      <c r="C151" s="567">
        <f>+SUMIF('13.mell_ÖNKfeladatok2018'!$B$5:$B$160,'14.mell_Önk kiegészítés2018'!$A151,'13.mell_ÖNKfeladatok2018'!Q$5:Q$160)</f>
        <v>220124</v>
      </c>
      <c r="D151" s="567">
        <f>+SUMIF('13.mell_ÖNKfeladatok2018'!$B$5:$B$160,'14.mell_Önk kiegészítés2018'!$A151,'13.mell_ÖNKfeladatok2018'!U$5:U$160)</f>
        <v>0</v>
      </c>
      <c r="E151" s="567">
        <f>+SUMIF('13.mell_ÖNKfeladatok2018'!$B$5:$B$160,'14.mell_Önk kiegészítés2018'!$A151,'13.mell_ÖNKfeladatok2018'!Y$5:Y$160)</f>
        <v>8549</v>
      </c>
      <c r="F151" s="567">
        <f>+SUMIF('13.mell_ÖNKfeladatok2018'!$B$5:$B$160,'14.mell_Önk kiegészítés2018'!$A151,'13.mell_ÖNKfeladatok2018'!AC$5:AC$160)</f>
        <v>0</v>
      </c>
      <c r="G151" s="563">
        <f>+SUMIF('13.mell_ÖNKfeladatok2018'!$B$5:$B$160,'14.mell_Önk kiegészítés2018'!$A151,'13.mell_ÖNKfeladatok2018'!AK$5:AK$160)</f>
        <v>11296</v>
      </c>
      <c r="H151" s="567">
        <f>+SUMIF('13.mell_ÖNKfeladatok2018'!$B$5:$B$160,'14.mell_Önk kiegészítés2018'!$A151,'13.mell_ÖNKfeladatok2018'!AO$5:AO$160)</f>
        <v>0</v>
      </c>
      <c r="I151" s="567">
        <f>+SUMIF('13.mell_ÖNKfeladatok2018'!$B$5:$B$160,'14.mell_Önk kiegészítés2018'!$A151,'13.mell_ÖNKfeladatok2018'!AS$5:AS$160)</f>
        <v>0</v>
      </c>
      <c r="J151" s="607">
        <f t="shared" si="88"/>
        <v>239969</v>
      </c>
      <c r="K151" s="567">
        <f>+SUMIF('13.mell_ÖNKfeladatok2018'!$B$168:$B$323,'14.mell_Önk kiegészítés2018'!$A151,'13.mell_ÖNKfeladatok2018'!Q$168:Q$323)</f>
        <v>165320</v>
      </c>
      <c r="L151" s="567">
        <f>+SUMIF('13.mell_ÖNKfeladatok2018'!$B$168:$B$323,'14.mell_Önk kiegészítés2018'!$A151,'13.mell_ÖNKfeladatok2018'!U$168:U$323)</f>
        <v>15781</v>
      </c>
      <c r="M151" s="567">
        <f>+SUMIF('13.mell_ÖNKfeladatok2018'!$B$168:$B$323,'14.mell_Önk kiegészítés2018'!$A151,'13.mell_ÖNKfeladatok2018'!Y$168:Y$323)</f>
        <v>47699</v>
      </c>
      <c r="N151" s="567">
        <f>+SUMIF('13.mell_ÖNKfeladatok2018'!$B$168:$B$323,'14.mell_Önk kiegészítés2018'!$A151,'13.mell_ÖNKfeladatok2018'!AC$168:AC$323)</f>
        <v>54350</v>
      </c>
      <c r="O151" s="567">
        <f>+SUMIF('13.mell_ÖNKfeladatok2018'!$B$168:$B$323,'14.mell_Önk kiegészítés2018'!$A151,'13.mell_ÖNKfeladatok2018'!AG$168:AG$323)</f>
        <v>2351</v>
      </c>
      <c r="P151" s="567">
        <f>+SUMIF('13.mell_ÖNKfeladatok2018'!$B$168:$B$323,'14.mell_Önk kiegészítés2018'!$A151,'13.mell_ÖNKfeladatok2018'!AO$168:AO$323)</f>
        <v>4868</v>
      </c>
      <c r="Q151" s="567">
        <f>+SUMIF('13.mell_ÖNKfeladatok2018'!$B$168:$B$323,'14.mell_Önk kiegészítés2018'!$A151,'13.mell_ÖNKfeladatok2018'!AS$168:AS$323)</f>
        <v>0</v>
      </c>
      <c r="R151" s="567">
        <f>+SUMIF('13.mell_ÖNKfeladatok2018'!$B$168:$B$323,'14.mell_Önk kiegészítés2018'!$A151,'13.mell_ÖNKfeladatok2018'!AW$168:AW$323)</f>
        <v>0</v>
      </c>
      <c r="S151" s="607">
        <f t="shared" ref="S151" si="92">SUM(K151:R151)</f>
        <v>290369</v>
      </c>
      <c r="T151" s="568">
        <f t="shared" ref="T151" si="93">S151-J151</f>
        <v>50400</v>
      </c>
      <c r="U151" s="1027">
        <f>ROUND(SUMIF('10.mell_támogatások2018'!$B$6:$B$123,'14.mell_Önk kiegészítés2018'!$A151,'10.mell_támogatások2018'!F$6:F$123)/1000,0)</f>
        <v>94818</v>
      </c>
      <c r="V151" s="569">
        <f t="shared" ref="V151" si="94">+T151-U151</f>
        <v>-44418</v>
      </c>
      <c r="W151" s="1195"/>
      <c r="Z151" s="912">
        <f>+V151+V155+V175+V176+V202</f>
        <v>-32536</v>
      </c>
      <c r="AA151" s="266" t="s">
        <v>1273</v>
      </c>
    </row>
    <row r="152" spans="1:43">
      <c r="A152" s="851">
        <f>A151+1</f>
        <v>7</v>
      </c>
      <c r="B152" s="566" t="s">
        <v>831</v>
      </c>
      <c r="C152" s="567">
        <f>+SUMIF('13.mell_ÖNKfeladatok2018'!$B$5:$B$160,'14.mell_Önk kiegészítés2018'!$A152,'13.mell_ÖNKfeladatok2018'!Q$5:Q$160)</f>
        <v>484375</v>
      </c>
      <c r="D152" s="567">
        <f>+SUMIF('13.mell_ÖNKfeladatok2018'!$B$5:$B$160,'14.mell_Önk kiegészítés2018'!$A152,'13.mell_ÖNKfeladatok2018'!U$5:U$160)</f>
        <v>0</v>
      </c>
      <c r="E152" s="567">
        <f>+SUMIF('13.mell_ÖNKfeladatok2018'!$B$5:$B$160,'14.mell_Önk kiegészítés2018'!$A152,'13.mell_ÖNKfeladatok2018'!Y$5:Y$160)</f>
        <v>0</v>
      </c>
      <c r="F152" s="567">
        <f>+SUMIF('13.mell_ÖNKfeladatok2018'!$B$5:$B$160,'14.mell_Önk kiegészítés2018'!$A152,'13.mell_ÖNKfeladatok2018'!AC$5:AC$160)</f>
        <v>0</v>
      </c>
      <c r="G152" s="563">
        <f>+SUMIF('13.mell_ÖNKfeladatok2018'!$B$5:$B$160,'14.mell_Önk kiegészítés2018'!$A152,'13.mell_ÖNKfeladatok2018'!AK$5:AK$160)</f>
        <v>1289663</v>
      </c>
      <c r="H152" s="567">
        <f>+SUMIF('13.mell_ÖNKfeladatok2018'!$B$5:$B$160,'14.mell_Önk kiegészítés2018'!$A152,'13.mell_ÖNKfeladatok2018'!AO$5:AO$160)</f>
        <v>0</v>
      </c>
      <c r="I152" s="567">
        <f>+SUMIF('13.mell_ÖNKfeladatok2018'!$B$5:$B$160,'14.mell_Önk kiegészítés2018'!$A152,'13.mell_ÖNKfeladatok2018'!AS$5:AS$160)</f>
        <v>0</v>
      </c>
      <c r="J152" s="607">
        <f t="shared" si="88"/>
        <v>1774038</v>
      </c>
      <c r="K152" s="567">
        <f>+SUMIF('13.mell_ÖNKfeladatok2018'!$B$168:$B$323,'14.mell_Önk kiegészítés2018'!$A152,'13.mell_ÖNKfeladatok2018'!Q$168:Q$323)</f>
        <v>84214</v>
      </c>
      <c r="L152" s="567">
        <f>+SUMIF('13.mell_ÖNKfeladatok2018'!$B$168:$B$323,'14.mell_Önk kiegészítés2018'!$A152,'13.mell_ÖNKfeladatok2018'!U$168:U$323)</f>
        <v>14564</v>
      </c>
      <c r="M152" s="567">
        <f>+SUMIF('13.mell_ÖNKfeladatok2018'!$B$168:$B$323,'14.mell_Önk kiegészítés2018'!$A152,'13.mell_ÖNKfeladatok2018'!Y$168:Y$323)</f>
        <v>270532</v>
      </c>
      <c r="N152" s="567">
        <f>+SUMIF('13.mell_ÖNKfeladatok2018'!$B$168:$B$323,'14.mell_Önk kiegészítés2018'!$A152,'13.mell_ÖNKfeladatok2018'!AC$168:AC$323)</f>
        <v>0</v>
      </c>
      <c r="O152" s="567">
        <f>+SUMIF('13.mell_ÖNKfeladatok2018'!$B$168:$B$323,'14.mell_Önk kiegészítés2018'!$A152,'13.mell_ÖNKfeladatok2018'!AG$168:AG$323)</f>
        <v>2720</v>
      </c>
      <c r="P152" s="567">
        <f>+SUMIF('13.mell_ÖNKfeladatok2018'!$B$168:$B$323,'14.mell_Önk kiegészítés2018'!$A152,'13.mell_ÖNKfeladatok2018'!AO$168:AO$323)</f>
        <v>364143</v>
      </c>
      <c r="Q152" s="567">
        <f>+SUMIF('13.mell_ÖNKfeladatok2018'!$B$168:$B$323,'14.mell_Önk kiegészítés2018'!$A152,'13.mell_ÖNKfeladatok2018'!AS$168:AS$323)</f>
        <v>212673</v>
      </c>
      <c r="R152" s="567">
        <f>+SUMIF('13.mell_ÖNKfeladatok2018'!$B$168:$B$323,'14.mell_Önk kiegészítés2018'!$A152,'13.mell_ÖNKfeladatok2018'!AW$168:AW$323)</f>
        <v>0</v>
      </c>
      <c r="S152" s="607">
        <f>SUM(K152:R152)</f>
        <v>948846</v>
      </c>
      <c r="T152" s="568">
        <f>S152-J152</f>
        <v>-825192</v>
      </c>
      <c r="U152" s="1028">
        <f>+ROUND(SUMIF('10.mell_támogatások2018'!$B$6:$B$123,'14.mell_Önk kiegészítés2018'!$A152,'10.mell_támogatások2018'!F$6:F$123)/1000,0)</f>
        <v>0</v>
      </c>
      <c r="V152" s="569">
        <f>+T152-U152</f>
        <v>-825192</v>
      </c>
      <c r="W152" s="1195"/>
    </row>
    <row r="153" spans="1:43" ht="12.75" thickBot="1">
      <c r="A153" s="851">
        <f>+A152+1</f>
        <v>8</v>
      </c>
      <c r="B153" s="570" t="s">
        <v>812</v>
      </c>
      <c r="C153" s="567">
        <f>+SUMIF('13.mell_ÖNKfeladatok2018'!$B$5:$B$160,'14.mell_Önk kiegészítés2018'!$A153,'13.mell_ÖNKfeladatok2018'!Q$5:Q$160)</f>
        <v>804299</v>
      </c>
      <c r="D153" s="571">
        <f>+SUMIF('13.mell_ÖNKfeladatok2018'!$B$5:$B$160,'14.mell_Önk kiegészítés2018'!$A153,'13.mell_ÖNKfeladatok2018'!U$5:U$160)</f>
        <v>353603</v>
      </c>
      <c r="E153" s="571">
        <f>+SUMIF('13.mell_ÖNKfeladatok2018'!$B$5:$B$160,'14.mell_Önk kiegészítés2018'!$A153,'13.mell_ÖNKfeladatok2018'!Y$5:Y$160)</f>
        <v>59443</v>
      </c>
      <c r="F153" s="571">
        <f>+SUMIF('13.mell_ÖNKfeladatok2018'!$B$5:$B$160,'14.mell_Önk kiegészítés2018'!$A153,'13.mell_ÖNKfeladatok2018'!AC$5:AC$160)</f>
        <v>3480</v>
      </c>
      <c r="G153" s="563">
        <f>+SUMIF('13.mell_ÖNKfeladatok2018'!$B$5:$B$160,'14.mell_Önk kiegészítés2018'!$A153,'13.mell_ÖNKfeladatok2018'!AK$5:AK$160)</f>
        <v>30205</v>
      </c>
      <c r="H153" s="571">
        <f>+SUMIF('13.mell_ÖNKfeladatok2018'!$B$5:$B$160,'14.mell_Önk kiegészítés2018'!$A153,'13.mell_ÖNKfeladatok2018'!AO$5:AO$160)</f>
        <v>3908</v>
      </c>
      <c r="I153" s="571">
        <f>+SUMIF('13.mell_ÖNKfeladatok2018'!$B$5:$B$160,'14.mell_Önk kiegészítés2018'!$A153,'13.mell_ÖNKfeladatok2018'!AS$5:AS$160)</f>
        <v>2120</v>
      </c>
      <c r="J153" s="607">
        <f t="shared" si="88"/>
        <v>1257058</v>
      </c>
      <c r="K153" s="567">
        <f>+SUMIF('13.mell_ÖNKfeladatok2018'!$B$168:$B$323,'14.mell_Önk kiegészítés2018'!$A153,'13.mell_ÖNKfeladatok2018'!Q$168:Q$323)</f>
        <v>49608</v>
      </c>
      <c r="L153" s="567">
        <f>+SUMIF('13.mell_ÖNKfeladatok2018'!$B$168:$B$323,'14.mell_Önk kiegészítés2018'!$A153,'13.mell_ÖNKfeladatok2018'!U$168:U$323)</f>
        <v>10211</v>
      </c>
      <c r="M153" s="567">
        <f>+SUMIF('13.mell_ÖNKfeladatok2018'!$B$168:$B$323,'14.mell_Önk kiegészítés2018'!$A153,'13.mell_ÖNKfeladatok2018'!Y$168:Y$323)</f>
        <v>138054</v>
      </c>
      <c r="N153" s="567">
        <f>+SUMIF('13.mell_ÖNKfeladatok2018'!$B$168:$B$323,'14.mell_Önk kiegészítés2018'!$A153,'13.mell_ÖNKfeladatok2018'!AC$168:AC$323)</f>
        <v>0</v>
      </c>
      <c r="O153" s="567">
        <f>+SUMIF('13.mell_ÖNKfeladatok2018'!$B$168:$B$323,'14.mell_Önk kiegészítés2018'!$A153,'13.mell_ÖNKfeladatok2018'!AG$168:AG$323)</f>
        <v>62216</v>
      </c>
      <c r="P153" s="567">
        <f>+SUMIF('13.mell_ÖNKfeladatok2018'!$B$168:$B$323,'14.mell_Önk kiegészítés2018'!$A153,'13.mell_ÖNKfeladatok2018'!AO$168:AO$323)</f>
        <v>80794</v>
      </c>
      <c r="Q153" s="567">
        <f>+SUMIF('13.mell_ÖNKfeladatok2018'!$B$168:$B$323,'14.mell_Önk kiegészítés2018'!$A153,'13.mell_ÖNKfeladatok2018'!AS$168:AS$323)</f>
        <v>12317</v>
      </c>
      <c r="R153" s="567">
        <f>+SUMIF('13.mell_ÖNKfeladatok2018'!$B$168:$B$323,'14.mell_Önk kiegészítés2018'!$A153,'13.mell_ÖNKfeladatok2018'!AW$168:AW$323)</f>
        <v>1200</v>
      </c>
      <c r="S153" s="607">
        <f t="shared" ref="S153" si="95">SUM(K153:R153)</f>
        <v>354400</v>
      </c>
      <c r="T153" s="568">
        <f t="shared" ref="T153" si="96">S153-J153</f>
        <v>-902658</v>
      </c>
      <c r="U153" s="1028">
        <f>-ROUND('10.mell_támogatások2018'!$F$123/1000,0)+ROUND(SUMIF('10.mell_támogatások2018'!$B$6:$B$123,'14.mell_Önk kiegészítés2018'!$A153,'10.mell_támogatások2018'!F$6:F$123)/1000,0)+2174444-5025-2741-2352</f>
        <v>1457617</v>
      </c>
      <c r="V153" s="569">
        <f t="shared" ref="V153" si="97">+T153-U153</f>
        <v>-2360275</v>
      </c>
      <c r="W153" s="1195"/>
      <c r="AD153" s="266">
        <f>(1832034+8000-25346-3322)+(364622-1298-73-116-13-44)</f>
        <v>2174444</v>
      </c>
      <c r="AE153" s="266">
        <f>-2351-(1021+368)-1285</f>
        <v>-5025</v>
      </c>
      <c r="AF153" s="266">
        <v>-2741</v>
      </c>
      <c r="AG153" s="266">
        <f>(-1500-660)+-192</f>
        <v>-2352</v>
      </c>
    </row>
    <row r="154" spans="1:43" s="558" customFormat="1" ht="12.75" thickBot="1">
      <c r="A154" s="572" t="s">
        <v>596</v>
      </c>
      <c r="B154" s="573" t="s">
        <v>411</v>
      </c>
      <c r="C154" s="574">
        <f>SUM(C146:C153)</f>
        <v>1508798</v>
      </c>
      <c r="D154" s="575">
        <f t="shared" ref="D154:V154" si="98">SUM(D146:D153)</f>
        <v>353603</v>
      </c>
      <c r="E154" s="575">
        <f t="shared" si="98"/>
        <v>68331</v>
      </c>
      <c r="F154" s="575">
        <f t="shared" si="98"/>
        <v>3480</v>
      </c>
      <c r="G154" s="575">
        <f t="shared" si="98"/>
        <v>1331164</v>
      </c>
      <c r="H154" s="575">
        <f t="shared" si="98"/>
        <v>5264</v>
      </c>
      <c r="I154" s="576">
        <f t="shared" si="98"/>
        <v>2120</v>
      </c>
      <c r="J154" s="577">
        <f t="shared" si="98"/>
        <v>3272760</v>
      </c>
      <c r="K154" s="574">
        <f t="shared" si="98"/>
        <v>299142</v>
      </c>
      <c r="L154" s="574">
        <f t="shared" si="98"/>
        <v>40556</v>
      </c>
      <c r="M154" s="574">
        <f t="shared" si="98"/>
        <v>498788</v>
      </c>
      <c r="N154" s="574">
        <f t="shared" si="98"/>
        <v>54350</v>
      </c>
      <c r="O154" s="574">
        <f t="shared" si="98"/>
        <v>67287</v>
      </c>
      <c r="P154" s="574">
        <f t="shared" si="98"/>
        <v>451557</v>
      </c>
      <c r="Q154" s="574">
        <f t="shared" si="98"/>
        <v>228800</v>
      </c>
      <c r="R154" s="574">
        <f t="shared" si="98"/>
        <v>1200</v>
      </c>
      <c r="S154" s="577">
        <f t="shared" si="98"/>
        <v>1641680</v>
      </c>
      <c r="T154" s="574">
        <f t="shared" si="98"/>
        <v>-1631080</v>
      </c>
      <c r="U154" s="578">
        <f t="shared" si="98"/>
        <v>1612971</v>
      </c>
      <c r="V154" s="577">
        <f t="shared" si="98"/>
        <v>-3244051</v>
      </c>
      <c r="W154" s="1195"/>
      <c r="AC154" s="266"/>
      <c r="AD154" s="266"/>
      <c r="AE154" s="266"/>
      <c r="AF154" s="266"/>
      <c r="AG154" s="266"/>
      <c r="AH154" s="266"/>
      <c r="AI154" s="266"/>
      <c r="AJ154" s="266"/>
      <c r="AK154" s="266"/>
      <c r="AL154" s="266"/>
      <c r="AM154" s="266"/>
      <c r="AN154" s="266"/>
      <c r="AO154" s="266"/>
      <c r="AP154" s="266"/>
      <c r="AQ154" s="266"/>
    </row>
    <row r="155" spans="1:43">
      <c r="A155" s="851">
        <f>+A153+1</f>
        <v>9</v>
      </c>
      <c r="B155" s="570" t="s">
        <v>829</v>
      </c>
      <c r="C155" s="571">
        <f>+SUMIF('13.mell_ÖNKfeladatok2018'!$B$5:$B$160,'14.mell_Önk kiegészítés2018'!$A155,'13.mell_ÖNKfeladatok2018'!Q$5:Q$160)</f>
        <v>0</v>
      </c>
      <c r="D155" s="571">
        <f>+SUMIF('13.mell_ÖNKfeladatok2018'!$B$5:$B$160,'14.mell_Önk kiegészítés2018'!$A155,'13.mell_ÖNKfeladatok2018'!U$5:U$160)</f>
        <v>0</v>
      </c>
      <c r="E155" s="571">
        <f>+SUMIF('13.mell_ÖNKfeladatok2018'!$B$5:$B$160,'14.mell_Önk kiegészítés2018'!$A155,'13.mell_ÖNKfeladatok2018'!Y$5:Y$160)</f>
        <v>0</v>
      </c>
      <c r="F155" s="571">
        <f>+SUMIF('13.mell_ÖNKfeladatok2018'!$B$5:$B$160,'14.mell_Önk kiegészítés2018'!$A155,'13.mell_ÖNKfeladatok2018'!AC$5:AC$160)</f>
        <v>0</v>
      </c>
      <c r="G155" s="571">
        <f>+SUMIF('13.mell_ÖNKfeladatok2018'!$B$5:$B$160,'14.mell_Önk kiegészítés2018'!$A155,'13.mell_ÖNKfeladatok2018'!AK$5:AK$160)</f>
        <v>0</v>
      </c>
      <c r="H155" s="571">
        <f>+SUMIF('13.mell_ÖNKfeladatok2018'!$B$5:$B$160,'14.mell_Önk kiegészítés2018'!$A155,'13.mell_ÖNKfeladatok2018'!AO$5:AO$160)</f>
        <v>0</v>
      </c>
      <c r="I155" s="571">
        <f>+SUMIF('13.mell_ÖNKfeladatok2018'!$B$5:$B$160,'14.mell_Önk kiegészítés2018'!$A155,'13.mell_ÖNKfeladatok2018'!AS$5:AS$160)</f>
        <v>0</v>
      </c>
      <c r="J155" s="608">
        <f t="shared" ref="J155:J156" si="99">SUM(C155:I155)</f>
        <v>0</v>
      </c>
      <c r="K155" s="567">
        <f>+SUMIF('13.mell_ÖNKfeladatok2018'!$B$168:$B$323,'14.mell_Önk kiegészítés2018'!$A155,'13.mell_ÖNKfeladatok2018'!Q$168:Q$323)</f>
        <v>0</v>
      </c>
      <c r="L155" s="567">
        <f>+SUMIF('13.mell_ÖNKfeladatok2018'!$B$168:$B$323,'14.mell_Önk kiegészítés2018'!$A155,'13.mell_ÖNKfeladatok2018'!U$168:U$323)</f>
        <v>0</v>
      </c>
      <c r="M155" s="567">
        <f>+SUMIF('13.mell_ÖNKfeladatok2018'!$B$168:$B$323,'14.mell_Önk kiegészítés2018'!$A155,'13.mell_ÖNKfeladatok2018'!Y$168:Y$323)</f>
        <v>0</v>
      </c>
      <c r="N155" s="567">
        <f>+SUMIF('13.mell_ÖNKfeladatok2018'!$B$168:$B$323,'14.mell_Önk kiegészítés2018'!$A155,'13.mell_ÖNKfeladatok2018'!AC$168:AC$323)</f>
        <v>0</v>
      </c>
      <c r="O155" s="567">
        <f>+SUMIF('13.mell_ÖNKfeladatok2018'!$B$168:$B$323,'14.mell_Önk kiegészítés2018'!$A155,'13.mell_ÖNKfeladatok2018'!AG$168:AG$323)</f>
        <v>0</v>
      </c>
      <c r="P155" s="567">
        <f>+SUMIF('13.mell_ÖNKfeladatok2018'!$B$168:$B$323,'14.mell_Önk kiegészítés2018'!$A155,'13.mell_ÖNKfeladatok2018'!AO$168:AO$323)</f>
        <v>0</v>
      </c>
      <c r="Q155" s="567">
        <f>+SUMIF('13.mell_ÖNKfeladatok2018'!$B$168:$B$323,'14.mell_Önk kiegészítés2018'!$A155,'13.mell_ÖNKfeladatok2018'!AS$168:AS$323)</f>
        <v>0</v>
      </c>
      <c r="R155" s="567">
        <f>+SUMIF('13.mell_ÖNKfeladatok2018'!$B$168:$B$323,'14.mell_Önk kiegészítés2018'!$A155,'13.mell_ÖNKfeladatok2018'!AW$168:AW$323)</f>
        <v>0</v>
      </c>
      <c r="S155" s="607">
        <f>SUM(K155:R155)</f>
        <v>0</v>
      </c>
      <c r="T155" s="568">
        <f>S155-J155</f>
        <v>0</v>
      </c>
      <c r="U155" s="1028">
        <f>+ROUND(SUMIF('10.mell_támogatások2018'!$B$6:$B$123,'14.mell_Önk kiegészítés2018'!$A155,'10.mell_támogatások2018'!F$6:F$123)/1000,0)</f>
        <v>0</v>
      </c>
      <c r="V155" s="569">
        <f>+T155-U155</f>
        <v>0</v>
      </c>
      <c r="W155" s="1195"/>
    </row>
    <row r="156" spans="1:43" ht="12.75" thickBot="1">
      <c r="A156" s="851">
        <f>+A155+1</f>
        <v>10</v>
      </c>
      <c r="B156" s="570" t="s">
        <v>813</v>
      </c>
      <c r="C156" s="571">
        <f>+SUMIF('13.mell_ÖNKfeladatok2018'!$B$5:$B$160,'14.mell_Önk kiegészítés2018'!$A156,'13.mell_ÖNKfeladatok2018'!Q$5:Q$160)</f>
        <v>0</v>
      </c>
      <c r="D156" s="571">
        <f>+SUMIF('13.mell_ÖNKfeladatok2018'!$B$5:$B$160,'14.mell_Önk kiegészítés2018'!$A156,'13.mell_ÖNKfeladatok2018'!U$5:U$160)</f>
        <v>3065</v>
      </c>
      <c r="E156" s="571">
        <f>+SUMIF('13.mell_ÖNKfeladatok2018'!$B$5:$B$160,'14.mell_Önk kiegészítés2018'!$A156,'13.mell_ÖNKfeladatok2018'!Y$5:Y$160)</f>
        <v>0</v>
      </c>
      <c r="F156" s="571">
        <f>+SUMIF('13.mell_ÖNKfeladatok2018'!$B$5:$B$160,'14.mell_Önk kiegészítés2018'!$A156,'13.mell_ÖNKfeladatok2018'!AC$5:AC$160)</f>
        <v>0</v>
      </c>
      <c r="G156" s="571">
        <f>+SUMIF('13.mell_ÖNKfeladatok2018'!$B$5:$B$160,'14.mell_Önk kiegészítés2018'!$A156,'13.mell_ÖNKfeladatok2018'!AK$5:AK$160)</f>
        <v>0</v>
      </c>
      <c r="H156" s="571">
        <f>+SUMIF('13.mell_ÖNKfeladatok2018'!$B$5:$B$160,'14.mell_Önk kiegészítés2018'!$A156,'13.mell_ÖNKfeladatok2018'!AO$5:AO$160)</f>
        <v>0</v>
      </c>
      <c r="I156" s="571">
        <f>+SUMIF('13.mell_ÖNKfeladatok2018'!$B$5:$B$160,'14.mell_Önk kiegészítés2018'!$A156,'13.mell_ÖNKfeladatok2018'!AS$5:AS$160)</f>
        <v>889</v>
      </c>
      <c r="J156" s="608">
        <f t="shared" si="99"/>
        <v>3954</v>
      </c>
      <c r="K156" s="567">
        <f>+SUMIF('13.mell_ÖNKfeladatok2018'!$B$168:$B$323,'14.mell_Önk kiegészítés2018'!$A156,'13.mell_ÖNKfeladatok2018'!Q$168:Q$323)</f>
        <v>10</v>
      </c>
      <c r="L156" s="567">
        <f>+SUMIF('13.mell_ÖNKfeladatok2018'!$B$168:$B$323,'14.mell_Önk kiegészítés2018'!$A156,'13.mell_ÖNKfeladatok2018'!U$168:U$323)</f>
        <v>0</v>
      </c>
      <c r="M156" s="567">
        <f>+SUMIF('13.mell_ÖNKfeladatok2018'!$B$168:$B$323,'14.mell_Önk kiegészítés2018'!$A156,'13.mell_ÖNKfeladatok2018'!Y$168:Y$323)</f>
        <v>100</v>
      </c>
      <c r="N156" s="567">
        <f>+SUMIF('13.mell_ÖNKfeladatok2018'!$B$168:$B$323,'14.mell_Önk kiegészítés2018'!$A156,'13.mell_ÖNKfeladatok2018'!AC$168:AC$323)</f>
        <v>0</v>
      </c>
      <c r="O156" s="567">
        <f>+SUMIF('13.mell_ÖNKfeladatok2018'!$B$168:$B$323,'14.mell_Önk kiegészítés2018'!$A156,'13.mell_ÖNKfeladatok2018'!AG$168:AG$323)</f>
        <v>0</v>
      </c>
      <c r="P156" s="567">
        <f>+SUMIF('13.mell_ÖNKfeladatok2018'!$B$168:$B$323,'14.mell_Önk kiegészítés2018'!$A156,'13.mell_ÖNKfeladatok2018'!AO$168:AO$323)</f>
        <v>0</v>
      </c>
      <c r="Q156" s="567">
        <f>+SUMIF('13.mell_ÖNKfeladatok2018'!$B$168:$B$323,'14.mell_Önk kiegészítés2018'!$A156,'13.mell_ÖNKfeladatok2018'!AS$168:AS$323)</f>
        <v>0</v>
      </c>
      <c r="R156" s="567">
        <f>+SUMIF('13.mell_ÖNKfeladatok2018'!$B$168:$B$323,'14.mell_Önk kiegészítés2018'!$A156,'13.mell_ÖNKfeladatok2018'!AW$168:AW$323)</f>
        <v>0</v>
      </c>
      <c r="S156" s="607">
        <f>SUM(K156:R156)</f>
        <v>110</v>
      </c>
      <c r="T156" s="568">
        <f t="shared" ref="T156" si="100">S156-J156</f>
        <v>-3844</v>
      </c>
      <c r="U156" s="1028">
        <f>+ROUND(SUMIF('10.mell_támogatások2018'!$B$6:$B$123,'14.mell_Önk kiegészítés2018'!$A156,'10.mell_támogatások2018'!F$6:F$123)/1000,0)</f>
        <v>0</v>
      </c>
      <c r="V156" s="569">
        <f>+T156-U156</f>
        <v>-3844</v>
      </c>
      <c r="W156" s="1195"/>
    </row>
    <row r="157" spans="1:43" s="558" customFormat="1" ht="12.75" thickBot="1">
      <c r="A157" s="572" t="s">
        <v>597</v>
      </c>
      <c r="B157" s="573" t="s">
        <v>412</v>
      </c>
      <c r="C157" s="574">
        <f t="shared" ref="C157:V157" si="101">SUM(C155:C156)</f>
        <v>0</v>
      </c>
      <c r="D157" s="575">
        <f t="shared" si="101"/>
        <v>3065</v>
      </c>
      <c r="E157" s="575">
        <f t="shared" si="101"/>
        <v>0</v>
      </c>
      <c r="F157" s="575">
        <f t="shared" si="101"/>
        <v>0</v>
      </c>
      <c r="G157" s="575">
        <f t="shared" si="101"/>
        <v>0</v>
      </c>
      <c r="H157" s="575">
        <f t="shared" si="101"/>
        <v>0</v>
      </c>
      <c r="I157" s="578">
        <f t="shared" si="101"/>
        <v>889</v>
      </c>
      <c r="J157" s="577">
        <f t="shared" si="101"/>
        <v>3954</v>
      </c>
      <c r="K157" s="574">
        <f t="shared" si="101"/>
        <v>10</v>
      </c>
      <c r="L157" s="574">
        <f t="shared" si="101"/>
        <v>0</v>
      </c>
      <c r="M157" s="574">
        <f t="shared" si="101"/>
        <v>100</v>
      </c>
      <c r="N157" s="574">
        <f t="shared" si="101"/>
        <v>0</v>
      </c>
      <c r="O157" s="574">
        <f t="shared" si="101"/>
        <v>0</v>
      </c>
      <c r="P157" s="574">
        <f t="shared" si="101"/>
        <v>0</v>
      </c>
      <c r="Q157" s="574">
        <f t="shared" si="101"/>
        <v>0</v>
      </c>
      <c r="R157" s="574">
        <f t="shared" si="101"/>
        <v>0</v>
      </c>
      <c r="S157" s="577">
        <f t="shared" si="101"/>
        <v>110</v>
      </c>
      <c r="T157" s="574">
        <f t="shared" si="101"/>
        <v>-3844</v>
      </c>
      <c r="U157" s="578">
        <f t="shared" si="101"/>
        <v>0</v>
      </c>
      <c r="V157" s="577">
        <f t="shared" si="101"/>
        <v>-3844</v>
      </c>
      <c r="W157" s="1195"/>
      <c r="AC157" s="266"/>
      <c r="AD157" s="266"/>
      <c r="AE157" s="266"/>
      <c r="AF157" s="266"/>
      <c r="AG157" s="266"/>
      <c r="AH157" s="266"/>
      <c r="AI157" s="266"/>
      <c r="AJ157" s="266"/>
      <c r="AK157" s="266"/>
      <c r="AL157" s="266"/>
      <c r="AM157" s="266"/>
      <c r="AN157" s="266"/>
      <c r="AO157" s="266"/>
      <c r="AP157" s="266"/>
      <c r="AQ157" s="266"/>
    </row>
    <row r="158" spans="1:43" ht="12.75" thickBot="1">
      <c r="A158" s="851">
        <f>+A156+1</f>
        <v>11</v>
      </c>
      <c r="B158" s="579" t="s">
        <v>413</v>
      </c>
      <c r="C158" s="580">
        <f>+SUMIF('13.mell_ÖNKfeladatok2018'!$B$5:$B$160,'14.mell_Önk kiegészítés2018'!$A158,'13.mell_ÖNKfeladatok2018'!Q$5:Q$160)</f>
        <v>0</v>
      </c>
      <c r="D158" s="580">
        <f>+SUMIF('13.mell_ÖNKfeladatok2018'!$B$5:$B$160,'14.mell_Önk kiegészítés2018'!$A158,'13.mell_ÖNKfeladatok2018'!U$5:U$160)</f>
        <v>0</v>
      </c>
      <c r="E158" s="580">
        <f>+SUMIF('13.mell_ÖNKfeladatok2018'!$B$5:$B$160,'14.mell_Önk kiegészítés2018'!$A158,'13.mell_ÖNKfeladatok2018'!Y$5:Y$160)</f>
        <v>0</v>
      </c>
      <c r="F158" s="580">
        <f>+SUMIF('13.mell_ÖNKfeladatok2018'!$B$5:$B$160,'14.mell_Önk kiegészítés2018'!$A158,'13.mell_ÖNKfeladatok2018'!AC$5:AC$160)</f>
        <v>0</v>
      </c>
      <c r="G158" s="580">
        <f>+SUMIF('13.mell_ÖNKfeladatok2018'!$B$5:$B$160,'14.mell_Önk kiegészítés2018'!$A158,'13.mell_ÖNKfeladatok2018'!AK$5:AK$160)</f>
        <v>0</v>
      </c>
      <c r="H158" s="580">
        <f>+SUMIF('13.mell_ÖNKfeladatok2018'!$B$5:$B$160,'14.mell_Önk kiegészítés2018'!$A158,'13.mell_ÖNKfeladatok2018'!AO$5:AO$160)</f>
        <v>0</v>
      </c>
      <c r="I158" s="580">
        <f>+SUMIF('13.mell_ÖNKfeladatok2018'!$B$5:$B$160,'14.mell_Önk kiegészítés2018'!$A158,'13.mell_ÖNKfeladatok2018'!AS$5:AS$160)</f>
        <v>0</v>
      </c>
      <c r="J158" s="609">
        <f>SUM(C158:I158)</f>
        <v>0</v>
      </c>
      <c r="K158" s="567">
        <f>+SUMIF('13.mell_ÖNKfeladatok2018'!$B$168:$B$323,'14.mell_Önk kiegészítés2018'!$A158,'13.mell_ÖNKfeladatok2018'!Q$168:Q$323)</f>
        <v>0</v>
      </c>
      <c r="L158" s="567">
        <f>+SUMIF('13.mell_ÖNKfeladatok2018'!$B$168:$B$323,'14.mell_Önk kiegészítés2018'!$A158,'13.mell_ÖNKfeladatok2018'!U$168:U$323)</f>
        <v>0</v>
      </c>
      <c r="M158" s="567">
        <f>+SUMIF('13.mell_ÖNKfeladatok2018'!$B$168:$B$323,'14.mell_Önk kiegészítés2018'!$A158,'13.mell_ÖNKfeladatok2018'!Y$168:Y$323)</f>
        <v>0</v>
      </c>
      <c r="N158" s="567">
        <f>+SUMIF('13.mell_ÖNKfeladatok2018'!$B$168:$B$323,'14.mell_Önk kiegészítés2018'!$A158,'13.mell_ÖNKfeladatok2018'!AC$168:AC$323)</f>
        <v>0</v>
      </c>
      <c r="O158" s="567">
        <f>+SUMIF('13.mell_ÖNKfeladatok2018'!$B$168:$B$323,'14.mell_Önk kiegészítés2018'!$A158,'13.mell_ÖNKfeladatok2018'!AG$168:AG$323)</f>
        <v>0</v>
      </c>
      <c r="P158" s="567">
        <f>+SUMIF('13.mell_ÖNKfeladatok2018'!$B$168:$B$323,'14.mell_Önk kiegészítés2018'!$A158,'13.mell_ÖNKfeladatok2018'!AO$168:AO$323)</f>
        <v>0</v>
      </c>
      <c r="Q158" s="567">
        <f>+SUMIF('13.mell_ÖNKfeladatok2018'!$B$168:$B$323,'14.mell_Önk kiegészítés2018'!$A158,'13.mell_ÖNKfeladatok2018'!AS$168:AS$323)</f>
        <v>0</v>
      </c>
      <c r="R158" s="567">
        <f>+SUMIF('13.mell_ÖNKfeladatok2018'!$B$168:$B$323,'14.mell_Önk kiegészítés2018'!$A158,'13.mell_ÖNKfeladatok2018'!AW$168:AW$323)</f>
        <v>0</v>
      </c>
      <c r="S158" s="607">
        <f>SUM(K158:R158)</f>
        <v>0</v>
      </c>
      <c r="T158" s="568">
        <f t="shared" ref="T158" si="102">S158-J158</f>
        <v>0</v>
      </c>
      <c r="U158" s="1028">
        <f>+ROUND(SUMIF('10.mell_támogatások2018'!$B$6:$B$123,'14.mell_Önk kiegészítés2018'!$A158,'10.mell_támogatások2018'!F$6:F$123)/1000,0)</f>
        <v>0</v>
      </c>
      <c r="V158" s="569">
        <f>+T158-U158</f>
        <v>0</v>
      </c>
      <c r="W158" s="1195"/>
    </row>
    <row r="159" spans="1:43" s="558" customFormat="1" ht="12.75" thickBot="1">
      <c r="A159" s="572" t="s">
        <v>598</v>
      </c>
      <c r="B159" s="573" t="s">
        <v>413</v>
      </c>
      <c r="C159" s="574">
        <f>SUM(C158)</f>
        <v>0</v>
      </c>
      <c r="D159" s="575">
        <f t="shared" ref="D159:V159" si="103">SUM(D158)</f>
        <v>0</v>
      </c>
      <c r="E159" s="575">
        <f t="shared" si="103"/>
        <v>0</v>
      </c>
      <c r="F159" s="575">
        <f t="shared" si="103"/>
        <v>0</v>
      </c>
      <c r="G159" s="575">
        <f t="shared" si="103"/>
        <v>0</v>
      </c>
      <c r="H159" s="575">
        <f t="shared" si="103"/>
        <v>0</v>
      </c>
      <c r="I159" s="578">
        <f t="shared" si="103"/>
        <v>0</v>
      </c>
      <c r="J159" s="577">
        <f t="shared" si="103"/>
        <v>0</v>
      </c>
      <c r="K159" s="574">
        <f t="shared" si="103"/>
        <v>0</v>
      </c>
      <c r="L159" s="574">
        <f t="shared" si="103"/>
        <v>0</v>
      </c>
      <c r="M159" s="574">
        <f t="shared" si="103"/>
        <v>0</v>
      </c>
      <c r="N159" s="574">
        <f t="shared" si="103"/>
        <v>0</v>
      </c>
      <c r="O159" s="574">
        <f t="shared" si="103"/>
        <v>0</v>
      </c>
      <c r="P159" s="574">
        <f t="shared" si="103"/>
        <v>0</v>
      </c>
      <c r="Q159" s="574">
        <f t="shared" si="103"/>
        <v>0</v>
      </c>
      <c r="R159" s="574">
        <f t="shared" si="103"/>
        <v>0</v>
      </c>
      <c r="S159" s="577">
        <f t="shared" si="103"/>
        <v>0</v>
      </c>
      <c r="T159" s="574">
        <f t="shared" si="103"/>
        <v>0</v>
      </c>
      <c r="U159" s="578">
        <f t="shared" si="103"/>
        <v>0</v>
      </c>
      <c r="V159" s="577">
        <f t="shared" si="103"/>
        <v>0</v>
      </c>
      <c r="W159" s="1195"/>
      <c r="AC159" s="266"/>
      <c r="AD159" s="266"/>
      <c r="AE159" s="266"/>
      <c r="AF159" s="266"/>
      <c r="AG159" s="266"/>
      <c r="AH159" s="266"/>
      <c r="AI159" s="266"/>
      <c r="AJ159" s="266"/>
      <c r="AK159" s="266"/>
      <c r="AL159" s="266"/>
      <c r="AM159" s="266"/>
      <c r="AN159" s="266"/>
      <c r="AO159" s="266"/>
      <c r="AP159" s="266"/>
      <c r="AQ159" s="266"/>
    </row>
    <row r="160" spans="1:43" s="558" customFormat="1" ht="12.75" thickBot="1">
      <c r="A160" s="581" t="s">
        <v>23</v>
      </c>
      <c r="B160" s="582" t="s">
        <v>414</v>
      </c>
      <c r="C160" s="583">
        <f t="shared" ref="C160:V160" si="104">+C154+C157+C159</f>
        <v>1508798</v>
      </c>
      <c r="D160" s="584">
        <f t="shared" si="104"/>
        <v>356668</v>
      </c>
      <c r="E160" s="584">
        <f t="shared" si="104"/>
        <v>68331</v>
      </c>
      <c r="F160" s="584">
        <f t="shared" si="104"/>
        <v>3480</v>
      </c>
      <c r="G160" s="584">
        <f t="shared" si="104"/>
        <v>1331164</v>
      </c>
      <c r="H160" s="584">
        <f t="shared" si="104"/>
        <v>5264</v>
      </c>
      <c r="I160" s="585">
        <f t="shared" si="104"/>
        <v>3009</v>
      </c>
      <c r="J160" s="586">
        <f t="shared" si="104"/>
        <v>3276714</v>
      </c>
      <c r="K160" s="583">
        <f t="shared" si="104"/>
        <v>299152</v>
      </c>
      <c r="L160" s="583">
        <f t="shared" si="104"/>
        <v>40556</v>
      </c>
      <c r="M160" s="583">
        <f t="shared" si="104"/>
        <v>498888</v>
      </c>
      <c r="N160" s="583">
        <f t="shared" si="104"/>
        <v>54350</v>
      </c>
      <c r="O160" s="583">
        <f t="shared" si="104"/>
        <v>67287</v>
      </c>
      <c r="P160" s="583">
        <f t="shared" si="104"/>
        <v>451557</v>
      </c>
      <c r="Q160" s="583">
        <f t="shared" si="104"/>
        <v>228800</v>
      </c>
      <c r="R160" s="583">
        <f t="shared" si="104"/>
        <v>1200</v>
      </c>
      <c r="S160" s="586">
        <f t="shared" si="104"/>
        <v>1641790</v>
      </c>
      <c r="T160" s="583">
        <f t="shared" si="104"/>
        <v>-1634924</v>
      </c>
      <c r="U160" s="585">
        <f t="shared" si="104"/>
        <v>1612971</v>
      </c>
      <c r="V160" s="586">
        <f t="shared" si="104"/>
        <v>-3247895</v>
      </c>
      <c r="W160" s="1195"/>
      <c r="AC160" s="266"/>
      <c r="AD160" s="266"/>
      <c r="AE160" s="266"/>
      <c r="AF160" s="266"/>
      <c r="AG160" s="266"/>
      <c r="AH160" s="266"/>
      <c r="AI160" s="266"/>
      <c r="AJ160" s="266"/>
      <c r="AK160" s="266"/>
      <c r="AL160" s="266"/>
      <c r="AM160" s="266"/>
      <c r="AN160" s="266"/>
      <c r="AO160" s="266"/>
      <c r="AP160" s="266"/>
      <c r="AQ160" s="266"/>
    </row>
    <row r="161" spans="1:43" s="558" customFormat="1" ht="12.75" thickBot="1">
      <c r="A161" s="592"/>
      <c r="B161" s="593"/>
      <c r="C161" s="594"/>
      <c r="D161" s="594"/>
      <c r="E161" s="594"/>
      <c r="F161" s="594"/>
      <c r="G161" s="594"/>
      <c r="H161" s="594"/>
      <c r="I161" s="896"/>
      <c r="J161" s="597"/>
      <c r="K161" s="594"/>
      <c r="L161" s="594"/>
      <c r="M161" s="594"/>
      <c r="N161" s="594"/>
      <c r="O161" s="594"/>
      <c r="P161" s="594"/>
      <c r="Q161" s="594"/>
      <c r="R161" s="594"/>
      <c r="S161" s="597"/>
      <c r="T161" s="594"/>
      <c r="U161" s="596"/>
      <c r="V161" s="597"/>
      <c r="W161" s="1195"/>
      <c r="AC161" s="266"/>
      <c r="AD161" s="266"/>
      <c r="AE161" s="266"/>
      <c r="AF161" s="266"/>
      <c r="AG161" s="266"/>
      <c r="AH161" s="266"/>
      <c r="AI161" s="266"/>
      <c r="AJ161" s="266"/>
      <c r="AK161" s="266"/>
      <c r="AL161" s="266"/>
      <c r="AM161" s="266"/>
      <c r="AN161" s="266"/>
      <c r="AO161" s="266"/>
      <c r="AP161" s="266"/>
      <c r="AQ161" s="266"/>
    </row>
    <row r="162" spans="1:43">
      <c r="A162" s="897">
        <f>+A158+1</f>
        <v>12</v>
      </c>
      <c r="B162" s="898" t="s">
        <v>830</v>
      </c>
      <c r="C162" s="580">
        <f>+SUMIF('13.mell_ÖNKfeladatok2018'!$B$5:$B$160,'14.mell_Önk kiegészítés2018'!$A162,'13.mell_ÖNKfeladatok2018'!Q$5:Q$160)</f>
        <v>80604</v>
      </c>
      <c r="D162" s="580">
        <f>+SUMIF('13.mell_ÖNKfeladatok2018'!$B$5:$B$160,'14.mell_Önk kiegészítés2018'!$A162,'13.mell_ÖNKfeladatok2018'!U$5:U$160)</f>
        <v>0</v>
      </c>
      <c r="E162" s="580">
        <f>+SUMIF('13.mell_ÖNKfeladatok2018'!$B$5:$B$160,'14.mell_Önk kiegészítés2018'!$A162,'13.mell_ÖNKfeladatok2018'!Y$5:Y$160)</f>
        <v>11439</v>
      </c>
      <c r="F162" s="580">
        <f>+SUMIF('13.mell_ÖNKfeladatok2018'!$B$5:$B$160,'14.mell_Önk kiegészítés2018'!$A162,'13.mell_ÖNKfeladatok2018'!AC$5:AC$160)</f>
        <v>0</v>
      </c>
      <c r="G162" s="580">
        <f>+SUMIF('13.mell_ÖNKfeladatok2018'!$B$5:$B$160,'14.mell_Önk kiegészítés2018'!$A162,'13.mell_ÖNKfeladatok2018'!AK$5:AK$160)</f>
        <v>0</v>
      </c>
      <c r="H162" s="580">
        <f>+SUMIF('13.mell_ÖNKfeladatok2018'!$B$5:$B$160,'14.mell_Önk kiegészítés2018'!$A162,'13.mell_ÖNKfeladatok2018'!AO$5:AO$160)</f>
        <v>0</v>
      </c>
      <c r="I162" s="580">
        <f>+SUMIF('13.mell_ÖNKfeladatok2018'!$B$5:$B$160,'14.mell_Önk kiegészítés2018'!$A162,'13.mell_ÖNKfeladatok2018'!AS$5:AS$160)</f>
        <v>0</v>
      </c>
      <c r="J162" s="606">
        <f t="shared" ref="J162:J164" si="105">SUM(C162:I162)</f>
        <v>92043</v>
      </c>
      <c r="K162" s="563">
        <f>+SUMIF('13.mell_ÖNKfeladatok2018'!$B$168:$B$323,'14.mell_Önk kiegészítés2018'!$A162,'13.mell_ÖNKfeladatok2018'!Q$168:Q$323)</f>
        <v>158314</v>
      </c>
      <c r="L162" s="563">
        <f>+SUMIF('13.mell_ÖNKfeladatok2018'!$B$168:$B$323,'14.mell_Önk kiegészítés2018'!$A162,'13.mell_ÖNKfeladatok2018'!U$168:U$323)</f>
        <v>35897</v>
      </c>
      <c r="M162" s="563">
        <f>+SUMIF('13.mell_ÖNKfeladatok2018'!$B$168:$B$323,'14.mell_Önk kiegészítés2018'!$A162,'13.mell_ÖNKfeladatok2018'!Y$168:Y$323)</f>
        <v>41216</v>
      </c>
      <c r="N162" s="563">
        <f>+SUMIF('13.mell_ÖNKfeladatok2018'!$B$168:$B$323,'14.mell_Önk kiegészítés2018'!$A162,'13.mell_ÖNKfeladatok2018'!AC$168:AC$323)</f>
        <v>0</v>
      </c>
      <c r="O162" s="563">
        <f>+SUMIF('13.mell_ÖNKfeladatok2018'!$B$168:$B$323,'14.mell_Önk kiegészítés2018'!$A162,'13.mell_ÖNKfeladatok2018'!AG$168:AG$323)</f>
        <v>0</v>
      </c>
      <c r="P162" s="563">
        <f>+SUMIF('13.mell_ÖNKfeladatok2018'!$B$168:$B$323,'14.mell_Önk kiegészítés2018'!$A162,'13.mell_ÖNKfeladatok2018'!AO$168:AO$323)</f>
        <v>14023</v>
      </c>
      <c r="Q162" s="563">
        <f>+SUMIF('13.mell_ÖNKfeladatok2018'!$B$168:$B$323,'14.mell_Önk kiegészítés2018'!$A162,'13.mell_ÖNKfeladatok2018'!AS$168:AS$323)</f>
        <v>0</v>
      </c>
      <c r="R162" s="563">
        <f>+SUMIF('13.mell_ÖNKfeladatok2018'!$B$168:$B$323,'14.mell_Önk kiegészítés2018'!$A162,'13.mell_ÖNKfeladatok2018'!AW$168:AW$323)</f>
        <v>0</v>
      </c>
      <c r="S162" s="606">
        <f>SUM(K162:R162)</f>
        <v>249450</v>
      </c>
      <c r="T162" s="564">
        <f>S162-J162</f>
        <v>157407</v>
      </c>
      <c r="U162" s="1027">
        <f>+ROUND(SUMIF('10.mell_támogatások2018'!$B$6:$B$123,'14.mell_Önk kiegészítés2018'!$A162,'10.mell_támogatások2018'!F$6:F$123)/1000,0)+1285+2741+1845</f>
        <v>152523</v>
      </c>
      <c r="V162" s="565">
        <f>+T162-U162</f>
        <v>4884</v>
      </c>
      <c r="W162" s="1195"/>
      <c r="AE162" s="266">
        <v>1285</v>
      </c>
      <c r="AF162" s="266">
        <v>2741</v>
      </c>
      <c r="AG162" s="266">
        <f>(1500+(224+44))+(65+12)</f>
        <v>1845</v>
      </c>
    </row>
    <row r="163" spans="1:43">
      <c r="A163" s="851">
        <f>+A162+1</f>
        <v>13</v>
      </c>
      <c r="B163" s="566" t="s">
        <v>831</v>
      </c>
      <c r="C163" s="571">
        <f>+SUMIF('13.mell_ÖNKfeladatok2018'!$B$5:$B$160,'14.mell_Önk kiegészítés2018'!$A163,'13.mell_ÖNKfeladatok2018'!Q$5:Q$160)</f>
        <v>0</v>
      </c>
      <c r="D163" s="571">
        <f>+SUMIF('13.mell_ÖNKfeladatok2018'!$B$5:$B$160,'14.mell_Önk kiegészítés2018'!$A163,'13.mell_ÖNKfeladatok2018'!U$5:U$160)</f>
        <v>0</v>
      </c>
      <c r="E163" s="571">
        <f>+SUMIF('13.mell_ÖNKfeladatok2018'!$B$5:$B$160,'14.mell_Önk kiegészítés2018'!$A163,'13.mell_ÖNKfeladatok2018'!Y$5:Y$160)</f>
        <v>0</v>
      </c>
      <c r="F163" s="571">
        <f>+SUMIF('13.mell_ÖNKfeladatok2018'!$B$5:$B$160,'14.mell_Önk kiegészítés2018'!$A163,'13.mell_ÖNKfeladatok2018'!AC$5:AC$160)</f>
        <v>0</v>
      </c>
      <c r="G163" s="571">
        <f>+SUMIF('13.mell_ÖNKfeladatok2018'!$B$5:$B$160,'14.mell_Önk kiegészítés2018'!$A163,'13.mell_ÖNKfeladatok2018'!AK$5:AK$160)</f>
        <v>0</v>
      </c>
      <c r="H163" s="571">
        <f>+SUMIF('13.mell_ÖNKfeladatok2018'!$B$5:$B$160,'14.mell_Önk kiegészítés2018'!$A163,'13.mell_ÖNKfeladatok2018'!AO$5:AO$160)</f>
        <v>0</v>
      </c>
      <c r="I163" s="571">
        <f>+SUMIF('13.mell_ÖNKfeladatok2018'!$B$5:$B$160,'14.mell_Önk kiegészítés2018'!$A163,'13.mell_ÖNKfeladatok2018'!AS$5:AS$160)</f>
        <v>0</v>
      </c>
      <c r="J163" s="607">
        <f t="shared" si="105"/>
        <v>0</v>
      </c>
      <c r="K163" s="567">
        <f>+SUMIF('13.mell_ÖNKfeladatok2018'!$B$168:$B$323,'14.mell_Önk kiegészítés2018'!$A163,'13.mell_ÖNKfeladatok2018'!Q$168:Q$323)</f>
        <v>0</v>
      </c>
      <c r="L163" s="567">
        <f>+SUMIF('13.mell_ÖNKfeladatok2018'!$B$168:$B$323,'14.mell_Önk kiegészítés2018'!$A163,'13.mell_ÖNKfeladatok2018'!U$168:U$323)</f>
        <v>0</v>
      </c>
      <c r="M163" s="567">
        <f>+SUMIF('13.mell_ÖNKfeladatok2018'!$B$168:$B$323,'14.mell_Önk kiegészítés2018'!$A163,'13.mell_ÖNKfeladatok2018'!Y$168:Y$323)</f>
        <v>0</v>
      </c>
      <c r="N163" s="567">
        <f>+SUMIF('13.mell_ÖNKfeladatok2018'!$B$168:$B$323,'14.mell_Önk kiegészítés2018'!$A163,'13.mell_ÖNKfeladatok2018'!AC$168:AC$323)</f>
        <v>0</v>
      </c>
      <c r="O163" s="567">
        <f>+SUMIF('13.mell_ÖNKfeladatok2018'!$B$168:$B$323,'14.mell_Önk kiegészítés2018'!$A163,'13.mell_ÖNKfeladatok2018'!AG$168:AG$323)</f>
        <v>0</v>
      </c>
      <c r="P163" s="567">
        <f>+SUMIF('13.mell_ÖNKfeladatok2018'!$B$168:$B$323,'14.mell_Önk kiegészítés2018'!$A163,'13.mell_ÖNKfeladatok2018'!AO$168:AO$323)</f>
        <v>0</v>
      </c>
      <c r="Q163" s="567">
        <f>+SUMIF('13.mell_ÖNKfeladatok2018'!$B$168:$B$323,'14.mell_Önk kiegészítés2018'!$A163,'13.mell_ÖNKfeladatok2018'!AS$168:AS$323)</f>
        <v>0</v>
      </c>
      <c r="R163" s="567">
        <f>+SUMIF('13.mell_ÖNKfeladatok2018'!$B$168:$B$323,'14.mell_Önk kiegészítés2018'!$A163,'13.mell_ÖNKfeladatok2018'!AW$168:AW$323)</f>
        <v>0</v>
      </c>
      <c r="S163" s="607">
        <f>SUM(K163:R163)</f>
        <v>0</v>
      </c>
      <c r="T163" s="568">
        <f>S163-J163</f>
        <v>0</v>
      </c>
      <c r="U163" s="1028">
        <f>+ROUND(SUMIF('10.mell_támogatások2018'!$B$6:$B$123,'14.mell_Önk kiegészítés2018'!$A163,'10.mell_támogatások2018'!F$6:F$123)/1000,0)</f>
        <v>0</v>
      </c>
      <c r="V163" s="569">
        <f>+T163-U163</f>
        <v>0</v>
      </c>
      <c r="W163" s="1195"/>
    </row>
    <row r="164" spans="1:43" ht="12.75" thickBot="1">
      <c r="A164" s="851">
        <f>+A163+1</f>
        <v>14</v>
      </c>
      <c r="B164" s="570" t="s">
        <v>814</v>
      </c>
      <c r="C164" s="571">
        <f>+SUMIF('13.mell_ÖNKfeladatok2018'!$B$5:$B$160,'14.mell_Önk kiegészítés2018'!$A164,'13.mell_ÖNKfeladatok2018'!Q$5:Q$160)</f>
        <v>0</v>
      </c>
      <c r="D164" s="571">
        <f>+SUMIF('13.mell_ÖNKfeladatok2018'!$B$5:$B$160,'14.mell_Önk kiegészítés2018'!$A164,'13.mell_ÖNKfeladatok2018'!U$5:U$160)</f>
        <v>0</v>
      </c>
      <c r="E164" s="571">
        <f>+SUMIF('13.mell_ÖNKfeladatok2018'!$B$5:$B$160,'14.mell_Önk kiegészítés2018'!$A164,'13.mell_ÖNKfeladatok2018'!Y$5:Y$160)</f>
        <v>733</v>
      </c>
      <c r="F164" s="571">
        <f>+SUMIF('13.mell_ÖNKfeladatok2018'!$B$5:$B$160,'14.mell_Önk kiegészítés2018'!$A164,'13.mell_ÖNKfeladatok2018'!AC$5:AC$160)</f>
        <v>0</v>
      </c>
      <c r="G164" s="571">
        <f>+SUMIF('13.mell_ÖNKfeladatok2018'!$B$5:$B$160,'14.mell_Önk kiegészítés2018'!$A164,'13.mell_ÖNKfeladatok2018'!AK$5:AK$160)</f>
        <v>0</v>
      </c>
      <c r="H164" s="571">
        <f>+SUMIF('13.mell_ÖNKfeladatok2018'!$B$5:$B$160,'14.mell_Önk kiegészítés2018'!$A164,'13.mell_ÖNKfeladatok2018'!AO$5:AO$160)</f>
        <v>0</v>
      </c>
      <c r="I164" s="571">
        <f>+SUMIF('13.mell_ÖNKfeladatok2018'!$B$5:$B$160,'14.mell_Önk kiegészítés2018'!$A164,'13.mell_ÖNKfeladatok2018'!AS$5:AS$160)</f>
        <v>0</v>
      </c>
      <c r="J164" s="607">
        <f t="shared" si="105"/>
        <v>733</v>
      </c>
      <c r="K164" s="567">
        <f>+SUMIF('13.mell_ÖNKfeladatok2018'!$B$168:$B$323,'14.mell_Önk kiegészítés2018'!$A164,'13.mell_ÖNKfeladatok2018'!Q$168:Q$323)</f>
        <v>87815</v>
      </c>
      <c r="L164" s="567">
        <f>+SUMIF('13.mell_ÖNKfeladatok2018'!$B$168:$B$323,'14.mell_Önk kiegészítés2018'!$A164,'13.mell_ÖNKfeladatok2018'!U$168:U$323)</f>
        <v>17084</v>
      </c>
      <c r="M164" s="567">
        <f>+SUMIF('13.mell_ÖNKfeladatok2018'!$B$168:$B$323,'14.mell_Önk kiegészítés2018'!$A164,'13.mell_ÖNKfeladatok2018'!Y$168:Y$323)</f>
        <v>8140</v>
      </c>
      <c r="N164" s="567">
        <f>+SUMIF('13.mell_ÖNKfeladatok2018'!$B$168:$B$323,'14.mell_Önk kiegészítés2018'!$A164,'13.mell_ÖNKfeladatok2018'!AC$168:AC$323)</f>
        <v>0</v>
      </c>
      <c r="O164" s="567">
        <f>+SUMIF('13.mell_ÖNKfeladatok2018'!$B$168:$B$323,'14.mell_Önk kiegészítés2018'!$A164,'13.mell_ÖNKfeladatok2018'!AG$168:AG$323)</f>
        <v>1298</v>
      </c>
      <c r="P164" s="567">
        <f>+SUMIF('13.mell_ÖNKfeladatok2018'!$B$168:$B$323,'14.mell_Önk kiegészítés2018'!$A164,'13.mell_ÖNKfeladatok2018'!AO$168:AO$323)</f>
        <v>0</v>
      </c>
      <c r="Q164" s="567">
        <f>+SUMIF('13.mell_ÖNKfeladatok2018'!$B$168:$B$323,'14.mell_Önk kiegészítés2018'!$A164,'13.mell_ÖNKfeladatok2018'!AS$168:AS$323)</f>
        <v>0</v>
      </c>
      <c r="R164" s="567">
        <f>+SUMIF('13.mell_ÖNKfeladatok2018'!$B$168:$B$323,'14.mell_Önk kiegészítés2018'!$A164,'13.mell_ÖNKfeladatok2018'!AW$168:AW$323)</f>
        <v>0</v>
      </c>
      <c r="S164" s="607">
        <f>SUM(K164:R164)</f>
        <v>114337</v>
      </c>
      <c r="T164" s="568">
        <f>S164-J164</f>
        <v>113604</v>
      </c>
      <c r="U164" s="1028">
        <f>+ROUND(SUMIF('10.mell_támogatások2018'!$B$6:$B$123,'14.mell_Önk kiegészítés2018'!$A164,'10.mell_támogatások2018'!F$6:F$123)/1000,0)+1298</f>
        <v>1298</v>
      </c>
      <c r="V164" s="569">
        <f>+T164-U164</f>
        <v>112306</v>
      </c>
      <c r="W164" s="1195"/>
      <c r="AD164" s="266">
        <v>1298</v>
      </c>
    </row>
    <row r="165" spans="1:43" s="558" customFormat="1" ht="12.75" thickBot="1">
      <c r="A165" s="572" t="s">
        <v>599</v>
      </c>
      <c r="B165" s="573" t="s">
        <v>932</v>
      </c>
      <c r="C165" s="574">
        <f t="shared" ref="C165:V165" si="106">SUM(C162:C164)</f>
        <v>80604</v>
      </c>
      <c r="D165" s="575">
        <f t="shared" si="106"/>
        <v>0</v>
      </c>
      <c r="E165" s="575">
        <f t="shared" si="106"/>
        <v>12172</v>
      </c>
      <c r="F165" s="575">
        <f t="shared" si="106"/>
        <v>0</v>
      </c>
      <c r="G165" s="575">
        <f t="shared" si="106"/>
        <v>0</v>
      </c>
      <c r="H165" s="575">
        <f t="shared" si="106"/>
        <v>0</v>
      </c>
      <c r="I165" s="576">
        <f t="shared" si="106"/>
        <v>0</v>
      </c>
      <c r="J165" s="577">
        <f t="shared" si="106"/>
        <v>92776</v>
      </c>
      <c r="K165" s="574">
        <f t="shared" si="106"/>
        <v>246129</v>
      </c>
      <c r="L165" s="574">
        <f t="shared" si="106"/>
        <v>52981</v>
      </c>
      <c r="M165" s="574">
        <f t="shared" si="106"/>
        <v>49356</v>
      </c>
      <c r="N165" s="574">
        <f t="shared" si="106"/>
        <v>0</v>
      </c>
      <c r="O165" s="574">
        <f t="shared" si="106"/>
        <v>1298</v>
      </c>
      <c r="P165" s="574">
        <f t="shared" si="106"/>
        <v>14023</v>
      </c>
      <c r="Q165" s="574">
        <f t="shared" si="106"/>
        <v>0</v>
      </c>
      <c r="R165" s="574">
        <f t="shared" si="106"/>
        <v>0</v>
      </c>
      <c r="S165" s="577">
        <f t="shared" si="106"/>
        <v>363787</v>
      </c>
      <c r="T165" s="574">
        <f t="shared" si="106"/>
        <v>271011</v>
      </c>
      <c r="U165" s="578">
        <f t="shared" si="106"/>
        <v>153821</v>
      </c>
      <c r="V165" s="577">
        <f t="shared" si="106"/>
        <v>117190</v>
      </c>
      <c r="W165" s="1195"/>
      <c r="AC165" s="266"/>
      <c r="AD165" s="266"/>
      <c r="AE165" s="266"/>
      <c r="AF165" s="266"/>
      <c r="AG165" s="266"/>
      <c r="AH165" s="266"/>
      <c r="AI165" s="266"/>
      <c r="AJ165" s="266"/>
      <c r="AK165" s="266"/>
      <c r="AL165" s="266"/>
      <c r="AM165" s="266"/>
      <c r="AN165" s="266"/>
      <c r="AO165" s="266"/>
      <c r="AP165" s="266"/>
      <c r="AQ165" s="266"/>
    </row>
    <row r="166" spans="1:43">
      <c r="A166" s="851">
        <f>+A164+1</f>
        <v>15</v>
      </c>
      <c r="B166" s="591" t="s">
        <v>417</v>
      </c>
      <c r="C166" s="563">
        <f>+SUMIF('13.mell_ÖNKfeladatok2018'!$B$5:$B$160,'14.mell_Önk kiegészítés2018'!$A166,'13.mell_ÖNKfeladatok2018'!Q$5:Q$160)</f>
        <v>0</v>
      </c>
      <c r="D166" s="563">
        <f>+SUMIF('13.mell_ÖNKfeladatok2018'!$B$5:$B$160,'14.mell_Önk kiegészítés2018'!$A166,'13.mell_ÖNKfeladatok2018'!U$5:U$160)</f>
        <v>0</v>
      </c>
      <c r="E166" s="563">
        <f>+SUMIF('13.mell_ÖNKfeladatok2018'!$B$5:$B$160,'14.mell_Önk kiegészítés2018'!$A166,'13.mell_ÖNKfeladatok2018'!Y$5:Y$160)</f>
        <v>23715</v>
      </c>
      <c r="F166" s="563">
        <f>+SUMIF('13.mell_ÖNKfeladatok2018'!$B$5:$B$160,'14.mell_Önk kiegészítés2018'!$A166,'13.mell_ÖNKfeladatok2018'!AC$5:AC$160)</f>
        <v>0</v>
      </c>
      <c r="G166" s="563">
        <f>+SUMIF('13.mell_ÖNKfeladatok2018'!$B$5:$B$160,'14.mell_Önk kiegészítés2018'!$A166,'13.mell_ÖNKfeladatok2018'!AK$5:AK$160)</f>
        <v>0</v>
      </c>
      <c r="H166" s="563">
        <f>+SUMIF('13.mell_ÖNKfeladatok2018'!$B$5:$B$160,'14.mell_Önk kiegészítés2018'!$A166,'13.mell_ÖNKfeladatok2018'!AO$5:AO$160)</f>
        <v>0</v>
      </c>
      <c r="I166" s="563">
        <f>+SUMIF('13.mell_ÖNKfeladatok2018'!$B$5:$B$160,'14.mell_Önk kiegészítés2018'!$A166,'13.mell_ÖNKfeladatok2018'!AS$5:AS$160)</f>
        <v>0</v>
      </c>
      <c r="J166" s="607">
        <f t="shared" ref="J166:J168" si="107">SUM(C166:I166)</f>
        <v>23715</v>
      </c>
      <c r="K166" s="567">
        <f>+SUMIF('13.mell_ÖNKfeladatok2018'!$B$168:$B$323,'14.mell_Önk kiegészítés2018'!$A166,'13.mell_ÖNKfeladatok2018'!Q$168:Q$323)</f>
        <v>5583</v>
      </c>
      <c r="L166" s="567">
        <f>+SUMIF('13.mell_ÖNKfeladatok2018'!$B$168:$B$323,'14.mell_Önk kiegészítés2018'!$A166,'13.mell_ÖNKfeladatok2018'!U$168:U$323)</f>
        <v>1191</v>
      </c>
      <c r="M166" s="567">
        <f>+SUMIF('13.mell_ÖNKfeladatok2018'!$B$168:$B$323,'14.mell_Önk kiegészítés2018'!$A166,'13.mell_ÖNKfeladatok2018'!Y$168:Y$323)</f>
        <v>22121</v>
      </c>
      <c r="N166" s="567">
        <f>+SUMIF('13.mell_ÖNKfeladatok2018'!$B$168:$B$323,'14.mell_Önk kiegészítés2018'!$A166,'13.mell_ÖNKfeladatok2018'!AC$168:AC$323)</f>
        <v>0</v>
      </c>
      <c r="O166" s="567">
        <f>+SUMIF('13.mell_ÖNKfeladatok2018'!$B$168:$B$323,'14.mell_Önk kiegészítés2018'!$A166,'13.mell_ÖNKfeladatok2018'!AG$168:AG$323)</f>
        <v>0</v>
      </c>
      <c r="P166" s="567">
        <f>+SUMIF('13.mell_ÖNKfeladatok2018'!$B$168:$B$323,'14.mell_Önk kiegészítés2018'!$A166,'13.mell_ÖNKfeladatok2018'!AO$168:AO$323)</f>
        <v>422</v>
      </c>
      <c r="Q166" s="567">
        <f>+SUMIF('13.mell_ÖNKfeladatok2018'!$B$168:$B$323,'14.mell_Önk kiegészítés2018'!$A166,'13.mell_ÖNKfeladatok2018'!AS$168:AS$323)</f>
        <v>0</v>
      </c>
      <c r="R166" s="567">
        <f>+SUMIF('13.mell_ÖNKfeladatok2018'!$B$168:$B$323,'14.mell_Önk kiegészítés2018'!$A166,'13.mell_ÖNKfeladatok2018'!AW$168:AW$323)</f>
        <v>0</v>
      </c>
      <c r="S166" s="607">
        <f>SUM(K166:R166)</f>
        <v>29317</v>
      </c>
      <c r="T166" s="568">
        <f>S166-J166</f>
        <v>5602</v>
      </c>
      <c r="U166" s="1028">
        <f>+ROUND(SUMIF('10.mell_támogatások2018'!$B$6:$B$123,'14.mell_Önk kiegészítés2018'!$A166,'10.mell_támogatások2018'!F$6:F$123)/1000,0)</f>
        <v>0</v>
      </c>
      <c r="V166" s="569">
        <f>+T166-U166</f>
        <v>5602</v>
      </c>
      <c r="W166" s="1195"/>
    </row>
    <row r="167" spans="1:43">
      <c r="A167" s="851">
        <f>+A166+1</f>
        <v>16</v>
      </c>
      <c r="B167" s="570" t="s">
        <v>655</v>
      </c>
      <c r="C167" s="571">
        <f>+SUMIF('13.mell_ÖNKfeladatok2018'!$B$5:$B$160,'14.mell_Önk kiegészítés2018'!$A167,'13.mell_ÖNKfeladatok2018'!Q$5:Q$160)</f>
        <v>0</v>
      </c>
      <c r="D167" s="571">
        <f>+SUMIF('13.mell_ÖNKfeladatok2018'!$B$5:$B$160,'14.mell_Önk kiegészítés2018'!$A167,'13.mell_ÖNKfeladatok2018'!U$5:U$160)</f>
        <v>0</v>
      </c>
      <c r="E167" s="571">
        <f>+SUMIF('13.mell_ÖNKfeladatok2018'!$B$5:$B$160,'14.mell_Önk kiegészítés2018'!$A167,'13.mell_ÖNKfeladatok2018'!Y$5:Y$160)</f>
        <v>0</v>
      </c>
      <c r="F167" s="571">
        <f>+SUMIF('13.mell_ÖNKfeladatok2018'!$B$5:$B$160,'14.mell_Önk kiegészítés2018'!$A167,'13.mell_ÖNKfeladatok2018'!AC$5:AC$160)</f>
        <v>0</v>
      </c>
      <c r="G167" s="571">
        <f>+SUMIF('13.mell_ÖNKfeladatok2018'!$B$5:$B$160,'14.mell_Önk kiegészítés2018'!$A167,'13.mell_ÖNKfeladatok2018'!AK$5:AK$160)</f>
        <v>0</v>
      </c>
      <c r="H167" s="571">
        <f>+SUMIF('13.mell_ÖNKfeladatok2018'!$B$5:$B$160,'14.mell_Önk kiegészítés2018'!$A167,'13.mell_ÖNKfeladatok2018'!AO$5:AO$160)</f>
        <v>0</v>
      </c>
      <c r="I167" s="571">
        <f>+SUMIF('13.mell_ÖNKfeladatok2018'!$B$5:$B$160,'14.mell_Önk kiegészítés2018'!$A167,'13.mell_ÖNKfeladatok2018'!AS$5:AS$160)</f>
        <v>0</v>
      </c>
      <c r="J167" s="608">
        <f t="shared" si="107"/>
        <v>0</v>
      </c>
      <c r="K167" s="567">
        <f>+SUMIF('13.mell_ÖNKfeladatok2018'!$B$168:$B$323,'14.mell_Önk kiegészítés2018'!$A167,'13.mell_ÖNKfeladatok2018'!Q$168:Q$323)</f>
        <v>0</v>
      </c>
      <c r="L167" s="567">
        <f>+SUMIF('13.mell_ÖNKfeladatok2018'!$B$168:$B$323,'14.mell_Önk kiegészítés2018'!$A167,'13.mell_ÖNKfeladatok2018'!U$168:U$323)</f>
        <v>0</v>
      </c>
      <c r="M167" s="567">
        <f>+SUMIF('13.mell_ÖNKfeladatok2018'!$B$168:$B$323,'14.mell_Önk kiegészítés2018'!$A167,'13.mell_ÖNKfeladatok2018'!Y$168:Y$323)</f>
        <v>0</v>
      </c>
      <c r="N167" s="567">
        <f>+SUMIF('13.mell_ÖNKfeladatok2018'!$B$168:$B$323,'14.mell_Önk kiegészítés2018'!$A167,'13.mell_ÖNKfeladatok2018'!AC$168:AC$323)</f>
        <v>0</v>
      </c>
      <c r="O167" s="567">
        <f>+SUMIF('13.mell_ÖNKfeladatok2018'!$B$168:$B$323,'14.mell_Önk kiegészítés2018'!$A167,'13.mell_ÖNKfeladatok2018'!AG$168:AG$323)</f>
        <v>0</v>
      </c>
      <c r="P167" s="567">
        <f>+SUMIF('13.mell_ÖNKfeladatok2018'!$B$168:$B$323,'14.mell_Önk kiegészítés2018'!$A167,'13.mell_ÖNKfeladatok2018'!AO$168:AO$323)</f>
        <v>0</v>
      </c>
      <c r="Q167" s="567">
        <f>+SUMIF('13.mell_ÖNKfeladatok2018'!$B$168:$B$323,'14.mell_Önk kiegészítés2018'!$A167,'13.mell_ÖNKfeladatok2018'!AS$168:AS$323)</f>
        <v>0</v>
      </c>
      <c r="R167" s="567">
        <f>+SUMIF('13.mell_ÖNKfeladatok2018'!$B$168:$B$323,'14.mell_Önk kiegészítés2018'!$A167,'13.mell_ÖNKfeladatok2018'!AW$168:AW$323)</f>
        <v>0</v>
      </c>
      <c r="S167" s="607">
        <f>SUM(K167:R167)</f>
        <v>0</v>
      </c>
      <c r="T167" s="568">
        <f>S167-J167</f>
        <v>0</v>
      </c>
      <c r="U167" s="1028">
        <f>+ROUND(SUMIF('10.mell_támogatások2018'!$B$6:$B$123,'14.mell_Önk kiegészítés2018'!$A167,'10.mell_támogatások2018'!F$6:F$123)/1000,0)</f>
        <v>0</v>
      </c>
      <c r="V167" s="569">
        <f>+T167-U167</f>
        <v>0</v>
      </c>
      <c r="W167" s="1195"/>
    </row>
    <row r="168" spans="1:43" ht="12.75" thickBot="1">
      <c r="A168" s="851">
        <f>+A167+1</f>
        <v>17</v>
      </c>
      <c r="B168" s="570" t="s">
        <v>958</v>
      </c>
      <c r="C168" s="571">
        <f>+SUMIF('13.mell_ÖNKfeladatok2018'!$B$5:$B$160,'14.mell_Önk kiegészítés2018'!$A168,'13.mell_ÖNKfeladatok2018'!Q$5:Q$160)</f>
        <v>0</v>
      </c>
      <c r="D168" s="571">
        <f>+SUMIF('13.mell_ÖNKfeladatok2018'!$B$5:$B$160,'14.mell_Önk kiegészítés2018'!$A168,'13.mell_ÖNKfeladatok2018'!U$5:U$160)</f>
        <v>0</v>
      </c>
      <c r="E168" s="571">
        <f>+SUMIF('13.mell_ÖNKfeladatok2018'!$B$5:$B$160,'14.mell_Önk kiegészítés2018'!$A168,'13.mell_ÖNKfeladatok2018'!Y$5:Y$160)</f>
        <v>0</v>
      </c>
      <c r="F168" s="571">
        <f>+SUMIF('13.mell_ÖNKfeladatok2018'!$B$5:$B$160,'14.mell_Önk kiegészítés2018'!$A168,'13.mell_ÖNKfeladatok2018'!AC$5:AC$160)</f>
        <v>0</v>
      </c>
      <c r="G168" s="571">
        <f>+SUMIF('13.mell_ÖNKfeladatok2018'!$B$5:$B$160,'14.mell_Önk kiegészítés2018'!$A168,'13.mell_ÖNKfeladatok2018'!AK$5:AK$160)</f>
        <v>0</v>
      </c>
      <c r="H168" s="571">
        <f>+SUMIF('13.mell_ÖNKfeladatok2018'!$B$5:$B$160,'14.mell_Önk kiegészítés2018'!$A168,'13.mell_ÖNKfeladatok2018'!AO$5:AO$160)</f>
        <v>0</v>
      </c>
      <c r="I168" s="571">
        <f>+SUMIF('13.mell_ÖNKfeladatok2018'!$B$5:$B$160,'14.mell_Önk kiegészítés2018'!$A168,'13.mell_ÖNKfeladatok2018'!AS$5:AS$160)</f>
        <v>0</v>
      </c>
      <c r="J168" s="608">
        <f t="shared" si="107"/>
        <v>0</v>
      </c>
      <c r="K168" s="567">
        <f>+SUMIF('13.mell_ÖNKfeladatok2018'!$B$168:$B$323,'14.mell_Önk kiegészítés2018'!$A168,'13.mell_ÖNKfeladatok2018'!Q$168:Q$323)</f>
        <v>0</v>
      </c>
      <c r="L168" s="567">
        <f>+SUMIF('13.mell_ÖNKfeladatok2018'!$B$168:$B$323,'14.mell_Önk kiegészítés2018'!$A168,'13.mell_ÖNKfeladatok2018'!U$168:U$323)</f>
        <v>0</v>
      </c>
      <c r="M168" s="567">
        <f>+SUMIF('13.mell_ÖNKfeladatok2018'!$B$168:$B$323,'14.mell_Önk kiegészítés2018'!$A168,'13.mell_ÖNKfeladatok2018'!Y$168:Y$323)</f>
        <v>0</v>
      </c>
      <c r="N168" s="567">
        <f>+SUMIF('13.mell_ÖNKfeladatok2018'!$B$168:$B$323,'14.mell_Önk kiegészítés2018'!$A168,'13.mell_ÖNKfeladatok2018'!AC$168:AC$323)</f>
        <v>0</v>
      </c>
      <c r="O168" s="567">
        <f>+SUMIF('13.mell_ÖNKfeladatok2018'!$B$168:$B$323,'14.mell_Önk kiegészítés2018'!$A168,'13.mell_ÖNKfeladatok2018'!AG$168:AG$323)</f>
        <v>0</v>
      </c>
      <c r="P168" s="567">
        <f>+SUMIF('13.mell_ÖNKfeladatok2018'!$B$168:$B$323,'14.mell_Önk kiegészítés2018'!$A168,'13.mell_ÖNKfeladatok2018'!AO$168:AO$323)</f>
        <v>0</v>
      </c>
      <c r="Q168" s="567">
        <f>+SUMIF('13.mell_ÖNKfeladatok2018'!$B$168:$B$323,'14.mell_Önk kiegészítés2018'!$A168,'13.mell_ÖNKfeladatok2018'!AS$168:AS$323)</f>
        <v>0</v>
      </c>
      <c r="R168" s="567">
        <f>+SUMIF('13.mell_ÖNKfeladatok2018'!$B$168:$B$323,'14.mell_Önk kiegészítés2018'!$A168,'13.mell_ÖNKfeladatok2018'!AW$168:AW$323)</f>
        <v>0</v>
      </c>
      <c r="S168" s="607">
        <f>SUM(K168:R168)</f>
        <v>0</v>
      </c>
      <c r="T168" s="568">
        <f>S168-J168</f>
        <v>0</v>
      </c>
      <c r="U168" s="1028">
        <f>+ROUND(SUMIF('10.mell_támogatások2018'!$B$6:$B$123,'14.mell_Önk kiegészítés2018'!$A168,'10.mell_támogatások2018'!F$6:F$123)/1000,0)</f>
        <v>0</v>
      </c>
      <c r="V168" s="569">
        <f>+T168-U168</f>
        <v>0</v>
      </c>
      <c r="W168" s="1195"/>
    </row>
    <row r="169" spans="1:43" s="558" customFormat="1" ht="12.75" thickBot="1">
      <c r="A169" s="572" t="s">
        <v>640</v>
      </c>
      <c r="B169" s="573" t="s">
        <v>933</v>
      </c>
      <c r="C169" s="574">
        <f>SUM(C166:C168)</f>
        <v>0</v>
      </c>
      <c r="D169" s="575">
        <f t="shared" ref="D169:V169" si="108">SUM(D166:D168)</f>
        <v>0</v>
      </c>
      <c r="E169" s="575">
        <f t="shared" si="108"/>
        <v>23715</v>
      </c>
      <c r="F169" s="575">
        <f t="shared" si="108"/>
        <v>0</v>
      </c>
      <c r="G169" s="575">
        <f t="shared" si="108"/>
        <v>0</v>
      </c>
      <c r="H169" s="575">
        <f t="shared" si="108"/>
        <v>0</v>
      </c>
      <c r="I169" s="578">
        <f t="shared" si="108"/>
        <v>0</v>
      </c>
      <c r="J169" s="577">
        <f t="shared" si="108"/>
        <v>23715</v>
      </c>
      <c r="K169" s="574">
        <f t="shared" si="108"/>
        <v>5583</v>
      </c>
      <c r="L169" s="574">
        <f t="shared" si="108"/>
        <v>1191</v>
      </c>
      <c r="M169" s="574">
        <f t="shared" si="108"/>
        <v>22121</v>
      </c>
      <c r="N169" s="574">
        <f t="shared" si="108"/>
        <v>0</v>
      </c>
      <c r="O169" s="574">
        <f t="shared" si="108"/>
        <v>0</v>
      </c>
      <c r="P169" s="574">
        <f t="shared" si="108"/>
        <v>422</v>
      </c>
      <c r="Q169" s="574">
        <f t="shared" si="108"/>
        <v>0</v>
      </c>
      <c r="R169" s="574">
        <f t="shared" si="108"/>
        <v>0</v>
      </c>
      <c r="S169" s="577">
        <f t="shared" si="108"/>
        <v>29317</v>
      </c>
      <c r="T169" s="574">
        <f t="shared" si="108"/>
        <v>5602</v>
      </c>
      <c r="U169" s="578">
        <f t="shared" si="108"/>
        <v>0</v>
      </c>
      <c r="V169" s="577">
        <f t="shared" si="108"/>
        <v>5602</v>
      </c>
      <c r="W169" s="1195"/>
      <c r="AC169" s="266"/>
      <c r="AD169" s="266"/>
      <c r="AE169" s="266"/>
      <c r="AF169" s="266"/>
      <c r="AG169" s="266"/>
      <c r="AH169" s="266"/>
      <c r="AI169" s="266"/>
      <c r="AJ169" s="266"/>
      <c r="AK169" s="266"/>
      <c r="AL169" s="266"/>
      <c r="AM169" s="266"/>
      <c r="AN169" s="266"/>
      <c r="AO169" s="266"/>
      <c r="AP169" s="266"/>
      <c r="AQ169" s="266"/>
    </row>
    <row r="170" spans="1:43" ht="12.75" thickBot="1">
      <c r="A170" s="851">
        <f>+A168+1</f>
        <v>18</v>
      </c>
      <c r="B170" s="579" t="s">
        <v>934</v>
      </c>
      <c r="C170" s="580">
        <f>+SUMIF('13.mell_ÖNKfeladatok2018'!$B$5:$B$160,'14.mell_Önk kiegészítés2018'!$A170,'13.mell_ÖNKfeladatok2018'!Q$5:Q$160)</f>
        <v>2827</v>
      </c>
      <c r="D170" s="580">
        <f>+SUMIF('13.mell_ÖNKfeladatok2018'!$B$5:$B$160,'14.mell_Önk kiegészítés2018'!$A170,'13.mell_ÖNKfeladatok2018'!U$5:U$160)</f>
        <v>0</v>
      </c>
      <c r="E170" s="580">
        <f>+SUMIF('13.mell_ÖNKfeladatok2018'!$B$5:$B$160,'14.mell_Önk kiegészítés2018'!$A170,'13.mell_ÖNKfeladatok2018'!Y$5:Y$160)</f>
        <v>0</v>
      </c>
      <c r="F170" s="580">
        <f>+SUMIF('13.mell_ÖNKfeladatok2018'!$B$5:$B$160,'14.mell_Önk kiegészítés2018'!$A170,'13.mell_ÖNKfeladatok2018'!AC$5:AC$160)</f>
        <v>0</v>
      </c>
      <c r="G170" s="580">
        <f>+SUMIF('13.mell_ÖNKfeladatok2018'!$B$5:$B$160,'14.mell_Önk kiegészítés2018'!$A170,'13.mell_ÖNKfeladatok2018'!AK$5:AK$160)</f>
        <v>0</v>
      </c>
      <c r="H170" s="580">
        <f>+SUMIF('13.mell_ÖNKfeladatok2018'!$B$5:$B$160,'14.mell_Önk kiegészítés2018'!$A170,'13.mell_ÖNKfeladatok2018'!AO$5:AO$160)</f>
        <v>0</v>
      </c>
      <c r="I170" s="580">
        <f>+SUMIF('13.mell_ÖNKfeladatok2018'!$B$5:$B$160,'14.mell_Önk kiegészítés2018'!$A170,'13.mell_ÖNKfeladatok2018'!AS$5:AS$160)</f>
        <v>0</v>
      </c>
      <c r="J170" s="609">
        <f>SUM(C170:I170)</f>
        <v>2827</v>
      </c>
      <c r="K170" s="567">
        <f>+SUMIF('13.mell_ÖNKfeladatok2018'!$B$168:$B$323,'14.mell_Önk kiegészítés2018'!$A170,'13.mell_ÖNKfeladatok2018'!Q$168:Q$323)</f>
        <v>2503</v>
      </c>
      <c r="L170" s="567">
        <f>+SUMIF('13.mell_ÖNKfeladatok2018'!$B$168:$B$323,'14.mell_Önk kiegészítés2018'!$A170,'13.mell_ÖNKfeladatok2018'!U$168:U$323)</f>
        <v>561</v>
      </c>
      <c r="M170" s="567">
        <f>+SUMIF('13.mell_ÖNKfeladatok2018'!$B$168:$B$323,'14.mell_Önk kiegészítés2018'!$A170,'13.mell_ÖNKfeladatok2018'!Y$168:Y$323)</f>
        <v>272</v>
      </c>
      <c r="N170" s="567">
        <f>+SUMIF('13.mell_ÖNKfeladatok2018'!$B$168:$B$323,'14.mell_Önk kiegészítés2018'!$A170,'13.mell_ÖNKfeladatok2018'!AC$168:AC$323)</f>
        <v>0</v>
      </c>
      <c r="O170" s="567">
        <f>+SUMIF('13.mell_ÖNKfeladatok2018'!$B$168:$B$323,'14.mell_Önk kiegészítés2018'!$A170,'13.mell_ÖNKfeladatok2018'!AG$168:AG$323)</f>
        <v>0</v>
      </c>
      <c r="P170" s="567">
        <f>+SUMIF('13.mell_ÖNKfeladatok2018'!$B$168:$B$323,'14.mell_Önk kiegészítés2018'!$A170,'13.mell_ÖNKfeladatok2018'!AO$168:AO$323)</f>
        <v>0</v>
      </c>
      <c r="Q170" s="567">
        <f>+SUMIF('13.mell_ÖNKfeladatok2018'!$B$168:$B$323,'14.mell_Önk kiegészítés2018'!$A170,'13.mell_ÖNKfeladatok2018'!AS$168:AS$323)</f>
        <v>0</v>
      </c>
      <c r="R170" s="567">
        <f>+SUMIF('13.mell_ÖNKfeladatok2018'!$B$168:$B$323,'14.mell_Önk kiegészítés2018'!$A170,'13.mell_ÖNKfeladatok2018'!AW$168:AW$323)</f>
        <v>0</v>
      </c>
      <c r="S170" s="607">
        <f>SUM(K170:R170)</f>
        <v>3336</v>
      </c>
      <c r="T170" s="568">
        <f>S170-J170</f>
        <v>509</v>
      </c>
      <c r="U170" s="1028">
        <f>+ROUND(SUMIF('10.mell_támogatások2018'!$B$6:$B$123,'14.mell_Önk kiegészítés2018'!$A170,'10.mell_támogatások2018'!F$6:F$123)/1000,0)</f>
        <v>0</v>
      </c>
      <c r="V170" s="569">
        <f>+T170-U170</f>
        <v>509</v>
      </c>
      <c r="W170" s="1195"/>
    </row>
    <row r="171" spans="1:43" s="558" customFormat="1" ht="12.75" thickBot="1">
      <c r="A171" s="572" t="s">
        <v>801</v>
      </c>
      <c r="B171" s="573" t="s">
        <v>934</v>
      </c>
      <c r="C171" s="574">
        <f>SUM(C170)</f>
        <v>2827</v>
      </c>
      <c r="D171" s="575">
        <f t="shared" ref="D171:V171" si="109">SUM(D170)</f>
        <v>0</v>
      </c>
      <c r="E171" s="575">
        <f t="shared" si="109"/>
        <v>0</v>
      </c>
      <c r="F171" s="575">
        <f t="shared" si="109"/>
        <v>0</v>
      </c>
      <c r="G171" s="575">
        <f t="shared" si="109"/>
        <v>0</v>
      </c>
      <c r="H171" s="575">
        <f t="shared" si="109"/>
        <v>0</v>
      </c>
      <c r="I171" s="578">
        <f t="shared" si="109"/>
        <v>0</v>
      </c>
      <c r="J171" s="577">
        <f t="shared" si="109"/>
        <v>2827</v>
      </c>
      <c r="K171" s="574">
        <f t="shared" si="109"/>
        <v>2503</v>
      </c>
      <c r="L171" s="574">
        <f t="shared" si="109"/>
        <v>561</v>
      </c>
      <c r="M171" s="574">
        <f t="shared" si="109"/>
        <v>272</v>
      </c>
      <c r="N171" s="574">
        <f t="shared" si="109"/>
        <v>0</v>
      </c>
      <c r="O171" s="574">
        <f t="shared" si="109"/>
        <v>0</v>
      </c>
      <c r="P171" s="574">
        <f t="shared" si="109"/>
        <v>0</v>
      </c>
      <c r="Q171" s="574">
        <f t="shared" si="109"/>
        <v>0</v>
      </c>
      <c r="R171" s="574">
        <f t="shared" si="109"/>
        <v>0</v>
      </c>
      <c r="S171" s="577">
        <f t="shared" si="109"/>
        <v>3336</v>
      </c>
      <c r="T171" s="574">
        <f t="shared" si="109"/>
        <v>509</v>
      </c>
      <c r="U171" s="578">
        <f t="shared" si="109"/>
        <v>0</v>
      </c>
      <c r="V171" s="577">
        <f t="shared" si="109"/>
        <v>509</v>
      </c>
      <c r="W171" s="1195"/>
      <c r="AC171" s="266"/>
      <c r="AD171" s="266"/>
      <c r="AE171" s="266"/>
      <c r="AF171" s="266"/>
      <c r="AG171" s="266"/>
      <c r="AH171" s="266"/>
      <c r="AI171" s="266"/>
      <c r="AJ171" s="266"/>
      <c r="AK171" s="266"/>
      <c r="AL171" s="266"/>
      <c r="AM171" s="266"/>
      <c r="AN171" s="266"/>
      <c r="AO171" s="266"/>
      <c r="AP171" s="266"/>
      <c r="AQ171" s="266"/>
    </row>
    <row r="172" spans="1:43" s="558" customFormat="1" ht="12.75" thickBot="1">
      <c r="A172" s="581" t="s">
        <v>22</v>
      </c>
      <c r="B172" s="582" t="s">
        <v>935</v>
      </c>
      <c r="C172" s="583">
        <f>+C165+C169+C171</f>
        <v>83431</v>
      </c>
      <c r="D172" s="584">
        <f t="shared" ref="D172:V172" si="110">+D165+D169+D171</f>
        <v>0</v>
      </c>
      <c r="E172" s="584">
        <f t="shared" si="110"/>
        <v>35887</v>
      </c>
      <c r="F172" s="584">
        <f t="shared" si="110"/>
        <v>0</v>
      </c>
      <c r="G172" s="584">
        <f t="shared" si="110"/>
        <v>0</v>
      </c>
      <c r="H172" s="584">
        <f t="shared" si="110"/>
        <v>0</v>
      </c>
      <c r="I172" s="585">
        <f t="shared" si="110"/>
        <v>0</v>
      </c>
      <c r="J172" s="586">
        <f t="shared" si="110"/>
        <v>119318</v>
      </c>
      <c r="K172" s="583">
        <f t="shared" si="110"/>
        <v>254215</v>
      </c>
      <c r="L172" s="583">
        <f t="shared" si="110"/>
        <v>54733</v>
      </c>
      <c r="M172" s="583">
        <f t="shared" si="110"/>
        <v>71749</v>
      </c>
      <c r="N172" s="583">
        <f t="shared" si="110"/>
        <v>0</v>
      </c>
      <c r="O172" s="583">
        <f t="shared" si="110"/>
        <v>1298</v>
      </c>
      <c r="P172" s="583">
        <f t="shared" si="110"/>
        <v>14445</v>
      </c>
      <c r="Q172" s="583">
        <f t="shared" si="110"/>
        <v>0</v>
      </c>
      <c r="R172" s="583">
        <f t="shared" si="110"/>
        <v>0</v>
      </c>
      <c r="S172" s="586">
        <f t="shared" si="110"/>
        <v>396440</v>
      </c>
      <c r="T172" s="583">
        <f t="shared" si="110"/>
        <v>277122</v>
      </c>
      <c r="U172" s="585">
        <f t="shared" si="110"/>
        <v>153821</v>
      </c>
      <c r="V172" s="586">
        <f t="shared" si="110"/>
        <v>123301</v>
      </c>
      <c r="W172" s="1195"/>
      <c r="AC172" s="266"/>
      <c r="AD172" s="266"/>
      <c r="AE172" s="266"/>
      <c r="AF172" s="266"/>
      <c r="AG172" s="266"/>
      <c r="AH172" s="266"/>
      <c r="AI172" s="266"/>
      <c r="AJ172" s="266"/>
      <c r="AK172" s="266"/>
      <c r="AL172" s="266"/>
      <c r="AM172" s="266"/>
      <c r="AN172" s="266"/>
      <c r="AO172" s="266"/>
      <c r="AP172" s="266"/>
      <c r="AQ172" s="266"/>
    </row>
    <row r="173" spans="1:43" s="558" customFormat="1" ht="12.75" thickBot="1">
      <c r="A173" s="592"/>
      <c r="B173" s="593"/>
      <c r="C173" s="594"/>
      <c r="D173" s="594"/>
      <c r="E173" s="594"/>
      <c r="F173" s="594"/>
      <c r="G173" s="594"/>
      <c r="H173" s="594"/>
      <c r="I173" s="896"/>
      <c r="J173" s="597"/>
      <c r="K173" s="594"/>
      <c r="L173" s="594"/>
      <c r="M173" s="594"/>
      <c r="N173" s="594"/>
      <c r="O173" s="594"/>
      <c r="P173" s="594"/>
      <c r="Q173" s="594"/>
      <c r="R173" s="594"/>
      <c r="S173" s="597"/>
      <c r="T173" s="594"/>
      <c r="U173" s="596"/>
      <c r="V173" s="597"/>
      <c r="W173" s="1195"/>
      <c r="AC173" s="266"/>
      <c r="AD173" s="266"/>
      <c r="AE173" s="266"/>
      <c r="AF173" s="266"/>
      <c r="AG173" s="266"/>
      <c r="AH173" s="266"/>
      <c r="AI173" s="266"/>
      <c r="AJ173" s="266"/>
      <c r="AK173" s="266"/>
      <c r="AL173" s="266"/>
      <c r="AM173" s="266"/>
      <c r="AN173" s="266"/>
      <c r="AO173" s="266"/>
      <c r="AP173" s="266"/>
      <c r="AQ173" s="266"/>
    </row>
    <row r="174" spans="1:43">
      <c r="A174" s="850">
        <f>+A170+1</f>
        <v>19</v>
      </c>
      <c r="B174" s="755" t="s">
        <v>1175</v>
      </c>
      <c r="C174" s="899">
        <f>+SUMIF('13.mell_ÖNKfeladatok2018'!$B$5:$B$160,'14.mell_Önk kiegészítés2018'!$A174,'13.mell_ÖNKfeladatok2018'!Q$5:Q$160)</f>
        <v>0</v>
      </c>
      <c r="D174" s="899">
        <f>+SUMIF('13.mell_ÖNKfeladatok2018'!$B$5:$B$160,'14.mell_Önk kiegészítés2018'!$A174,'13.mell_ÖNKfeladatok2018'!U$5:U$160)</f>
        <v>0</v>
      </c>
      <c r="E174" s="899">
        <f>+SUMIF('13.mell_ÖNKfeladatok2018'!$B$5:$B$160,'14.mell_Önk kiegészítés2018'!$A174,'13.mell_ÖNKfeladatok2018'!Y$5:Y$160)</f>
        <v>8618</v>
      </c>
      <c r="F174" s="899">
        <f>+SUMIF('13.mell_ÖNKfeladatok2018'!$B$5:$B$160,'14.mell_Önk kiegészítés2018'!$A174,'13.mell_ÖNKfeladatok2018'!AC$5:AC$160)</f>
        <v>0</v>
      </c>
      <c r="G174" s="899">
        <f>+SUMIF('13.mell_ÖNKfeladatok2018'!$B$5:$B$160,'14.mell_Önk kiegészítés2018'!$A174,'13.mell_ÖNKfeladatok2018'!AK$5:AK$160)</f>
        <v>0</v>
      </c>
      <c r="H174" s="899">
        <f>+SUMIF('13.mell_ÖNKfeladatok2018'!$B$5:$B$160,'14.mell_Önk kiegészítés2018'!$A174,'13.mell_ÖNKfeladatok2018'!AO$5:AO$160)</f>
        <v>0</v>
      </c>
      <c r="I174" s="899">
        <f>+SUMIF('13.mell_ÖNKfeladatok2018'!$B$5:$B$160,'14.mell_Önk kiegészítés2018'!$A174,'13.mell_ÖNKfeladatok2018'!AS$5:AS$160)</f>
        <v>0</v>
      </c>
      <c r="J174" s="756">
        <f t="shared" ref="J174:J176" si="111">SUM(C174:I174)</f>
        <v>8618</v>
      </c>
      <c r="K174" s="899">
        <f>+SUMIF('13.mell_ÖNKfeladatok2018'!$B$168:$B$323,'14.mell_Önk kiegészítés2018'!$A174,'13.mell_ÖNKfeladatok2018'!Q$168:Q$323)</f>
        <v>187477</v>
      </c>
      <c r="L174" s="899">
        <f>+SUMIF('13.mell_ÖNKfeladatok2018'!$B$168:$B$323,'14.mell_Önk kiegészítés2018'!$A174,'13.mell_ÖNKfeladatok2018'!U$168:U$323)</f>
        <v>39763</v>
      </c>
      <c r="M174" s="899">
        <f>+SUMIF('13.mell_ÖNKfeladatok2018'!$B$168:$B$323,'14.mell_Önk kiegészítés2018'!$A174,'13.mell_ÖNKfeladatok2018'!Y$168:Y$323)</f>
        <v>21063</v>
      </c>
      <c r="N174" s="899">
        <f>+SUMIF('13.mell_ÖNKfeladatok2018'!$B$168:$B$323,'14.mell_Önk kiegészítés2018'!$A174,'13.mell_ÖNKfeladatok2018'!AC$168:AC$323)</f>
        <v>0</v>
      </c>
      <c r="O174" s="899">
        <f>+SUMIF('13.mell_ÖNKfeladatok2018'!$B$168:$B$323,'14.mell_Önk kiegészítés2018'!$A174,'13.mell_ÖNKfeladatok2018'!AG$168:AG$323)</f>
        <v>73</v>
      </c>
      <c r="P174" s="899">
        <f>+SUMIF('13.mell_ÖNKfeladatok2018'!$B$168:$B$323,'14.mell_Önk kiegészítés2018'!$A174,'13.mell_ÖNKfeladatok2018'!AO$168:AO$323)</f>
        <v>319</v>
      </c>
      <c r="Q174" s="899">
        <f>+SUMIF('13.mell_ÖNKfeladatok2018'!$B$168:$B$323,'14.mell_Önk kiegészítés2018'!$A174,'13.mell_ÖNKfeladatok2018'!AS$168:AS$323)</f>
        <v>0</v>
      </c>
      <c r="R174" s="899">
        <f>+SUMIF('13.mell_ÖNKfeladatok2018'!$B$168:$B$323,'14.mell_Önk kiegészítés2018'!$A174,'13.mell_ÖNKfeladatok2018'!AW$168:AW$323)</f>
        <v>0</v>
      </c>
      <c r="S174" s="756">
        <f>SUM(K174:R174)</f>
        <v>248695</v>
      </c>
      <c r="T174" s="757">
        <f>S174-J174</f>
        <v>240077</v>
      </c>
      <c r="U174" s="1029">
        <f>+ROUND(SUMIF('10.mell_támogatások2018'!$B$6:$B$123,'14.mell_Önk kiegészítés2018'!$A174,'10.mell_támogatások2018'!F$6:F$123)/1000,0)+73+1389</f>
        <v>224611</v>
      </c>
      <c r="V174" s="758">
        <f>+T174-U174</f>
        <v>15466</v>
      </c>
      <c r="W174" s="1195"/>
      <c r="AD174" s="266">
        <v>73</v>
      </c>
      <c r="AE174" s="266">
        <f>+(1021+368)</f>
        <v>1389</v>
      </c>
    </row>
    <row r="175" spans="1:43">
      <c r="A175" s="851">
        <f>+A174+1</f>
        <v>20</v>
      </c>
      <c r="B175" s="566" t="s">
        <v>1269</v>
      </c>
      <c r="C175" s="567">
        <f>+SUMIF('13.mell_ÖNKfeladatok2018'!$B$5:$B$160,'14.mell_Önk kiegészítés2018'!$A175,'13.mell_ÖNKfeladatok2018'!Q$5:Q$160)</f>
        <v>0</v>
      </c>
      <c r="D175" s="567">
        <f>+SUMIF('13.mell_ÖNKfeladatok2018'!$B$5:$B$160,'14.mell_Önk kiegészítés2018'!$A175,'13.mell_ÖNKfeladatok2018'!U$5:U$160)</f>
        <v>0</v>
      </c>
      <c r="E175" s="567">
        <f>+SUMIF('13.mell_ÖNKfeladatok2018'!$B$5:$B$160,'14.mell_Önk kiegészítés2018'!$A175,'13.mell_ÖNKfeladatok2018'!Y$5:Y$160)</f>
        <v>10750</v>
      </c>
      <c r="F175" s="567">
        <f>+SUMIF('13.mell_ÖNKfeladatok2018'!$B$5:$B$160,'14.mell_Önk kiegészítés2018'!$A175,'13.mell_ÖNKfeladatok2018'!AC$5:AC$160)</f>
        <v>0</v>
      </c>
      <c r="G175" s="567">
        <f>+SUMIF('13.mell_ÖNKfeladatok2018'!$B$5:$B$160,'14.mell_Önk kiegészítés2018'!$A175,'13.mell_ÖNKfeladatok2018'!AK$5:AK$160)</f>
        <v>0</v>
      </c>
      <c r="H175" s="567">
        <f>+SUMIF('13.mell_ÖNKfeladatok2018'!$B$5:$B$160,'14.mell_Önk kiegészítés2018'!$A175,'13.mell_ÖNKfeladatok2018'!AO$5:AO$160)</f>
        <v>0</v>
      </c>
      <c r="I175" s="567">
        <f>+SUMIF('13.mell_ÖNKfeladatok2018'!$B$5:$B$160,'14.mell_Önk kiegészítés2018'!$A175,'13.mell_ÖNKfeladatok2018'!AS$5:AS$160)</f>
        <v>0</v>
      </c>
      <c r="J175" s="607">
        <f t="shared" si="111"/>
        <v>10750</v>
      </c>
      <c r="K175" s="567">
        <f>+SUMIF('13.mell_ÖNKfeladatok2018'!$B$168:$B$323,'14.mell_Önk kiegészítés2018'!$A175,'13.mell_ÖNKfeladatok2018'!Q$168:Q$323)</f>
        <v>0</v>
      </c>
      <c r="L175" s="567">
        <f>+SUMIF('13.mell_ÖNKfeladatok2018'!$B$168:$B$323,'14.mell_Önk kiegészítés2018'!$A175,'13.mell_ÖNKfeladatok2018'!U$168:U$323)</f>
        <v>0</v>
      </c>
      <c r="M175" s="567">
        <f>+SUMIF('13.mell_ÖNKfeladatok2018'!$B$168:$B$323,'14.mell_Önk kiegészítés2018'!$A175,'13.mell_ÖNKfeladatok2018'!Y$168:Y$323)</f>
        <v>82388</v>
      </c>
      <c r="N175" s="567">
        <f>+SUMIF('13.mell_ÖNKfeladatok2018'!$B$168:$B$323,'14.mell_Önk kiegészítés2018'!$A175,'13.mell_ÖNKfeladatok2018'!AC$168:AC$323)</f>
        <v>0</v>
      </c>
      <c r="O175" s="567">
        <f>+SUMIF('13.mell_ÖNKfeladatok2018'!$B$168:$B$323,'14.mell_Önk kiegészítés2018'!$A175,'13.mell_ÖNKfeladatok2018'!AG$168:AG$323)</f>
        <v>0</v>
      </c>
      <c r="P175" s="567">
        <f>+SUMIF('13.mell_ÖNKfeladatok2018'!$B$168:$B$323,'14.mell_Önk kiegészítés2018'!$A175,'13.mell_ÖNKfeladatok2018'!AO$168:AO$323)</f>
        <v>0</v>
      </c>
      <c r="Q175" s="567">
        <f>+SUMIF('13.mell_ÖNKfeladatok2018'!$B$168:$B$323,'14.mell_Önk kiegészítés2018'!$A175,'13.mell_ÖNKfeladatok2018'!AS$168:AS$323)</f>
        <v>0</v>
      </c>
      <c r="R175" s="567">
        <f>+SUMIF('13.mell_ÖNKfeladatok2018'!$B$168:$B$323,'14.mell_Önk kiegészítés2018'!$A175,'13.mell_ÖNKfeladatok2018'!AW$168:AW$323)</f>
        <v>0</v>
      </c>
      <c r="S175" s="607">
        <f>SUM(K175:R175)</f>
        <v>82388</v>
      </c>
      <c r="T175" s="568">
        <f>S175-J175</f>
        <v>71638</v>
      </c>
      <c r="U175" s="1028">
        <f>+ROUND(SUMIF('10.mell_támogatások2018'!$B$6:$B$123,'14.mell_Önk kiegészítés2018'!$A175,'10.mell_támogatások2018'!F$6:F$123)/1000,0)</f>
        <v>67463</v>
      </c>
      <c r="V175" s="569">
        <f>+T175-U175</f>
        <v>4175</v>
      </c>
      <c r="W175" s="1195"/>
    </row>
    <row r="176" spans="1:43" ht="12.75" thickBot="1">
      <c r="A176" s="897">
        <f>+A175+1</f>
        <v>21</v>
      </c>
      <c r="B176" s="579" t="s">
        <v>1262</v>
      </c>
      <c r="C176" s="580">
        <f>+SUMIF('13.mell_ÖNKfeladatok2018'!$B$5:$B$160,'14.mell_Önk kiegészítés2018'!$A176,'13.mell_ÖNKfeladatok2018'!Q$5:Q$160)</f>
        <v>0</v>
      </c>
      <c r="D176" s="580">
        <f>+SUMIF('13.mell_ÖNKfeladatok2018'!$B$5:$B$160,'14.mell_Önk kiegészítés2018'!$A176,'13.mell_ÖNKfeladatok2018'!U$5:U$160)</f>
        <v>0</v>
      </c>
      <c r="E176" s="580">
        <f>+SUMIF('13.mell_ÖNKfeladatok2018'!$B$5:$B$160,'14.mell_Önk kiegészítés2018'!$A176,'13.mell_ÖNKfeladatok2018'!Y$5:Y$160)</f>
        <v>0</v>
      </c>
      <c r="F176" s="580">
        <f>+SUMIF('13.mell_ÖNKfeladatok2018'!$B$5:$B$160,'14.mell_Önk kiegészítés2018'!$A176,'13.mell_ÖNKfeladatok2018'!AC$5:AC$160)</f>
        <v>0</v>
      </c>
      <c r="G176" s="580">
        <f>+SUMIF('13.mell_ÖNKfeladatok2018'!$B$5:$B$160,'14.mell_Önk kiegészítés2018'!$A176,'13.mell_ÖNKfeladatok2018'!AK$5:AK$160)</f>
        <v>0</v>
      </c>
      <c r="H176" s="580">
        <f>+SUMIF('13.mell_ÖNKfeladatok2018'!$B$5:$B$160,'14.mell_Önk kiegészítés2018'!$A176,'13.mell_ÖNKfeladatok2018'!AO$5:AO$160)</f>
        <v>0</v>
      </c>
      <c r="I176" s="580">
        <f>+SUMIF('13.mell_ÖNKfeladatok2018'!$B$5:$B$160,'14.mell_Önk kiegészítés2018'!$A176,'13.mell_ÖNKfeladatok2018'!AS$5:AS$160)</f>
        <v>0</v>
      </c>
      <c r="J176" s="609">
        <f t="shared" si="111"/>
        <v>0</v>
      </c>
      <c r="K176" s="563">
        <f>+SUMIF('13.mell_ÖNKfeladatok2018'!$B$168:$B$323,'14.mell_Önk kiegészítés2018'!$A176,'13.mell_ÖNKfeladatok2018'!Q$168:Q$323)</f>
        <v>25151</v>
      </c>
      <c r="L176" s="563">
        <f>+SUMIF('13.mell_ÖNKfeladatok2018'!$B$168:$B$323,'14.mell_Önk kiegészítés2018'!$A176,'13.mell_ÖNKfeladatok2018'!U$168:U$323)</f>
        <v>5162</v>
      </c>
      <c r="M176" s="563">
        <f>+SUMIF('13.mell_ÖNKfeladatok2018'!$B$168:$B$323,'14.mell_Önk kiegészítés2018'!$A176,'13.mell_ÖNKfeladatok2018'!Y$168:Y$323)</f>
        <v>2543</v>
      </c>
      <c r="N176" s="563">
        <f>+SUMIF('13.mell_ÖNKfeladatok2018'!$B$168:$B$323,'14.mell_Önk kiegészítés2018'!$A176,'13.mell_ÖNKfeladatok2018'!AC$168:AC$323)</f>
        <v>0</v>
      </c>
      <c r="O176" s="563">
        <f>+SUMIF('13.mell_ÖNKfeladatok2018'!$B$168:$B$323,'14.mell_Önk kiegészítés2018'!$A176,'13.mell_ÖNKfeladatok2018'!AG$168:AG$323)</f>
        <v>0</v>
      </c>
      <c r="P176" s="563">
        <f>+SUMIF('13.mell_ÖNKfeladatok2018'!$B$168:$B$323,'14.mell_Önk kiegészítés2018'!$A176,'13.mell_ÖNKfeladatok2018'!AO$168:AO$323)</f>
        <v>0</v>
      </c>
      <c r="Q176" s="563">
        <f>+SUMIF('13.mell_ÖNKfeladatok2018'!$B$168:$B$323,'14.mell_Önk kiegészítés2018'!$A176,'13.mell_ÖNKfeladatok2018'!AS$168:AS$323)</f>
        <v>0</v>
      </c>
      <c r="R176" s="563">
        <f>+SUMIF('13.mell_ÖNKfeladatok2018'!$B$168:$B$323,'14.mell_Önk kiegészítés2018'!$A176,'13.mell_ÖNKfeladatok2018'!AW$168:AW$323)</f>
        <v>0</v>
      </c>
      <c r="S176" s="606">
        <f>SUM(K176:R176)</f>
        <v>32856</v>
      </c>
      <c r="T176" s="564">
        <f>S176-J176</f>
        <v>32856</v>
      </c>
      <c r="U176" s="1027">
        <f>+ROUND(SUMIF('10.mell_támogatások2018'!$B$6:$B$123,'14.mell_Önk kiegészítés2018'!$A176,'10.mell_támogatások2018'!F$6:F$123)/1000,0)</f>
        <v>24386</v>
      </c>
      <c r="V176" s="565">
        <f>+T176-U176</f>
        <v>8470</v>
      </c>
      <c r="W176" s="1195"/>
    </row>
    <row r="177" spans="1:43" s="558" customFormat="1" ht="12.75" thickBot="1">
      <c r="A177" s="356" t="s">
        <v>802</v>
      </c>
      <c r="B177" s="517" t="s">
        <v>418</v>
      </c>
      <c r="C177" s="574">
        <f>SUM(C174:C176)</f>
        <v>0</v>
      </c>
      <c r="D177" s="574">
        <f t="shared" ref="D177:V177" si="112">SUM(D174:D176)</f>
        <v>0</v>
      </c>
      <c r="E177" s="574">
        <f t="shared" si="112"/>
        <v>19368</v>
      </c>
      <c r="F177" s="574">
        <f t="shared" si="112"/>
        <v>0</v>
      </c>
      <c r="G177" s="574">
        <f t="shared" si="112"/>
        <v>0</v>
      </c>
      <c r="H177" s="574">
        <f t="shared" si="112"/>
        <v>0</v>
      </c>
      <c r="I177" s="574">
        <f t="shared" si="112"/>
        <v>0</v>
      </c>
      <c r="J177" s="577">
        <f t="shared" si="112"/>
        <v>19368</v>
      </c>
      <c r="K177" s="574">
        <f t="shared" si="112"/>
        <v>212628</v>
      </c>
      <c r="L177" s="574">
        <f t="shared" si="112"/>
        <v>44925</v>
      </c>
      <c r="M177" s="574">
        <f t="shared" si="112"/>
        <v>105994</v>
      </c>
      <c r="N177" s="574">
        <f t="shared" si="112"/>
        <v>0</v>
      </c>
      <c r="O177" s="574">
        <f t="shared" si="112"/>
        <v>73</v>
      </c>
      <c r="P177" s="574">
        <f t="shared" si="112"/>
        <v>319</v>
      </c>
      <c r="Q177" s="574">
        <f t="shared" si="112"/>
        <v>0</v>
      </c>
      <c r="R177" s="574">
        <f t="shared" si="112"/>
        <v>0</v>
      </c>
      <c r="S177" s="577">
        <f t="shared" si="112"/>
        <v>363939</v>
      </c>
      <c r="T177" s="574">
        <f t="shared" si="112"/>
        <v>344571</v>
      </c>
      <c r="U177" s="578">
        <f t="shared" si="112"/>
        <v>316460</v>
      </c>
      <c r="V177" s="577">
        <f t="shared" si="112"/>
        <v>28111</v>
      </c>
      <c r="W177" s="1195"/>
      <c r="AC177" s="266"/>
      <c r="AD177" s="266"/>
      <c r="AE177" s="266"/>
      <c r="AF177" s="266"/>
      <c r="AG177" s="266"/>
      <c r="AH177" s="266"/>
      <c r="AI177" s="266"/>
      <c r="AJ177" s="266"/>
      <c r="AK177" s="266"/>
      <c r="AL177" s="266"/>
      <c r="AM177" s="266"/>
      <c r="AN177" s="266"/>
      <c r="AO177" s="266"/>
      <c r="AP177" s="266"/>
      <c r="AQ177" s="266"/>
    </row>
    <row r="178" spans="1:43" ht="12.75" thickBot="1">
      <c r="A178" s="900">
        <f>+A176+1</f>
        <v>22</v>
      </c>
      <c r="B178" s="579" t="s">
        <v>419</v>
      </c>
      <c r="C178" s="580">
        <f>+SUMIF('13.mell_ÖNKfeladatok2018'!$B$5:$B$160,'14.mell_Önk kiegészítés2018'!$A178,'13.mell_ÖNKfeladatok2018'!Q$5:Q$160)</f>
        <v>0</v>
      </c>
      <c r="D178" s="580">
        <f>+SUMIF('13.mell_ÖNKfeladatok2018'!$B$5:$B$160,'14.mell_Önk kiegészítés2018'!$A178,'13.mell_ÖNKfeladatok2018'!U$5:U$160)</f>
        <v>0</v>
      </c>
      <c r="E178" s="580">
        <f>+SUMIF('13.mell_ÖNKfeladatok2018'!$B$5:$B$160,'14.mell_Önk kiegészítés2018'!$A178,'13.mell_ÖNKfeladatok2018'!Y$5:Y$160)</f>
        <v>0</v>
      </c>
      <c r="F178" s="580">
        <f>+SUMIF('13.mell_ÖNKfeladatok2018'!$B$5:$B$160,'14.mell_Önk kiegészítés2018'!$A178,'13.mell_ÖNKfeladatok2018'!AC$5:AC$160)</f>
        <v>0</v>
      </c>
      <c r="G178" s="580">
        <f>+SUMIF('13.mell_ÖNKfeladatok2018'!$B$5:$B$160,'14.mell_Önk kiegészítés2018'!$A178,'13.mell_ÖNKfeladatok2018'!AK$5:AK$160)</f>
        <v>0</v>
      </c>
      <c r="H178" s="580">
        <f>+SUMIF('13.mell_ÖNKfeladatok2018'!$B$5:$B$160,'14.mell_Önk kiegészítés2018'!$A178,'13.mell_ÖNKfeladatok2018'!AO$5:AO$160)</f>
        <v>0</v>
      </c>
      <c r="I178" s="580">
        <f>+SUMIF('13.mell_ÖNKfeladatok2018'!$B$5:$B$160,'14.mell_Önk kiegészítés2018'!$A178,'13.mell_ÖNKfeladatok2018'!AS$5:AS$160)</f>
        <v>0</v>
      </c>
      <c r="J178" s="609">
        <f>SUM(C178:I178)</f>
        <v>0</v>
      </c>
      <c r="K178" s="571">
        <f>+SUMIF('13.mell_ÖNKfeladatok2018'!$B$168:$B$323,'14.mell_Önk kiegészítés2018'!$A178,'13.mell_ÖNKfeladatok2018'!Q$168:Q$323)</f>
        <v>0</v>
      </c>
      <c r="L178" s="571">
        <f>+SUMIF('13.mell_ÖNKfeladatok2018'!$B$168:$B$323,'14.mell_Önk kiegészítés2018'!$A178,'13.mell_ÖNKfeladatok2018'!U$168:U$323)</f>
        <v>0</v>
      </c>
      <c r="M178" s="571">
        <f>+SUMIF('13.mell_ÖNKfeladatok2018'!$B$168:$B$323,'14.mell_Önk kiegészítés2018'!$A178,'13.mell_ÖNKfeladatok2018'!Y$168:Y$323)</f>
        <v>0</v>
      </c>
      <c r="N178" s="571">
        <f>+SUMIF('13.mell_ÖNKfeladatok2018'!$B$168:$B$323,'14.mell_Önk kiegészítés2018'!$A178,'13.mell_ÖNKfeladatok2018'!AC$168:AC$323)</f>
        <v>0</v>
      </c>
      <c r="O178" s="571">
        <f>+SUMIF('13.mell_ÖNKfeladatok2018'!$B$168:$B$323,'14.mell_Önk kiegészítés2018'!$A178,'13.mell_ÖNKfeladatok2018'!AG$168:AG$323)</f>
        <v>0</v>
      </c>
      <c r="P178" s="571">
        <f>+SUMIF('13.mell_ÖNKfeladatok2018'!$B$168:$B$323,'14.mell_Önk kiegészítés2018'!$A178,'13.mell_ÖNKfeladatok2018'!AO$168:AO$323)</f>
        <v>0</v>
      </c>
      <c r="Q178" s="571">
        <f>+SUMIF('13.mell_ÖNKfeladatok2018'!$B$168:$B$323,'14.mell_Önk kiegészítés2018'!$A178,'13.mell_ÖNKfeladatok2018'!AS$168:AS$323)</f>
        <v>0</v>
      </c>
      <c r="R178" s="571">
        <f>+SUMIF('13.mell_ÖNKfeladatok2018'!$B$168:$B$323,'14.mell_Önk kiegészítés2018'!$A178,'13.mell_ÖNKfeladatok2018'!AW$168:AW$323)</f>
        <v>0</v>
      </c>
      <c r="S178" s="608">
        <f>SUM(K178:R178)</f>
        <v>0</v>
      </c>
      <c r="T178" s="901">
        <f>S178-J178</f>
        <v>0</v>
      </c>
      <c r="U178" s="1030">
        <f>+ROUND(SUMIF('10.mell_támogatások2018'!$B$6:$B$123,'14.mell_Önk kiegészítés2018'!$A178,'10.mell_támogatások2018'!F$6:F$123)/1000,0)</f>
        <v>0</v>
      </c>
      <c r="V178" s="902">
        <f>+T178-U178</f>
        <v>0</v>
      </c>
      <c r="W178" s="1195"/>
    </row>
    <row r="179" spans="1:43" s="558" customFormat="1" ht="12.75" thickBot="1">
      <c r="A179" s="356" t="s">
        <v>803</v>
      </c>
      <c r="B179" s="517" t="s">
        <v>419</v>
      </c>
      <c r="C179" s="574">
        <f>SUM(C178)</f>
        <v>0</v>
      </c>
      <c r="D179" s="574">
        <f t="shared" ref="D179:V179" si="113">SUM(D178)</f>
        <v>0</v>
      </c>
      <c r="E179" s="574">
        <f t="shared" si="113"/>
        <v>0</v>
      </c>
      <c r="F179" s="574">
        <f t="shared" si="113"/>
        <v>0</v>
      </c>
      <c r="G179" s="574">
        <f t="shared" si="113"/>
        <v>0</v>
      </c>
      <c r="H179" s="574">
        <f t="shared" si="113"/>
        <v>0</v>
      </c>
      <c r="I179" s="574">
        <f t="shared" si="113"/>
        <v>0</v>
      </c>
      <c r="J179" s="577">
        <f t="shared" si="113"/>
        <v>0</v>
      </c>
      <c r="K179" s="574">
        <f t="shared" si="113"/>
        <v>0</v>
      </c>
      <c r="L179" s="574">
        <f t="shared" si="113"/>
        <v>0</v>
      </c>
      <c r="M179" s="574">
        <f t="shared" si="113"/>
        <v>0</v>
      </c>
      <c r="N179" s="574">
        <f t="shared" si="113"/>
        <v>0</v>
      </c>
      <c r="O179" s="574">
        <f t="shared" si="113"/>
        <v>0</v>
      </c>
      <c r="P179" s="574">
        <f t="shared" si="113"/>
        <v>0</v>
      </c>
      <c r="Q179" s="574">
        <f t="shared" si="113"/>
        <v>0</v>
      </c>
      <c r="R179" s="574">
        <f t="shared" si="113"/>
        <v>0</v>
      </c>
      <c r="S179" s="577">
        <f t="shared" si="113"/>
        <v>0</v>
      </c>
      <c r="T179" s="574">
        <f t="shared" si="113"/>
        <v>0</v>
      </c>
      <c r="U179" s="578">
        <f t="shared" si="113"/>
        <v>0</v>
      </c>
      <c r="V179" s="577">
        <f t="shared" si="113"/>
        <v>0</v>
      </c>
      <c r="W179" s="1195"/>
      <c r="AC179" s="266"/>
      <c r="AD179" s="266"/>
      <c r="AE179" s="266"/>
      <c r="AF179" s="266"/>
      <c r="AG179" s="266"/>
      <c r="AH179" s="266"/>
      <c r="AI179" s="266"/>
      <c r="AJ179" s="266"/>
      <c r="AK179" s="266"/>
      <c r="AL179" s="266"/>
      <c r="AM179" s="266"/>
      <c r="AN179" s="266"/>
      <c r="AO179" s="266"/>
      <c r="AP179" s="266"/>
      <c r="AQ179" s="266"/>
    </row>
    <row r="180" spans="1:43" ht="12.75" thickBot="1">
      <c r="A180" s="900">
        <f>+A178+1</f>
        <v>23</v>
      </c>
      <c r="B180" s="579" t="s">
        <v>821</v>
      </c>
      <c r="C180" s="580">
        <f>+SUMIF('13.mell_ÖNKfeladatok2018'!$B$5:$B$160,'14.mell_Önk kiegészítés2018'!$A180,'13.mell_ÖNKfeladatok2018'!Q$5:Q$160)</f>
        <v>0</v>
      </c>
      <c r="D180" s="580">
        <f>+SUMIF('13.mell_ÖNKfeladatok2018'!$B$5:$B$160,'14.mell_Önk kiegészítés2018'!$A180,'13.mell_ÖNKfeladatok2018'!U$5:U$160)</f>
        <v>0</v>
      </c>
      <c r="E180" s="580">
        <f>+SUMIF('13.mell_ÖNKfeladatok2018'!$B$5:$B$160,'14.mell_Önk kiegészítés2018'!$A180,'13.mell_ÖNKfeladatok2018'!Y$5:Y$160)</f>
        <v>0</v>
      </c>
      <c r="F180" s="580">
        <f>+SUMIF('13.mell_ÖNKfeladatok2018'!$B$5:$B$160,'14.mell_Önk kiegészítés2018'!$A180,'13.mell_ÖNKfeladatok2018'!AC$5:AC$160)</f>
        <v>0</v>
      </c>
      <c r="G180" s="580">
        <f>+SUMIF('13.mell_ÖNKfeladatok2018'!$B$5:$B$160,'14.mell_Önk kiegészítés2018'!$A180,'13.mell_ÖNKfeladatok2018'!AK$5:AK$160)</f>
        <v>0</v>
      </c>
      <c r="H180" s="580">
        <f>+SUMIF('13.mell_ÖNKfeladatok2018'!$B$5:$B$160,'14.mell_Önk kiegészítés2018'!$A180,'13.mell_ÖNKfeladatok2018'!AO$5:AO$160)</f>
        <v>0</v>
      </c>
      <c r="I180" s="580">
        <f>+SUMIF('13.mell_ÖNKfeladatok2018'!$B$5:$B$160,'14.mell_Önk kiegészítés2018'!$A180,'13.mell_ÖNKfeladatok2018'!AS$5:AS$160)</f>
        <v>0</v>
      </c>
      <c r="J180" s="609">
        <f>SUM(C180:I180)</f>
        <v>0</v>
      </c>
      <c r="K180" s="571">
        <f>+SUMIF('13.mell_ÖNKfeladatok2018'!$B$168:$B$323,'14.mell_Önk kiegészítés2018'!$A180,'13.mell_ÖNKfeladatok2018'!Q$168:Q$323)</f>
        <v>0</v>
      </c>
      <c r="L180" s="571">
        <f>+SUMIF('13.mell_ÖNKfeladatok2018'!$B$168:$B$323,'14.mell_Önk kiegészítés2018'!$A180,'13.mell_ÖNKfeladatok2018'!U$168:U$323)</f>
        <v>0</v>
      </c>
      <c r="M180" s="571">
        <f>+SUMIF('13.mell_ÖNKfeladatok2018'!$B$168:$B$323,'14.mell_Önk kiegészítés2018'!$A180,'13.mell_ÖNKfeladatok2018'!Y$168:Y$323)</f>
        <v>0</v>
      </c>
      <c r="N180" s="571">
        <f>+SUMIF('13.mell_ÖNKfeladatok2018'!$B$168:$B$323,'14.mell_Önk kiegészítés2018'!$A180,'13.mell_ÖNKfeladatok2018'!AC$168:AC$323)</f>
        <v>0</v>
      </c>
      <c r="O180" s="571">
        <f>+SUMIF('13.mell_ÖNKfeladatok2018'!$B$168:$B$323,'14.mell_Önk kiegészítés2018'!$A180,'13.mell_ÖNKfeladatok2018'!AG$168:AG$323)</f>
        <v>0</v>
      </c>
      <c r="P180" s="571">
        <f>+SUMIF('13.mell_ÖNKfeladatok2018'!$B$168:$B$323,'14.mell_Önk kiegészítés2018'!$A180,'13.mell_ÖNKfeladatok2018'!AO$168:AO$323)</f>
        <v>0</v>
      </c>
      <c r="Q180" s="571">
        <f>+SUMIF('13.mell_ÖNKfeladatok2018'!$B$168:$B$323,'14.mell_Önk kiegészítés2018'!$A180,'13.mell_ÖNKfeladatok2018'!AS$168:AS$323)</f>
        <v>0</v>
      </c>
      <c r="R180" s="571">
        <f>+SUMIF('13.mell_ÖNKfeladatok2018'!$B$168:$B$323,'14.mell_Önk kiegészítés2018'!$A180,'13.mell_ÖNKfeladatok2018'!AW$168:AW$323)</f>
        <v>0</v>
      </c>
      <c r="S180" s="608">
        <f>SUM(K180:R180)</f>
        <v>0</v>
      </c>
      <c r="T180" s="901">
        <f>S180-J180</f>
        <v>0</v>
      </c>
      <c r="U180" s="1030">
        <f>+ROUND(SUMIF('10.mell_támogatások2018'!$B$6:$B$123,'14.mell_Önk kiegészítés2018'!$A180,'10.mell_támogatások2018'!F$6:F$123)/1000,0)</f>
        <v>0</v>
      </c>
      <c r="V180" s="902">
        <f>+T180-U180</f>
        <v>0</v>
      </c>
      <c r="W180" s="1195"/>
    </row>
    <row r="181" spans="1:43" s="558" customFormat="1" ht="12.75" thickBot="1">
      <c r="A181" s="356" t="s">
        <v>804</v>
      </c>
      <c r="B181" s="517" t="s">
        <v>821</v>
      </c>
      <c r="C181" s="574">
        <f>SUM(C180)</f>
        <v>0</v>
      </c>
      <c r="D181" s="574">
        <f t="shared" ref="D181:V181" si="114">SUM(D180)</f>
        <v>0</v>
      </c>
      <c r="E181" s="574">
        <f t="shared" si="114"/>
        <v>0</v>
      </c>
      <c r="F181" s="574">
        <f t="shared" si="114"/>
        <v>0</v>
      </c>
      <c r="G181" s="574">
        <f t="shared" si="114"/>
        <v>0</v>
      </c>
      <c r="H181" s="574">
        <f t="shared" si="114"/>
        <v>0</v>
      </c>
      <c r="I181" s="574">
        <f t="shared" si="114"/>
        <v>0</v>
      </c>
      <c r="J181" s="577">
        <f t="shared" si="114"/>
        <v>0</v>
      </c>
      <c r="K181" s="574">
        <f t="shared" si="114"/>
        <v>0</v>
      </c>
      <c r="L181" s="574">
        <f t="shared" si="114"/>
        <v>0</v>
      </c>
      <c r="M181" s="574">
        <f t="shared" si="114"/>
        <v>0</v>
      </c>
      <c r="N181" s="574">
        <f t="shared" si="114"/>
        <v>0</v>
      </c>
      <c r="O181" s="574">
        <f t="shared" si="114"/>
        <v>0</v>
      </c>
      <c r="P181" s="574">
        <f t="shared" si="114"/>
        <v>0</v>
      </c>
      <c r="Q181" s="574">
        <f t="shared" si="114"/>
        <v>0</v>
      </c>
      <c r="R181" s="574">
        <f t="shared" si="114"/>
        <v>0</v>
      </c>
      <c r="S181" s="577">
        <f t="shared" si="114"/>
        <v>0</v>
      </c>
      <c r="T181" s="574">
        <f t="shared" si="114"/>
        <v>0</v>
      </c>
      <c r="U181" s="578">
        <f t="shared" si="114"/>
        <v>0</v>
      </c>
      <c r="V181" s="577">
        <f t="shared" si="114"/>
        <v>0</v>
      </c>
      <c r="W181" s="1195"/>
      <c r="AC181" s="266"/>
      <c r="AD181" s="266"/>
      <c r="AE181" s="266"/>
      <c r="AF181" s="266"/>
      <c r="AG181" s="266"/>
      <c r="AH181" s="266"/>
      <c r="AI181" s="266"/>
      <c r="AJ181" s="266"/>
      <c r="AK181" s="266"/>
      <c r="AL181" s="266"/>
      <c r="AM181" s="266"/>
      <c r="AN181" s="266"/>
      <c r="AO181" s="266"/>
      <c r="AP181" s="266"/>
      <c r="AQ181" s="266"/>
    </row>
    <row r="182" spans="1:43" s="558" customFormat="1" ht="12.75" thickBot="1">
      <c r="A182" s="520" t="s">
        <v>21</v>
      </c>
      <c r="B182" s="530" t="s">
        <v>420</v>
      </c>
      <c r="C182" s="583">
        <f>+C177+C179+C181</f>
        <v>0</v>
      </c>
      <c r="D182" s="584">
        <f t="shared" ref="D182:V182" si="115">+D177+D179+D181</f>
        <v>0</v>
      </c>
      <c r="E182" s="584">
        <f t="shared" si="115"/>
        <v>19368</v>
      </c>
      <c r="F182" s="584">
        <f t="shared" si="115"/>
        <v>0</v>
      </c>
      <c r="G182" s="584">
        <f t="shared" si="115"/>
        <v>0</v>
      </c>
      <c r="H182" s="584">
        <f t="shared" si="115"/>
        <v>0</v>
      </c>
      <c r="I182" s="585">
        <f t="shared" si="115"/>
        <v>0</v>
      </c>
      <c r="J182" s="586">
        <f t="shared" si="115"/>
        <v>19368</v>
      </c>
      <c r="K182" s="583">
        <f t="shared" si="115"/>
        <v>212628</v>
      </c>
      <c r="L182" s="583">
        <f t="shared" si="115"/>
        <v>44925</v>
      </c>
      <c r="M182" s="583">
        <f t="shared" si="115"/>
        <v>105994</v>
      </c>
      <c r="N182" s="583">
        <f t="shared" si="115"/>
        <v>0</v>
      </c>
      <c r="O182" s="583">
        <f t="shared" si="115"/>
        <v>73</v>
      </c>
      <c r="P182" s="583">
        <f t="shared" si="115"/>
        <v>319</v>
      </c>
      <c r="Q182" s="583">
        <f t="shared" si="115"/>
        <v>0</v>
      </c>
      <c r="R182" s="583">
        <f t="shared" si="115"/>
        <v>0</v>
      </c>
      <c r="S182" s="586">
        <f t="shared" si="115"/>
        <v>363939</v>
      </c>
      <c r="T182" s="583">
        <f t="shared" si="115"/>
        <v>344571</v>
      </c>
      <c r="U182" s="585">
        <f t="shared" si="115"/>
        <v>316460</v>
      </c>
      <c r="V182" s="586">
        <f t="shared" si="115"/>
        <v>28111</v>
      </c>
      <c r="W182" s="1195"/>
      <c r="AC182" s="266"/>
      <c r="AD182" s="266"/>
      <c r="AE182" s="266"/>
      <c r="AF182" s="266"/>
      <c r="AG182" s="266"/>
      <c r="AH182" s="266"/>
      <c r="AI182" s="266"/>
      <c r="AJ182" s="266"/>
      <c r="AK182" s="266"/>
      <c r="AL182" s="266"/>
      <c r="AM182" s="266"/>
      <c r="AN182" s="266"/>
      <c r="AO182" s="266"/>
      <c r="AP182" s="266"/>
      <c r="AQ182" s="266"/>
    </row>
    <row r="183" spans="1:43" s="198" customFormat="1" ht="12.75" thickBot="1">
      <c r="A183" s="356"/>
      <c r="B183" s="517"/>
      <c r="C183" s="594"/>
      <c r="D183" s="595"/>
      <c r="E183" s="595"/>
      <c r="F183" s="595"/>
      <c r="G183" s="595"/>
      <c r="H183" s="595"/>
      <c r="I183" s="596"/>
      <c r="J183" s="597"/>
      <c r="K183" s="594"/>
      <c r="L183" s="594"/>
      <c r="M183" s="594"/>
      <c r="N183" s="594"/>
      <c r="O183" s="594"/>
      <c r="P183" s="594"/>
      <c r="Q183" s="594"/>
      <c r="R183" s="594"/>
      <c r="S183" s="597"/>
      <c r="T183" s="594"/>
      <c r="U183" s="596"/>
      <c r="V183" s="597"/>
      <c r="W183" s="1195"/>
      <c r="AC183" s="199"/>
      <c r="AD183" s="199"/>
      <c r="AE183" s="199"/>
      <c r="AF183" s="199"/>
      <c r="AG183" s="199"/>
      <c r="AH183" s="199"/>
      <c r="AI183" s="199"/>
      <c r="AJ183" s="199"/>
      <c r="AK183" s="199"/>
      <c r="AL183" s="199"/>
      <c r="AM183" s="199"/>
      <c r="AN183" s="199"/>
      <c r="AO183" s="199"/>
      <c r="AP183" s="199"/>
      <c r="AQ183" s="199"/>
    </row>
    <row r="184" spans="1:43">
      <c r="A184" s="850">
        <f>+A180+1</f>
        <v>24</v>
      </c>
      <c r="B184" s="755" t="s">
        <v>1190</v>
      </c>
      <c r="C184" s="899">
        <f>+SUMIF('13.mell_ÖNKfeladatok2018'!$B$5:$B$160,'14.mell_Önk kiegészítés2018'!$A184,'13.mell_ÖNKfeladatok2018'!Q$5:Q$160)</f>
        <v>0</v>
      </c>
      <c r="D184" s="899">
        <f>+SUMIF('13.mell_ÖNKfeladatok2018'!$B$5:$B$160,'14.mell_Önk kiegészítés2018'!$A184,'13.mell_ÖNKfeladatok2018'!U$5:U$160)</f>
        <v>0</v>
      </c>
      <c r="E184" s="899">
        <f>+SUMIF('13.mell_ÖNKfeladatok2018'!$B$5:$B$160,'14.mell_Önk kiegészítés2018'!$A184,'13.mell_ÖNKfeladatok2018'!Y$5:Y$160)</f>
        <v>0</v>
      </c>
      <c r="F184" s="899">
        <f>+SUMIF('13.mell_ÖNKfeladatok2018'!$B$5:$B$160,'14.mell_Önk kiegészítés2018'!$A184,'13.mell_ÖNKfeladatok2018'!AC$5:AC$160)</f>
        <v>0</v>
      </c>
      <c r="G184" s="899">
        <f>+SUMIF('13.mell_ÖNKfeladatok2018'!$B$5:$B$160,'14.mell_Önk kiegészítés2018'!$A184,'13.mell_ÖNKfeladatok2018'!AK$5:AK$160)</f>
        <v>0</v>
      </c>
      <c r="H184" s="899">
        <f>+SUMIF('13.mell_ÖNKfeladatok2018'!$B$5:$B$160,'14.mell_Önk kiegészítés2018'!$A184,'13.mell_ÖNKfeladatok2018'!AO$5:AO$160)</f>
        <v>0</v>
      </c>
      <c r="I184" s="899">
        <f>+SUMIF('13.mell_ÖNKfeladatok2018'!$B$5:$B$160,'14.mell_Önk kiegészítés2018'!$A184,'13.mell_ÖNKfeladatok2018'!AS$5:AS$160)</f>
        <v>0</v>
      </c>
      <c r="J184" s="756">
        <f t="shared" ref="J184:J186" si="116">SUM(C184:I184)</f>
        <v>0</v>
      </c>
      <c r="K184" s="899">
        <f>+SUMIF('13.mell_ÖNKfeladatok2018'!$B$168:$B$323,'14.mell_Önk kiegészítés2018'!$A184,'13.mell_ÖNKfeladatok2018'!Q$168:Q$323)</f>
        <v>0</v>
      </c>
      <c r="L184" s="899">
        <f>+SUMIF('13.mell_ÖNKfeladatok2018'!$B$168:$B$323,'14.mell_Önk kiegészítés2018'!$A184,'13.mell_ÖNKfeladatok2018'!U$168:U$323)</f>
        <v>0</v>
      </c>
      <c r="M184" s="899">
        <f>+SUMIF('13.mell_ÖNKfeladatok2018'!$B$168:$B$323,'14.mell_Önk kiegészítés2018'!$A184,'13.mell_ÖNKfeladatok2018'!Y$168:Y$323)</f>
        <v>1749</v>
      </c>
      <c r="N184" s="899">
        <f>+SUMIF('13.mell_ÖNKfeladatok2018'!$B$168:$B$323,'14.mell_Önk kiegészítés2018'!$A184,'13.mell_ÖNKfeladatok2018'!AC$168:AC$323)</f>
        <v>0</v>
      </c>
      <c r="O184" s="899">
        <f>+SUMIF('13.mell_ÖNKfeladatok2018'!$B$168:$B$323,'14.mell_Önk kiegészítés2018'!$A184,'13.mell_ÖNKfeladatok2018'!AG$168:AG$323)</f>
        <v>0</v>
      </c>
      <c r="P184" s="899">
        <f>+SUMIF('13.mell_ÖNKfeladatok2018'!$B$168:$B$323,'14.mell_Önk kiegészítés2018'!$A184,'13.mell_ÖNKfeladatok2018'!AO$168:AO$323)</f>
        <v>0</v>
      </c>
      <c r="Q184" s="899">
        <f>+SUMIF('13.mell_ÖNKfeladatok2018'!$B$168:$B$323,'14.mell_Önk kiegészítés2018'!$A184,'13.mell_ÖNKfeladatok2018'!AS$168:AS$323)</f>
        <v>0</v>
      </c>
      <c r="R184" s="899">
        <f>+SUMIF('13.mell_ÖNKfeladatok2018'!$B$168:$B$323,'14.mell_Önk kiegészítés2018'!$A184,'13.mell_ÖNKfeladatok2018'!AW$168:AW$323)</f>
        <v>0</v>
      </c>
      <c r="S184" s="756">
        <f>SUM(K184:R184)</f>
        <v>1749</v>
      </c>
      <c r="T184" s="757">
        <f>S184-J184</f>
        <v>1749</v>
      </c>
      <c r="U184" s="1029">
        <f>+ROUND(SUMIF('10.mell_támogatások2018'!$B$6:$B$123,'14.mell_Önk kiegészítés2018'!$A184,'10.mell_támogatások2018'!F$6:F$123)/1000,0)+1313</f>
        <v>1313</v>
      </c>
      <c r="V184" s="758">
        <f>+T184-U184</f>
        <v>436</v>
      </c>
      <c r="W184" s="1195"/>
      <c r="AI184" s="266">
        <v>1313</v>
      </c>
    </row>
    <row r="185" spans="1:43">
      <c r="A185" s="851">
        <f>+A184+1</f>
        <v>25</v>
      </c>
      <c r="B185" s="566" t="s">
        <v>1263</v>
      </c>
      <c r="C185" s="567">
        <f>+SUMIF('13.mell_ÖNKfeladatok2018'!$B$5:$B$160,'14.mell_Önk kiegészítés2018'!$A185,'13.mell_ÖNKfeladatok2018'!Q$5:Q$160)</f>
        <v>0</v>
      </c>
      <c r="D185" s="567">
        <f>+SUMIF('13.mell_ÖNKfeladatok2018'!$B$5:$B$160,'14.mell_Önk kiegészítés2018'!$A185,'13.mell_ÖNKfeladatok2018'!U$5:U$160)</f>
        <v>0</v>
      </c>
      <c r="E185" s="567">
        <f>+SUMIF('13.mell_ÖNKfeladatok2018'!$B$5:$B$160,'14.mell_Önk kiegészítés2018'!$A185,'13.mell_ÖNKfeladatok2018'!Y$5:Y$160)</f>
        <v>737</v>
      </c>
      <c r="F185" s="567">
        <f>+SUMIF('13.mell_ÖNKfeladatok2018'!$B$5:$B$160,'14.mell_Önk kiegészítés2018'!$A185,'13.mell_ÖNKfeladatok2018'!AC$5:AC$160)</f>
        <v>12</v>
      </c>
      <c r="G185" s="567">
        <f>+SUMIF('13.mell_ÖNKfeladatok2018'!$B$5:$B$160,'14.mell_Önk kiegészítés2018'!$A185,'13.mell_ÖNKfeladatok2018'!AK$5:AK$160)</f>
        <v>0</v>
      </c>
      <c r="H185" s="567">
        <f>+SUMIF('13.mell_ÖNKfeladatok2018'!$B$5:$B$160,'14.mell_Önk kiegészítés2018'!$A185,'13.mell_ÖNKfeladatok2018'!AO$5:AO$160)</f>
        <v>400</v>
      </c>
      <c r="I185" s="567">
        <f>+SUMIF('13.mell_ÖNKfeladatok2018'!$B$5:$B$160,'14.mell_Önk kiegészítés2018'!$A185,'13.mell_ÖNKfeladatok2018'!AS$5:AS$160)</f>
        <v>0</v>
      </c>
      <c r="J185" s="607">
        <f t="shared" si="116"/>
        <v>1149</v>
      </c>
      <c r="K185" s="567">
        <f>+SUMIF('13.mell_ÖNKfeladatok2018'!$B$168:$B$323,'14.mell_Önk kiegészítés2018'!$A185,'13.mell_ÖNKfeladatok2018'!Q$168:Q$323)</f>
        <v>15601</v>
      </c>
      <c r="L185" s="567">
        <f>+SUMIF('13.mell_ÖNKfeladatok2018'!$B$168:$B$323,'14.mell_Önk kiegészítés2018'!$A185,'13.mell_ÖNKfeladatok2018'!U$168:U$323)</f>
        <v>2969</v>
      </c>
      <c r="M185" s="567">
        <f>+SUMIF('13.mell_ÖNKfeladatok2018'!$B$168:$B$323,'14.mell_Önk kiegészítés2018'!$A185,'13.mell_ÖNKfeladatok2018'!Y$168:Y$323)</f>
        <v>5747</v>
      </c>
      <c r="N185" s="567">
        <f>+SUMIF('13.mell_ÖNKfeladatok2018'!$B$168:$B$323,'14.mell_Önk kiegészítés2018'!$A185,'13.mell_ÖNKfeladatok2018'!AC$168:AC$323)</f>
        <v>0</v>
      </c>
      <c r="O185" s="567">
        <f>+SUMIF('13.mell_ÖNKfeladatok2018'!$B$168:$B$323,'14.mell_Önk kiegészítés2018'!$A185,'13.mell_ÖNKfeladatok2018'!AG$168:AG$323)</f>
        <v>116</v>
      </c>
      <c r="P185" s="567">
        <f>+SUMIF('13.mell_ÖNKfeladatok2018'!$B$168:$B$323,'14.mell_Önk kiegészítés2018'!$A185,'13.mell_ÖNKfeladatok2018'!AO$168:AO$323)</f>
        <v>0</v>
      </c>
      <c r="Q185" s="567">
        <f>+SUMIF('13.mell_ÖNKfeladatok2018'!$B$168:$B$323,'14.mell_Önk kiegészítés2018'!$A185,'13.mell_ÖNKfeladatok2018'!AS$168:AS$323)</f>
        <v>0</v>
      </c>
      <c r="R185" s="567">
        <f>+SUMIF('13.mell_ÖNKfeladatok2018'!$B$168:$B$323,'14.mell_Önk kiegészítés2018'!$A185,'13.mell_ÖNKfeladatok2018'!AW$168:AW$323)</f>
        <v>0</v>
      </c>
      <c r="S185" s="607">
        <f>SUM(K185:R185)</f>
        <v>24433</v>
      </c>
      <c r="T185" s="568">
        <f>S185-J185</f>
        <v>23284</v>
      </c>
      <c r="U185" s="1028">
        <f>+ROUND(SUMIF('10.mell_támogatások2018'!$B$6:$B$123,'14.mell_Önk kiegészítés2018'!$A185,'10.mell_támogatások2018'!F$6:F$123)/1000,0)+3438+2351+136-1313</f>
        <v>19772</v>
      </c>
      <c r="V185" s="569">
        <f>+T185-U185</f>
        <v>3512</v>
      </c>
      <c r="W185" s="1195"/>
      <c r="AD185" s="266">
        <v>3438</v>
      </c>
      <c r="AE185" s="266">
        <v>2351</v>
      </c>
      <c r="AG185" s="266">
        <f>(83+16)+(31+6)</f>
        <v>136</v>
      </c>
      <c r="AI185" s="266">
        <v>-1313</v>
      </c>
    </row>
    <row r="186" spans="1:43" ht="12.75" thickBot="1">
      <c r="A186" s="903">
        <f>+A185+1</f>
        <v>26</v>
      </c>
      <c r="B186" s="579" t="s">
        <v>1199</v>
      </c>
      <c r="C186" s="580">
        <f>+SUMIF('13.mell_ÖNKfeladatok2018'!$B$5:$B$160,'14.mell_Önk kiegészítés2018'!$A186,'13.mell_ÖNKfeladatok2018'!Q$5:Q$160)</f>
        <v>0</v>
      </c>
      <c r="D186" s="580">
        <f>+SUMIF('13.mell_ÖNKfeladatok2018'!$B$5:$B$160,'14.mell_Önk kiegészítés2018'!$A186,'13.mell_ÖNKfeladatok2018'!U$5:U$160)</f>
        <v>0</v>
      </c>
      <c r="E186" s="580">
        <f>+SUMIF('13.mell_ÖNKfeladatok2018'!$B$5:$B$160,'14.mell_Önk kiegészítés2018'!$A186,'13.mell_ÖNKfeladatok2018'!Y$5:Y$160)</f>
        <v>152</v>
      </c>
      <c r="F186" s="580">
        <f>+SUMIF('13.mell_ÖNKfeladatok2018'!$B$5:$B$160,'14.mell_Önk kiegészítés2018'!$A186,'13.mell_ÖNKfeladatok2018'!AC$5:AC$160)</f>
        <v>0</v>
      </c>
      <c r="G186" s="580">
        <f>+SUMIF('13.mell_ÖNKfeladatok2018'!$B$5:$B$160,'14.mell_Önk kiegészítés2018'!$A186,'13.mell_ÖNKfeladatok2018'!AK$5:AK$160)</f>
        <v>0</v>
      </c>
      <c r="H186" s="580">
        <f>+SUMIF('13.mell_ÖNKfeladatok2018'!$B$5:$B$160,'14.mell_Önk kiegészítés2018'!$A186,'13.mell_ÖNKfeladatok2018'!AO$5:AO$160)</f>
        <v>0</v>
      </c>
      <c r="I186" s="580">
        <f>+SUMIF('13.mell_ÖNKfeladatok2018'!$B$5:$B$160,'14.mell_Önk kiegészítés2018'!$A186,'13.mell_ÖNKfeladatok2018'!AS$5:AS$160)</f>
        <v>0</v>
      </c>
      <c r="J186" s="609">
        <f t="shared" si="116"/>
        <v>152</v>
      </c>
      <c r="K186" s="580">
        <f>+SUMIF('13.mell_ÖNKfeladatok2018'!$B$168:$B$323,'14.mell_Önk kiegészítés2018'!$A186,'13.mell_ÖNKfeladatok2018'!Q$168:Q$323)</f>
        <v>3863</v>
      </c>
      <c r="L186" s="580">
        <f>+SUMIF('13.mell_ÖNKfeladatok2018'!$B$168:$B$323,'14.mell_Önk kiegészítés2018'!$A186,'13.mell_ÖNKfeladatok2018'!U$168:U$323)</f>
        <v>761</v>
      </c>
      <c r="M186" s="580">
        <f>+SUMIF('13.mell_ÖNKfeladatok2018'!$B$168:$B$323,'14.mell_Önk kiegészítés2018'!$A186,'13.mell_ÖNKfeladatok2018'!Y$168:Y$323)</f>
        <v>2156</v>
      </c>
      <c r="N186" s="580">
        <f>+SUMIF('13.mell_ÖNKfeladatok2018'!$B$168:$B$323,'14.mell_Önk kiegészítés2018'!$A186,'13.mell_ÖNKfeladatok2018'!AC$168:AC$323)</f>
        <v>0</v>
      </c>
      <c r="O186" s="580">
        <f>+SUMIF('13.mell_ÖNKfeladatok2018'!$B$168:$B$323,'14.mell_Önk kiegészítés2018'!$A186,'13.mell_ÖNKfeladatok2018'!AG$168:AG$323)</f>
        <v>0</v>
      </c>
      <c r="P186" s="580">
        <f>+SUMIF('13.mell_ÖNKfeladatok2018'!$B$168:$B$323,'14.mell_Önk kiegészítés2018'!$A186,'13.mell_ÖNKfeladatok2018'!AO$168:AO$323)</f>
        <v>19</v>
      </c>
      <c r="Q186" s="580">
        <f>+SUMIF('13.mell_ÖNKfeladatok2018'!$B$168:$B$323,'14.mell_Önk kiegészítés2018'!$A186,'13.mell_ÖNKfeladatok2018'!AS$168:AS$323)</f>
        <v>0</v>
      </c>
      <c r="R186" s="580">
        <f>+SUMIF('13.mell_ÖNKfeladatok2018'!$B$168:$B$323,'14.mell_Önk kiegészítés2018'!$A186,'13.mell_ÖNKfeladatok2018'!AW$168:AW$323)</f>
        <v>0</v>
      </c>
      <c r="S186" s="609">
        <f>SUM(K186:R186)</f>
        <v>6799</v>
      </c>
      <c r="T186" s="904">
        <f>S186-J186</f>
        <v>6647</v>
      </c>
      <c r="U186" s="1031">
        <f>+ROUND(SUMIF('10.mell_támogatások2018'!$B$6:$B$123,'14.mell_Önk kiegészítés2018'!$A186,'10.mell_támogatások2018'!F$6:F$123)/1000,0)</f>
        <v>6679</v>
      </c>
      <c r="V186" s="905">
        <f>+T186-U186</f>
        <v>-32</v>
      </c>
      <c r="W186" s="1195"/>
    </row>
    <row r="187" spans="1:43" s="558" customFormat="1" ht="12.75" thickBot="1">
      <c r="A187" s="356" t="s">
        <v>805</v>
      </c>
      <c r="B187" s="517" t="s">
        <v>421</v>
      </c>
      <c r="C187" s="574">
        <f>SUM(C184:C186)</f>
        <v>0</v>
      </c>
      <c r="D187" s="574">
        <f t="shared" ref="D187:V187" si="117">SUM(D184:D186)</f>
        <v>0</v>
      </c>
      <c r="E187" s="574">
        <f t="shared" si="117"/>
        <v>889</v>
      </c>
      <c r="F187" s="574">
        <f t="shared" si="117"/>
        <v>12</v>
      </c>
      <c r="G187" s="574">
        <f t="shared" si="117"/>
        <v>0</v>
      </c>
      <c r="H187" s="574">
        <f t="shared" si="117"/>
        <v>400</v>
      </c>
      <c r="I187" s="574">
        <f t="shared" si="117"/>
        <v>0</v>
      </c>
      <c r="J187" s="577">
        <f t="shared" si="117"/>
        <v>1301</v>
      </c>
      <c r="K187" s="574">
        <f t="shared" si="117"/>
        <v>19464</v>
      </c>
      <c r="L187" s="574">
        <f t="shared" si="117"/>
        <v>3730</v>
      </c>
      <c r="M187" s="574">
        <f t="shared" si="117"/>
        <v>9652</v>
      </c>
      <c r="N187" s="574">
        <f t="shared" si="117"/>
        <v>0</v>
      </c>
      <c r="O187" s="574">
        <f t="shared" si="117"/>
        <v>116</v>
      </c>
      <c r="P187" s="574">
        <f t="shared" si="117"/>
        <v>19</v>
      </c>
      <c r="Q187" s="574">
        <f t="shared" si="117"/>
        <v>0</v>
      </c>
      <c r="R187" s="574">
        <f t="shared" si="117"/>
        <v>0</v>
      </c>
      <c r="S187" s="577">
        <f t="shared" si="117"/>
        <v>32981</v>
      </c>
      <c r="T187" s="574">
        <f t="shared" si="117"/>
        <v>31680</v>
      </c>
      <c r="U187" s="578">
        <f t="shared" si="117"/>
        <v>27764</v>
      </c>
      <c r="V187" s="577">
        <f t="shared" si="117"/>
        <v>3916</v>
      </c>
      <c r="W187" s="1195"/>
      <c r="AC187" s="266"/>
      <c r="AD187" s="266"/>
      <c r="AE187" s="266"/>
      <c r="AF187" s="266"/>
      <c r="AG187" s="266"/>
      <c r="AH187" s="266"/>
      <c r="AI187" s="266"/>
      <c r="AJ187" s="266"/>
      <c r="AK187" s="266"/>
      <c r="AL187" s="266"/>
      <c r="AM187" s="266"/>
      <c r="AN187" s="266"/>
      <c r="AO187" s="266"/>
      <c r="AP187" s="266"/>
      <c r="AQ187" s="266"/>
    </row>
    <row r="188" spans="1:43" ht="12.75" thickBot="1">
      <c r="A188" s="908">
        <f>+A186+1</f>
        <v>27</v>
      </c>
      <c r="B188" s="909" t="s">
        <v>807</v>
      </c>
      <c r="C188" s="910">
        <f>+SUMIF('13.mell_ÖNKfeladatok2018'!$B$5:$B$160,'14.mell_Önk kiegészítés2018'!$A188,'13.mell_ÖNKfeladatok2018'!Q$5:Q$160)</f>
        <v>0</v>
      </c>
      <c r="D188" s="910">
        <f>+SUMIF('13.mell_ÖNKfeladatok2018'!$B$5:$B$160,'14.mell_Önk kiegészítés2018'!$A188,'13.mell_ÖNKfeladatok2018'!U$5:U$160)</f>
        <v>0</v>
      </c>
      <c r="E188" s="910">
        <f>+SUMIF('13.mell_ÖNKfeladatok2018'!$B$5:$B$160,'14.mell_Önk kiegészítés2018'!$A188,'13.mell_ÖNKfeladatok2018'!Y$5:Y$160)</f>
        <v>0</v>
      </c>
      <c r="F188" s="910">
        <f>+SUMIF('13.mell_ÖNKfeladatok2018'!$B$5:$B$160,'14.mell_Önk kiegészítés2018'!$A188,'13.mell_ÖNKfeladatok2018'!AC$5:AC$160)</f>
        <v>0</v>
      </c>
      <c r="G188" s="910">
        <f>+SUMIF('13.mell_ÖNKfeladatok2018'!$B$5:$B$160,'14.mell_Önk kiegészítés2018'!$A188,'13.mell_ÖNKfeladatok2018'!AK$5:AK$160)</f>
        <v>0</v>
      </c>
      <c r="H188" s="910">
        <f>+SUMIF('13.mell_ÖNKfeladatok2018'!$B$5:$B$160,'14.mell_Önk kiegészítés2018'!$A188,'13.mell_ÖNKfeladatok2018'!AO$5:AO$160)</f>
        <v>0</v>
      </c>
      <c r="I188" s="910">
        <f>+SUMIF('13.mell_ÖNKfeladatok2018'!$B$5:$B$160,'14.mell_Önk kiegészítés2018'!$A188,'13.mell_ÖNKfeladatok2018'!AS$5:AS$160)</f>
        <v>0</v>
      </c>
      <c r="J188" s="911">
        <f>SUM(C188:I188)</f>
        <v>0</v>
      </c>
      <c r="K188" s="910">
        <f>+SUMIF('13.mell_ÖNKfeladatok2018'!$B$168:$B$323,'14.mell_Önk kiegészítés2018'!$A188,'13.mell_ÖNKfeladatok2018'!Q$168:Q$323)</f>
        <v>0</v>
      </c>
      <c r="L188" s="910">
        <f>+SUMIF('13.mell_ÖNKfeladatok2018'!$B$168:$B$323,'14.mell_Önk kiegészítés2018'!$A188,'13.mell_ÖNKfeladatok2018'!U$168:U$323)</f>
        <v>0</v>
      </c>
      <c r="M188" s="910">
        <f>+SUMIF('13.mell_ÖNKfeladatok2018'!$B$168:$B$323,'14.mell_Önk kiegészítés2018'!$A188,'13.mell_ÖNKfeladatok2018'!Y$168:Y$323)</f>
        <v>0</v>
      </c>
      <c r="N188" s="910">
        <f>+SUMIF('13.mell_ÖNKfeladatok2018'!$B$168:$B$323,'14.mell_Önk kiegészítés2018'!$A188,'13.mell_ÖNKfeladatok2018'!AC$168:AC$323)</f>
        <v>0</v>
      </c>
      <c r="O188" s="910">
        <f>+SUMIF('13.mell_ÖNKfeladatok2018'!$B$168:$B$323,'14.mell_Önk kiegészítés2018'!$A188,'13.mell_ÖNKfeladatok2018'!AG$168:AG$323)</f>
        <v>0</v>
      </c>
      <c r="P188" s="910">
        <f>+SUMIF('13.mell_ÖNKfeladatok2018'!$B$168:$B$323,'14.mell_Önk kiegészítés2018'!$A188,'13.mell_ÖNKfeladatok2018'!AO$168:AO$323)</f>
        <v>0</v>
      </c>
      <c r="Q188" s="910">
        <f>+SUMIF('13.mell_ÖNKfeladatok2018'!$B$168:$B$323,'14.mell_Önk kiegészítés2018'!$A188,'13.mell_ÖNKfeladatok2018'!AS$168:AS$323)</f>
        <v>0</v>
      </c>
      <c r="R188" s="910">
        <f>+SUMIF('13.mell_ÖNKfeladatok2018'!$B$168:$B$323,'14.mell_Önk kiegészítés2018'!$A188,'13.mell_ÖNKfeladatok2018'!AW$168:AW$323)</f>
        <v>0</v>
      </c>
      <c r="S188" s="911">
        <f>SUM(K188:R188)</f>
        <v>0</v>
      </c>
      <c r="T188" s="574">
        <f>S188-J188</f>
        <v>0</v>
      </c>
      <c r="U188" s="1032">
        <f>+ROUND(SUMIF('10.mell_támogatások2018'!$B$6:$B$123,'14.mell_Önk kiegészítés2018'!$A188,'10.mell_támogatások2018'!F$6:F$123)/1000,0)</f>
        <v>0</v>
      </c>
      <c r="V188" s="577">
        <f>+T188-U188</f>
        <v>0</v>
      </c>
      <c r="W188" s="1195"/>
    </row>
    <row r="189" spans="1:43" s="558" customFormat="1" ht="12.75" thickBot="1">
      <c r="A189" s="1044" t="s">
        <v>641</v>
      </c>
      <c r="B189" s="528" t="s">
        <v>807</v>
      </c>
      <c r="C189" s="906">
        <f>SUM(C188)</f>
        <v>0</v>
      </c>
      <c r="D189" s="906">
        <f t="shared" ref="D189:V189" si="118">SUM(D188)</f>
        <v>0</v>
      </c>
      <c r="E189" s="906">
        <f t="shared" si="118"/>
        <v>0</v>
      </c>
      <c r="F189" s="906">
        <f t="shared" si="118"/>
        <v>0</v>
      </c>
      <c r="G189" s="906">
        <f t="shared" si="118"/>
        <v>0</v>
      </c>
      <c r="H189" s="906">
        <f t="shared" si="118"/>
        <v>0</v>
      </c>
      <c r="I189" s="906">
        <f t="shared" si="118"/>
        <v>0</v>
      </c>
      <c r="J189" s="907">
        <f t="shared" si="118"/>
        <v>0</v>
      </c>
      <c r="K189" s="906">
        <f t="shared" si="118"/>
        <v>0</v>
      </c>
      <c r="L189" s="906">
        <f t="shared" si="118"/>
        <v>0</v>
      </c>
      <c r="M189" s="906">
        <f t="shared" si="118"/>
        <v>0</v>
      </c>
      <c r="N189" s="906">
        <f t="shared" si="118"/>
        <v>0</v>
      </c>
      <c r="O189" s="906">
        <f t="shared" si="118"/>
        <v>0</v>
      </c>
      <c r="P189" s="906">
        <f t="shared" si="118"/>
        <v>0</v>
      </c>
      <c r="Q189" s="906">
        <f t="shared" si="118"/>
        <v>0</v>
      </c>
      <c r="R189" s="906">
        <f t="shared" si="118"/>
        <v>0</v>
      </c>
      <c r="S189" s="907">
        <f t="shared" si="118"/>
        <v>0</v>
      </c>
      <c r="T189" s="906">
        <f t="shared" si="118"/>
        <v>0</v>
      </c>
      <c r="U189" s="1033">
        <f t="shared" si="118"/>
        <v>0</v>
      </c>
      <c r="V189" s="907">
        <f t="shared" si="118"/>
        <v>0</v>
      </c>
      <c r="W189" s="1195"/>
      <c r="AC189" s="266"/>
      <c r="AD189" s="266"/>
      <c r="AE189" s="266"/>
      <c r="AF189" s="266"/>
      <c r="AG189" s="266"/>
      <c r="AH189" s="266"/>
      <c r="AI189" s="266"/>
      <c r="AJ189" s="266"/>
      <c r="AK189" s="266"/>
      <c r="AL189" s="266"/>
      <c r="AM189" s="266"/>
      <c r="AN189" s="266"/>
      <c r="AO189" s="266"/>
      <c r="AP189" s="266"/>
      <c r="AQ189" s="266"/>
    </row>
    <row r="190" spans="1:43" ht="12.75" thickBot="1">
      <c r="A190" s="908">
        <f>+A188+1</f>
        <v>28</v>
      </c>
      <c r="B190" s="909" t="s">
        <v>822</v>
      </c>
      <c r="C190" s="910">
        <f>+SUMIF('13.mell_ÖNKfeladatok2018'!$B$5:$B$160,'14.mell_Önk kiegészítés2018'!$A190,'13.mell_ÖNKfeladatok2018'!Q$5:Q$160)</f>
        <v>0</v>
      </c>
      <c r="D190" s="910">
        <f>+SUMIF('13.mell_ÖNKfeladatok2018'!$B$5:$B$160,'14.mell_Önk kiegészítés2018'!$A190,'13.mell_ÖNKfeladatok2018'!U$5:U$160)</f>
        <v>0</v>
      </c>
      <c r="E190" s="910">
        <f>+SUMIF('13.mell_ÖNKfeladatok2018'!$B$5:$B$160,'14.mell_Önk kiegészítés2018'!$A190,'13.mell_ÖNKfeladatok2018'!Y$5:Y$160)</f>
        <v>0</v>
      </c>
      <c r="F190" s="910">
        <f>+SUMIF('13.mell_ÖNKfeladatok2018'!$B$5:$B$160,'14.mell_Önk kiegészítés2018'!$A190,'13.mell_ÖNKfeladatok2018'!AC$5:AC$160)</f>
        <v>0</v>
      </c>
      <c r="G190" s="910">
        <f>+SUMIF('13.mell_ÖNKfeladatok2018'!$B$5:$B$160,'14.mell_Önk kiegészítés2018'!$A190,'13.mell_ÖNKfeladatok2018'!AK$5:AK$160)</f>
        <v>0</v>
      </c>
      <c r="H190" s="910">
        <f>+SUMIF('13.mell_ÖNKfeladatok2018'!$B$5:$B$160,'14.mell_Önk kiegészítés2018'!$A190,'13.mell_ÖNKfeladatok2018'!AO$5:AO$160)</f>
        <v>0</v>
      </c>
      <c r="I190" s="910">
        <f>+SUMIF('13.mell_ÖNKfeladatok2018'!$B$5:$B$160,'14.mell_Önk kiegészítés2018'!$A190,'13.mell_ÖNKfeladatok2018'!AS$5:AS$160)</f>
        <v>0</v>
      </c>
      <c r="J190" s="911">
        <f>SUM(C190:I190)</f>
        <v>0</v>
      </c>
      <c r="K190" s="910">
        <f>+SUMIF('13.mell_ÖNKfeladatok2018'!$B$168:$B$323,'14.mell_Önk kiegészítés2018'!$A190,'13.mell_ÖNKfeladatok2018'!Q$168:Q$323)</f>
        <v>0</v>
      </c>
      <c r="L190" s="910">
        <f>+SUMIF('13.mell_ÖNKfeladatok2018'!$B$168:$B$323,'14.mell_Önk kiegészítés2018'!$A190,'13.mell_ÖNKfeladatok2018'!U$168:U$323)</f>
        <v>0</v>
      </c>
      <c r="M190" s="910">
        <f>+SUMIF('13.mell_ÖNKfeladatok2018'!$B$168:$B$323,'14.mell_Önk kiegészítés2018'!$A190,'13.mell_ÖNKfeladatok2018'!Y$168:Y$323)</f>
        <v>0</v>
      </c>
      <c r="N190" s="910">
        <f>+SUMIF('13.mell_ÖNKfeladatok2018'!$B$168:$B$323,'14.mell_Önk kiegészítés2018'!$A190,'13.mell_ÖNKfeladatok2018'!AC$168:AC$323)</f>
        <v>0</v>
      </c>
      <c r="O190" s="910">
        <f>+SUMIF('13.mell_ÖNKfeladatok2018'!$B$168:$B$323,'14.mell_Önk kiegészítés2018'!$A190,'13.mell_ÖNKfeladatok2018'!AG$168:AG$323)</f>
        <v>0</v>
      </c>
      <c r="P190" s="910">
        <f>+SUMIF('13.mell_ÖNKfeladatok2018'!$B$168:$B$323,'14.mell_Önk kiegészítés2018'!$A190,'13.mell_ÖNKfeladatok2018'!AO$168:AO$323)</f>
        <v>0</v>
      </c>
      <c r="Q190" s="910">
        <f>+SUMIF('13.mell_ÖNKfeladatok2018'!$B$168:$B$323,'14.mell_Önk kiegészítés2018'!$A190,'13.mell_ÖNKfeladatok2018'!AS$168:AS$323)</f>
        <v>0</v>
      </c>
      <c r="R190" s="910">
        <f>+SUMIF('13.mell_ÖNKfeladatok2018'!$B$168:$B$323,'14.mell_Önk kiegészítés2018'!$A190,'13.mell_ÖNKfeladatok2018'!AW$168:AW$323)</f>
        <v>0</v>
      </c>
      <c r="S190" s="911">
        <f>SUM(K190:R190)</f>
        <v>0</v>
      </c>
      <c r="T190" s="574">
        <f>S190-J190</f>
        <v>0</v>
      </c>
      <c r="U190" s="1032">
        <f>+ROUND(SUMIF('10.mell_támogatások2018'!$B$6:$B$123,'14.mell_Önk kiegészítés2018'!$A190,'10.mell_támogatások2018'!F$6:F$123)/1000,0)</f>
        <v>0</v>
      </c>
      <c r="V190" s="577">
        <f>+T190-U190</f>
        <v>0</v>
      </c>
      <c r="W190" s="1195"/>
    </row>
    <row r="191" spans="1:43" s="558" customFormat="1" ht="12.75" thickBot="1">
      <c r="A191" s="1044" t="s">
        <v>806</v>
      </c>
      <c r="B191" s="528" t="s">
        <v>822</v>
      </c>
      <c r="C191" s="906">
        <f>SUM(C190)</f>
        <v>0</v>
      </c>
      <c r="D191" s="906">
        <f t="shared" ref="D191:V191" si="119">SUM(D190)</f>
        <v>0</v>
      </c>
      <c r="E191" s="906">
        <f t="shared" si="119"/>
        <v>0</v>
      </c>
      <c r="F191" s="906">
        <f t="shared" si="119"/>
        <v>0</v>
      </c>
      <c r="G191" s="906">
        <f t="shared" si="119"/>
        <v>0</v>
      </c>
      <c r="H191" s="906">
        <f t="shared" si="119"/>
        <v>0</v>
      </c>
      <c r="I191" s="906">
        <f t="shared" si="119"/>
        <v>0</v>
      </c>
      <c r="J191" s="907">
        <f t="shared" si="119"/>
        <v>0</v>
      </c>
      <c r="K191" s="906">
        <f t="shared" si="119"/>
        <v>0</v>
      </c>
      <c r="L191" s="906">
        <f t="shared" si="119"/>
        <v>0</v>
      </c>
      <c r="M191" s="906">
        <f t="shared" si="119"/>
        <v>0</v>
      </c>
      <c r="N191" s="906">
        <f t="shared" si="119"/>
        <v>0</v>
      </c>
      <c r="O191" s="906">
        <f t="shared" si="119"/>
        <v>0</v>
      </c>
      <c r="P191" s="906">
        <f t="shared" si="119"/>
        <v>0</v>
      </c>
      <c r="Q191" s="906">
        <f t="shared" si="119"/>
        <v>0</v>
      </c>
      <c r="R191" s="906">
        <f t="shared" si="119"/>
        <v>0</v>
      </c>
      <c r="S191" s="907">
        <f t="shared" si="119"/>
        <v>0</v>
      </c>
      <c r="T191" s="906">
        <f t="shared" si="119"/>
        <v>0</v>
      </c>
      <c r="U191" s="1033">
        <f t="shared" si="119"/>
        <v>0</v>
      </c>
      <c r="V191" s="907">
        <f t="shared" si="119"/>
        <v>0</v>
      </c>
      <c r="W191" s="1195"/>
      <c r="AC191" s="266"/>
      <c r="AD191" s="266"/>
      <c r="AE191" s="266"/>
      <c r="AF191" s="266"/>
      <c r="AG191" s="266"/>
      <c r="AH191" s="266"/>
      <c r="AI191" s="266"/>
      <c r="AJ191" s="266"/>
      <c r="AK191" s="266"/>
      <c r="AL191" s="266"/>
      <c r="AM191" s="266"/>
      <c r="AN191" s="266"/>
      <c r="AO191" s="266"/>
      <c r="AP191" s="266"/>
      <c r="AQ191" s="266"/>
    </row>
    <row r="192" spans="1:43" s="558" customFormat="1" ht="12.75" thickBot="1">
      <c r="A192" s="520" t="s">
        <v>20</v>
      </c>
      <c r="B192" s="530" t="s">
        <v>423</v>
      </c>
      <c r="C192" s="583">
        <f>+C187+C189+C191</f>
        <v>0</v>
      </c>
      <c r="D192" s="584">
        <f t="shared" ref="D192:V192" si="120">+D187+D189+D191</f>
        <v>0</v>
      </c>
      <c r="E192" s="584">
        <f t="shared" si="120"/>
        <v>889</v>
      </c>
      <c r="F192" s="584">
        <f t="shared" si="120"/>
        <v>12</v>
      </c>
      <c r="G192" s="584">
        <f t="shared" si="120"/>
        <v>0</v>
      </c>
      <c r="H192" s="584">
        <f t="shared" si="120"/>
        <v>400</v>
      </c>
      <c r="I192" s="585">
        <f t="shared" si="120"/>
        <v>0</v>
      </c>
      <c r="J192" s="586">
        <f t="shared" si="120"/>
        <v>1301</v>
      </c>
      <c r="K192" s="583">
        <f t="shared" si="120"/>
        <v>19464</v>
      </c>
      <c r="L192" s="583">
        <f t="shared" si="120"/>
        <v>3730</v>
      </c>
      <c r="M192" s="583">
        <f t="shared" si="120"/>
        <v>9652</v>
      </c>
      <c r="N192" s="583">
        <f t="shared" si="120"/>
        <v>0</v>
      </c>
      <c r="O192" s="583">
        <f t="shared" si="120"/>
        <v>116</v>
      </c>
      <c r="P192" s="583">
        <f t="shared" si="120"/>
        <v>19</v>
      </c>
      <c r="Q192" s="583">
        <f t="shared" si="120"/>
        <v>0</v>
      </c>
      <c r="R192" s="583">
        <f t="shared" si="120"/>
        <v>0</v>
      </c>
      <c r="S192" s="586">
        <f t="shared" si="120"/>
        <v>32981</v>
      </c>
      <c r="T192" s="583">
        <f t="shared" si="120"/>
        <v>31680</v>
      </c>
      <c r="U192" s="585">
        <f t="shared" si="120"/>
        <v>27764</v>
      </c>
      <c r="V192" s="586">
        <f t="shared" si="120"/>
        <v>3916</v>
      </c>
      <c r="W192" s="1195"/>
      <c r="AC192" s="266"/>
      <c r="AD192" s="266"/>
      <c r="AE192" s="266"/>
      <c r="AF192" s="266"/>
      <c r="AG192" s="266"/>
      <c r="AH192" s="266"/>
      <c r="AI192" s="266"/>
      <c r="AJ192" s="266"/>
      <c r="AK192" s="266"/>
      <c r="AL192" s="266"/>
      <c r="AM192" s="266"/>
      <c r="AN192" s="266"/>
      <c r="AO192" s="266"/>
      <c r="AP192" s="266"/>
      <c r="AQ192" s="266"/>
    </row>
    <row r="193" spans="1:43" s="198" customFormat="1" ht="12.75" thickBot="1">
      <c r="A193" s="542"/>
      <c r="B193" s="598"/>
      <c r="C193" s="587"/>
      <c r="D193" s="588"/>
      <c r="E193" s="588"/>
      <c r="F193" s="588"/>
      <c r="G193" s="588"/>
      <c r="H193" s="588"/>
      <c r="I193" s="589"/>
      <c r="J193" s="590"/>
      <c r="K193" s="599"/>
      <c r="L193" s="599"/>
      <c r="M193" s="599"/>
      <c r="N193" s="599"/>
      <c r="O193" s="599"/>
      <c r="P193" s="599"/>
      <c r="Q193" s="599"/>
      <c r="R193" s="599"/>
      <c r="S193" s="597"/>
      <c r="T193" s="594"/>
      <c r="U193" s="1034"/>
      <c r="V193" s="597"/>
      <c r="W193" s="1195"/>
      <c r="AC193" s="199"/>
      <c r="AD193" s="199"/>
      <c r="AE193" s="199"/>
      <c r="AF193" s="199"/>
      <c r="AG193" s="199"/>
      <c r="AH193" s="199"/>
      <c r="AI193" s="199"/>
      <c r="AJ193" s="199"/>
      <c r="AK193" s="199"/>
      <c r="AL193" s="199"/>
      <c r="AM193" s="199"/>
      <c r="AN193" s="199"/>
      <c r="AO193" s="199"/>
      <c r="AP193" s="199"/>
      <c r="AQ193" s="199"/>
    </row>
    <row r="194" spans="1:43" ht="12.75" thickBot="1">
      <c r="A194" s="850">
        <f>+A190+1</f>
        <v>29</v>
      </c>
      <c r="B194" s="755" t="s">
        <v>923</v>
      </c>
      <c r="C194" s="899">
        <f>+SUMIF('13.mell_ÖNKfeladatok2018'!$B$5:$B$160,'14.mell_Önk kiegészítés2018'!$A194,'13.mell_ÖNKfeladatok2018'!Q$5:Q$160)</f>
        <v>0</v>
      </c>
      <c r="D194" s="899">
        <f>+SUMIF('13.mell_ÖNKfeladatok2018'!$B$5:$B$160,'14.mell_Önk kiegészítés2018'!$A194,'13.mell_ÖNKfeladatok2018'!U$5:U$160)</f>
        <v>0</v>
      </c>
      <c r="E194" s="899">
        <f>+SUMIF('13.mell_ÖNKfeladatok2018'!$B$5:$B$160,'14.mell_Önk kiegészítés2018'!$A194,'13.mell_ÖNKfeladatok2018'!Y$5:Y$160)</f>
        <v>0</v>
      </c>
      <c r="F194" s="899">
        <f>+SUMIF('13.mell_ÖNKfeladatok2018'!$B$5:$B$160,'14.mell_Önk kiegészítés2018'!$A194,'13.mell_ÖNKfeladatok2018'!AC$5:AC$160)</f>
        <v>0</v>
      </c>
      <c r="G194" s="899">
        <f>+SUMIF('13.mell_ÖNKfeladatok2018'!$B$5:$B$160,'14.mell_Önk kiegészítés2018'!$A194,'13.mell_ÖNKfeladatok2018'!AK$5:AK$160)</f>
        <v>0</v>
      </c>
      <c r="H194" s="899">
        <f>+SUMIF('13.mell_ÖNKfeladatok2018'!$B$5:$B$160,'14.mell_Önk kiegészítés2018'!$A194,'13.mell_ÖNKfeladatok2018'!AO$5:AO$160)</f>
        <v>0</v>
      </c>
      <c r="I194" s="899">
        <f>+SUMIF('13.mell_ÖNKfeladatok2018'!$B$5:$B$160,'14.mell_Önk kiegészítés2018'!$A194,'13.mell_ÖNKfeladatok2018'!AS$5:AS$160)</f>
        <v>0</v>
      </c>
      <c r="J194" s="756">
        <f>SUM(C194:I194)</f>
        <v>0</v>
      </c>
      <c r="K194" s="899">
        <f>+SUMIF('13.mell_ÖNKfeladatok2018'!$B$168:$B$323,'14.mell_Önk kiegészítés2018'!$A194,'13.mell_ÖNKfeladatok2018'!Q$168:Q$323)</f>
        <v>0</v>
      </c>
      <c r="L194" s="899">
        <f>+SUMIF('13.mell_ÖNKfeladatok2018'!$B$168:$B$323,'14.mell_Önk kiegészítés2018'!$A194,'13.mell_ÖNKfeladatok2018'!U$168:U$323)</f>
        <v>0</v>
      </c>
      <c r="M194" s="899">
        <f>+SUMIF('13.mell_ÖNKfeladatok2018'!$B$168:$B$323,'14.mell_Önk kiegészítés2018'!$A194,'13.mell_ÖNKfeladatok2018'!Y$168:Y$323)</f>
        <v>0</v>
      </c>
      <c r="N194" s="899">
        <f>+SUMIF('13.mell_ÖNKfeladatok2018'!$B$168:$B$323,'14.mell_Önk kiegészítés2018'!$A194,'13.mell_ÖNKfeladatok2018'!AC$168:AC$323)</f>
        <v>0</v>
      </c>
      <c r="O194" s="899">
        <f>+SUMIF('13.mell_ÖNKfeladatok2018'!$B$168:$B$323,'14.mell_Önk kiegészítés2018'!$A194,'13.mell_ÖNKfeladatok2018'!AG$168:AG$323)</f>
        <v>0</v>
      </c>
      <c r="P194" s="899">
        <f>+SUMIF('13.mell_ÖNKfeladatok2018'!$B$168:$B$323,'14.mell_Önk kiegészítés2018'!$A194,'13.mell_ÖNKfeladatok2018'!AO$168:AO$323)</f>
        <v>0</v>
      </c>
      <c r="Q194" s="899">
        <f>+SUMIF('13.mell_ÖNKfeladatok2018'!$B$168:$B$323,'14.mell_Önk kiegészítés2018'!$A194,'13.mell_ÖNKfeladatok2018'!AS$168:AS$323)</f>
        <v>0</v>
      </c>
      <c r="R194" s="899">
        <f>+SUMIF('13.mell_ÖNKfeladatok2018'!$B$168:$B$323,'14.mell_Önk kiegészítés2018'!$A194,'13.mell_ÖNKfeladatok2018'!AW$168:AW$323)</f>
        <v>0</v>
      </c>
      <c r="S194" s="756">
        <f>SUM(K194:R194)</f>
        <v>0</v>
      </c>
      <c r="T194" s="757">
        <f>S194-J194</f>
        <v>0</v>
      </c>
      <c r="U194" s="1029">
        <f>+ROUND(SUMIF('10.mell_támogatások2018'!$B$6:$B$123,'14.mell_Önk kiegészítés2018'!$A194,'10.mell_támogatások2018'!F$6:F$123)/1000,0)</f>
        <v>0</v>
      </c>
      <c r="V194" s="758">
        <f>+T194-U194</f>
        <v>0</v>
      </c>
      <c r="W194" s="1195"/>
    </row>
    <row r="195" spans="1:43" s="558" customFormat="1" ht="12.75" thickBot="1">
      <c r="A195" s="356" t="s">
        <v>948</v>
      </c>
      <c r="B195" s="517" t="s">
        <v>923</v>
      </c>
      <c r="C195" s="574">
        <f>SUM(C194)</f>
        <v>0</v>
      </c>
      <c r="D195" s="574">
        <f t="shared" ref="D195:V195" si="121">SUM(D194)</f>
        <v>0</v>
      </c>
      <c r="E195" s="574">
        <f t="shared" si="121"/>
        <v>0</v>
      </c>
      <c r="F195" s="574">
        <f t="shared" si="121"/>
        <v>0</v>
      </c>
      <c r="G195" s="574">
        <f t="shared" si="121"/>
        <v>0</v>
      </c>
      <c r="H195" s="574">
        <f t="shared" si="121"/>
        <v>0</v>
      </c>
      <c r="I195" s="574">
        <f t="shared" si="121"/>
        <v>0</v>
      </c>
      <c r="J195" s="577">
        <f t="shared" si="121"/>
        <v>0</v>
      </c>
      <c r="K195" s="574">
        <f t="shared" si="121"/>
        <v>0</v>
      </c>
      <c r="L195" s="574">
        <f t="shared" si="121"/>
        <v>0</v>
      </c>
      <c r="M195" s="574">
        <f t="shared" si="121"/>
        <v>0</v>
      </c>
      <c r="N195" s="574">
        <f t="shared" si="121"/>
        <v>0</v>
      </c>
      <c r="O195" s="574">
        <f t="shared" si="121"/>
        <v>0</v>
      </c>
      <c r="P195" s="574">
        <f t="shared" si="121"/>
        <v>0</v>
      </c>
      <c r="Q195" s="574">
        <f t="shared" si="121"/>
        <v>0</v>
      </c>
      <c r="R195" s="574">
        <f t="shared" si="121"/>
        <v>0</v>
      </c>
      <c r="S195" s="577">
        <f t="shared" si="121"/>
        <v>0</v>
      </c>
      <c r="T195" s="574">
        <f t="shared" si="121"/>
        <v>0</v>
      </c>
      <c r="U195" s="578">
        <f t="shared" si="121"/>
        <v>0</v>
      </c>
      <c r="V195" s="577">
        <f t="shared" si="121"/>
        <v>0</v>
      </c>
      <c r="W195" s="1195"/>
      <c r="AC195" s="266"/>
      <c r="AD195" s="266"/>
      <c r="AE195" s="266"/>
      <c r="AF195" s="266"/>
      <c r="AG195" s="266"/>
      <c r="AH195" s="266"/>
      <c r="AI195" s="266"/>
      <c r="AJ195" s="266"/>
      <c r="AK195" s="266"/>
      <c r="AL195" s="266"/>
      <c r="AM195" s="266"/>
      <c r="AN195" s="266"/>
      <c r="AO195" s="266"/>
      <c r="AP195" s="266"/>
      <c r="AQ195" s="266"/>
    </row>
    <row r="196" spans="1:43" ht="12.75" thickBot="1">
      <c r="A196" s="908">
        <f>+A194+1</f>
        <v>30</v>
      </c>
      <c r="B196" s="909" t="s">
        <v>1172</v>
      </c>
      <c r="C196" s="910">
        <f>+SUMIF('13.mell_ÖNKfeladatok2018'!$B$5:$B$160,'14.mell_Önk kiegészítés2018'!$A196,'13.mell_ÖNKfeladatok2018'!Q$5:Q$160)</f>
        <v>0</v>
      </c>
      <c r="D196" s="910">
        <f>+SUMIF('13.mell_ÖNKfeladatok2018'!$B$5:$B$160,'14.mell_Önk kiegészítés2018'!$A196,'13.mell_ÖNKfeladatok2018'!U$5:U$160)</f>
        <v>0</v>
      </c>
      <c r="E196" s="910">
        <f>+SUMIF('13.mell_ÖNKfeladatok2018'!$B$5:$B$160,'14.mell_Önk kiegészítés2018'!$A196,'13.mell_ÖNKfeladatok2018'!Y$5:Y$160)</f>
        <v>0</v>
      </c>
      <c r="F196" s="910">
        <f>+SUMIF('13.mell_ÖNKfeladatok2018'!$B$5:$B$160,'14.mell_Önk kiegészítés2018'!$A196,'13.mell_ÖNKfeladatok2018'!AC$5:AC$160)</f>
        <v>0</v>
      </c>
      <c r="G196" s="910">
        <f>+SUMIF('13.mell_ÖNKfeladatok2018'!$B$5:$B$160,'14.mell_Önk kiegészítés2018'!$A196,'13.mell_ÖNKfeladatok2018'!AK$5:AK$160)</f>
        <v>0</v>
      </c>
      <c r="H196" s="910">
        <f>+SUMIF('13.mell_ÖNKfeladatok2018'!$B$5:$B$160,'14.mell_Önk kiegészítés2018'!$A196,'13.mell_ÖNKfeladatok2018'!AO$5:AO$160)</f>
        <v>0</v>
      </c>
      <c r="I196" s="910">
        <f>+SUMIF('13.mell_ÖNKfeladatok2018'!$B$5:$B$160,'14.mell_Önk kiegészítés2018'!$A196,'13.mell_ÖNKfeladatok2018'!AS$5:AS$160)</f>
        <v>0</v>
      </c>
      <c r="J196" s="911">
        <f>SUM(C196:I196)</f>
        <v>0</v>
      </c>
      <c r="K196" s="910">
        <f>+SUMIF('13.mell_ÖNKfeladatok2018'!$B$168:$B$323,'14.mell_Önk kiegészítés2018'!$A196,'13.mell_ÖNKfeladatok2018'!Q$168:Q$323)</f>
        <v>7870</v>
      </c>
      <c r="L196" s="910">
        <f>+SUMIF('13.mell_ÖNKfeladatok2018'!$B$168:$B$323,'14.mell_Önk kiegészítés2018'!$A196,'13.mell_ÖNKfeladatok2018'!U$168:U$323)</f>
        <v>1290</v>
      </c>
      <c r="M196" s="910">
        <f>+SUMIF('13.mell_ÖNKfeladatok2018'!$B$168:$B$323,'14.mell_Önk kiegészítés2018'!$A196,'13.mell_ÖNKfeladatok2018'!Y$168:Y$323)</f>
        <v>417</v>
      </c>
      <c r="N196" s="910">
        <f>+SUMIF('13.mell_ÖNKfeladatok2018'!$B$168:$B$323,'14.mell_Önk kiegészítés2018'!$A196,'13.mell_ÖNKfeladatok2018'!AC$168:AC$323)</f>
        <v>0</v>
      </c>
      <c r="O196" s="910">
        <f>+SUMIF('13.mell_ÖNKfeladatok2018'!$B$168:$B$323,'14.mell_Önk kiegészítés2018'!$A196,'13.mell_ÖNKfeladatok2018'!AG$168:AG$323)</f>
        <v>12</v>
      </c>
      <c r="P196" s="910">
        <f>+SUMIF('13.mell_ÖNKfeladatok2018'!$B$168:$B$323,'14.mell_Önk kiegészítés2018'!$A196,'13.mell_ÖNKfeladatok2018'!AO$168:AO$323)</f>
        <v>0</v>
      </c>
      <c r="Q196" s="910">
        <f>+SUMIF('13.mell_ÖNKfeladatok2018'!$B$168:$B$323,'14.mell_Önk kiegészítés2018'!$A196,'13.mell_ÖNKfeladatok2018'!AS$168:AS$323)</f>
        <v>0</v>
      </c>
      <c r="R196" s="910">
        <f>+SUMIF('13.mell_ÖNKfeladatok2018'!$B$168:$B$323,'14.mell_Önk kiegészítés2018'!$A196,'13.mell_ÖNKfeladatok2018'!AW$168:AW$323)</f>
        <v>0</v>
      </c>
      <c r="S196" s="911">
        <f>SUM(K196:R196)</f>
        <v>9589</v>
      </c>
      <c r="T196" s="574">
        <f>S196-J196</f>
        <v>9589</v>
      </c>
      <c r="U196" s="1032">
        <f>+ROUND(SUMIF('10.mell_támogatások2018'!$B$6:$B$123,'14.mell_Önk kiegészítés2018'!$A196,'10.mell_támogatások2018'!F$6:F$123)/1000,0)+13</f>
        <v>13</v>
      </c>
      <c r="V196" s="577">
        <f>+T196-U196</f>
        <v>9576</v>
      </c>
      <c r="W196" s="1195"/>
      <c r="AD196" s="266">
        <v>13</v>
      </c>
    </row>
    <row r="197" spans="1:43" s="558" customFormat="1" ht="12.75" thickBot="1">
      <c r="A197" s="1044" t="s">
        <v>949</v>
      </c>
      <c r="B197" s="528" t="s">
        <v>924</v>
      </c>
      <c r="C197" s="574">
        <f>SUM(C196)</f>
        <v>0</v>
      </c>
      <c r="D197" s="574">
        <f t="shared" ref="D197:V197" si="122">SUM(D196)</f>
        <v>0</v>
      </c>
      <c r="E197" s="574">
        <f t="shared" si="122"/>
        <v>0</v>
      </c>
      <c r="F197" s="574">
        <f t="shared" si="122"/>
        <v>0</v>
      </c>
      <c r="G197" s="574">
        <f t="shared" si="122"/>
        <v>0</v>
      </c>
      <c r="H197" s="574">
        <f t="shared" si="122"/>
        <v>0</v>
      </c>
      <c r="I197" s="574">
        <f t="shared" si="122"/>
        <v>0</v>
      </c>
      <c r="J197" s="577">
        <f t="shared" si="122"/>
        <v>0</v>
      </c>
      <c r="K197" s="574">
        <f t="shared" si="122"/>
        <v>7870</v>
      </c>
      <c r="L197" s="574">
        <f t="shared" si="122"/>
        <v>1290</v>
      </c>
      <c r="M197" s="574">
        <f t="shared" si="122"/>
        <v>417</v>
      </c>
      <c r="N197" s="574">
        <f t="shared" si="122"/>
        <v>0</v>
      </c>
      <c r="O197" s="574">
        <f t="shared" si="122"/>
        <v>12</v>
      </c>
      <c r="P197" s="574">
        <f t="shared" si="122"/>
        <v>0</v>
      </c>
      <c r="Q197" s="574">
        <f t="shared" si="122"/>
        <v>0</v>
      </c>
      <c r="R197" s="574">
        <f t="shared" si="122"/>
        <v>0</v>
      </c>
      <c r="S197" s="577">
        <f t="shared" si="122"/>
        <v>9589</v>
      </c>
      <c r="T197" s="574">
        <f t="shared" si="122"/>
        <v>9589</v>
      </c>
      <c r="U197" s="578">
        <f t="shared" si="122"/>
        <v>13</v>
      </c>
      <c r="V197" s="577">
        <f t="shared" si="122"/>
        <v>9576</v>
      </c>
      <c r="W197" s="1195"/>
      <c r="AC197" s="266"/>
      <c r="AD197" s="266"/>
      <c r="AE197" s="266"/>
      <c r="AF197" s="266"/>
      <c r="AG197" s="266"/>
      <c r="AH197" s="266"/>
      <c r="AI197" s="266"/>
      <c r="AJ197" s="266"/>
      <c r="AK197" s="266"/>
      <c r="AL197" s="266"/>
      <c r="AM197" s="266"/>
      <c r="AN197" s="266"/>
      <c r="AO197" s="266"/>
      <c r="AP197" s="266"/>
      <c r="AQ197" s="266"/>
    </row>
    <row r="198" spans="1:43" ht="12.75" thickBot="1">
      <c r="A198" s="908">
        <f>+A196+1</f>
        <v>31</v>
      </c>
      <c r="B198" s="909" t="s">
        <v>951</v>
      </c>
      <c r="C198" s="910">
        <f>+SUMIF('13.mell_ÖNKfeladatok2018'!$B$5:$B$160,'14.mell_Önk kiegészítés2018'!$A198,'13.mell_ÖNKfeladatok2018'!Q$5:Q$160)</f>
        <v>0</v>
      </c>
      <c r="D198" s="910">
        <f>+SUMIF('13.mell_ÖNKfeladatok2018'!$B$5:$B$160,'14.mell_Önk kiegészítés2018'!$A198,'13.mell_ÖNKfeladatok2018'!U$5:U$160)</f>
        <v>0</v>
      </c>
      <c r="E198" s="910">
        <f>+SUMIF('13.mell_ÖNKfeladatok2018'!$B$5:$B$160,'14.mell_Önk kiegészítés2018'!$A198,'13.mell_ÖNKfeladatok2018'!Y$5:Y$160)</f>
        <v>0</v>
      </c>
      <c r="F198" s="910">
        <f>+SUMIF('13.mell_ÖNKfeladatok2018'!$B$5:$B$160,'14.mell_Önk kiegészítés2018'!$A198,'13.mell_ÖNKfeladatok2018'!AC$5:AC$160)</f>
        <v>0</v>
      </c>
      <c r="G198" s="910">
        <f>+SUMIF('13.mell_ÖNKfeladatok2018'!$B$5:$B$160,'14.mell_Önk kiegészítés2018'!$A198,'13.mell_ÖNKfeladatok2018'!AK$5:AK$160)</f>
        <v>0</v>
      </c>
      <c r="H198" s="910">
        <f>+SUMIF('13.mell_ÖNKfeladatok2018'!$B$5:$B$160,'14.mell_Önk kiegészítés2018'!$A198,'13.mell_ÖNKfeladatok2018'!AO$5:AO$160)</f>
        <v>0</v>
      </c>
      <c r="I198" s="910">
        <f>+SUMIF('13.mell_ÖNKfeladatok2018'!$B$5:$B$160,'14.mell_Önk kiegészítés2018'!$A198,'13.mell_ÖNKfeladatok2018'!AS$5:AS$160)</f>
        <v>0</v>
      </c>
      <c r="J198" s="911">
        <f>SUM(C198:I198)</f>
        <v>0</v>
      </c>
      <c r="K198" s="910">
        <f>+SUMIF('13.mell_ÖNKfeladatok2018'!$B$168:$B$323,'14.mell_Önk kiegészítés2018'!$A198,'13.mell_ÖNKfeladatok2018'!Q$168:Q$323)</f>
        <v>0</v>
      </c>
      <c r="L198" s="910">
        <f>+SUMIF('13.mell_ÖNKfeladatok2018'!$B$168:$B$323,'14.mell_Önk kiegészítés2018'!$A198,'13.mell_ÖNKfeladatok2018'!U$168:U$323)</f>
        <v>0</v>
      </c>
      <c r="M198" s="910">
        <f>+SUMIF('13.mell_ÖNKfeladatok2018'!$B$168:$B$323,'14.mell_Önk kiegészítés2018'!$A198,'13.mell_ÖNKfeladatok2018'!Y$168:Y$323)</f>
        <v>0</v>
      </c>
      <c r="N198" s="910">
        <f>+SUMIF('13.mell_ÖNKfeladatok2018'!$B$168:$B$323,'14.mell_Önk kiegészítés2018'!$A198,'13.mell_ÖNKfeladatok2018'!AC$168:AC$323)</f>
        <v>0</v>
      </c>
      <c r="O198" s="910">
        <f>+SUMIF('13.mell_ÖNKfeladatok2018'!$B$168:$B$323,'14.mell_Önk kiegészítés2018'!$A198,'13.mell_ÖNKfeladatok2018'!AG$168:AG$323)</f>
        <v>0</v>
      </c>
      <c r="P198" s="910">
        <f>+SUMIF('13.mell_ÖNKfeladatok2018'!$B$168:$B$323,'14.mell_Önk kiegészítés2018'!$A198,'13.mell_ÖNKfeladatok2018'!AO$168:AO$323)</f>
        <v>0</v>
      </c>
      <c r="Q198" s="910">
        <f>+SUMIF('13.mell_ÖNKfeladatok2018'!$B$168:$B$323,'14.mell_Önk kiegészítés2018'!$A198,'13.mell_ÖNKfeladatok2018'!AS$168:AS$323)</f>
        <v>0</v>
      </c>
      <c r="R198" s="910">
        <f>+SUMIF('13.mell_ÖNKfeladatok2018'!$B$168:$B$323,'14.mell_Önk kiegészítés2018'!$A198,'13.mell_ÖNKfeladatok2018'!AW$168:AW$323)</f>
        <v>0</v>
      </c>
      <c r="S198" s="911">
        <f>SUM(K198:R198)</f>
        <v>0</v>
      </c>
      <c r="T198" s="574">
        <f>S198-J198</f>
        <v>0</v>
      </c>
      <c r="U198" s="1032">
        <f>+ROUND(SUMIF('10.mell_támogatások2018'!$B$6:$B$123,'14.mell_Önk kiegészítés2018'!$A198,'10.mell_támogatások2018'!F$6:F$123)/1000,0)</f>
        <v>0</v>
      </c>
      <c r="V198" s="577">
        <f>+T198-U198</f>
        <v>0</v>
      </c>
      <c r="W198" s="1195"/>
    </row>
    <row r="199" spans="1:43" s="558" customFormat="1" ht="12.75" thickBot="1">
      <c r="A199" s="1044" t="s">
        <v>950</v>
      </c>
      <c r="B199" s="528" t="s">
        <v>951</v>
      </c>
      <c r="C199" s="574">
        <f>SUM(C198)</f>
        <v>0</v>
      </c>
      <c r="D199" s="574">
        <f t="shared" ref="D199:V199" si="123">SUM(D198)</f>
        <v>0</v>
      </c>
      <c r="E199" s="574">
        <f t="shared" si="123"/>
        <v>0</v>
      </c>
      <c r="F199" s="574">
        <f t="shared" si="123"/>
        <v>0</v>
      </c>
      <c r="G199" s="574">
        <f t="shared" si="123"/>
        <v>0</v>
      </c>
      <c r="H199" s="574">
        <f t="shared" si="123"/>
        <v>0</v>
      </c>
      <c r="I199" s="574">
        <f t="shared" si="123"/>
        <v>0</v>
      </c>
      <c r="J199" s="577">
        <f t="shared" si="123"/>
        <v>0</v>
      </c>
      <c r="K199" s="574">
        <f t="shared" si="123"/>
        <v>0</v>
      </c>
      <c r="L199" s="574">
        <f t="shared" si="123"/>
        <v>0</v>
      </c>
      <c r="M199" s="574">
        <f t="shared" si="123"/>
        <v>0</v>
      </c>
      <c r="N199" s="574">
        <f t="shared" si="123"/>
        <v>0</v>
      </c>
      <c r="O199" s="574">
        <f t="shared" si="123"/>
        <v>0</v>
      </c>
      <c r="P199" s="574">
        <f t="shared" si="123"/>
        <v>0</v>
      </c>
      <c r="Q199" s="574">
        <f t="shared" si="123"/>
        <v>0</v>
      </c>
      <c r="R199" s="574">
        <f t="shared" si="123"/>
        <v>0</v>
      </c>
      <c r="S199" s="577">
        <f t="shared" si="123"/>
        <v>0</v>
      </c>
      <c r="T199" s="574">
        <f t="shared" si="123"/>
        <v>0</v>
      </c>
      <c r="U199" s="578">
        <f t="shared" si="123"/>
        <v>0</v>
      </c>
      <c r="V199" s="577">
        <f t="shared" si="123"/>
        <v>0</v>
      </c>
      <c r="W199" s="1195"/>
      <c r="AC199" s="266"/>
      <c r="AD199" s="266"/>
      <c r="AE199" s="266"/>
      <c r="AF199" s="266"/>
      <c r="AG199" s="266"/>
      <c r="AH199" s="266"/>
      <c r="AI199" s="266"/>
      <c r="AJ199" s="266"/>
      <c r="AK199" s="266"/>
      <c r="AL199" s="266"/>
      <c r="AM199" s="266"/>
      <c r="AN199" s="266"/>
      <c r="AO199" s="266"/>
      <c r="AP199" s="266"/>
      <c r="AQ199" s="266"/>
    </row>
    <row r="200" spans="1:43" s="558" customFormat="1" ht="12.75" thickBot="1">
      <c r="A200" s="520" t="s">
        <v>560</v>
      </c>
      <c r="B200" s="530" t="s">
        <v>925</v>
      </c>
      <c r="C200" s="583">
        <f>+C195+C197+C199</f>
        <v>0</v>
      </c>
      <c r="D200" s="583">
        <f t="shared" ref="D200:V200" si="124">+D195+D197+D199</f>
        <v>0</v>
      </c>
      <c r="E200" s="583">
        <f t="shared" si="124"/>
        <v>0</v>
      </c>
      <c r="F200" s="583">
        <f t="shared" si="124"/>
        <v>0</v>
      </c>
      <c r="G200" s="583">
        <f t="shared" si="124"/>
        <v>0</v>
      </c>
      <c r="H200" s="583">
        <f t="shared" si="124"/>
        <v>0</v>
      </c>
      <c r="I200" s="583">
        <f t="shared" si="124"/>
        <v>0</v>
      </c>
      <c r="J200" s="586">
        <f t="shared" si="124"/>
        <v>0</v>
      </c>
      <c r="K200" s="583">
        <f t="shared" si="124"/>
        <v>7870</v>
      </c>
      <c r="L200" s="583">
        <f t="shared" si="124"/>
        <v>1290</v>
      </c>
      <c r="M200" s="583">
        <f t="shared" si="124"/>
        <v>417</v>
      </c>
      <c r="N200" s="583">
        <f t="shared" si="124"/>
        <v>0</v>
      </c>
      <c r="O200" s="583">
        <f t="shared" si="124"/>
        <v>12</v>
      </c>
      <c r="P200" s="583">
        <f t="shared" si="124"/>
        <v>0</v>
      </c>
      <c r="Q200" s="583">
        <f t="shared" si="124"/>
        <v>0</v>
      </c>
      <c r="R200" s="583">
        <f t="shared" si="124"/>
        <v>0</v>
      </c>
      <c r="S200" s="586">
        <f t="shared" si="124"/>
        <v>9589</v>
      </c>
      <c r="T200" s="583">
        <f t="shared" si="124"/>
        <v>9589</v>
      </c>
      <c r="U200" s="585">
        <f t="shared" si="124"/>
        <v>13</v>
      </c>
      <c r="V200" s="586">
        <f t="shared" si="124"/>
        <v>9576</v>
      </c>
      <c r="W200" s="1195"/>
      <c r="AC200" s="266"/>
      <c r="AD200" s="266"/>
      <c r="AE200" s="266"/>
      <c r="AF200" s="266"/>
      <c r="AG200" s="266"/>
      <c r="AH200" s="266"/>
      <c r="AI200" s="266"/>
      <c r="AJ200" s="266"/>
      <c r="AK200" s="266"/>
      <c r="AL200" s="266"/>
      <c r="AM200" s="266"/>
      <c r="AN200" s="266"/>
      <c r="AO200" s="266"/>
      <c r="AP200" s="266"/>
      <c r="AQ200" s="266"/>
    </row>
    <row r="201" spans="1:43" s="198" customFormat="1" ht="12.75" thickBot="1">
      <c r="A201" s="542"/>
      <c r="B201" s="598"/>
      <c r="C201" s="587"/>
      <c r="D201" s="588"/>
      <c r="E201" s="588"/>
      <c r="F201" s="588"/>
      <c r="G201" s="588"/>
      <c r="H201" s="588"/>
      <c r="I201" s="589"/>
      <c r="J201" s="590"/>
      <c r="K201" s="599"/>
      <c r="L201" s="599"/>
      <c r="M201" s="599"/>
      <c r="N201" s="599"/>
      <c r="O201" s="599"/>
      <c r="P201" s="599"/>
      <c r="Q201" s="599"/>
      <c r="R201" s="599"/>
      <c r="S201" s="597"/>
      <c r="T201" s="594"/>
      <c r="U201" s="1034"/>
      <c r="V201" s="597"/>
      <c r="W201" s="1195"/>
      <c r="AC201" s="199"/>
      <c r="AD201" s="199"/>
      <c r="AE201" s="199"/>
      <c r="AF201" s="199"/>
      <c r="AG201" s="199"/>
      <c r="AH201" s="199"/>
      <c r="AI201" s="199"/>
      <c r="AJ201" s="199"/>
      <c r="AK201" s="199"/>
      <c r="AL201" s="199"/>
      <c r="AM201" s="199"/>
      <c r="AN201" s="199"/>
      <c r="AO201" s="199"/>
      <c r="AP201" s="199"/>
      <c r="AQ201" s="199"/>
    </row>
    <row r="202" spans="1:43" ht="12.75" thickBot="1">
      <c r="A202" s="850">
        <f>+A198+1</f>
        <v>32</v>
      </c>
      <c r="B202" s="755" t="s">
        <v>1270</v>
      </c>
      <c r="C202" s="899">
        <f>+SUMIF('13.mell_ÖNKfeladatok2018'!$B$5:$B$160,'14.mell_Önk kiegészítés2018'!$A202,'13.mell_ÖNKfeladatok2018'!Q$5:Q$160)</f>
        <v>0</v>
      </c>
      <c r="D202" s="899">
        <f>+SUMIF('13.mell_ÖNKfeladatok2018'!$B$5:$B$160,'14.mell_Önk kiegészítés2018'!$A202,'13.mell_ÖNKfeladatok2018'!U$5:U$160)</f>
        <v>0</v>
      </c>
      <c r="E202" s="899">
        <f>+SUMIF('13.mell_ÖNKfeladatok2018'!$B$5:$B$160,'14.mell_Önk kiegészítés2018'!$A202,'13.mell_ÖNKfeladatok2018'!Y$5:Y$160)</f>
        <v>79</v>
      </c>
      <c r="F202" s="899">
        <f>+SUMIF('13.mell_ÖNKfeladatok2018'!$B$5:$B$160,'14.mell_Önk kiegészítés2018'!$A202,'13.mell_ÖNKfeladatok2018'!AC$5:AC$160)</f>
        <v>0</v>
      </c>
      <c r="G202" s="899">
        <f>+SUMIF('13.mell_ÖNKfeladatok2018'!$B$5:$B$160,'14.mell_Önk kiegészítés2018'!$A202,'13.mell_ÖNKfeladatok2018'!AK$5:AK$160)</f>
        <v>0</v>
      </c>
      <c r="H202" s="899">
        <f>+SUMIF('13.mell_ÖNKfeladatok2018'!$B$5:$B$160,'14.mell_Önk kiegészítés2018'!$A202,'13.mell_ÖNKfeladatok2018'!AO$5:AO$160)</f>
        <v>1200</v>
      </c>
      <c r="I202" s="899">
        <f>+SUMIF('13.mell_ÖNKfeladatok2018'!$B$5:$B$160,'14.mell_Önk kiegészítés2018'!$A202,'13.mell_ÖNKfeladatok2018'!AS$5:AS$160)</f>
        <v>0</v>
      </c>
      <c r="J202" s="756">
        <f>SUM(C202:I202)</f>
        <v>1279</v>
      </c>
      <c r="K202" s="899">
        <f>+SUMIF('13.mell_ÖNKfeladatok2018'!$B$168:$B$323,'14.mell_Önk kiegészítés2018'!$A202,'13.mell_ÖNKfeladatok2018'!Q$168:Q$323)</f>
        <v>45729</v>
      </c>
      <c r="L202" s="899">
        <f>+SUMIF('13.mell_ÖNKfeladatok2018'!$B$168:$B$323,'14.mell_Önk kiegészítés2018'!$A202,'13.mell_ÖNKfeladatok2018'!U$168:U$323)</f>
        <v>8760</v>
      </c>
      <c r="M202" s="899">
        <f>+SUMIF('13.mell_ÖNKfeladatok2018'!$B$168:$B$323,'14.mell_Önk kiegészítés2018'!$A202,'13.mell_ÖNKfeladatok2018'!Y$168:Y$323)</f>
        <v>4073</v>
      </c>
      <c r="N202" s="899">
        <f>+SUMIF('13.mell_ÖNKfeladatok2018'!$B$168:$B$323,'14.mell_Önk kiegészítés2018'!$A202,'13.mell_ÖNKfeladatok2018'!AC$168:AC$323)</f>
        <v>0</v>
      </c>
      <c r="O202" s="899">
        <f>+SUMIF('13.mell_ÖNKfeladatok2018'!$B$168:$B$323,'14.mell_Önk kiegészítés2018'!$A202,'13.mell_ÖNKfeladatok2018'!AG$168:AG$323)</f>
        <v>44</v>
      </c>
      <c r="P202" s="899">
        <f>+SUMIF('13.mell_ÖNKfeladatok2018'!$B$168:$B$323,'14.mell_Önk kiegészítés2018'!$A202,'13.mell_ÖNKfeladatok2018'!AO$168:AO$323)</f>
        <v>10191</v>
      </c>
      <c r="Q202" s="899">
        <f>+SUMIF('13.mell_ÖNKfeladatok2018'!$B$168:$B$323,'14.mell_Önk kiegészítés2018'!$A202,'13.mell_ÖNKfeladatok2018'!AS$168:AS$323)</f>
        <v>0</v>
      </c>
      <c r="R202" s="899">
        <f>+SUMIF('13.mell_ÖNKfeladatok2018'!$B$168:$B$323,'14.mell_Önk kiegészítés2018'!$A202,'13.mell_ÖNKfeladatok2018'!AW$168:AW$323)</f>
        <v>0</v>
      </c>
      <c r="S202" s="756">
        <f>SUM(K202:R202)</f>
        <v>68797</v>
      </c>
      <c r="T202" s="757">
        <f>S202-J202</f>
        <v>67518</v>
      </c>
      <c r="U202" s="1029">
        <f>+ROUND(SUMIF('10.mell_támogatások2018'!$B$6:$B$123,'14.mell_Önk kiegészítés2018'!$A202,'10.mell_támogatások2018'!F$6:F$123)/1000,0)+44+371</f>
        <v>68281</v>
      </c>
      <c r="V202" s="758">
        <f>+T202-U202</f>
        <v>-763</v>
      </c>
      <c r="W202" s="1195"/>
      <c r="AD202" s="266">
        <v>44</v>
      </c>
      <c r="AG202" s="266">
        <f>(245+48)+(65+13)</f>
        <v>371</v>
      </c>
    </row>
    <row r="203" spans="1:43" s="558" customFormat="1" ht="12.75" thickBot="1">
      <c r="A203" s="356" t="s">
        <v>1258</v>
      </c>
      <c r="B203" s="517" t="s">
        <v>1203</v>
      </c>
      <c r="C203" s="574">
        <f t="shared" ref="C203:V203" si="125">SUM(C202)</f>
        <v>0</v>
      </c>
      <c r="D203" s="574">
        <f t="shared" si="125"/>
        <v>0</v>
      </c>
      <c r="E203" s="574">
        <f t="shared" si="125"/>
        <v>79</v>
      </c>
      <c r="F203" s="574">
        <f t="shared" si="125"/>
        <v>0</v>
      </c>
      <c r="G203" s="574">
        <f t="shared" si="125"/>
        <v>0</v>
      </c>
      <c r="H203" s="574">
        <f t="shared" si="125"/>
        <v>1200</v>
      </c>
      <c r="I203" s="574">
        <f t="shared" si="125"/>
        <v>0</v>
      </c>
      <c r="J203" s="577">
        <f t="shared" si="125"/>
        <v>1279</v>
      </c>
      <c r="K203" s="574">
        <f t="shared" si="125"/>
        <v>45729</v>
      </c>
      <c r="L203" s="574">
        <f t="shared" si="125"/>
        <v>8760</v>
      </c>
      <c r="M203" s="574">
        <f t="shared" si="125"/>
        <v>4073</v>
      </c>
      <c r="N203" s="574">
        <f t="shared" si="125"/>
        <v>0</v>
      </c>
      <c r="O203" s="574">
        <f t="shared" si="125"/>
        <v>44</v>
      </c>
      <c r="P203" s="574">
        <f t="shared" si="125"/>
        <v>10191</v>
      </c>
      <c r="Q203" s="574">
        <f t="shared" si="125"/>
        <v>0</v>
      </c>
      <c r="R203" s="574">
        <f t="shared" si="125"/>
        <v>0</v>
      </c>
      <c r="S203" s="577">
        <f t="shared" si="125"/>
        <v>68797</v>
      </c>
      <c r="T203" s="574">
        <f t="shared" si="125"/>
        <v>67518</v>
      </c>
      <c r="U203" s="578">
        <f t="shared" si="125"/>
        <v>68281</v>
      </c>
      <c r="V203" s="577">
        <f t="shared" si="125"/>
        <v>-763</v>
      </c>
      <c r="W203" s="1195"/>
      <c r="AC203" s="266"/>
      <c r="AD203" s="266"/>
      <c r="AE203" s="266"/>
      <c r="AF203" s="266"/>
      <c r="AG203" s="266"/>
      <c r="AH203" s="266"/>
      <c r="AI203" s="266"/>
      <c r="AJ203" s="266"/>
      <c r="AK203" s="266"/>
      <c r="AL203" s="266"/>
      <c r="AM203" s="266"/>
      <c r="AN203" s="266"/>
      <c r="AO203" s="266"/>
      <c r="AP203" s="266"/>
      <c r="AQ203" s="266"/>
    </row>
    <row r="204" spans="1:43" ht="12.75" thickBot="1">
      <c r="A204" s="908">
        <f>+A202+1</f>
        <v>33</v>
      </c>
      <c r="B204" s="909" t="s">
        <v>1205</v>
      </c>
      <c r="C204" s="910">
        <f>+SUMIF('13.mell_ÖNKfeladatok2018'!$B$5:$B$160,'14.mell_Önk kiegészítés2018'!$A204,'13.mell_ÖNKfeladatok2018'!Q$5:Q$160)</f>
        <v>0</v>
      </c>
      <c r="D204" s="910">
        <f>+SUMIF('13.mell_ÖNKfeladatok2018'!$B$5:$B$160,'14.mell_Önk kiegészítés2018'!$A204,'13.mell_ÖNKfeladatok2018'!U$5:U$160)</f>
        <v>0</v>
      </c>
      <c r="E204" s="910">
        <f>+SUMIF('13.mell_ÖNKfeladatok2018'!$B$5:$B$160,'14.mell_Önk kiegészítés2018'!$A204,'13.mell_ÖNKfeladatok2018'!Y$5:Y$160)</f>
        <v>0</v>
      </c>
      <c r="F204" s="910">
        <f>+SUMIF('13.mell_ÖNKfeladatok2018'!$B$5:$B$160,'14.mell_Önk kiegészítés2018'!$A204,'13.mell_ÖNKfeladatok2018'!AC$5:AC$160)</f>
        <v>0</v>
      </c>
      <c r="G204" s="910">
        <f>+SUMIF('13.mell_ÖNKfeladatok2018'!$B$5:$B$160,'14.mell_Önk kiegészítés2018'!$A204,'13.mell_ÖNKfeladatok2018'!AK$5:AK$160)</f>
        <v>0</v>
      </c>
      <c r="H204" s="910">
        <f>+SUMIF('13.mell_ÖNKfeladatok2018'!$B$5:$B$160,'14.mell_Önk kiegészítés2018'!$A204,'13.mell_ÖNKfeladatok2018'!AO$5:AO$160)</f>
        <v>0</v>
      </c>
      <c r="I204" s="910">
        <f>+SUMIF('13.mell_ÖNKfeladatok2018'!$B$5:$B$160,'14.mell_Önk kiegészítés2018'!$A204,'13.mell_ÖNKfeladatok2018'!AS$5:AS$160)</f>
        <v>0</v>
      </c>
      <c r="J204" s="911">
        <f>SUM(C204:I204)</f>
        <v>0</v>
      </c>
      <c r="K204" s="910">
        <f>+SUMIF('13.mell_ÖNKfeladatok2018'!$B$168:$B$323,'14.mell_Önk kiegészítés2018'!$A204,'13.mell_ÖNKfeladatok2018'!Q$168:Q$323)</f>
        <v>0</v>
      </c>
      <c r="L204" s="910">
        <f>+SUMIF('13.mell_ÖNKfeladatok2018'!$B$168:$B$323,'14.mell_Önk kiegészítés2018'!$A204,'13.mell_ÖNKfeladatok2018'!U$168:U$323)</f>
        <v>0</v>
      </c>
      <c r="M204" s="910">
        <f>+SUMIF('13.mell_ÖNKfeladatok2018'!$B$168:$B$323,'14.mell_Önk kiegészítés2018'!$A204,'13.mell_ÖNKfeladatok2018'!Y$168:Y$323)</f>
        <v>0</v>
      </c>
      <c r="N204" s="910">
        <f>+SUMIF('13.mell_ÖNKfeladatok2018'!$B$168:$B$323,'14.mell_Önk kiegészítés2018'!$A204,'13.mell_ÖNKfeladatok2018'!AC$168:AC$323)</f>
        <v>0</v>
      </c>
      <c r="O204" s="910">
        <f>+SUMIF('13.mell_ÖNKfeladatok2018'!$B$168:$B$323,'14.mell_Önk kiegészítés2018'!$A204,'13.mell_ÖNKfeladatok2018'!AG$168:AG$323)</f>
        <v>0</v>
      </c>
      <c r="P204" s="910">
        <f>+SUMIF('13.mell_ÖNKfeladatok2018'!$B$168:$B$323,'14.mell_Önk kiegészítés2018'!$A204,'13.mell_ÖNKfeladatok2018'!AO$168:AO$323)</f>
        <v>0</v>
      </c>
      <c r="Q204" s="910">
        <f>+SUMIF('13.mell_ÖNKfeladatok2018'!$B$168:$B$323,'14.mell_Önk kiegészítés2018'!$A204,'13.mell_ÖNKfeladatok2018'!AS$168:AS$323)</f>
        <v>0</v>
      </c>
      <c r="R204" s="910">
        <f>+SUMIF('13.mell_ÖNKfeladatok2018'!$B$168:$B$323,'14.mell_Önk kiegészítés2018'!$A204,'13.mell_ÖNKfeladatok2018'!AW$168:AW$323)</f>
        <v>0</v>
      </c>
      <c r="S204" s="911">
        <f>SUM(K204:R204)</f>
        <v>0</v>
      </c>
      <c r="T204" s="574">
        <f>S204-J204</f>
        <v>0</v>
      </c>
      <c r="U204" s="1032">
        <f>+ROUND(SUMIF('10.mell_támogatások2018'!$B$6:$B$123,'14.mell_Önk kiegészítés2018'!$A204,'10.mell_támogatások2018'!F$6:F$123)/1000,0)</f>
        <v>0</v>
      </c>
      <c r="V204" s="577">
        <f>+T204-U204</f>
        <v>0</v>
      </c>
      <c r="W204" s="1195"/>
    </row>
    <row r="205" spans="1:43" s="558" customFormat="1" ht="12.75" thickBot="1">
      <c r="A205" s="1044" t="s">
        <v>1259</v>
      </c>
      <c r="B205" s="528" t="s">
        <v>1204</v>
      </c>
      <c r="C205" s="574">
        <f t="shared" ref="C205:V205" si="126">SUM(C204)</f>
        <v>0</v>
      </c>
      <c r="D205" s="574">
        <f t="shared" si="126"/>
        <v>0</v>
      </c>
      <c r="E205" s="574">
        <f t="shared" si="126"/>
        <v>0</v>
      </c>
      <c r="F205" s="574">
        <f t="shared" si="126"/>
        <v>0</v>
      </c>
      <c r="G205" s="574">
        <f t="shared" si="126"/>
        <v>0</v>
      </c>
      <c r="H205" s="574">
        <f t="shared" si="126"/>
        <v>0</v>
      </c>
      <c r="I205" s="574">
        <f t="shared" si="126"/>
        <v>0</v>
      </c>
      <c r="J205" s="577">
        <f t="shared" si="126"/>
        <v>0</v>
      </c>
      <c r="K205" s="574">
        <f t="shared" si="126"/>
        <v>0</v>
      </c>
      <c r="L205" s="574">
        <f t="shared" si="126"/>
        <v>0</v>
      </c>
      <c r="M205" s="574">
        <f t="shared" si="126"/>
        <v>0</v>
      </c>
      <c r="N205" s="574">
        <f t="shared" si="126"/>
        <v>0</v>
      </c>
      <c r="O205" s="574">
        <f t="shared" si="126"/>
        <v>0</v>
      </c>
      <c r="P205" s="574">
        <f t="shared" si="126"/>
        <v>0</v>
      </c>
      <c r="Q205" s="574">
        <f t="shared" si="126"/>
        <v>0</v>
      </c>
      <c r="R205" s="574">
        <f t="shared" si="126"/>
        <v>0</v>
      </c>
      <c r="S205" s="577">
        <f t="shared" si="126"/>
        <v>0</v>
      </c>
      <c r="T205" s="574">
        <f t="shared" si="126"/>
        <v>0</v>
      </c>
      <c r="U205" s="578">
        <f t="shared" si="126"/>
        <v>0</v>
      </c>
      <c r="V205" s="577">
        <f t="shared" si="126"/>
        <v>0</v>
      </c>
      <c r="W205" s="1195"/>
      <c r="AC205" s="266"/>
      <c r="AD205" s="266"/>
      <c r="AE205" s="266"/>
      <c r="AF205" s="266"/>
      <c r="AG205" s="266"/>
      <c r="AH205" s="266"/>
      <c r="AI205" s="266"/>
      <c r="AJ205" s="266"/>
      <c r="AK205" s="266"/>
      <c r="AL205" s="266"/>
      <c r="AM205" s="266"/>
      <c r="AN205" s="266"/>
      <c r="AO205" s="266"/>
      <c r="AP205" s="266"/>
      <c r="AQ205" s="266"/>
    </row>
    <row r="206" spans="1:43" ht="12.75" thickBot="1">
      <c r="A206" s="908">
        <f>+A204+1</f>
        <v>34</v>
      </c>
      <c r="B206" s="909" t="s">
        <v>1205</v>
      </c>
      <c r="C206" s="910">
        <f>+SUMIF('13.mell_ÖNKfeladatok2018'!$B$5:$B$160,'14.mell_Önk kiegészítés2018'!$A206,'13.mell_ÖNKfeladatok2018'!Q$5:Q$160)</f>
        <v>0</v>
      </c>
      <c r="D206" s="910">
        <f>+SUMIF('13.mell_ÖNKfeladatok2018'!$B$5:$B$160,'14.mell_Önk kiegészítés2018'!$A206,'13.mell_ÖNKfeladatok2018'!U$5:U$160)</f>
        <v>0</v>
      </c>
      <c r="E206" s="910">
        <f>+SUMIF('13.mell_ÖNKfeladatok2018'!$B$5:$B$160,'14.mell_Önk kiegészítés2018'!$A206,'13.mell_ÖNKfeladatok2018'!Y$5:Y$160)</f>
        <v>0</v>
      </c>
      <c r="F206" s="910">
        <f>+SUMIF('13.mell_ÖNKfeladatok2018'!$B$5:$B$160,'14.mell_Önk kiegészítés2018'!$A206,'13.mell_ÖNKfeladatok2018'!AC$5:AC$160)</f>
        <v>0</v>
      </c>
      <c r="G206" s="910">
        <f>+SUMIF('13.mell_ÖNKfeladatok2018'!$B$5:$B$160,'14.mell_Önk kiegészítés2018'!$A206,'13.mell_ÖNKfeladatok2018'!AK$5:AK$160)</f>
        <v>0</v>
      </c>
      <c r="H206" s="910">
        <f>+SUMIF('13.mell_ÖNKfeladatok2018'!$B$5:$B$160,'14.mell_Önk kiegészítés2018'!$A206,'13.mell_ÖNKfeladatok2018'!AO$5:AO$160)</f>
        <v>0</v>
      </c>
      <c r="I206" s="910">
        <f>+SUMIF('13.mell_ÖNKfeladatok2018'!$B$5:$B$160,'14.mell_Önk kiegészítés2018'!$A206,'13.mell_ÖNKfeladatok2018'!AS$5:AS$160)</f>
        <v>0</v>
      </c>
      <c r="J206" s="911">
        <f>SUM(C206:I206)</f>
        <v>0</v>
      </c>
      <c r="K206" s="910">
        <f>+SUMIF('13.mell_ÖNKfeladatok2018'!$B$168:$B$323,'14.mell_Önk kiegészítés2018'!$A206,'13.mell_ÖNKfeladatok2018'!Q$168:Q$323)</f>
        <v>0</v>
      </c>
      <c r="L206" s="910">
        <f>+SUMIF('13.mell_ÖNKfeladatok2018'!$B$168:$B$323,'14.mell_Önk kiegészítés2018'!$A206,'13.mell_ÖNKfeladatok2018'!U$168:U$323)</f>
        <v>0</v>
      </c>
      <c r="M206" s="910">
        <f>+SUMIF('13.mell_ÖNKfeladatok2018'!$B$168:$B$323,'14.mell_Önk kiegészítés2018'!$A206,'13.mell_ÖNKfeladatok2018'!Y$168:Y$323)</f>
        <v>0</v>
      </c>
      <c r="N206" s="910">
        <f>+SUMIF('13.mell_ÖNKfeladatok2018'!$B$168:$B$323,'14.mell_Önk kiegészítés2018'!$A206,'13.mell_ÖNKfeladatok2018'!AC$168:AC$323)</f>
        <v>0</v>
      </c>
      <c r="O206" s="910">
        <f>+SUMIF('13.mell_ÖNKfeladatok2018'!$B$168:$B$323,'14.mell_Önk kiegészítés2018'!$A206,'13.mell_ÖNKfeladatok2018'!AG$168:AG$323)</f>
        <v>0</v>
      </c>
      <c r="P206" s="910">
        <f>+SUMIF('13.mell_ÖNKfeladatok2018'!$B$168:$B$323,'14.mell_Önk kiegészítés2018'!$A206,'13.mell_ÖNKfeladatok2018'!AO$168:AO$323)</f>
        <v>0</v>
      </c>
      <c r="Q206" s="910">
        <f>+SUMIF('13.mell_ÖNKfeladatok2018'!$B$168:$B$323,'14.mell_Önk kiegészítés2018'!$A206,'13.mell_ÖNKfeladatok2018'!AS$168:AS$323)</f>
        <v>0</v>
      </c>
      <c r="R206" s="910">
        <f>+SUMIF('13.mell_ÖNKfeladatok2018'!$B$168:$B$323,'14.mell_Önk kiegészítés2018'!$A206,'13.mell_ÖNKfeladatok2018'!AW$168:AW$323)</f>
        <v>0</v>
      </c>
      <c r="S206" s="911">
        <f>SUM(K206:R206)</f>
        <v>0</v>
      </c>
      <c r="T206" s="574">
        <f>S206-J206</f>
        <v>0</v>
      </c>
      <c r="U206" s="1032">
        <f>+ROUND(SUMIF('10.mell_támogatások2018'!$B$6:$B$123,'14.mell_Önk kiegészítés2018'!$A206,'10.mell_támogatások2018'!F$6:F$123)/1000,0)</f>
        <v>0</v>
      </c>
      <c r="V206" s="577">
        <f>+T206-U206</f>
        <v>0</v>
      </c>
      <c r="W206" s="1195"/>
    </row>
    <row r="207" spans="1:43" s="558" customFormat="1" ht="24.75" thickBot="1">
      <c r="A207" s="1044" t="s">
        <v>1260</v>
      </c>
      <c r="B207" s="528" t="s">
        <v>1205</v>
      </c>
      <c r="C207" s="574">
        <f t="shared" ref="C207:V207" si="127">SUM(C206)</f>
        <v>0</v>
      </c>
      <c r="D207" s="574">
        <f t="shared" si="127"/>
        <v>0</v>
      </c>
      <c r="E207" s="574">
        <f t="shared" si="127"/>
        <v>0</v>
      </c>
      <c r="F207" s="574">
        <f t="shared" si="127"/>
        <v>0</v>
      </c>
      <c r="G207" s="574">
        <f t="shared" si="127"/>
        <v>0</v>
      </c>
      <c r="H207" s="574">
        <f t="shared" si="127"/>
        <v>0</v>
      </c>
      <c r="I207" s="574">
        <f t="shared" si="127"/>
        <v>0</v>
      </c>
      <c r="J207" s="577">
        <f t="shared" si="127"/>
        <v>0</v>
      </c>
      <c r="K207" s="574">
        <f t="shared" si="127"/>
        <v>0</v>
      </c>
      <c r="L207" s="574">
        <f t="shared" si="127"/>
        <v>0</v>
      </c>
      <c r="M207" s="574">
        <f t="shared" si="127"/>
        <v>0</v>
      </c>
      <c r="N207" s="574">
        <f t="shared" si="127"/>
        <v>0</v>
      </c>
      <c r="O207" s="574">
        <f t="shared" si="127"/>
        <v>0</v>
      </c>
      <c r="P207" s="574">
        <f t="shared" si="127"/>
        <v>0</v>
      </c>
      <c r="Q207" s="574">
        <f t="shared" si="127"/>
        <v>0</v>
      </c>
      <c r="R207" s="574">
        <f t="shared" si="127"/>
        <v>0</v>
      </c>
      <c r="S207" s="577">
        <f t="shared" si="127"/>
        <v>0</v>
      </c>
      <c r="T207" s="574">
        <f t="shared" si="127"/>
        <v>0</v>
      </c>
      <c r="U207" s="578">
        <f t="shared" si="127"/>
        <v>0</v>
      </c>
      <c r="V207" s="577">
        <f t="shared" si="127"/>
        <v>0</v>
      </c>
      <c r="W207" s="1195"/>
      <c r="AC207" s="266"/>
      <c r="AD207" s="266"/>
      <c r="AE207" s="266"/>
      <c r="AF207" s="266"/>
      <c r="AG207" s="266"/>
      <c r="AH207" s="266"/>
      <c r="AI207" s="266"/>
      <c r="AJ207" s="266"/>
      <c r="AK207" s="266"/>
      <c r="AL207" s="266"/>
      <c r="AM207" s="266"/>
      <c r="AN207" s="266"/>
      <c r="AO207" s="266"/>
      <c r="AP207" s="266"/>
      <c r="AQ207" s="266"/>
    </row>
    <row r="208" spans="1:43" s="558" customFormat="1" ht="12.75" thickBot="1">
      <c r="A208" s="520" t="s">
        <v>42</v>
      </c>
      <c r="B208" s="530" t="s">
        <v>1206</v>
      </c>
      <c r="C208" s="583">
        <f t="shared" ref="C208:V208" si="128">+C203+C205+C207</f>
        <v>0</v>
      </c>
      <c r="D208" s="583">
        <f t="shared" si="128"/>
        <v>0</v>
      </c>
      <c r="E208" s="583">
        <f t="shared" si="128"/>
        <v>79</v>
      </c>
      <c r="F208" s="583">
        <f t="shared" si="128"/>
        <v>0</v>
      </c>
      <c r="G208" s="583">
        <f t="shared" si="128"/>
        <v>0</v>
      </c>
      <c r="H208" s="583">
        <f t="shared" si="128"/>
        <v>1200</v>
      </c>
      <c r="I208" s="583">
        <f t="shared" si="128"/>
        <v>0</v>
      </c>
      <c r="J208" s="586">
        <f t="shared" si="128"/>
        <v>1279</v>
      </c>
      <c r="K208" s="583">
        <f t="shared" si="128"/>
        <v>45729</v>
      </c>
      <c r="L208" s="583">
        <f t="shared" si="128"/>
        <v>8760</v>
      </c>
      <c r="M208" s="583">
        <f t="shared" si="128"/>
        <v>4073</v>
      </c>
      <c r="N208" s="583">
        <f t="shared" si="128"/>
        <v>0</v>
      </c>
      <c r="O208" s="583">
        <f t="shared" si="128"/>
        <v>44</v>
      </c>
      <c r="P208" s="583">
        <f t="shared" si="128"/>
        <v>10191</v>
      </c>
      <c r="Q208" s="583">
        <f t="shared" si="128"/>
        <v>0</v>
      </c>
      <c r="R208" s="583">
        <f t="shared" si="128"/>
        <v>0</v>
      </c>
      <c r="S208" s="586">
        <f t="shared" si="128"/>
        <v>68797</v>
      </c>
      <c r="T208" s="583">
        <f t="shared" si="128"/>
        <v>67518</v>
      </c>
      <c r="U208" s="585">
        <f t="shared" si="128"/>
        <v>68281</v>
      </c>
      <c r="V208" s="586">
        <f t="shared" si="128"/>
        <v>-763</v>
      </c>
      <c r="W208" s="1195"/>
      <c r="AC208" s="266"/>
      <c r="AD208" s="266"/>
      <c r="AE208" s="266"/>
      <c r="AF208" s="266"/>
      <c r="AG208" s="266"/>
      <c r="AH208" s="266"/>
      <c r="AI208" s="266"/>
      <c r="AJ208" s="266"/>
      <c r="AK208" s="266"/>
      <c r="AL208" s="266"/>
      <c r="AM208" s="266"/>
      <c r="AN208" s="266"/>
      <c r="AO208" s="266"/>
      <c r="AP208" s="266"/>
      <c r="AQ208" s="266"/>
    </row>
    <row r="209" spans="1:43" s="198" customFormat="1" ht="12.75" thickBot="1">
      <c r="A209" s="542"/>
      <c r="B209" s="598"/>
      <c r="C209" s="587"/>
      <c r="D209" s="588"/>
      <c r="E209" s="588"/>
      <c r="F209" s="588"/>
      <c r="G209" s="588"/>
      <c r="H209" s="588"/>
      <c r="I209" s="589"/>
      <c r="J209" s="590"/>
      <c r="K209" s="599"/>
      <c r="L209" s="599"/>
      <c r="M209" s="599"/>
      <c r="N209" s="599"/>
      <c r="O209" s="599"/>
      <c r="P209" s="599"/>
      <c r="Q209" s="599"/>
      <c r="R209" s="599"/>
      <c r="S209" s="597"/>
      <c r="T209" s="594"/>
      <c r="U209" s="1034"/>
      <c r="V209" s="597"/>
      <c r="W209" s="1195"/>
      <c r="AC209" s="199"/>
      <c r="AD209" s="199"/>
      <c r="AE209" s="199"/>
      <c r="AF209" s="199"/>
      <c r="AG209" s="199"/>
      <c r="AH209" s="199"/>
      <c r="AI209" s="199"/>
      <c r="AJ209" s="199"/>
      <c r="AK209" s="199"/>
      <c r="AL209" s="199"/>
      <c r="AM209" s="199"/>
      <c r="AN209" s="199"/>
      <c r="AO209" s="199"/>
      <c r="AP209" s="199"/>
      <c r="AQ209" s="199"/>
    </row>
    <row r="210" spans="1:43" s="558" customFormat="1" ht="12.75" thickBot="1">
      <c r="A210" s="581" t="s">
        <v>41</v>
      </c>
      <c r="B210" s="582" t="s">
        <v>826</v>
      </c>
      <c r="C210" s="583">
        <f t="shared" ref="C210:V210" si="129">+C160+C172+C182+C192+C200+C208</f>
        <v>1592229</v>
      </c>
      <c r="D210" s="583">
        <f t="shared" si="129"/>
        <v>356668</v>
      </c>
      <c r="E210" s="583">
        <f t="shared" si="129"/>
        <v>124554</v>
      </c>
      <c r="F210" s="583">
        <f t="shared" si="129"/>
        <v>3492</v>
      </c>
      <c r="G210" s="583">
        <f t="shared" si="129"/>
        <v>1331164</v>
      </c>
      <c r="H210" s="583">
        <f t="shared" si="129"/>
        <v>6864</v>
      </c>
      <c r="I210" s="583">
        <f t="shared" si="129"/>
        <v>3009</v>
      </c>
      <c r="J210" s="586">
        <f t="shared" si="129"/>
        <v>3417980</v>
      </c>
      <c r="K210" s="600">
        <f t="shared" si="129"/>
        <v>839058</v>
      </c>
      <c r="L210" s="600">
        <f t="shared" si="129"/>
        <v>153994</v>
      </c>
      <c r="M210" s="600">
        <f t="shared" si="129"/>
        <v>690773</v>
      </c>
      <c r="N210" s="600">
        <f t="shared" si="129"/>
        <v>54350</v>
      </c>
      <c r="O210" s="600">
        <f t="shared" si="129"/>
        <v>68830</v>
      </c>
      <c r="P210" s="600">
        <f t="shared" si="129"/>
        <v>476531</v>
      </c>
      <c r="Q210" s="600">
        <f t="shared" si="129"/>
        <v>228800</v>
      </c>
      <c r="R210" s="600">
        <f t="shared" si="129"/>
        <v>1200</v>
      </c>
      <c r="S210" s="601">
        <f t="shared" si="129"/>
        <v>2513536</v>
      </c>
      <c r="T210" s="600">
        <f t="shared" si="129"/>
        <v>-904444</v>
      </c>
      <c r="U210" s="1035">
        <f t="shared" si="129"/>
        <v>2179310</v>
      </c>
      <c r="V210" s="601">
        <f t="shared" si="129"/>
        <v>-3083754</v>
      </c>
      <c r="W210" s="1195"/>
      <c r="AC210" s="266"/>
      <c r="AD210" s="266"/>
      <c r="AE210" s="266"/>
      <c r="AF210" s="266"/>
      <c r="AG210" s="266"/>
      <c r="AH210" s="266"/>
      <c r="AI210" s="266"/>
      <c r="AJ210" s="266"/>
      <c r="AK210" s="266"/>
      <c r="AL210" s="266"/>
      <c r="AM210" s="266"/>
      <c r="AN210" s="266"/>
      <c r="AO210" s="266"/>
      <c r="AP210" s="266"/>
      <c r="AQ210" s="266"/>
    </row>
    <row r="211" spans="1:43" s="558" customFormat="1" ht="12.75" thickBot="1">
      <c r="A211" s="611" t="s">
        <v>37</v>
      </c>
      <c r="B211" s="603" t="s">
        <v>827</v>
      </c>
      <c r="C211" s="604"/>
      <c r="D211" s="604"/>
      <c r="E211" s="604"/>
      <c r="F211" s="604">
        <f>+'1.mell._Össz_Mérleg2018'!$E$71</f>
        <v>449560</v>
      </c>
      <c r="G211" s="604"/>
      <c r="H211" s="604"/>
      <c r="I211" s="604">
        <f>+'1.mell._Össz_Mérleg2018'!$E$86</f>
        <v>1857788</v>
      </c>
      <c r="J211" s="610">
        <f>SUM(C211:I211)</f>
        <v>2307348</v>
      </c>
      <c r="K211" s="604"/>
      <c r="L211" s="604"/>
      <c r="M211" s="604"/>
      <c r="N211" s="604"/>
      <c r="O211" s="604">
        <f>+'1.mell._Össz_Mérleg2018'!$E$177</f>
        <v>110911</v>
      </c>
      <c r="P211" s="604"/>
      <c r="Q211" s="604"/>
      <c r="R211" s="604">
        <f>+'1.mell._Össz_Mérleg2018'!$E$192</f>
        <v>0</v>
      </c>
      <c r="S211" s="610">
        <f>SUM(K211:R211)</f>
        <v>110911</v>
      </c>
      <c r="T211" s="604">
        <f>S211-J211</f>
        <v>-2196437</v>
      </c>
      <c r="U211" s="1036">
        <v>-2179310</v>
      </c>
      <c r="V211" s="605">
        <f>+T211-U211</f>
        <v>-17127</v>
      </c>
      <c r="W211" s="1195"/>
      <c r="AC211" s="266"/>
      <c r="AD211" s="266">
        <f>(-1832034-8000+25346)+-364622</f>
        <v>-2179310</v>
      </c>
      <c r="AE211" s="266"/>
      <c r="AF211" s="266"/>
      <c r="AG211" s="266"/>
      <c r="AH211" s="266"/>
      <c r="AI211" s="266"/>
      <c r="AJ211" s="266"/>
      <c r="AK211" s="266"/>
      <c r="AL211" s="266"/>
      <c r="AM211" s="266"/>
      <c r="AN211" s="266"/>
      <c r="AO211" s="266"/>
      <c r="AP211" s="266"/>
      <c r="AQ211" s="266"/>
    </row>
    <row r="212" spans="1:43" s="198" customFormat="1" ht="12.75" thickBot="1">
      <c r="A212" s="581" t="s">
        <v>1264</v>
      </c>
      <c r="B212" s="582" t="s">
        <v>828</v>
      </c>
      <c r="C212" s="583">
        <f>+C210+C211</f>
        <v>1592229</v>
      </c>
      <c r="D212" s="583">
        <f t="shared" ref="D212:I212" si="130">+D210+D211</f>
        <v>356668</v>
      </c>
      <c r="E212" s="583">
        <f t="shared" si="130"/>
        <v>124554</v>
      </c>
      <c r="F212" s="583">
        <f t="shared" si="130"/>
        <v>453052</v>
      </c>
      <c r="G212" s="583">
        <f t="shared" si="130"/>
        <v>1331164</v>
      </c>
      <c r="H212" s="583">
        <f t="shared" si="130"/>
        <v>6864</v>
      </c>
      <c r="I212" s="583">
        <f t="shared" si="130"/>
        <v>1860797</v>
      </c>
      <c r="J212" s="586">
        <f>+J210+J211</f>
        <v>5725328</v>
      </c>
      <c r="K212" s="583">
        <f t="shared" ref="K212:V212" si="131">+K210+K211</f>
        <v>839058</v>
      </c>
      <c r="L212" s="583">
        <f t="shared" si="131"/>
        <v>153994</v>
      </c>
      <c r="M212" s="583">
        <f t="shared" si="131"/>
        <v>690773</v>
      </c>
      <c r="N212" s="583">
        <f t="shared" si="131"/>
        <v>54350</v>
      </c>
      <c r="O212" s="583">
        <f t="shared" si="131"/>
        <v>179741</v>
      </c>
      <c r="P212" s="583">
        <f t="shared" si="131"/>
        <v>476531</v>
      </c>
      <c r="Q212" s="583">
        <f t="shared" si="131"/>
        <v>228800</v>
      </c>
      <c r="R212" s="583">
        <f t="shared" si="131"/>
        <v>1200</v>
      </c>
      <c r="S212" s="586">
        <f t="shared" si="131"/>
        <v>2624447</v>
      </c>
      <c r="T212" s="583">
        <f t="shared" si="131"/>
        <v>-3100881</v>
      </c>
      <c r="U212" s="585">
        <f t="shared" si="131"/>
        <v>0</v>
      </c>
      <c r="V212" s="586">
        <f t="shared" si="131"/>
        <v>-3100881</v>
      </c>
      <c r="W212" s="1195"/>
      <c r="AC212" s="199"/>
      <c r="AD212" s="199"/>
      <c r="AE212" s="199"/>
      <c r="AF212" s="199"/>
      <c r="AG212" s="199"/>
      <c r="AH212" s="199"/>
      <c r="AI212" s="199"/>
      <c r="AJ212" s="199"/>
      <c r="AK212" s="199"/>
      <c r="AL212" s="199"/>
      <c r="AM212" s="199"/>
      <c r="AN212" s="199"/>
      <c r="AO212" s="199"/>
      <c r="AP212" s="199"/>
      <c r="AQ212" s="199"/>
    </row>
    <row r="213" spans="1:43" s="679" customFormat="1" ht="15.75">
      <c r="A213" s="1045"/>
      <c r="B213" s="1045"/>
      <c r="C213" s="1045"/>
      <c r="D213" s="1045"/>
      <c r="E213" s="1045"/>
      <c r="F213" s="1045"/>
      <c r="G213" s="1045"/>
      <c r="H213" s="1045"/>
      <c r="I213" s="1045"/>
      <c r="J213" s="1045"/>
      <c r="K213" s="1045"/>
      <c r="L213" s="1045"/>
      <c r="M213" s="1045"/>
      <c r="N213" s="1045"/>
      <c r="O213" s="1045"/>
      <c r="P213" s="1045"/>
      <c r="Q213" s="1045"/>
      <c r="R213" s="1045"/>
      <c r="S213" s="1045"/>
      <c r="T213" s="1214"/>
      <c r="U213" s="1045"/>
      <c r="V213" s="1045"/>
      <c r="W213" s="1194"/>
      <c r="AC213" s="678"/>
      <c r="AD213" s="678"/>
      <c r="AE213" s="678"/>
      <c r="AF213" s="678"/>
      <c r="AG213" s="678"/>
      <c r="AH213" s="678"/>
      <c r="AI213" s="678"/>
      <c r="AJ213" s="678"/>
      <c r="AK213" s="678"/>
      <c r="AL213" s="678"/>
      <c r="AM213" s="678"/>
      <c r="AN213" s="678"/>
      <c r="AO213" s="678"/>
      <c r="AP213" s="678"/>
      <c r="AQ213" s="678"/>
    </row>
    <row r="214" spans="1:43" ht="12.75" thickBot="1">
      <c r="V214" s="242" t="s">
        <v>458</v>
      </c>
      <c r="W214" s="242"/>
    </row>
    <row r="215" spans="1:43" s="561" customFormat="1" ht="84.75" thickBot="1">
      <c r="A215" s="913" t="s">
        <v>17</v>
      </c>
      <c r="B215" s="1827" t="s">
        <v>1527</v>
      </c>
      <c r="C215" s="1822" t="s">
        <v>817</v>
      </c>
      <c r="D215" s="1209" t="s">
        <v>526</v>
      </c>
      <c r="E215" s="1209" t="s">
        <v>818</v>
      </c>
      <c r="F215" s="1209" t="s">
        <v>1265</v>
      </c>
      <c r="G215" s="1209" t="s">
        <v>533</v>
      </c>
      <c r="H215" s="1209" t="s">
        <v>534</v>
      </c>
      <c r="I215" s="1210" t="s">
        <v>1266</v>
      </c>
      <c r="J215" s="1201" t="s">
        <v>525</v>
      </c>
      <c r="K215" s="1822" t="s">
        <v>46</v>
      </c>
      <c r="L215" s="1209" t="s">
        <v>447</v>
      </c>
      <c r="M215" s="1209" t="s">
        <v>448</v>
      </c>
      <c r="N215" s="1209" t="s">
        <v>820</v>
      </c>
      <c r="O215" s="1209" t="s">
        <v>1267</v>
      </c>
      <c r="P215" s="1209" t="s">
        <v>451</v>
      </c>
      <c r="Q215" s="1209" t="s">
        <v>452</v>
      </c>
      <c r="R215" s="295" t="s">
        <v>1268</v>
      </c>
      <c r="S215" s="303" t="s">
        <v>528</v>
      </c>
      <c r="T215" s="1831" t="s">
        <v>810</v>
      </c>
      <c r="U215" s="1832" t="s">
        <v>1469</v>
      </c>
      <c r="V215" s="560" t="s">
        <v>811</v>
      </c>
      <c r="W215" s="512"/>
    </row>
    <row r="216" spans="1:43">
      <c r="A216" s="850">
        <v>1</v>
      </c>
      <c r="B216" s="1818" t="s">
        <v>415</v>
      </c>
      <c r="C216" s="1817" t="str">
        <f>IF(ISERROR(C146/C76),"-",C146/C76)</f>
        <v>-</v>
      </c>
      <c r="D216" s="1824" t="str">
        <f t="shared" ref="D216:J217" si="132">IF(ISERROR(D146/D76),"-",D146/D76)</f>
        <v>-</v>
      </c>
      <c r="E216" s="1824" t="str">
        <f t="shared" si="132"/>
        <v>-</v>
      </c>
      <c r="F216" s="1824" t="str">
        <f t="shared" si="132"/>
        <v>-</v>
      </c>
      <c r="G216" s="1824" t="str">
        <f t="shared" si="132"/>
        <v>-</v>
      </c>
      <c r="H216" s="1824" t="str">
        <f t="shared" si="132"/>
        <v>-</v>
      </c>
      <c r="I216" s="1835" t="str">
        <f t="shared" si="132"/>
        <v>-</v>
      </c>
      <c r="J216" s="1839" t="str">
        <f t="shared" si="132"/>
        <v>-</v>
      </c>
      <c r="K216" s="1837" t="str">
        <f>IF(ISERROR(K146/K76),"-",K146/K76)</f>
        <v>-</v>
      </c>
      <c r="L216" s="1824" t="str">
        <f t="shared" ref="L216:U217" si="133">IF(ISERROR(L146/L76),"-",L146/L76)</f>
        <v>-</v>
      </c>
      <c r="M216" s="1824" t="str">
        <f t="shared" si="133"/>
        <v>-</v>
      </c>
      <c r="N216" s="1824" t="str">
        <f t="shared" si="133"/>
        <v>-</v>
      </c>
      <c r="O216" s="1824" t="str">
        <f t="shared" si="133"/>
        <v>-</v>
      </c>
      <c r="P216" s="1824" t="str">
        <f t="shared" si="133"/>
        <v>-</v>
      </c>
      <c r="Q216" s="1824" t="str">
        <f t="shared" si="133"/>
        <v>-</v>
      </c>
      <c r="R216" s="1825" t="str">
        <f t="shared" si="133"/>
        <v>-</v>
      </c>
      <c r="S216" s="1839" t="str">
        <f t="shared" si="133"/>
        <v>-</v>
      </c>
      <c r="T216" s="1833" t="str">
        <f t="shared" si="133"/>
        <v>-</v>
      </c>
      <c r="U216" s="1825">
        <f t="shared" ref="U216:V216" si="134">IF(ISERROR(U146/U76),"-",U146/U76)</f>
        <v>1</v>
      </c>
      <c r="V216" s="1839">
        <f t="shared" si="134"/>
        <v>1</v>
      </c>
      <c r="W216" s="1195"/>
    </row>
    <row r="217" spans="1:43">
      <c r="A217" s="851">
        <f>+A216+1</f>
        <v>2</v>
      </c>
      <c r="B217" s="1819" t="s">
        <v>657</v>
      </c>
      <c r="C217" s="1826" t="str">
        <f t="shared" ref="C217:I217" si="135">IF(ISERROR(C147/C77),"-",C147/C77)</f>
        <v>-</v>
      </c>
      <c r="D217" s="1823" t="str">
        <f t="shared" si="135"/>
        <v>-</v>
      </c>
      <c r="E217" s="1823">
        <f t="shared" si="135"/>
        <v>1</v>
      </c>
      <c r="F217" s="1823" t="str">
        <f t="shared" si="135"/>
        <v>-</v>
      </c>
      <c r="G217" s="1823" t="str">
        <f t="shared" si="135"/>
        <v>-</v>
      </c>
      <c r="H217" s="1823">
        <f t="shared" si="135"/>
        <v>1</v>
      </c>
      <c r="I217" s="1836" t="str">
        <f t="shared" si="135"/>
        <v>-</v>
      </c>
      <c r="J217" s="1840">
        <f t="shared" si="132"/>
        <v>1</v>
      </c>
      <c r="K217" s="1838" t="str">
        <f t="shared" ref="K217:S217" si="136">IF(ISERROR(K147/K77),"-",K147/K77)</f>
        <v>-</v>
      </c>
      <c r="L217" s="1823" t="str">
        <f t="shared" si="136"/>
        <v>-</v>
      </c>
      <c r="M217" s="1823">
        <f t="shared" si="136"/>
        <v>1</v>
      </c>
      <c r="N217" s="1823" t="str">
        <f t="shared" si="136"/>
        <v>-</v>
      </c>
      <c r="O217" s="1823" t="str">
        <f t="shared" si="136"/>
        <v>-</v>
      </c>
      <c r="P217" s="1823" t="str">
        <f t="shared" si="136"/>
        <v>-</v>
      </c>
      <c r="Q217" s="1823" t="str">
        <f t="shared" si="136"/>
        <v>-</v>
      </c>
      <c r="R217" s="1430" t="str">
        <f t="shared" si="136"/>
        <v>-</v>
      </c>
      <c r="S217" s="1840">
        <f t="shared" si="136"/>
        <v>1</v>
      </c>
      <c r="T217" s="1834">
        <f t="shared" ref="T217:V217" si="137">IF(ISERROR(T147/T77),"-",T147/T77)</f>
        <v>1</v>
      </c>
      <c r="U217" s="1430">
        <f t="shared" si="137"/>
        <v>1</v>
      </c>
      <c r="V217" s="1840">
        <f t="shared" si="137"/>
        <v>1</v>
      </c>
      <c r="W217" s="1195"/>
    </row>
    <row r="218" spans="1:43">
      <c r="A218" s="851">
        <f>+A217+1</f>
        <v>3</v>
      </c>
      <c r="B218" s="1820" t="s">
        <v>652</v>
      </c>
      <c r="C218" s="1826" t="str">
        <f t="shared" ref="C218:J218" si="138">IF(ISERROR(C148/C78),"-",C148/C78)</f>
        <v>-</v>
      </c>
      <c r="D218" s="1823" t="str">
        <f t="shared" si="138"/>
        <v>-</v>
      </c>
      <c r="E218" s="1823" t="str">
        <f t="shared" si="138"/>
        <v>-</v>
      </c>
      <c r="F218" s="1823" t="str">
        <f t="shared" si="138"/>
        <v>-</v>
      </c>
      <c r="G218" s="1823" t="str">
        <f t="shared" si="138"/>
        <v>-</v>
      </c>
      <c r="H218" s="1823" t="str">
        <f t="shared" si="138"/>
        <v>-</v>
      </c>
      <c r="I218" s="1836" t="str">
        <f t="shared" si="138"/>
        <v>-</v>
      </c>
      <c r="J218" s="1840" t="str">
        <f t="shared" si="138"/>
        <v>-</v>
      </c>
      <c r="K218" s="1838" t="str">
        <f t="shared" ref="K218:S218" si="139">IF(ISERROR(K148/K78),"-",K148/K78)</f>
        <v>-</v>
      </c>
      <c r="L218" s="1823" t="str">
        <f t="shared" si="139"/>
        <v>-</v>
      </c>
      <c r="M218" s="1823">
        <f t="shared" si="139"/>
        <v>1</v>
      </c>
      <c r="N218" s="1823" t="str">
        <f t="shared" si="139"/>
        <v>-</v>
      </c>
      <c r="O218" s="1823" t="str">
        <f t="shared" si="139"/>
        <v>-</v>
      </c>
      <c r="P218" s="1823" t="str">
        <f t="shared" si="139"/>
        <v>-</v>
      </c>
      <c r="Q218" s="1823" t="str">
        <f t="shared" si="139"/>
        <v>-</v>
      </c>
      <c r="R218" s="1430" t="str">
        <f t="shared" si="139"/>
        <v>-</v>
      </c>
      <c r="S218" s="1840">
        <f t="shared" si="139"/>
        <v>1</v>
      </c>
      <c r="T218" s="1834">
        <f t="shared" ref="T218:V218" si="140">IF(ISERROR(T148/T78),"-",T148/T78)</f>
        <v>1</v>
      </c>
      <c r="U218" s="1430">
        <f t="shared" si="140"/>
        <v>1</v>
      </c>
      <c r="V218" s="1840">
        <f t="shared" si="140"/>
        <v>1</v>
      </c>
      <c r="W218" s="1195"/>
    </row>
    <row r="219" spans="1:43">
      <c r="A219" s="851">
        <f>+A218+1</f>
        <v>4</v>
      </c>
      <c r="B219" s="1820" t="s">
        <v>654</v>
      </c>
      <c r="C219" s="1826" t="str">
        <f t="shared" ref="C219:J219" si="141">IF(ISERROR(C149/C79),"-",C149/C79)</f>
        <v>-</v>
      </c>
      <c r="D219" s="1823" t="str">
        <f t="shared" si="141"/>
        <v>-</v>
      </c>
      <c r="E219" s="1823" t="str">
        <f t="shared" si="141"/>
        <v>-</v>
      </c>
      <c r="F219" s="1823" t="str">
        <f t="shared" si="141"/>
        <v>-</v>
      </c>
      <c r="G219" s="1823" t="str">
        <f t="shared" si="141"/>
        <v>-</v>
      </c>
      <c r="H219" s="1823" t="str">
        <f t="shared" si="141"/>
        <v>-</v>
      </c>
      <c r="I219" s="1836" t="str">
        <f t="shared" si="141"/>
        <v>-</v>
      </c>
      <c r="J219" s="1840" t="str">
        <f t="shared" si="141"/>
        <v>-</v>
      </c>
      <c r="K219" s="1838" t="str">
        <f t="shared" ref="K219:S219" si="142">IF(ISERROR(K149/K79),"-",K149/K79)</f>
        <v>-</v>
      </c>
      <c r="L219" s="1823" t="str">
        <f t="shared" si="142"/>
        <v>-</v>
      </c>
      <c r="M219" s="1823">
        <f t="shared" si="142"/>
        <v>1</v>
      </c>
      <c r="N219" s="1823" t="str">
        <f t="shared" si="142"/>
        <v>-</v>
      </c>
      <c r="O219" s="1823" t="str">
        <f t="shared" si="142"/>
        <v>-</v>
      </c>
      <c r="P219" s="1823">
        <f t="shared" si="142"/>
        <v>1</v>
      </c>
      <c r="Q219" s="1823" t="str">
        <f t="shared" si="142"/>
        <v>-</v>
      </c>
      <c r="R219" s="1430" t="str">
        <f t="shared" si="142"/>
        <v>-</v>
      </c>
      <c r="S219" s="1840">
        <f t="shared" si="142"/>
        <v>1</v>
      </c>
      <c r="T219" s="1834">
        <f t="shared" ref="T219:V219" si="143">IF(ISERROR(T149/T79),"-",T149/T79)</f>
        <v>1</v>
      </c>
      <c r="U219" s="1430">
        <f t="shared" si="143"/>
        <v>1</v>
      </c>
      <c r="V219" s="1840">
        <f t="shared" si="143"/>
        <v>1</v>
      </c>
      <c r="W219" s="1195"/>
    </row>
    <row r="220" spans="1:43">
      <c r="A220" s="851">
        <f>+A219+1</f>
        <v>5</v>
      </c>
      <c r="B220" s="1820" t="s">
        <v>651</v>
      </c>
      <c r="C220" s="1826" t="str">
        <f t="shared" ref="C220:J220" si="144">IF(ISERROR(C150/C80),"-",C150/C80)</f>
        <v>-</v>
      </c>
      <c r="D220" s="1823" t="str">
        <f t="shared" si="144"/>
        <v>-</v>
      </c>
      <c r="E220" s="1823" t="str">
        <f t="shared" si="144"/>
        <v>-</v>
      </c>
      <c r="F220" s="1823" t="str">
        <f t="shared" si="144"/>
        <v>-</v>
      </c>
      <c r="G220" s="1823" t="str">
        <f t="shared" si="144"/>
        <v>-</v>
      </c>
      <c r="H220" s="1823" t="str">
        <f t="shared" si="144"/>
        <v>-</v>
      </c>
      <c r="I220" s="1836" t="str">
        <f t="shared" si="144"/>
        <v>-</v>
      </c>
      <c r="J220" s="1840" t="str">
        <f t="shared" si="144"/>
        <v>-</v>
      </c>
      <c r="K220" s="1838" t="str">
        <f t="shared" ref="K220:S220" si="145">IF(ISERROR(K150/K80),"-",K150/K80)</f>
        <v>-</v>
      </c>
      <c r="L220" s="1823" t="str">
        <f t="shared" si="145"/>
        <v>-</v>
      </c>
      <c r="M220" s="1823">
        <f t="shared" si="145"/>
        <v>1</v>
      </c>
      <c r="N220" s="1823" t="str">
        <f t="shared" si="145"/>
        <v>-</v>
      </c>
      <c r="O220" s="1823" t="str">
        <f t="shared" si="145"/>
        <v>-</v>
      </c>
      <c r="P220" s="1823">
        <f t="shared" si="145"/>
        <v>1</v>
      </c>
      <c r="Q220" s="1823">
        <f t="shared" si="145"/>
        <v>1</v>
      </c>
      <c r="R220" s="1430" t="str">
        <f t="shared" si="145"/>
        <v>-</v>
      </c>
      <c r="S220" s="1840">
        <f t="shared" si="145"/>
        <v>1</v>
      </c>
      <c r="T220" s="1834">
        <f t="shared" ref="T220:V220" si="146">IF(ISERROR(T150/T80),"-",T150/T80)</f>
        <v>1</v>
      </c>
      <c r="U220" s="1430">
        <f t="shared" si="146"/>
        <v>1</v>
      </c>
      <c r="V220" s="1840">
        <f t="shared" si="146"/>
        <v>1</v>
      </c>
      <c r="W220" s="1195"/>
    </row>
    <row r="221" spans="1:43">
      <c r="A221" s="851">
        <f>+A220+1</f>
        <v>6</v>
      </c>
      <c r="B221" s="1820" t="s">
        <v>1261</v>
      </c>
      <c r="C221" s="1826">
        <f t="shared" ref="C221:J221" si="147">IF(ISERROR(C151/C81),"-",C151/C81)</f>
        <v>1</v>
      </c>
      <c r="D221" s="1823" t="str">
        <f t="shared" si="147"/>
        <v>-</v>
      </c>
      <c r="E221" s="1823">
        <f t="shared" si="147"/>
        <v>1</v>
      </c>
      <c r="F221" s="1823" t="str">
        <f t="shared" si="147"/>
        <v>-</v>
      </c>
      <c r="G221" s="1823">
        <f t="shared" si="147"/>
        <v>1</v>
      </c>
      <c r="H221" s="1823" t="str">
        <f t="shared" si="147"/>
        <v>-</v>
      </c>
      <c r="I221" s="1836" t="str">
        <f t="shared" si="147"/>
        <v>-</v>
      </c>
      <c r="J221" s="1840">
        <f t="shared" si="147"/>
        <v>1</v>
      </c>
      <c r="K221" s="1838">
        <f t="shared" ref="K221:S221" si="148">IF(ISERROR(K151/K81),"-",K151/K81)</f>
        <v>1</v>
      </c>
      <c r="L221" s="1823">
        <f t="shared" si="148"/>
        <v>1</v>
      </c>
      <c r="M221" s="1823">
        <f t="shared" si="148"/>
        <v>1</v>
      </c>
      <c r="N221" s="1823">
        <f t="shared" si="148"/>
        <v>0.96946238093539294</v>
      </c>
      <c r="O221" s="1823">
        <f t="shared" si="148"/>
        <v>1</v>
      </c>
      <c r="P221" s="1823">
        <f t="shared" si="148"/>
        <v>1</v>
      </c>
      <c r="Q221" s="1823" t="str">
        <f t="shared" si="148"/>
        <v>-</v>
      </c>
      <c r="R221" s="1430" t="str">
        <f t="shared" si="148"/>
        <v>-</v>
      </c>
      <c r="S221" s="1840">
        <f t="shared" si="148"/>
        <v>0.99413861223427746</v>
      </c>
      <c r="T221" s="1834">
        <f t="shared" ref="T221:V221" si="149">IF(ISERROR(T151/T81),"-",T151/T81)</f>
        <v>0.96714768191587352</v>
      </c>
      <c r="U221" s="1430">
        <f t="shared" si="149"/>
        <v>1</v>
      </c>
      <c r="V221" s="1840">
        <f t="shared" si="149"/>
        <v>1.0400880438345901</v>
      </c>
      <c r="W221" s="1195"/>
      <c r="Z221" s="912"/>
    </row>
    <row r="222" spans="1:43">
      <c r="A222" s="851">
        <f>A221+1</f>
        <v>7</v>
      </c>
      <c r="B222" s="1820" t="s">
        <v>831</v>
      </c>
      <c r="C222" s="1826">
        <f t="shared" ref="C222:J222" si="150">IF(ISERROR(C152/C82),"-",C152/C82)</f>
        <v>1</v>
      </c>
      <c r="D222" s="1823" t="str">
        <f t="shared" si="150"/>
        <v>-</v>
      </c>
      <c r="E222" s="1823" t="str">
        <f t="shared" si="150"/>
        <v>-</v>
      </c>
      <c r="F222" s="1823" t="str">
        <f t="shared" si="150"/>
        <v>-</v>
      </c>
      <c r="G222" s="1823">
        <f t="shared" si="150"/>
        <v>1</v>
      </c>
      <c r="H222" s="1823" t="str">
        <f t="shared" si="150"/>
        <v>-</v>
      </c>
      <c r="I222" s="1836" t="str">
        <f t="shared" si="150"/>
        <v>-</v>
      </c>
      <c r="J222" s="1840">
        <f t="shared" si="150"/>
        <v>1</v>
      </c>
      <c r="K222" s="1838">
        <f t="shared" ref="K222:S222" si="151">IF(ISERROR(K152/K82),"-",K152/K82)</f>
        <v>1</v>
      </c>
      <c r="L222" s="1823">
        <f t="shared" si="151"/>
        <v>1</v>
      </c>
      <c r="M222" s="1823">
        <f t="shared" si="151"/>
        <v>1</v>
      </c>
      <c r="N222" s="1823" t="str">
        <f t="shared" si="151"/>
        <v>-</v>
      </c>
      <c r="O222" s="1823">
        <f t="shared" si="151"/>
        <v>1</v>
      </c>
      <c r="P222" s="1823">
        <f t="shared" si="151"/>
        <v>1</v>
      </c>
      <c r="Q222" s="1823">
        <f t="shared" si="151"/>
        <v>1</v>
      </c>
      <c r="R222" s="1430" t="str">
        <f t="shared" si="151"/>
        <v>-</v>
      </c>
      <c r="S222" s="1840">
        <f t="shared" si="151"/>
        <v>1</v>
      </c>
      <c r="T222" s="1834">
        <f t="shared" ref="T222:V222" si="152">IF(ISERROR(T152/T82),"-",T152/T82)</f>
        <v>1</v>
      </c>
      <c r="U222" s="1430" t="str">
        <f t="shared" si="152"/>
        <v>-</v>
      </c>
      <c r="V222" s="1840">
        <f t="shared" si="152"/>
        <v>1</v>
      </c>
      <c r="W222" s="1195"/>
    </row>
    <row r="223" spans="1:43" ht="12.75" thickBot="1">
      <c r="A223" s="851">
        <f>+A222+1</f>
        <v>8</v>
      </c>
      <c r="B223" s="1821" t="s">
        <v>812</v>
      </c>
      <c r="C223" s="1828">
        <f t="shared" ref="C223:R224" si="153">IF(ISERROR(C153/C83),"-",C153/C83)</f>
        <v>1</v>
      </c>
      <c r="D223" s="1829">
        <f t="shared" si="153"/>
        <v>0.72868771380290975</v>
      </c>
      <c r="E223" s="1829">
        <f t="shared" si="153"/>
        <v>0.84164696220991975</v>
      </c>
      <c r="F223" s="1829">
        <f t="shared" si="153"/>
        <v>8.6177009558714282E-2</v>
      </c>
      <c r="G223" s="1829">
        <f t="shared" si="153"/>
        <v>1</v>
      </c>
      <c r="H223" s="1829">
        <f t="shared" si="153"/>
        <v>0.71970534069981584</v>
      </c>
      <c r="I223" s="1845">
        <f t="shared" si="153"/>
        <v>0.23448733547173986</v>
      </c>
      <c r="J223" s="1841">
        <f t="shared" si="153"/>
        <v>0.86978946115673206</v>
      </c>
      <c r="K223" s="1848">
        <f t="shared" ref="K223:S223" si="154">IF(ISERROR(K153/K83),"-",K153/K83)</f>
        <v>1</v>
      </c>
      <c r="L223" s="1829">
        <f t="shared" si="154"/>
        <v>1</v>
      </c>
      <c r="M223" s="1829">
        <f t="shared" si="154"/>
        <v>0.78089258442219578</v>
      </c>
      <c r="N223" s="1829" t="str">
        <f t="shared" si="154"/>
        <v>-</v>
      </c>
      <c r="O223" s="1829">
        <f t="shared" si="154"/>
        <v>1.942709188774653E-2</v>
      </c>
      <c r="P223" s="1829">
        <f t="shared" si="154"/>
        <v>0.60099826679461144</v>
      </c>
      <c r="Q223" s="1829">
        <f t="shared" si="154"/>
        <v>1</v>
      </c>
      <c r="R223" s="1830">
        <f t="shared" si="154"/>
        <v>1</v>
      </c>
      <c r="S223" s="1841">
        <f t="shared" si="154"/>
        <v>9.879855493174565E-2</v>
      </c>
      <c r="T223" s="1849">
        <f t="shared" ref="T223:V223" si="155">IF(ISERROR(T153/T83),"-",T153/T83)</f>
        <v>-0.42143788579328273</v>
      </c>
      <c r="U223" s="1830">
        <f t="shared" si="155"/>
        <v>1</v>
      </c>
      <c r="V223" s="1841">
        <f t="shared" si="155"/>
        <v>-3.4495042646104559</v>
      </c>
      <c r="W223" s="1195"/>
    </row>
    <row r="224" spans="1:43" s="558" customFormat="1" ht="12.75" thickBot="1">
      <c r="A224" s="572" t="s">
        <v>596</v>
      </c>
      <c r="B224" s="1844" t="s">
        <v>411</v>
      </c>
      <c r="C224" s="1843">
        <f t="shared" si="153"/>
        <v>1</v>
      </c>
      <c r="D224" s="1846">
        <f t="shared" si="153"/>
        <v>0.72868771380290975</v>
      </c>
      <c r="E224" s="1846">
        <f t="shared" si="153"/>
        <v>0.8593472929635918</v>
      </c>
      <c r="F224" s="1846">
        <f t="shared" si="153"/>
        <v>8.6177009558714282E-2</v>
      </c>
      <c r="G224" s="1846">
        <f t="shared" si="153"/>
        <v>1</v>
      </c>
      <c r="H224" s="1846">
        <f t="shared" si="153"/>
        <v>0.77571470674918952</v>
      </c>
      <c r="I224" s="1433">
        <f t="shared" si="153"/>
        <v>0.23448733547173986</v>
      </c>
      <c r="J224" s="1847">
        <f t="shared" si="153"/>
        <v>0.94562584911755343</v>
      </c>
      <c r="K224" s="1843">
        <f t="shared" si="153"/>
        <v>1</v>
      </c>
      <c r="L224" s="1846">
        <f t="shared" si="153"/>
        <v>1</v>
      </c>
      <c r="M224" s="1846">
        <f t="shared" si="153"/>
        <v>0.927936240986449</v>
      </c>
      <c r="N224" s="1846">
        <f t="shared" si="153"/>
        <v>0.96946238093539294</v>
      </c>
      <c r="O224" s="1846">
        <f t="shared" si="153"/>
        <v>2.0977307396256837E-2</v>
      </c>
      <c r="P224" s="1846">
        <f t="shared" si="153"/>
        <v>0.89382536678833557</v>
      </c>
      <c r="Q224" s="1846">
        <f t="shared" si="153"/>
        <v>1</v>
      </c>
      <c r="R224" s="1433">
        <f t="shared" si="153"/>
        <v>1</v>
      </c>
      <c r="S224" s="1847">
        <f t="shared" ref="S224" si="156">IF(ISERROR(S154/S84),"-",S154/S84)</f>
        <v>0.33667966273790328</v>
      </c>
      <c r="T224" s="1843">
        <f t="shared" ref="S224:V224" si="157">IF(ISERROR(T154/T84),"-",T154/T84)</f>
        <v>-1.1525902329305235</v>
      </c>
      <c r="U224" s="1433">
        <f t="shared" si="157"/>
        <v>1</v>
      </c>
      <c r="V224" s="1842">
        <f t="shared" si="157"/>
        <v>16.398340983076206</v>
      </c>
      <c r="W224" s="1195"/>
      <c r="X224" s="266"/>
      <c r="AC224" s="266"/>
      <c r="AD224" s="266"/>
      <c r="AE224" s="266"/>
      <c r="AF224" s="266"/>
      <c r="AG224" s="266"/>
      <c r="AH224" s="266"/>
      <c r="AI224" s="266"/>
      <c r="AJ224" s="266"/>
      <c r="AK224" s="266"/>
      <c r="AL224" s="266"/>
      <c r="AM224" s="266"/>
      <c r="AN224" s="266"/>
      <c r="AO224" s="266"/>
      <c r="AP224" s="266"/>
      <c r="AQ224" s="266"/>
    </row>
    <row r="225" spans="1:43">
      <c r="A225" s="851">
        <f>+A223+1</f>
        <v>9</v>
      </c>
      <c r="B225" s="570" t="s">
        <v>829</v>
      </c>
      <c r="C225" s="1826" t="str">
        <f t="shared" ref="C225:V225" si="158">IF(ISERROR(C155/C85),"-",C155/C85)</f>
        <v>-</v>
      </c>
      <c r="D225" s="1823" t="str">
        <f t="shared" si="158"/>
        <v>-</v>
      </c>
      <c r="E225" s="1823" t="str">
        <f t="shared" si="158"/>
        <v>-</v>
      </c>
      <c r="F225" s="1823" t="str">
        <f t="shared" si="158"/>
        <v>-</v>
      </c>
      <c r="G225" s="1823" t="str">
        <f t="shared" si="158"/>
        <v>-</v>
      </c>
      <c r="H225" s="1823" t="str">
        <f t="shared" si="158"/>
        <v>-</v>
      </c>
      <c r="I225" s="1836" t="str">
        <f t="shared" si="158"/>
        <v>-</v>
      </c>
      <c r="J225" s="1840" t="str">
        <f t="shared" si="158"/>
        <v>-</v>
      </c>
      <c r="K225" s="1838" t="str">
        <f t="shared" si="158"/>
        <v>-</v>
      </c>
      <c r="L225" s="1823" t="str">
        <f t="shared" si="158"/>
        <v>-</v>
      </c>
      <c r="M225" s="1823" t="str">
        <f t="shared" si="158"/>
        <v>-</v>
      </c>
      <c r="N225" s="1823" t="str">
        <f t="shared" si="158"/>
        <v>-</v>
      </c>
      <c r="O225" s="1823" t="str">
        <f t="shared" si="158"/>
        <v>-</v>
      </c>
      <c r="P225" s="1823" t="str">
        <f t="shared" si="158"/>
        <v>-</v>
      </c>
      <c r="Q225" s="1823" t="str">
        <f t="shared" si="158"/>
        <v>-</v>
      </c>
      <c r="R225" s="1430" t="str">
        <f t="shared" si="158"/>
        <v>-</v>
      </c>
      <c r="S225" s="1840" t="str">
        <f t="shared" si="158"/>
        <v>-</v>
      </c>
      <c r="T225" s="1834" t="str">
        <f t="shared" si="158"/>
        <v>-</v>
      </c>
      <c r="U225" s="1430" t="str">
        <f t="shared" si="158"/>
        <v>-</v>
      </c>
      <c r="V225" s="1840" t="str">
        <f t="shared" si="158"/>
        <v>-</v>
      </c>
      <c r="W225" s="1195"/>
    </row>
    <row r="226" spans="1:43" ht="12.75" thickBot="1">
      <c r="A226" s="851">
        <f>+A225+1</f>
        <v>10</v>
      </c>
      <c r="B226" s="570" t="s">
        <v>813</v>
      </c>
      <c r="C226" s="1826" t="str">
        <f t="shared" ref="C226:V226" si="159">IF(ISERROR(C156/C86),"-",C156/C86)</f>
        <v>-</v>
      </c>
      <c r="D226" s="1823">
        <f t="shared" si="159"/>
        <v>1</v>
      </c>
      <c r="E226" s="1823" t="str">
        <f t="shared" si="159"/>
        <v>-</v>
      </c>
      <c r="F226" s="1823" t="str">
        <f t="shared" si="159"/>
        <v>-</v>
      </c>
      <c r="G226" s="1823" t="str">
        <f t="shared" si="159"/>
        <v>-</v>
      </c>
      <c r="H226" s="1823" t="str">
        <f t="shared" si="159"/>
        <v>-</v>
      </c>
      <c r="I226" s="1836">
        <f t="shared" si="159"/>
        <v>1</v>
      </c>
      <c r="J226" s="1840">
        <f t="shared" si="159"/>
        <v>1</v>
      </c>
      <c r="K226" s="1838">
        <f t="shared" si="159"/>
        <v>1</v>
      </c>
      <c r="L226" s="1823" t="str">
        <f t="shared" si="159"/>
        <v>-</v>
      </c>
      <c r="M226" s="1823">
        <f t="shared" si="159"/>
        <v>1</v>
      </c>
      <c r="N226" s="1823" t="str">
        <f t="shared" si="159"/>
        <v>-</v>
      </c>
      <c r="O226" s="1823" t="str">
        <f t="shared" si="159"/>
        <v>-</v>
      </c>
      <c r="P226" s="1823" t="str">
        <f t="shared" si="159"/>
        <v>-</v>
      </c>
      <c r="Q226" s="1823" t="str">
        <f t="shared" si="159"/>
        <v>-</v>
      </c>
      <c r="R226" s="1430" t="str">
        <f t="shared" si="159"/>
        <v>-</v>
      </c>
      <c r="S226" s="1840">
        <f t="shared" si="159"/>
        <v>1</v>
      </c>
      <c r="T226" s="1834">
        <f t="shared" si="159"/>
        <v>1</v>
      </c>
      <c r="U226" s="1430" t="str">
        <f t="shared" si="159"/>
        <v>-</v>
      </c>
      <c r="V226" s="1840">
        <f t="shared" si="159"/>
        <v>1</v>
      </c>
      <c r="W226" s="1195"/>
    </row>
    <row r="227" spans="1:43" s="558" customFormat="1" ht="12.75" thickBot="1">
      <c r="A227" s="572" t="s">
        <v>597</v>
      </c>
      <c r="B227" s="573" t="s">
        <v>412</v>
      </c>
      <c r="C227" s="1843" t="str">
        <f t="shared" ref="C226:V230" si="160">IF(ISERROR(C157/C87),"-",C157/C87)</f>
        <v>-</v>
      </c>
      <c r="D227" s="1846">
        <f t="shared" si="160"/>
        <v>1</v>
      </c>
      <c r="E227" s="1846" t="str">
        <f t="shared" si="160"/>
        <v>-</v>
      </c>
      <c r="F227" s="1846" t="str">
        <f t="shared" si="160"/>
        <v>-</v>
      </c>
      <c r="G227" s="1846" t="str">
        <f t="shared" si="160"/>
        <v>-</v>
      </c>
      <c r="H227" s="1846" t="str">
        <f t="shared" si="160"/>
        <v>-</v>
      </c>
      <c r="I227" s="1433">
        <f t="shared" si="160"/>
        <v>1</v>
      </c>
      <c r="J227" s="1847">
        <f t="shared" si="160"/>
        <v>1</v>
      </c>
      <c r="K227" s="1843">
        <f t="shared" si="160"/>
        <v>1</v>
      </c>
      <c r="L227" s="1846" t="str">
        <f t="shared" si="160"/>
        <v>-</v>
      </c>
      <c r="M227" s="1846">
        <f t="shared" si="160"/>
        <v>1</v>
      </c>
      <c r="N227" s="1846" t="str">
        <f t="shared" si="160"/>
        <v>-</v>
      </c>
      <c r="O227" s="1846" t="str">
        <f t="shared" si="160"/>
        <v>-</v>
      </c>
      <c r="P227" s="1846" t="str">
        <f t="shared" si="160"/>
        <v>-</v>
      </c>
      <c r="Q227" s="1846" t="str">
        <f t="shared" si="160"/>
        <v>-</v>
      </c>
      <c r="R227" s="1433" t="str">
        <f t="shared" si="160"/>
        <v>-</v>
      </c>
      <c r="S227" s="1847">
        <f t="shared" si="160"/>
        <v>1</v>
      </c>
      <c r="T227" s="1843">
        <f t="shared" si="160"/>
        <v>1</v>
      </c>
      <c r="U227" s="1433" t="str">
        <f t="shared" si="160"/>
        <v>-</v>
      </c>
      <c r="V227" s="1842">
        <f t="shared" si="160"/>
        <v>1</v>
      </c>
      <c r="W227" s="1195"/>
      <c r="X227" s="266"/>
      <c r="AC227" s="266"/>
      <c r="AD227" s="266"/>
      <c r="AE227" s="266"/>
      <c r="AF227" s="266"/>
      <c r="AG227" s="266"/>
      <c r="AH227" s="266"/>
      <c r="AI227" s="266"/>
      <c r="AJ227" s="266"/>
      <c r="AK227" s="266"/>
      <c r="AL227" s="266"/>
      <c r="AM227" s="266"/>
      <c r="AN227" s="266"/>
      <c r="AO227" s="266"/>
      <c r="AP227" s="266"/>
      <c r="AQ227" s="266"/>
    </row>
    <row r="228" spans="1:43" ht="12.75" thickBot="1">
      <c r="A228" s="851">
        <f>+A226+1</f>
        <v>11</v>
      </c>
      <c r="B228" s="579" t="s">
        <v>413</v>
      </c>
      <c r="C228" s="1826" t="str">
        <f t="shared" si="160"/>
        <v>-</v>
      </c>
      <c r="D228" s="1823" t="str">
        <f t="shared" si="160"/>
        <v>-</v>
      </c>
      <c r="E228" s="1823" t="str">
        <f t="shared" si="160"/>
        <v>-</v>
      </c>
      <c r="F228" s="1823" t="str">
        <f t="shared" si="160"/>
        <v>-</v>
      </c>
      <c r="G228" s="1823" t="str">
        <f t="shared" si="160"/>
        <v>-</v>
      </c>
      <c r="H228" s="1823" t="str">
        <f t="shared" si="160"/>
        <v>-</v>
      </c>
      <c r="I228" s="1836" t="str">
        <f t="shared" si="160"/>
        <v>-</v>
      </c>
      <c r="J228" s="1840" t="str">
        <f t="shared" si="160"/>
        <v>-</v>
      </c>
      <c r="K228" s="1838" t="str">
        <f t="shared" si="160"/>
        <v>-</v>
      </c>
      <c r="L228" s="1823" t="str">
        <f t="shared" si="160"/>
        <v>-</v>
      </c>
      <c r="M228" s="1823" t="str">
        <f t="shared" si="160"/>
        <v>-</v>
      </c>
      <c r="N228" s="1823" t="str">
        <f t="shared" si="160"/>
        <v>-</v>
      </c>
      <c r="O228" s="1823" t="str">
        <f t="shared" si="160"/>
        <v>-</v>
      </c>
      <c r="P228" s="1823" t="str">
        <f t="shared" si="160"/>
        <v>-</v>
      </c>
      <c r="Q228" s="1823" t="str">
        <f t="shared" si="160"/>
        <v>-</v>
      </c>
      <c r="R228" s="1430" t="str">
        <f t="shared" si="160"/>
        <v>-</v>
      </c>
      <c r="S228" s="1840" t="str">
        <f t="shared" si="160"/>
        <v>-</v>
      </c>
      <c r="T228" s="1834" t="str">
        <f t="shared" si="160"/>
        <v>-</v>
      </c>
      <c r="U228" s="1430" t="str">
        <f t="shared" si="160"/>
        <v>-</v>
      </c>
      <c r="V228" s="1840" t="str">
        <f t="shared" si="160"/>
        <v>-</v>
      </c>
      <c r="W228" s="1195"/>
    </row>
    <row r="229" spans="1:43" s="558" customFormat="1" ht="12.75" thickBot="1">
      <c r="A229" s="572" t="s">
        <v>598</v>
      </c>
      <c r="B229" s="573" t="s">
        <v>413</v>
      </c>
      <c r="C229" s="1843" t="str">
        <f t="shared" si="160"/>
        <v>-</v>
      </c>
      <c r="D229" s="1846" t="str">
        <f t="shared" si="160"/>
        <v>-</v>
      </c>
      <c r="E229" s="1846" t="str">
        <f t="shared" si="160"/>
        <v>-</v>
      </c>
      <c r="F229" s="1846" t="str">
        <f t="shared" si="160"/>
        <v>-</v>
      </c>
      <c r="G229" s="1846" t="str">
        <f t="shared" si="160"/>
        <v>-</v>
      </c>
      <c r="H229" s="1846" t="str">
        <f t="shared" si="160"/>
        <v>-</v>
      </c>
      <c r="I229" s="1433" t="str">
        <f t="shared" si="160"/>
        <v>-</v>
      </c>
      <c r="J229" s="1847" t="str">
        <f t="shared" si="160"/>
        <v>-</v>
      </c>
      <c r="K229" s="1843" t="str">
        <f t="shared" si="160"/>
        <v>-</v>
      </c>
      <c r="L229" s="1846" t="str">
        <f t="shared" si="160"/>
        <v>-</v>
      </c>
      <c r="M229" s="1846" t="str">
        <f t="shared" si="160"/>
        <v>-</v>
      </c>
      <c r="N229" s="1846" t="str">
        <f t="shared" si="160"/>
        <v>-</v>
      </c>
      <c r="O229" s="1846" t="str">
        <f t="shared" si="160"/>
        <v>-</v>
      </c>
      <c r="P229" s="1846" t="str">
        <f t="shared" si="160"/>
        <v>-</v>
      </c>
      <c r="Q229" s="1846" t="str">
        <f t="shared" si="160"/>
        <v>-</v>
      </c>
      <c r="R229" s="1433" t="str">
        <f t="shared" si="160"/>
        <v>-</v>
      </c>
      <c r="S229" s="1847" t="str">
        <f t="shared" si="160"/>
        <v>-</v>
      </c>
      <c r="T229" s="1843" t="str">
        <f t="shared" si="160"/>
        <v>-</v>
      </c>
      <c r="U229" s="1433" t="str">
        <f t="shared" si="160"/>
        <v>-</v>
      </c>
      <c r="V229" s="1842" t="str">
        <f t="shared" si="160"/>
        <v>-</v>
      </c>
      <c r="W229" s="1195"/>
      <c r="X229" s="266"/>
      <c r="AC229" s="266"/>
      <c r="AD229" s="266"/>
      <c r="AE229" s="266"/>
      <c r="AF229" s="266"/>
      <c r="AG229" s="266"/>
      <c r="AH229" s="266"/>
      <c r="AI229" s="266"/>
      <c r="AJ229" s="266"/>
      <c r="AK229" s="266"/>
      <c r="AL229" s="266"/>
      <c r="AM229" s="266"/>
      <c r="AN229" s="266"/>
      <c r="AO229" s="266"/>
      <c r="AP229" s="266"/>
      <c r="AQ229" s="266"/>
    </row>
    <row r="230" spans="1:43" s="558" customFormat="1" ht="12.75" thickBot="1">
      <c r="A230" s="581" t="s">
        <v>23</v>
      </c>
      <c r="B230" s="582" t="s">
        <v>414</v>
      </c>
      <c r="C230" s="1850">
        <f t="shared" si="160"/>
        <v>1</v>
      </c>
      <c r="D230" s="1851">
        <f t="shared" si="160"/>
        <v>0.73039062100035834</v>
      </c>
      <c r="E230" s="1851">
        <f t="shared" si="160"/>
        <v>0.8593472929635918</v>
      </c>
      <c r="F230" s="1851">
        <f t="shared" si="160"/>
        <v>8.6177009558714282E-2</v>
      </c>
      <c r="G230" s="1851">
        <f t="shared" si="160"/>
        <v>1</v>
      </c>
      <c r="H230" s="1851">
        <f t="shared" si="160"/>
        <v>0.77571470674918952</v>
      </c>
      <c r="I230" s="1852">
        <f t="shared" si="160"/>
        <v>0.3030211480362538</v>
      </c>
      <c r="J230" s="1853">
        <f t="shared" si="160"/>
        <v>0.94568789864065339</v>
      </c>
      <c r="K230" s="1850">
        <f t="shared" si="160"/>
        <v>1</v>
      </c>
      <c r="L230" s="1851">
        <f t="shared" si="160"/>
        <v>1</v>
      </c>
      <c r="M230" s="1851">
        <f t="shared" si="160"/>
        <v>0.92794964510512923</v>
      </c>
      <c r="N230" s="1851">
        <f t="shared" si="160"/>
        <v>0.96946238093539294</v>
      </c>
      <c r="O230" s="1851">
        <f t="shared" si="160"/>
        <v>2.0977307396256837E-2</v>
      </c>
      <c r="P230" s="1851">
        <f t="shared" si="160"/>
        <v>0.89382536678833557</v>
      </c>
      <c r="Q230" s="1851">
        <f t="shared" si="160"/>
        <v>1</v>
      </c>
      <c r="R230" s="1852">
        <f t="shared" si="160"/>
        <v>1</v>
      </c>
      <c r="S230" s="1853">
        <f t="shared" si="160"/>
        <v>0.33669462628576069</v>
      </c>
      <c r="T230" s="1850">
        <f t="shared" si="160"/>
        <v>-1.1584533114527822</v>
      </c>
      <c r="U230" s="1852">
        <f t="shared" si="160"/>
        <v>1</v>
      </c>
      <c r="V230" s="1854">
        <f t="shared" si="160"/>
        <v>16.104838549724306</v>
      </c>
      <c r="W230" s="1195"/>
      <c r="X230" s="266"/>
      <c r="AC230" s="266"/>
      <c r="AD230" s="266"/>
      <c r="AE230" s="266"/>
      <c r="AF230" s="266"/>
      <c r="AG230" s="266"/>
      <c r="AH230" s="266"/>
      <c r="AI230" s="266"/>
      <c r="AJ230" s="266"/>
      <c r="AK230" s="266"/>
      <c r="AL230" s="266"/>
      <c r="AM230" s="266"/>
      <c r="AN230" s="266"/>
      <c r="AO230" s="266"/>
      <c r="AP230" s="266"/>
      <c r="AQ230" s="266"/>
    </row>
    <row r="231" spans="1:43" s="558" customFormat="1" ht="12.75" thickBot="1">
      <c r="A231" s="592"/>
      <c r="B231" s="593"/>
      <c r="C231" s="594"/>
      <c r="D231" s="594"/>
      <c r="E231" s="594"/>
      <c r="F231" s="594"/>
      <c r="G231" s="594"/>
      <c r="H231" s="594"/>
      <c r="I231" s="896"/>
      <c r="J231" s="597"/>
      <c r="K231" s="594"/>
      <c r="L231" s="594"/>
      <c r="M231" s="594"/>
      <c r="N231" s="594"/>
      <c r="O231" s="594"/>
      <c r="P231" s="594"/>
      <c r="Q231" s="594"/>
      <c r="R231" s="594"/>
      <c r="S231" s="597"/>
      <c r="T231" s="594"/>
      <c r="U231" s="596"/>
      <c r="V231" s="597"/>
      <c r="W231" s="1195"/>
      <c r="X231" s="266"/>
      <c r="AC231" s="266"/>
      <c r="AD231" s="266"/>
      <c r="AE231" s="266"/>
      <c r="AF231" s="266"/>
      <c r="AG231" s="266"/>
      <c r="AH231" s="266"/>
      <c r="AI231" s="266"/>
      <c r="AJ231" s="266"/>
      <c r="AK231" s="266"/>
      <c r="AL231" s="266"/>
      <c r="AM231" s="266"/>
      <c r="AN231" s="266"/>
      <c r="AO231" s="266"/>
      <c r="AP231" s="266"/>
      <c r="AQ231" s="266"/>
    </row>
    <row r="232" spans="1:43">
      <c r="A232" s="897">
        <f>+A228+1</f>
        <v>12</v>
      </c>
      <c r="B232" s="898" t="s">
        <v>830</v>
      </c>
      <c r="C232" s="1826">
        <f t="shared" ref="C232:V232" si="161">IF(ISERROR(C162/C92),"-",C162/C92)</f>
        <v>1</v>
      </c>
      <c r="D232" s="1823">
        <f t="shared" si="161"/>
        <v>0</v>
      </c>
      <c r="E232" s="1823">
        <f t="shared" si="161"/>
        <v>0.89192982456140346</v>
      </c>
      <c r="F232" s="1823" t="str">
        <f t="shared" si="161"/>
        <v>-</v>
      </c>
      <c r="G232" s="1823" t="str">
        <f t="shared" si="161"/>
        <v>-</v>
      </c>
      <c r="H232" s="1823" t="str">
        <f t="shared" si="161"/>
        <v>-</v>
      </c>
      <c r="I232" s="1836" t="str">
        <f t="shared" si="161"/>
        <v>-</v>
      </c>
      <c r="J232" s="1840">
        <f t="shared" si="161"/>
        <v>0.98505977161570646</v>
      </c>
      <c r="K232" s="1838">
        <f t="shared" si="161"/>
        <v>1</v>
      </c>
      <c r="L232" s="1823">
        <f t="shared" si="161"/>
        <v>1</v>
      </c>
      <c r="M232" s="1823">
        <f t="shared" si="161"/>
        <v>0.93485755761204858</v>
      </c>
      <c r="N232" s="1823" t="str">
        <f t="shared" si="161"/>
        <v>-</v>
      </c>
      <c r="O232" s="1823" t="str">
        <f t="shared" si="161"/>
        <v>-</v>
      </c>
      <c r="P232" s="1823">
        <f t="shared" si="161"/>
        <v>0.99694298307976681</v>
      </c>
      <c r="Q232" s="1823" t="str">
        <f t="shared" si="161"/>
        <v>-</v>
      </c>
      <c r="R232" s="1430" t="str">
        <f t="shared" si="161"/>
        <v>-</v>
      </c>
      <c r="S232" s="1840">
        <f t="shared" si="161"/>
        <v>0.9884492699066828</v>
      </c>
      <c r="T232" s="1834">
        <f t="shared" si="161"/>
        <v>0.99044209254621651</v>
      </c>
      <c r="U232" s="1430">
        <f t="shared" si="161"/>
        <v>1</v>
      </c>
      <c r="V232" s="1840">
        <f t="shared" si="161"/>
        <v>0.76276745275652036</v>
      </c>
      <c r="W232" s="1195"/>
    </row>
    <row r="233" spans="1:43">
      <c r="A233" s="851">
        <f>+A232+1</f>
        <v>13</v>
      </c>
      <c r="B233" s="566" t="s">
        <v>831</v>
      </c>
      <c r="C233" s="1826" t="str">
        <f t="shared" ref="C233:V233" si="162">IF(ISERROR(C163/C93),"-",C163/C93)</f>
        <v>-</v>
      </c>
      <c r="D233" s="1823" t="str">
        <f t="shared" si="162"/>
        <v>-</v>
      </c>
      <c r="E233" s="1823" t="str">
        <f t="shared" si="162"/>
        <v>-</v>
      </c>
      <c r="F233" s="1823" t="str">
        <f t="shared" si="162"/>
        <v>-</v>
      </c>
      <c r="G233" s="1823" t="str">
        <f t="shared" si="162"/>
        <v>-</v>
      </c>
      <c r="H233" s="1823" t="str">
        <f t="shared" si="162"/>
        <v>-</v>
      </c>
      <c r="I233" s="1836" t="str">
        <f t="shared" si="162"/>
        <v>-</v>
      </c>
      <c r="J233" s="1840" t="str">
        <f t="shared" si="162"/>
        <v>-</v>
      </c>
      <c r="K233" s="1838" t="str">
        <f t="shared" si="162"/>
        <v>-</v>
      </c>
      <c r="L233" s="1823" t="str">
        <f t="shared" si="162"/>
        <v>-</v>
      </c>
      <c r="M233" s="1823" t="str">
        <f t="shared" si="162"/>
        <v>-</v>
      </c>
      <c r="N233" s="1823" t="str">
        <f t="shared" si="162"/>
        <v>-</v>
      </c>
      <c r="O233" s="1823" t="str">
        <f t="shared" si="162"/>
        <v>-</v>
      </c>
      <c r="P233" s="1823" t="str">
        <f t="shared" si="162"/>
        <v>-</v>
      </c>
      <c r="Q233" s="1823" t="str">
        <f t="shared" si="162"/>
        <v>-</v>
      </c>
      <c r="R233" s="1430" t="str">
        <f t="shared" si="162"/>
        <v>-</v>
      </c>
      <c r="S233" s="1840" t="str">
        <f t="shared" si="162"/>
        <v>-</v>
      </c>
      <c r="T233" s="1834" t="str">
        <f t="shared" si="162"/>
        <v>-</v>
      </c>
      <c r="U233" s="1430" t="str">
        <f t="shared" si="162"/>
        <v>-</v>
      </c>
      <c r="V233" s="1840" t="str">
        <f t="shared" si="162"/>
        <v>-</v>
      </c>
      <c r="W233" s="1195"/>
    </row>
    <row r="234" spans="1:43" ht="12.75" thickBot="1">
      <c r="A234" s="851">
        <f>+A233+1</f>
        <v>14</v>
      </c>
      <c r="B234" s="570" t="s">
        <v>814</v>
      </c>
      <c r="C234" s="1826" t="str">
        <f t="shared" ref="C234:V234" si="163">IF(ISERROR(C164/C94),"-",C164/C94)</f>
        <v>-</v>
      </c>
      <c r="D234" s="1823" t="str">
        <f t="shared" si="163"/>
        <v>-</v>
      </c>
      <c r="E234" s="1823">
        <f t="shared" si="163"/>
        <v>1</v>
      </c>
      <c r="F234" s="1823" t="str">
        <f t="shared" si="163"/>
        <v>-</v>
      </c>
      <c r="G234" s="1823" t="str">
        <f t="shared" si="163"/>
        <v>-</v>
      </c>
      <c r="H234" s="1823" t="str">
        <f t="shared" si="163"/>
        <v>-</v>
      </c>
      <c r="I234" s="1836" t="str">
        <f t="shared" si="163"/>
        <v>-</v>
      </c>
      <c r="J234" s="1840">
        <f t="shared" si="163"/>
        <v>1</v>
      </c>
      <c r="K234" s="1838">
        <f t="shared" si="163"/>
        <v>1</v>
      </c>
      <c r="L234" s="1823">
        <f t="shared" si="163"/>
        <v>1</v>
      </c>
      <c r="M234" s="1823">
        <f t="shared" si="163"/>
        <v>1</v>
      </c>
      <c r="N234" s="1823" t="str">
        <f t="shared" si="163"/>
        <v>-</v>
      </c>
      <c r="O234" s="1823">
        <f t="shared" si="163"/>
        <v>1</v>
      </c>
      <c r="P234" s="1823" t="str">
        <f t="shared" si="163"/>
        <v>-</v>
      </c>
      <c r="Q234" s="1823" t="str">
        <f t="shared" si="163"/>
        <v>-</v>
      </c>
      <c r="R234" s="1430" t="str">
        <f t="shared" si="163"/>
        <v>-</v>
      </c>
      <c r="S234" s="1840">
        <f t="shared" si="163"/>
        <v>1</v>
      </c>
      <c r="T234" s="1834">
        <f t="shared" si="163"/>
        <v>1</v>
      </c>
      <c r="U234" s="1430">
        <f t="shared" si="163"/>
        <v>1</v>
      </c>
      <c r="V234" s="1840">
        <f t="shared" si="163"/>
        <v>1</v>
      </c>
      <c r="W234" s="1195"/>
    </row>
    <row r="235" spans="1:43" s="558" customFormat="1" ht="12.75" thickBot="1">
      <c r="A235" s="572" t="s">
        <v>599</v>
      </c>
      <c r="B235" s="573" t="s">
        <v>932</v>
      </c>
      <c r="C235" s="1843">
        <f t="shared" ref="C234:R235" si="164">IF(ISERROR(C165/C95),"-",C165/C95)</f>
        <v>1</v>
      </c>
      <c r="D235" s="1846">
        <f t="shared" si="164"/>
        <v>0</v>
      </c>
      <c r="E235" s="1846">
        <f t="shared" si="164"/>
        <v>0.89777253282195013</v>
      </c>
      <c r="F235" s="1846" t="str">
        <f t="shared" si="164"/>
        <v>-</v>
      </c>
      <c r="G235" s="1846" t="str">
        <f t="shared" si="164"/>
        <v>-</v>
      </c>
      <c r="H235" s="1846" t="str">
        <f t="shared" si="164"/>
        <v>-</v>
      </c>
      <c r="I235" s="1433" t="str">
        <f t="shared" si="164"/>
        <v>-</v>
      </c>
      <c r="J235" s="1847">
        <f t="shared" si="164"/>
        <v>0.98517606082487363</v>
      </c>
      <c r="K235" s="1843">
        <f t="shared" si="164"/>
        <v>1</v>
      </c>
      <c r="L235" s="1846">
        <f t="shared" si="164"/>
        <v>1</v>
      </c>
      <c r="M235" s="1846">
        <f t="shared" si="164"/>
        <v>0.94501033928161138</v>
      </c>
      <c r="N235" s="1846" t="str">
        <f t="shared" si="164"/>
        <v>-</v>
      </c>
      <c r="O235" s="1846">
        <f t="shared" si="164"/>
        <v>1</v>
      </c>
      <c r="P235" s="1846">
        <f t="shared" si="164"/>
        <v>0.99694298307976681</v>
      </c>
      <c r="Q235" s="1846" t="str">
        <f t="shared" si="164"/>
        <v>-</v>
      </c>
      <c r="R235" s="1433" t="str">
        <f t="shared" si="164"/>
        <v>-</v>
      </c>
      <c r="S235" s="1847">
        <f t="shared" ref="S235:V235" si="165">IF(ISERROR(S165/S95),"-",S165/S95)</f>
        <v>0.99205076601709286</v>
      </c>
      <c r="T235" s="1843">
        <f t="shared" si="165"/>
        <v>0.99442630169155688</v>
      </c>
      <c r="U235" s="1433">
        <f t="shared" si="165"/>
        <v>1</v>
      </c>
      <c r="V235" s="1842">
        <f t="shared" si="165"/>
        <v>0.98720400306632183</v>
      </c>
      <c r="W235" s="1195"/>
      <c r="X235" s="266"/>
      <c r="AC235" s="266"/>
      <c r="AD235" s="266"/>
      <c r="AE235" s="266"/>
      <c r="AF235" s="266"/>
      <c r="AG235" s="266"/>
      <c r="AH235" s="266"/>
      <c r="AI235" s="266"/>
      <c r="AJ235" s="266"/>
      <c r="AK235" s="266"/>
      <c r="AL235" s="266"/>
      <c r="AM235" s="266"/>
      <c r="AN235" s="266"/>
      <c r="AO235" s="266"/>
      <c r="AP235" s="266"/>
      <c r="AQ235" s="266"/>
    </row>
    <row r="236" spans="1:43">
      <c r="A236" s="851">
        <f>+A234+1</f>
        <v>15</v>
      </c>
      <c r="B236" s="591" t="s">
        <v>417</v>
      </c>
      <c r="C236" s="1826" t="str">
        <f t="shared" ref="C236:V236" si="166">IF(ISERROR(C166/C96),"-",C166/C96)</f>
        <v>-</v>
      </c>
      <c r="D236" s="1823" t="str">
        <f t="shared" si="166"/>
        <v>-</v>
      </c>
      <c r="E236" s="1823">
        <f t="shared" si="166"/>
        <v>1</v>
      </c>
      <c r="F236" s="1823" t="str">
        <f t="shared" si="166"/>
        <v>-</v>
      </c>
      <c r="G236" s="1823" t="str">
        <f t="shared" si="166"/>
        <v>-</v>
      </c>
      <c r="H236" s="1823" t="str">
        <f t="shared" si="166"/>
        <v>-</v>
      </c>
      <c r="I236" s="1836" t="str">
        <f t="shared" si="166"/>
        <v>-</v>
      </c>
      <c r="J236" s="1840">
        <f t="shared" si="166"/>
        <v>1</v>
      </c>
      <c r="K236" s="1838">
        <f t="shared" si="166"/>
        <v>1</v>
      </c>
      <c r="L236" s="1823">
        <f t="shared" si="166"/>
        <v>1</v>
      </c>
      <c r="M236" s="1823">
        <f t="shared" si="166"/>
        <v>1</v>
      </c>
      <c r="N236" s="1823" t="str">
        <f t="shared" si="166"/>
        <v>-</v>
      </c>
      <c r="O236" s="1823" t="str">
        <f t="shared" si="166"/>
        <v>-</v>
      </c>
      <c r="P236" s="1823">
        <f t="shared" si="166"/>
        <v>1</v>
      </c>
      <c r="Q236" s="1823" t="str">
        <f t="shared" si="166"/>
        <v>-</v>
      </c>
      <c r="R236" s="1430" t="str">
        <f t="shared" si="166"/>
        <v>-</v>
      </c>
      <c r="S236" s="1840">
        <f t="shared" si="166"/>
        <v>1</v>
      </c>
      <c r="T236" s="1834">
        <f t="shared" si="166"/>
        <v>1</v>
      </c>
      <c r="U236" s="1430" t="str">
        <f t="shared" si="166"/>
        <v>-</v>
      </c>
      <c r="V236" s="1840">
        <f t="shared" si="166"/>
        <v>1</v>
      </c>
      <c r="W236" s="1195"/>
    </row>
    <row r="237" spans="1:43">
      <c r="A237" s="851">
        <f>+A236+1</f>
        <v>16</v>
      </c>
      <c r="B237" s="570" t="s">
        <v>655</v>
      </c>
      <c r="C237" s="1826" t="str">
        <f t="shared" ref="C237:V237" si="167">IF(ISERROR(C167/C97),"-",C167/C97)</f>
        <v>-</v>
      </c>
      <c r="D237" s="1823" t="str">
        <f t="shared" si="167"/>
        <v>-</v>
      </c>
      <c r="E237" s="1823" t="str">
        <f t="shared" si="167"/>
        <v>-</v>
      </c>
      <c r="F237" s="1823" t="str">
        <f t="shared" si="167"/>
        <v>-</v>
      </c>
      <c r="G237" s="1823" t="str">
        <f t="shared" si="167"/>
        <v>-</v>
      </c>
      <c r="H237" s="1823" t="str">
        <f t="shared" si="167"/>
        <v>-</v>
      </c>
      <c r="I237" s="1836" t="str">
        <f t="shared" si="167"/>
        <v>-</v>
      </c>
      <c r="J237" s="1840" t="str">
        <f t="shared" si="167"/>
        <v>-</v>
      </c>
      <c r="K237" s="1838" t="str">
        <f t="shared" si="167"/>
        <v>-</v>
      </c>
      <c r="L237" s="1823" t="str">
        <f t="shared" si="167"/>
        <v>-</v>
      </c>
      <c r="M237" s="1823" t="str">
        <f t="shared" si="167"/>
        <v>-</v>
      </c>
      <c r="N237" s="1823" t="str">
        <f t="shared" si="167"/>
        <v>-</v>
      </c>
      <c r="O237" s="1823" t="str">
        <f t="shared" si="167"/>
        <v>-</v>
      </c>
      <c r="P237" s="1823" t="str">
        <f t="shared" si="167"/>
        <v>-</v>
      </c>
      <c r="Q237" s="1823" t="str">
        <f t="shared" si="167"/>
        <v>-</v>
      </c>
      <c r="R237" s="1430" t="str">
        <f t="shared" si="167"/>
        <v>-</v>
      </c>
      <c r="S237" s="1840" t="str">
        <f t="shared" si="167"/>
        <v>-</v>
      </c>
      <c r="T237" s="1834" t="str">
        <f t="shared" si="167"/>
        <v>-</v>
      </c>
      <c r="U237" s="1430" t="str">
        <f t="shared" si="167"/>
        <v>-</v>
      </c>
      <c r="V237" s="1840" t="str">
        <f t="shared" si="167"/>
        <v>-</v>
      </c>
      <c r="W237" s="1195"/>
    </row>
    <row r="238" spans="1:43" ht="12.75" thickBot="1">
      <c r="A238" s="851">
        <f>+A237+1</f>
        <v>17</v>
      </c>
      <c r="B238" s="570" t="s">
        <v>958</v>
      </c>
      <c r="C238" s="1826" t="str">
        <f t="shared" ref="C238:V238" si="168">IF(ISERROR(C168/C98),"-",C168/C98)</f>
        <v>-</v>
      </c>
      <c r="D238" s="1823" t="str">
        <f t="shared" si="168"/>
        <v>-</v>
      </c>
      <c r="E238" s="1823" t="str">
        <f t="shared" si="168"/>
        <v>-</v>
      </c>
      <c r="F238" s="1823" t="str">
        <f t="shared" si="168"/>
        <v>-</v>
      </c>
      <c r="G238" s="1823" t="str">
        <f t="shared" si="168"/>
        <v>-</v>
      </c>
      <c r="H238" s="1823" t="str">
        <f t="shared" si="168"/>
        <v>-</v>
      </c>
      <c r="I238" s="1836" t="str">
        <f t="shared" si="168"/>
        <v>-</v>
      </c>
      <c r="J238" s="1840" t="str">
        <f t="shared" si="168"/>
        <v>-</v>
      </c>
      <c r="K238" s="1838" t="str">
        <f t="shared" si="168"/>
        <v>-</v>
      </c>
      <c r="L238" s="1823" t="str">
        <f t="shared" si="168"/>
        <v>-</v>
      </c>
      <c r="M238" s="1823" t="str">
        <f t="shared" si="168"/>
        <v>-</v>
      </c>
      <c r="N238" s="1823" t="str">
        <f t="shared" si="168"/>
        <v>-</v>
      </c>
      <c r="O238" s="1823" t="str">
        <f t="shared" si="168"/>
        <v>-</v>
      </c>
      <c r="P238" s="1823" t="str">
        <f t="shared" si="168"/>
        <v>-</v>
      </c>
      <c r="Q238" s="1823" t="str">
        <f t="shared" si="168"/>
        <v>-</v>
      </c>
      <c r="R238" s="1430" t="str">
        <f t="shared" si="168"/>
        <v>-</v>
      </c>
      <c r="S238" s="1840" t="str">
        <f t="shared" si="168"/>
        <v>-</v>
      </c>
      <c r="T238" s="1834" t="str">
        <f t="shared" si="168"/>
        <v>-</v>
      </c>
      <c r="U238" s="1430" t="str">
        <f t="shared" si="168"/>
        <v>-</v>
      </c>
      <c r="V238" s="1840" t="str">
        <f t="shared" si="168"/>
        <v>-</v>
      </c>
      <c r="W238" s="1195"/>
    </row>
    <row r="239" spans="1:43" s="558" customFormat="1" ht="12.75" thickBot="1">
      <c r="A239" s="572" t="s">
        <v>640</v>
      </c>
      <c r="B239" s="573" t="s">
        <v>933</v>
      </c>
      <c r="C239" s="1843" t="str">
        <f t="shared" ref="C238:R240" si="169">IF(ISERROR(C169/C99),"-",C169/C99)</f>
        <v>-</v>
      </c>
      <c r="D239" s="1846" t="str">
        <f t="shared" si="169"/>
        <v>-</v>
      </c>
      <c r="E239" s="1846">
        <f t="shared" si="169"/>
        <v>1</v>
      </c>
      <c r="F239" s="1846" t="str">
        <f t="shared" si="169"/>
        <v>-</v>
      </c>
      <c r="G239" s="1846" t="str">
        <f t="shared" si="169"/>
        <v>-</v>
      </c>
      <c r="H239" s="1846" t="str">
        <f t="shared" si="169"/>
        <v>-</v>
      </c>
      <c r="I239" s="1433" t="str">
        <f t="shared" si="169"/>
        <v>-</v>
      </c>
      <c r="J239" s="1847">
        <f t="shared" si="169"/>
        <v>1</v>
      </c>
      <c r="K239" s="1843">
        <f t="shared" si="169"/>
        <v>1</v>
      </c>
      <c r="L239" s="1846">
        <f t="shared" si="169"/>
        <v>1</v>
      </c>
      <c r="M239" s="1846">
        <f t="shared" si="169"/>
        <v>1</v>
      </c>
      <c r="N239" s="1846" t="str">
        <f t="shared" si="169"/>
        <v>-</v>
      </c>
      <c r="O239" s="1846" t="str">
        <f t="shared" si="169"/>
        <v>-</v>
      </c>
      <c r="P239" s="1846">
        <f t="shared" si="169"/>
        <v>1</v>
      </c>
      <c r="Q239" s="1846" t="str">
        <f t="shared" si="169"/>
        <v>-</v>
      </c>
      <c r="R239" s="1433" t="str">
        <f t="shared" si="169"/>
        <v>-</v>
      </c>
      <c r="S239" s="1847">
        <f t="shared" ref="S239:V240" si="170">IF(ISERROR(S169/S99),"-",S169/S99)</f>
        <v>1</v>
      </c>
      <c r="T239" s="1843">
        <f t="shared" si="170"/>
        <v>1</v>
      </c>
      <c r="U239" s="1433" t="str">
        <f t="shared" si="170"/>
        <v>-</v>
      </c>
      <c r="V239" s="1842">
        <f t="shared" si="170"/>
        <v>1</v>
      </c>
      <c r="W239" s="1195"/>
      <c r="X239" s="266"/>
      <c r="AC239" s="266"/>
      <c r="AD239" s="266"/>
      <c r="AE239" s="266"/>
      <c r="AF239" s="266"/>
      <c r="AG239" s="266"/>
      <c r="AH239" s="266"/>
      <c r="AI239" s="266"/>
      <c r="AJ239" s="266"/>
      <c r="AK239" s="266"/>
      <c r="AL239" s="266"/>
      <c r="AM239" s="266"/>
      <c r="AN239" s="266"/>
      <c r="AO239" s="266"/>
      <c r="AP239" s="266"/>
      <c r="AQ239" s="266"/>
    </row>
    <row r="240" spans="1:43" ht="12.75" thickBot="1">
      <c r="A240" s="851">
        <f>+A238+1</f>
        <v>18</v>
      </c>
      <c r="B240" s="579" t="s">
        <v>934</v>
      </c>
      <c r="C240" s="1826">
        <f t="shared" si="169"/>
        <v>1</v>
      </c>
      <c r="D240" s="1823" t="str">
        <f t="shared" si="169"/>
        <v>-</v>
      </c>
      <c r="E240" s="1823" t="str">
        <f t="shared" si="169"/>
        <v>-</v>
      </c>
      <c r="F240" s="1823" t="str">
        <f t="shared" si="169"/>
        <v>-</v>
      </c>
      <c r="G240" s="1823" t="str">
        <f t="shared" si="169"/>
        <v>-</v>
      </c>
      <c r="H240" s="1823" t="str">
        <f t="shared" si="169"/>
        <v>-</v>
      </c>
      <c r="I240" s="1836" t="str">
        <f t="shared" si="169"/>
        <v>-</v>
      </c>
      <c r="J240" s="1840">
        <f t="shared" si="169"/>
        <v>1</v>
      </c>
      <c r="K240" s="1838">
        <f t="shared" si="169"/>
        <v>1</v>
      </c>
      <c r="L240" s="1823">
        <f t="shared" si="169"/>
        <v>1</v>
      </c>
      <c r="M240" s="1823">
        <f t="shared" si="169"/>
        <v>1</v>
      </c>
      <c r="N240" s="1823" t="str">
        <f t="shared" si="169"/>
        <v>-</v>
      </c>
      <c r="O240" s="1823" t="str">
        <f t="shared" si="169"/>
        <v>-</v>
      </c>
      <c r="P240" s="1823" t="str">
        <f t="shared" si="169"/>
        <v>-</v>
      </c>
      <c r="Q240" s="1823" t="str">
        <f t="shared" si="169"/>
        <v>-</v>
      </c>
      <c r="R240" s="1430" t="str">
        <f t="shared" si="169"/>
        <v>-</v>
      </c>
      <c r="S240" s="1840">
        <f t="shared" si="170"/>
        <v>1</v>
      </c>
      <c r="T240" s="1834">
        <f t="shared" si="170"/>
        <v>1</v>
      </c>
      <c r="U240" s="1430" t="str">
        <f t="shared" si="170"/>
        <v>-</v>
      </c>
      <c r="V240" s="1840">
        <f t="shared" si="170"/>
        <v>1</v>
      </c>
      <c r="W240" s="1195"/>
    </row>
    <row r="241" spans="1:43" s="558" customFormat="1" ht="12.75" thickBot="1">
      <c r="A241" s="572" t="s">
        <v>801</v>
      </c>
      <c r="B241" s="573" t="s">
        <v>934</v>
      </c>
      <c r="C241" s="1843">
        <f t="shared" ref="C240:R242" si="171">IF(ISERROR(C171/C101),"-",C171/C101)</f>
        <v>1</v>
      </c>
      <c r="D241" s="1846" t="str">
        <f t="shared" si="171"/>
        <v>-</v>
      </c>
      <c r="E241" s="1846" t="str">
        <f t="shared" si="171"/>
        <v>-</v>
      </c>
      <c r="F241" s="1846" t="str">
        <f t="shared" si="171"/>
        <v>-</v>
      </c>
      <c r="G241" s="1846" t="str">
        <f t="shared" si="171"/>
        <v>-</v>
      </c>
      <c r="H241" s="1846" t="str">
        <f t="shared" si="171"/>
        <v>-</v>
      </c>
      <c r="I241" s="1433" t="str">
        <f t="shared" si="171"/>
        <v>-</v>
      </c>
      <c r="J241" s="1847">
        <f t="shared" si="171"/>
        <v>1</v>
      </c>
      <c r="K241" s="1843">
        <f t="shared" si="171"/>
        <v>1</v>
      </c>
      <c r="L241" s="1846">
        <f t="shared" si="171"/>
        <v>1</v>
      </c>
      <c r="M241" s="1846">
        <f t="shared" si="171"/>
        <v>1</v>
      </c>
      <c r="N241" s="1846" t="str">
        <f t="shared" si="171"/>
        <v>-</v>
      </c>
      <c r="O241" s="1846" t="str">
        <f t="shared" si="171"/>
        <v>-</v>
      </c>
      <c r="P241" s="1846" t="str">
        <f t="shared" si="171"/>
        <v>-</v>
      </c>
      <c r="Q241" s="1846" t="str">
        <f t="shared" si="171"/>
        <v>-</v>
      </c>
      <c r="R241" s="1433" t="str">
        <f t="shared" si="171"/>
        <v>-</v>
      </c>
      <c r="S241" s="1847">
        <f t="shared" ref="S241:V242" si="172">IF(ISERROR(S171/S101),"-",S171/S101)</f>
        <v>1</v>
      </c>
      <c r="T241" s="1843">
        <f t="shared" si="172"/>
        <v>1</v>
      </c>
      <c r="U241" s="1433" t="str">
        <f t="shared" si="172"/>
        <v>-</v>
      </c>
      <c r="V241" s="1842">
        <f t="shared" si="172"/>
        <v>1</v>
      </c>
      <c r="W241" s="1195"/>
      <c r="X241" s="266"/>
      <c r="AC241" s="266"/>
      <c r="AD241" s="266"/>
      <c r="AE241" s="266"/>
      <c r="AF241" s="266"/>
      <c r="AG241" s="266"/>
      <c r="AH241" s="266"/>
      <c r="AI241" s="266"/>
      <c r="AJ241" s="266"/>
      <c r="AK241" s="266"/>
      <c r="AL241" s="266"/>
      <c r="AM241" s="266"/>
      <c r="AN241" s="266"/>
      <c r="AO241" s="266"/>
      <c r="AP241" s="266"/>
      <c r="AQ241" s="266"/>
    </row>
    <row r="242" spans="1:43" s="558" customFormat="1" ht="12.75" thickBot="1">
      <c r="A242" s="581" t="s">
        <v>22</v>
      </c>
      <c r="B242" s="582" t="s">
        <v>935</v>
      </c>
      <c r="C242" s="1850">
        <f t="shared" si="171"/>
        <v>1</v>
      </c>
      <c r="D242" s="1851">
        <f t="shared" si="171"/>
        <v>0</v>
      </c>
      <c r="E242" s="1851">
        <f t="shared" si="171"/>
        <v>0.96281490623239341</v>
      </c>
      <c r="F242" s="1851" t="str">
        <f t="shared" si="171"/>
        <v>-</v>
      </c>
      <c r="G242" s="1851" t="str">
        <f t="shared" si="171"/>
        <v>-</v>
      </c>
      <c r="H242" s="1851" t="str">
        <f t="shared" si="171"/>
        <v>-</v>
      </c>
      <c r="I242" s="1852" t="str">
        <f t="shared" si="171"/>
        <v>-</v>
      </c>
      <c r="J242" s="1853">
        <f t="shared" si="171"/>
        <v>0.98843547558692446</v>
      </c>
      <c r="K242" s="1850">
        <f t="shared" si="171"/>
        <v>1</v>
      </c>
      <c r="L242" s="1851">
        <f t="shared" si="171"/>
        <v>1</v>
      </c>
      <c r="M242" s="1851">
        <f t="shared" si="171"/>
        <v>0.96151217485694374</v>
      </c>
      <c r="N242" s="1851" t="str">
        <f t="shared" si="171"/>
        <v>-</v>
      </c>
      <c r="O242" s="1851">
        <f t="shared" si="171"/>
        <v>1</v>
      </c>
      <c r="P242" s="1851">
        <f t="shared" si="171"/>
        <v>0.99703202650469358</v>
      </c>
      <c r="Q242" s="1851" t="str">
        <f t="shared" si="171"/>
        <v>-</v>
      </c>
      <c r="R242" s="1852" t="str">
        <f t="shared" si="171"/>
        <v>-</v>
      </c>
      <c r="S242" s="1853">
        <f t="shared" si="172"/>
        <v>0.99270072992700731</v>
      </c>
      <c r="T242" s="1850">
        <f t="shared" si="172"/>
        <v>0.99454854095413092</v>
      </c>
      <c r="U242" s="1852">
        <f t="shared" si="172"/>
        <v>1</v>
      </c>
      <c r="V242" s="1854">
        <f t="shared" si="172"/>
        <v>0.98783047588527484</v>
      </c>
      <c r="W242" s="1195"/>
      <c r="X242" s="266"/>
      <c r="AC242" s="266"/>
      <c r="AD242" s="266"/>
      <c r="AE242" s="266"/>
      <c r="AF242" s="266"/>
      <c r="AG242" s="266"/>
      <c r="AH242" s="266"/>
      <c r="AI242" s="266"/>
      <c r="AJ242" s="266"/>
      <c r="AK242" s="266"/>
      <c r="AL242" s="266"/>
      <c r="AM242" s="266"/>
      <c r="AN242" s="266"/>
      <c r="AO242" s="266"/>
      <c r="AP242" s="266"/>
      <c r="AQ242" s="266"/>
    </row>
    <row r="243" spans="1:43" s="558" customFormat="1" ht="12.75" thickBot="1">
      <c r="A243" s="592"/>
      <c r="B243" s="593"/>
      <c r="C243" s="594"/>
      <c r="D243" s="594"/>
      <c r="E243" s="594"/>
      <c r="F243" s="594"/>
      <c r="G243" s="594"/>
      <c r="H243" s="594"/>
      <c r="I243" s="896"/>
      <c r="J243" s="597"/>
      <c r="K243" s="594"/>
      <c r="L243" s="594"/>
      <c r="M243" s="594"/>
      <c r="N243" s="594"/>
      <c r="O243" s="594"/>
      <c r="P243" s="594"/>
      <c r="Q243" s="594"/>
      <c r="R243" s="594"/>
      <c r="S243" s="597"/>
      <c r="T243" s="594"/>
      <c r="U243" s="596"/>
      <c r="V243" s="597"/>
      <c r="W243" s="1195"/>
      <c r="X243" s="266"/>
      <c r="AC243" s="266"/>
      <c r="AD243" s="266"/>
      <c r="AE243" s="266"/>
      <c r="AF243" s="266"/>
      <c r="AG243" s="266"/>
      <c r="AH243" s="266"/>
      <c r="AI243" s="266"/>
      <c r="AJ243" s="266"/>
      <c r="AK243" s="266"/>
      <c r="AL243" s="266"/>
      <c r="AM243" s="266"/>
      <c r="AN243" s="266"/>
      <c r="AO243" s="266"/>
      <c r="AP243" s="266"/>
      <c r="AQ243" s="266"/>
    </row>
    <row r="244" spans="1:43">
      <c r="A244" s="850">
        <f>+A240+1</f>
        <v>19</v>
      </c>
      <c r="B244" s="755" t="s">
        <v>1175</v>
      </c>
      <c r="C244" s="1826" t="str">
        <f t="shared" ref="C244:V244" si="173">IF(ISERROR(C174/C104),"-",C174/C104)</f>
        <v>-</v>
      </c>
      <c r="D244" s="1823" t="str">
        <f t="shared" si="173"/>
        <v>-</v>
      </c>
      <c r="E244" s="1823">
        <f t="shared" si="173"/>
        <v>0.99584007395424079</v>
      </c>
      <c r="F244" s="1823" t="str">
        <f t="shared" si="173"/>
        <v>-</v>
      </c>
      <c r="G244" s="1823" t="str">
        <f t="shared" si="173"/>
        <v>-</v>
      </c>
      <c r="H244" s="1823" t="str">
        <f t="shared" si="173"/>
        <v>-</v>
      </c>
      <c r="I244" s="1836" t="str">
        <f t="shared" si="173"/>
        <v>-</v>
      </c>
      <c r="J244" s="1840">
        <f t="shared" si="173"/>
        <v>0.99584007395424079</v>
      </c>
      <c r="K244" s="1838">
        <f t="shared" si="173"/>
        <v>1</v>
      </c>
      <c r="L244" s="1823">
        <f t="shared" si="173"/>
        <v>0.97962552352796251</v>
      </c>
      <c r="M244" s="1823">
        <f t="shared" si="173"/>
        <v>0.6699001335792889</v>
      </c>
      <c r="N244" s="1823" t="str">
        <f t="shared" si="173"/>
        <v>-</v>
      </c>
      <c r="O244" s="1823">
        <f t="shared" si="173"/>
        <v>1</v>
      </c>
      <c r="P244" s="1823">
        <f t="shared" si="173"/>
        <v>1</v>
      </c>
      <c r="Q244" s="1823" t="str">
        <f t="shared" si="173"/>
        <v>-</v>
      </c>
      <c r="R244" s="1430" t="str">
        <f t="shared" si="173"/>
        <v>-</v>
      </c>
      <c r="S244" s="1840">
        <f t="shared" si="173"/>
        <v>0.95688358259491113</v>
      </c>
      <c r="T244" s="1834">
        <f t="shared" si="173"/>
        <v>0.95554175771252992</v>
      </c>
      <c r="U244" s="1430">
        <f t="shared" si="173"/>
        <v>1</v>
      </c>
      <c r="V244" s="1840">
        <f t="shared" si="173"/>
        <v>0.58064273915002251</v>
      </c>
      <c r="W244" s="1195"/>
    </row>
    <row r="245" spans="1:43">
      <c r="A245" s="851">
        <f>+A244+1</f>
        <v>20</v>
      </c>
      <c r="B245" s="566" t="s">
        <v>1269</v>
      </c>
      <c r="C245" s="1826" t="str">
        <f t="shared" ref="C245:V245" si="174">IF(ISERROR(C175/C105),"-",C175/C105)</f>
        <v>-</v>
      </c>
      <c r="D245" s="1823" t="str">
        <f t="shared" si="174"/>
        <v>-</v>
      </c>
      <c r="E245" s="1823">
        <f t="shared" si="174"/>
        <v>1</v>
      </c>
      <c r="F245" s="1823" t="str">
        <f t="shared" si="174"/>
        <v>-</v>
      </c>
      <c r="G245" s="1823" t="str">
        <f t="shared" si="174"/>
        <v>-</v>
      </c>
      <c r="H245" s="1823" t="str">
        <f t="shared" si="174"/>
        <v>-</v>
      </c>
      <c r="I245" s="1836" t="str">
        <f t="shared" si="174"/>
        <v>-</v>
      </c>
      <c r="J245" s="1840">
        <f t="shared" si="174"/>
        <v>1</v>
      </c>
      <c r="K245" s="1838" t="str">
        <f t="shared" si="174"/>
        <v>-</v>
      </c>
      <c r="L245" s="1823" t="str">
        <f t="shared" si="174"/>
        <v>-</v>
      </c>
      <c r="M245" s="1823">
        <f t="shared" si="174"/>
        <v>1</v>
      </c>
      <c r="N245" s="1823" t="str">
        <f t="shared" si="174"/>
        <v>-</v>
      </c>
      <c r="O245" s="1823" t="str">
        <f t="shared" si="174"/>
        <v>-</v>
      </c>
      <c r="P245" s="1823" t="str">
        <f t="shared" si="174"/>
        <v>-</v>
      </c>
      <c r="Q245" s="1823" t="str">
        <f t="shared" si="174"/>
        <v>-</v>
      </c>
      <c r="R245" s="1430" t="str">
        <f t="shared" si="174"/>
        <v>-</v>
      </c>
      <c r="S245" s="1840">
        <f t="shared" si="174"/>
        <v>1</v>
      </c>
      <c r="T245" s="1834">
        <f t="shared" si="174"/>
        <v>1</v>
      </c>
      <c r="U245" s="1430">
        <f t="shared" si="174"/>
        <v>1</v>
      </c>
      <c r="V245" s="1840">
        <f t="shared" si="174"/>
        <v>1</v>
      </c>
      <c r="W245" s="1195"/>
    </row>
    <row r="246" spans="1:43" ht="12.75" thickBot="1">
      <c r="A246" s="897">
        <f>+A245+1</f>
        <v>21</v>
      </c>
      <c r="B246" s="579" t="s">
        <v>1262</v>
      </c>
      <c r="C246" s="1826" t="str">
        <f t="shared" ref="C246:V246" si="175">IF(ISERROR(C176/C106),"-",C176/C106)</f>
        <v>-</v>
      </c>
      <c r="D246" s="1823" t="str">
        <f t="shared" si="175"/>
        <v>-</v>
      </c>
      <c r="E246" s="1823" t="str">
        <f t="shared" si="175"/>
        <v>-</v>
      </c>
      <c r="F246" s="1823" t="str">
        <f t="shared" si="175"/>
        <v>-</v>
      </c>
      <c r="G246" s="1823" t="str">
        <f t="shared" si="175"/>
        <v>-</v>
      </c>
      <c r="H246" s="1823" t="str">
        <f t="shared" si="175"/>
        <v>-</v>
      </c>
      <c r="I246" s="1836" t="str">
        <f t="shared" si="175"/>
        <v>-</v>
      </c>
      <c r="J246" s="1840" t="str">
        <f t="shared" si="175"/>
        <v>-</v>
      </c>
      <c r="K246" s="1838">
        <f t="shared" si="175"/>
        <v>1</v>
      </c>
      <c r="L246" s="1823">
        <f t="shared" si="175"/>
        <v>1</v>
      </c>
      <c r="M246" s="1823">
        <f t="shared" si="175"/>
        <v>1</v>
      </c>
      <c r="N246" s="1823" t="str">
        <f t="shared" si="175"/>
        <v>-</v>
      </c>
      <c r="O246" s="1823" t="str">
        <f t="shared" si="175"/>
        <v>-</v>
      </c>
      <c r="P246" s="1823" t="str">
        <f t="shared" si="175"/>
        <v>-</v>
      </c>
      <c r="Q246" s="1823" t="str">
        <f t="shared" si="175"/>
        <v>-</v>
      </c>
      <c r="R246" s="1430" t="str">
        <f t="shared" si="175"/>
        <v>-</v>
      </c>
      <c r="S246" s="1840">
        <f t="shared" si="175"/>
        <v>1</v>
      </c>
      <c r="T246" s="1834">
        <f t="shared" si="175"/>
        <v>1</v>
      </c>
      <c r="U246" s="1430">
        <f t="shared" si="175"/>
        <v>1</v>
      </c>
      <c r="V246" s="1840">
        <f t="shared" si="175"/>
        <v>1</v>
      </c>
      <c r="W246" s="1195"/>
    </row>
    <row r="247" spans="1:43" s="558" customFormat="1" ht="12.75" thickBot="1">
      <c r="A247" s="356" t="s">
        <v>802</v>
      </c>
      <c r="B247" s="517" t="s">
        <v>418</v>
      </c>
      <c r="C247" s="1843" t="str">
        <f t="shared" ref="C246:R248" si="176">IF(ISERROR(C177/C107),"-",C177/C107)</f>
        <v>-</v>
      </c>
      <c r="D247" s="1846" t="str">
        <f t="shared" si="176"/>
        <v>-</v>
      </c>
      <c r="E247" s="1846">
        <f t="shared" si="176"/>
        <v>0.99814471243042668</v>
      </c>
      <c r="F247" s="1846" t="str">
        <f t="shared" si="176"/>
        <v>-</v>
      </c>
      <c r="G247" s="1846" t="str">
        <f t="shared" si="176"/>
        <v>-</v>
      </c>
      <c r="H247" s="1846" t="str">
        <f t="shared" si="176"/>
        <v>-</v>
      </c>
      <c r="I247" s="1433" t="str">
        <f t="shared" si="176"/>
        <v>-</v>
      </c>
      <c r="J247" s="1847">
        <f t="shared" si="176"/>
        <v>0.99814471243042668</v>
      </c>
      <c r="K247" s="1843">
        <f t="shared" si="176"/>
        <v>1</v>
      </c>
      <c r="L247" s="1846">
        <f t="shared" si="176"/>
        <v>0.9819242874628431</v>
      </c>
      <c r="M247" s="1846">
        <f t="shared" si="176"/>
        <v>0.9108126455449288</v>
      </c>
      <c r="N247" s="1846" t="str">
        <f t="shared" si="176"/>
        <v>-</v>
      </c>
      <c r="O247" s="1846">
        <f t="shared" si="176"/>
        <v>1</v>
      </c>
      <c r="P247" s="1846">
        <f t="shared" si="176"/>
        <v>1</v>
      </c>
      <c r="Q247" s="1846" t="str">
        <f t="shared" si="176"/>
        <v>-</v>
      </c>
      <c r="R247" s="1433" t="str">
        <f t="shared" si="176"/>
        <v>-</v>
      </c>
      <c r="S247" s="1847">
        <f t="shared" ref="S247:V248" si="177">IF(ISERROR(S177/S107),"-",S177/S107)</f>
        <v>0.97012888349838067</v>
      </c>
      <c r="T247" s="1843">
        <f t="shared" si="177"/>
        <v>0.96860075167045689</v>
      </c>
      <c r="U247" s="1433">
        <f t="shared" si="177"/>
        <v>1</v>
      </c>
      <c r="V247" s="1842">
        <f t="shared" si="177"/>
        <v>0.71563860390519585</v>
      </c>
      <c r="W247" s="1195"/>
      <c r="X247" s="266"/>
      <c r="AC247" s="266"/>
      <c r="AD247" s="266"/>
      <c r="AE247" s="266"/>
      <c r="AF247" s="266"/>
      <c r="AG247" s="266"/>
      <c r="AH247" s="266"/>
      <c r="AI247" s="266"/>
      <c r="AJ247" s="266"/>
      <c r="AK247" s="266"/>
      <c r="AL247" s="266"/>
      <c r="AM247" s="266"/>
      <c r="AN247" s="266"/>
      <c r="AO247" s="266"/>
      <c r="AP247" s="266"/>
      <c r="AQ247" s="266"/>
    </row>
    <row r="248" spans="1:43" ht="12.75" thickBot="1">
      <c r="A248" s="900">
        <f>+A246+1</f>
        <v>22</v>
      </c>
      <c r="B248" s="579" t="s">
        <v>419</v>
      </c>
      <c r="C248" s="1826" t="str">
        <f t="shared" si="176"/>
        <v>-</v>
      </c>
      <c r="D248" s="1823" t="str">
        <f t="shared" si="176"/>
        <v>-</v>
      </c>
      <c r="E248" s="1823" t="str">
        <f t="shared" si="176"/>
        <v>-</v>
      </c>
      <c r="F248" s="1823" t="str">
        <f t="shared" si="176"/>
        <v>-</v>
      </c>
      <c r="G248" s="1823" t="str">
        <f t="shared" si="176"/>
        <v>-</v>
      </c>
      <c r="H248" s="1823" t="str">
        <f t="shared" si="176"/>
        <v>-</v>
      </c>
      <c r="I248" s="1836" t="str">
        <f t="shared" si="176"/>
        <v>-</v>
      </c>
      <c r="J248" s="1840" t="str">
        <f t="shared" si="176"/>
        <v>-</v>
      </c>
      <c r="K248" s="1838" t="str">
        <f t="shared" si="176"/>
        <v>-</v>
      </c>
      <c r="L248" s="1823" t="str">
        <f t="shared" si="176"/>
        <v>-</v>
      </c>
      <c r="M248" s="1823" t="str">
        <f t="shared" si="176"/>
        <v>-</v>
      </c>
      <c r="N248" s="1823" t="str">
        <f t="shared" si="176"/>
        <v>-</v>
      </c>
      <c r="O248" s="1823" t="str">
        <f t="shared" si="176"/>
        <v>-</v>
      </c>
      <c r="P248" s="1823" t="str">
        <f t="shared" si="176"/>
        <v>-</v>
      </c>
      <c r="Q248" s="1823" t="str">
        <f t="shared" si="176"/>
        <v>-</v>
      </c>
      <c r="R248" s="1430" t="str">
        <f t="shared" si="176"/>
        <v>-</v>
      </c>
      <c r="S248" s="1840" t="str">
        <f t="shared" si="177"/>
        <v>-</v>
      </c>
      <c r="T248" s="1834" t="str">
        <f t="shared" si="177"/>
        <v>-</v>
      </c>
      <c r="U248" s="1430" t="str">
        <f t="shared" si="177"/>
        <v>-</v>
      </c>
      <c r="V248" s="1840" t="str">
        <f t="shared" si="177"/>
        <v>-</v>
      </c>
      <c r="W248" s="1195"/>
    </row>
    <row r="249" spans="1:43" s="558" customFormat="1" ht="12.75" thickBot="1">
      <c r="A249" s="356" t="s">
        <v>803</v>
      </c>
      <c r="B249" s="517" t="s">
        <v>419</v>
      </c>
      <c r="C249" s="1843" t="str">
        <f t="shared" ref="C248:R250" si="178">IF(ISERROR(C179/C109),"-",C179/C109)</f>
        <v>-</v>
      </c>
      <c r="D249" s="1846" t="str">
        <f t="shared" si="178"/>
        <v>-</v>
      </c>
      <c r="E249" s="1846" t="str">
        <f t="shared" si="178"/>
        <v>-</v>
      </c>
      <c r="F249" s="1846" t="str">
        <f t="shared" si="178"/>
        <v>-</v>
      </c>
      <c r="G249" s="1846" t="str">
        <f t="shared" si="178"/>
        <v>-</v>
      </c>
      <c r="H249" s="1846" t="str">
        <f t="shared" si="178"/>
        <v>-</v>
      </c>
      <c r="I249" s="1433" t="str">
        <f t="shared" si="178"/>
        <v>-</v>
      </c>
      <c r="J249" s="1847" t="str">
        <f t="shared" si="178"/>
        <v>-</v>
      </c>
      <c r="K249" s="1843" t="str">
        <f t="shared" si="178"/>
        <v>-</v>
      </c>
      <c r="L249" s="1846" t="str">
        <f t="shared" si="178"/>
        <v>-</v>
      </c>
      <c r="M249" s="1846" t="str">
        <f t="shared" si="178"/>
        <v>-</v>
      </c>
      <c r="N249" s="1846" t="str">
        <f t="shared" si="178"/>
        <v>-</v>
      </c>
      <c r="O249" s="1846" t="str">
        <f t="shared" si="178"/>
        <v>-</v>
      </c>
      <c r="P249" s="1846" t="str">
        <f t="shared" si="178"/>
        <v>-</v>
      </c>
      <c r="Q249" s="1846" t="str">
        <f t="shared" si="178"/>
        <v>-</v>
      </c>
      <c r="R249" s="1433" t="str">
        <f t="shared" si="178"/>
        <v>-</v>
      </c>
      <c r="S249" s="1847" t="str">
        <f t="shared" ref="S249:V250" si="179">IF(ISERROR(S179/S109),"-",S179/S109)</f>
        <v>-</v>
      </c>
      <c r="T249" s="1843" t="str">
        <f t="shared" si="179"/>
        <v>-</v>
      </c>
      <c r="U249" s="1433" t="str">
        <f t="shared" si="179"/>
        <v>-</v>
      </c>
      <c r="V249" s="1842" t="str">
        <f t="shared" si="179"/>
        <v>-</v>
      </c>
      <c r="W249" s="1195"/>
      <c r="X249" s="266"/>
      <c r="AC249" s="266"/>
      <c r="AD249" s="266"/>
      <c r="AE249" s="266"/>
      <c r="AF249" s="266"/>
      <c r="AG249" s="266"/>
      <c r="AH249" s="266"/>
      <c r="AI249" s="266"/>
      <c r="AJ249" s="266"/>
      <c r="AK249" s="266"/>
      <c r="AL249" s="266"/>
      <c r="AM249" s="266"/>
      <c r="AN249" s="266"/>
      <c r="AO249" s="266"/>
      <c r="AP249" s="266"/>
      <c r="AQ249" s="266"/>
    </row>
    <row r="250" spans="1:43" ht="12.75" thickBot="1">
      <c r="A250" s="900">
        <f>+A248+1</f>
        <v>23</v>
      </c>
      <c r="B250" s="579" t="s">
        <v>821</v>
      </c>
      <c r="C250" s="1826" t="str">
        <f t="shared" si="178"/>
        <v>-</v>
      </c>
      <c r="D250" s="1823" t="str">
        <f t="shared" si="178"/>
        <v>-</v>
      </c>
      <c r="E250" s="1823" t="str">
        <f t="shared" si="178"/>
        <v>-</v>
      </c>
      <c r="F250" s="1823" t="str">
        <f t="shared" si="178"/>
        <v>-</v>
      </c>
      <c r="G250" s="1823" t="str">
        <f t="shared" si="178"/>
        <v>-</v>
      </c>
      <c r="H250" s="1823" t="str">
        <f t="shared" si="178"/>
        <v>-</v>
      </c>
      <c r="I250" s="1836" t="str">
        <f t="shared" si="178"/>
        <v>-</v>
      </c>
      <c r="J250" s="1840" t="str">
        <f t="shared" si="178"/>
        <v>-</v>
      </c>
      <c r="K250" s="1838" t="str">
        <f t="shared" si="178"/>
        <v>-</v>
      </c>
      <c r="L250" s="1823" t="str">
        <f t="shared" si="178"/>
        <v>-</v>
      </c>
      <c r="M250" s="1823" t="str">
        <f t="shared" si="178"/>
        <v>-</v>
      </c>
      <c r="N250" s="1823" t="str">
        <f t="shared" si="178"/>
        <v>-</v>
      </c>
      <c r="O250" s="1823" t="str">
        <f t="shared" si="178"/>
        <v>-</v>
      </c>
      <c r="P250" s="1823" t="str">
        <f t="shared" si="178"/>
        <v>-</v>
      </c>
      <c r="Q250" s="1823" t="str">
        <f t="shared" si="178"/>
        <v>-</v>
      </c>
      <c r="R250" s="1430" t="str">
        <f t="shared" si="178"/>
        <v>-</v>
      </c>
      <c r="S250" s="1840" t="str">
        <f t="shared" si="179"/>
        <v>-</v>
      </c>
      <c r="T250" s="1834" t="str">
        <f t="shared" si="179"/>
        <v>-</v>
      </c>
      <c r="U250" s="1430" t="str">
        <f t="shared" si="179"/>
        <v>-</v>
      </c>
      <c r="V250" s="1840" t="str">
        <f t="shared" si="179"/>
        <v>-</v>
      </c>
      <c r="W250" s="1195"/>
    </row>
    <row r="251" spans="1:43" s="558" customFormat="1" ht="12.75" thickBot="1">
      <c r="A251" s="356" t="s">
        <v>804</v>
      </c>
      <c r="B251" s="517" t="s">
        <v>821</v>
      </c>
      <c r="C251" s="1843" t="str">
        <f t="shared" ref="C250:R252" si="180">IF(ISERROR(C181/C111),"-",C181/C111)</f>
        <v>-</v>
      </c>
      <c r="D251" s="1846" t="str">
        <f t="shared" si="180"/>
        <v>-</v>
      </c>
      <c r="E251" s="1846" t="str">
        <f t="shared" si="180"/>
        <v>-</v>
      </c>
      <c r="F251" s="1846" t="str">
        <f t="shared" si="180"/>
        <v>-</v>
      </c>
      <c r="G251" s="1846" t="str">
        <f t="shared" si="180"/>
        <v>-</v>
      </c>
      <c r="H251" s="1846" t="str">
        <f t="shared" si="180"/>
        <v>-</v>
      </c>
      <c r="I251" s="1433" t="str">
        <f t="shared" si="180"/>
        <v>-</v>
      </c>
      <c r="J251" s="1847" t="str">
        <f t="shared" si="180"/>
        <v>-</v>
      </c>
      <c r="K251" s="1843" t="str">
        <f t="shared" si="180"/>
        <v>-</v>
      </c>
      <c r="L251" s="1846" t="str">
        <f t="shared" si="180"/>
        <v>-</v>
      </c>
      <c r="M251" s="1846" t="str">
        <f t="shared" si="180"/>
        <v>-</v>
      </c>
      <c r="N251" s="1846" t="str">
        <f t="shared" si="180"/>
        <v>-</v>
      </c>
      <c r="O251" s="1846" t="str">
        <f t="shared" si="180"/>
        <v>-</v>
      </c>
      <c r="P251" s="1846" t="str">
        <f t="shared" si="180"/>
        <v>-</v>
      </c>
      <c r="Q251" s="1846" t="str">
        <f t="shared" si="180"/>
        <v>-</v>
      </c>
      <c r="R251" s="1433" t="str">
        <f t="shared" si="180"/>
        <v>-</v>
      </c>
      <c r="S251" s="1847" t="str">
        <f t="shared" ref="S251:V252" si="181">IF(ISERROR(S181/S111),"-",S181/S111)</f>
        <v>-</v>
      </c>
      <c r="T251" s="1843" t="str">
        <f t="shared" si="181"/>
        <v>-</v>
      </c>
      <c r="U251" s="1433" t="str">
        <f t="shared" si="181"/>
        <v>-</v>
      </c>
      <c r="V251" s="1842" t="str">
        <f t="shared" si="181"/>
        <v>-</v>
      </c>
      <c r="W251" s="1195"/>
      <c r="X251" s="266"/>
      <c r="AC251" s="266"/>
      <c r="AD251" s="266"/>
      <c r="AE251" s="266"/>
      <c r="AF251" s="266"/>
      <c r="AG251" s="266"/>
      <c r="AH251" s="266"/>
      <c r="AI251" s="266"/>
      <c r="AJ251" s="266"/>
      <c r="AK251" s="266"/>
      <c r="AL251" s="266"/>
      <c r="AM251" s="266"/>
      <c r="AN251" s="266"/>
      <c r="AO251" s="266"/>
      <c r="AP251" s="266"/>
      <c r="AQ251" s="266"/>
    </row>
    <row r="252" spans="1:43" s="558" customFormat="1" ht="12.75" thickBot="1">
      <c r="A252" s="520" t="s">
        <v>21</v>
      </c>
      <c r="B252" s="530" t="s">
        <v>420</v>
      </c>
      <c r="C252" s="1850" t="str">
        <f t="shared" si="180"/>
        <v>-</v>
      </c>
      <c r="D252" s="1851" t="str">
        <f t="shared" si="180"/>
        <v>-</v>
      </c>
      <c r="E252" s="1851">
        <f t="shared" si="180"/>
        <v>0.99814471243042668</v>
      </c>
      <c r="F252" s="1851" t="str">
        <f t="shared" si="180"/>
        <v>-</v>
      </c>
      <c r="G252" s="1851" t="str">
        <f t="shared" si="180"/>
        <v>-</v>
      </c>
      <c r="H252" s="1851" t="str">
        <f t="shared" si="180"/>
        <v>-</v>
      </c>
      <c r="I252" s="1852" t="str">
        <f t="shared" si="180"/>
        <v>-</v>
      </c>
      <c r="J252" s="1853">
        <f t="shared" si="180"/>
        <v>0.99814471243042668</v>
      </c>
      <c r="K252" s="1850">
        <f t="shared" si="180"/>
        <v>1</v>
      </c>
      <c r="L252" s="1851">
        <f t="shared" si="180"/>
        <v>0.9819242874628431</v>
      </c>
      <c r="M252" s="1851">
        <f t="shared" si="180"/>
        <v>0.9108126455449288</v>
      </c>
      <c r="N252" s="1851" t="str">
        <f t="shared" si="180"/>
        <v>-</v>
      </c>
      <c r="O252" s="1851">
        <f t="shared" si="180"/>
        <v>1</v>
      </c>
      <c r="P252" s="1851">
        <f t="shared" si="180"/>
        <v>1</v>
      </c>
      <c r="Q252" s="1851" t="str">
        <f t="shared" si="180"/>
        <v>-</v>
      </c>
      <c r="R252" s="1852" t="str">
        <f t="shared" si="180"/>
        <v>-</v>
      </c>
      <c r="S252" s="1853">
        <f t="shared" si="181"/>
        <v>0.97012888349838067</v>
      </c>
      <c r="T252" s="1850">
        <f t="shared" si="181"/>
        <v>0.96860075167045689</v>
      </c>
      <c r="U252" s="1852">
        <f t="shared" si="181"/>
        <v>1</v>
      </c>
      <c r="V252" s="1854">
        <f t="shared" si="181"/>
        <v>0.71563860390519585</v>
      </c>
      <c r="W252" s="1195"/>
      <c r="X252" s="266"/>
      <c r="AC252" s="266"/>
      <c r="AD252" s="266"/>
      <c r="AE252" s="266"/>
      <c r="AF252" s="266"/>
      <c r="AG252" s="266"/>
      <c r="AH252" s="266"/>
      <c r="AI252" s="266"/>
      <c r="AJ252" s="266"/>
      <c r="AK252" s="266"/>
      <c r="AL252" s="266"/>
      <c r="AM252" s="266"/>
      <c r="AN252" s="266"/>
      <c r="AO252" s="266"/>
      <c r="AP252" s="266"/>
      <c r="AQ252" s="266"/>
    </row>
    <row r="253" spans="1:43" s="198" customFormat="1" ht="12.75" thickBot="1">
      <c r="A253" s="356"/>
      <c r="B253" s="517"/>
      <c r="C253" s="594"/>
      <c r="D253" s="595"/>
      <c r="E253" s="595"/>
      <c r="F253" s="595"/>
      <c r="G253" s="595"/>
      <c r="H253" s="595"/>
      <c r="I253" s="596"/>
      <c r="J253" s="597"/>
      <c r="K253" s="594"/>
      <c r="L253" s="594"/>
      <c r="M253" s="594"/>
      <c r="N253" s="594"/>
      <c r="O253" s="594"/>
      <c r="P253" s="594"/>
      <c r="Q253" s="594"/>
      <c r="R253" s="594"/>
      <c r="S253" s="597"/>
      <c r="T253" s="594"/>
      <c r="U253" s="596"/>
      <c r="V253" s="597"/>
      <c r="W253" s="1195"/>
      <c r="X253" s="266"/>
      <c r="AC253" s="199"/>
      <c r="AD253" s="199"/>
      <c r="AE253" s="199"/>
      <c r="AF253" s="199"/>
      <c r="AG253" s="199"/>
      <c r="AH253" s="199"/>
      <c r="AI253" s="199"/>
      <c r="AJ253" s="199"/>
      <c r="AK253" s="199"/>
      <c r="AL253" s="199"/>
      <c r="AM253" s="199"/>
      <c r="AN253" s="199"/>
      <c r="AO253" s="199"/>
      <c r="AP253" s="199"/>
      <c r="AQ253" s="199"/>
    </row>
    <row r="254" spans="1:43">
      <c r="A254" s="850">
        <f>+A250+1</f>
        <v>24</v>
      </c>
      <c r="B254" s="755" t="s">
        <v>1190</v>
      </c>
      <c r="C254" s="1826" t="str">
        <f t="shared" ref="C254:V254" si="182">IF(ISERROR(C184/C114),"-",C184/C114)</f>
        <v>-</v>
      </c>
      <c r="D254" s="1823" t="str">
        <f t="shared" si="182"/>
        <v>-</v>
      </c>
      <c r="E254" s="1823" t="str">
        <f t="shared" si="182"/>
        <v>-</v>
      </c>
      <c r="F254" s="1823" t="str">
        <f t="shared" si="182"/>
        <v>-</v>
      </c>
      <c r="G254" s="1823" t="str">
        <f t="shared" si="182"/>
        <v>-</v>
      </c>
      <c r="H254" s="1823" t="str">
        <f t="shared" si="182"/>
        <v>-</v>
      </c>
      <c r="I254" s="1836" t="str">
        <f t="shared" si="182"/>
        <v>-</v>
      </c>
      <c r="J254" s="1840" t="str">
        <f t="shared" si="182"/>
        <v>-</v>
      </c>
      <c r="K254" s="1838" t="str">
        <f t="shared" si="182"/>
        <v>-</v>
      </c>
      <c r="L254" s="1823" t="str">
        <f t="shared" si="182"/>
        <v>-</v>
      </c>
      <c r="M254" s="1823">
        <f t="shared" si="182"/>
        <v>1</v>
      </c>
      <c r="N254" s="1823" t="str">
        <f t="shared" si="182"/>
        <v>-</v>
      </c>
      <c r="O254" s="1823" t="str">
        <f t="shared" si="182"/>
        <v>-</v>
      </c>
      <c r="P254" s="1823" t="str">
        <f t="shared" si="182"/>
        <v>-</v>
      </c>
      <c r="Q254" s="1823" t="str">
        <f t="shared" si="182"/>
        <v>-</v>
      </c>
      <c r="R254" s="1430" t="str">
        <f t="shared" si="182"/>
        <v>-</v>
      </c>
      <c r="S254" s="1840">
        <f t="shared" si="182"/>
        <v>1</v>
      </c>
      <c r="T254" s="1834">
        <f t="shared" si="182"/>
        <v>1</v>
      </c>
      <c r="U254" s="1430">
        <f t="shared" si="182"/>
        <v>1</v>
      </c>
      <c r="V254" s="1840">
        <f t="shared" si="182"/>
        <v>1</v>
      </c>
      <c r="W254" s="1195"/>
    </row>
    <row r="255" spans="1:43">
      <c r="A255" s="851">
        <f>+A254+1</f>
        <v>25</v>
      </c>
      <c r="B255" s="566" t="s">
        <v>1263</v>
      </c>
      <c r="C255" s="1826" t="str">
        <f t="shared" ref="C255:V255" si="183">IF(ISERROR(C185/C115),"-",C185/C115)</f>
        <v>-</v>
      </c>
      <c r="D255" s="1823" t="str">
        <f t="shared" si="183"/>
        <v>-</v>
      </c>
      <c r="E255" s="1823">
        <f t="shared" si="183"/>
        <v>1</v>
      </c>
      <c r="F255" s="1823">
        <f t="shared" si="183"/>
        <v>1</v>
      </c>
      <c r="G255" s="1823" t="str">
        <f t="shared" si="183"/>
        <v>-</v>
      </c>
      <c r="H255" s="1823">
        <f t="shared" si="183"/>
        <v>1</v>
      </c>
      <c r="I255" s="1836" t="str">
        <f t="shared" si="183"/>
        <v>-</v>
      </c>
      <c r="J255" s="1840">
        <f t="shared" si="183"/>
        <v>1</v>
      </c>
      <c r="K255" s="1838">
        <f t="shared" si="183"/>
        <v>1</v>
      </c>
      <c r="L255" s="1823">
        <f t="shared" si="183"/>
        <v>1</v>
      </c>
      <c r="M255" s="1823">
        <f t="shared" si="183"/>
        <v>0.79543252595155711</v>
      </c>
      <c r="N255" s="1823" t="str">
        <f t="shared" si="183"/>
        <v>-</v>
      </c>
      <c r="O255" s="1823">
        <f t="shared" si="183"/>
        <v>1</v>
      </c>
      <c r="P255" s="1823" t="str">
        <f t="shared" si="183"/>
        <v>-</v>
      </c>
      <c r="Q255" s="1823" t="str">
        <f t="shared" si="183"/>
        <v>-</v>
      </c>
      <c r="R255" s="1430" t="str">
        <f t="shared" si="183"/>
        <v>-</v>
      </c>
      <c r="S255" s="1840">
        <f t="shared" si="183"/>
        <v>0.94295858901624796</v>
      </c>
      <c r="T255" s="1834">
        <f t="shared" si="183"/>
        <v>0.94031176803166139</v>
      </c>
      <c r="U255" s="1430">
        <f t="shared" si="183"/>
        <v>1</v>
      </c>
      <c r="V255" s="1840">
        <f t="shared" si="183"/>
        <v>0.70380761523046087</v>
      </c>
      <c r="W255" s="1195"/>
    </row>
    <row r="256" spans="1:43" ht="12.75" thickBot="1">
      <c r="A256" s="903">
        <f>+A255+1</f>
        <v>26</v>
      </c>
      <c r="B256" s="579" t="s">
        <v>1199</v>
      </c>
      <c r="C256" s="1826" t="str">
        <f t="shared" ref="C256:V256" si="184">IF(ISERROR(C186/C116),"-",C186/C116)</f>
        <v>-</v>
      </c>
      <c r="D256" s="1823" t="str">
        <f t="shared" si="184"/>
        <v>-</v>
      </c>
      <c r="E256" s="1823">
        <f t="shared" si="184"/>
        <v>1</v>
      </c>
      <c r="F256" s="1823" t="str">
        <f t="shared" si="184"/>
        <v>-</v>
      </c>
      <c r="G256" s="1823" t="str">
        <f t="shared" si="184"/>
        <v>-</v>
      </c>
      <c r="H256" s="1823" t="str">
        <f t="shared" si="184"/>
        <v>-</v>
      </c>
      <c r="I256" s="1836" t="str">
        <f t="shared" si="184"/>
        <v>-</v>
      </c>
      <c r="J256" s="1840">
        <f t="shared" si="184"/>
        <v>1</v>
      </c>
      <c r="K256" s="1838">
        <f t="shared" si="184"/>
        <v>1</v>
      </c>
      <c r="L256" s="1823">
        <f t="shared" si="184"/>
        <v>1</v>
      </c>
      <c r="M256" s="1823">
        <f t="shared" si="184"/>
        <v>1</v>
      </c>
      <c r="N256" s="1823" t="str">
        <f t="shared" si="184"/>
        <v>-</v>
      </c>
      <c r="O256" s="1823" t="str">
        <f t="shared" si="184"/>
        <v>-</v>
      </c>
      <c r="P256" s="1823">
        <f t="shared" si="184"/>
        <v>1</v>
      </c>
      <c r="Q256" s="1823" t="str">
        <f t="shared" si="184"/>
        <v>-</v>
      </c>
      <c r="R256" s="1430" t="str">
        <f t="shared" si="184"/>
        <v>-</v>
      </c>
      <c r="S256" s="1840">
        <f t="shared" si="184"/>
        <v>1</v>
      </c>
      <c r="T256" s="1834">
        <f t="shared" si="184"/>
        <v>1</v>
      </c>
      <c r="U256" s="1430">
        <f t="shared" si="184"/>
        <v>1</v>
      </c>
      <c r="V256" s="1840">
        <f t="shared" si="184"/>
        <v>1</v>
      </c>
      <c r="W256" s="1195"/>
    </row>
    <row r="257" spans="1:43" s="558" customFormat="1" ht="12.75" thickBot="1">
      <c r="A257" s="356" t="s">
        <v>805</v>
      </c>
      <c r="B257" s="517" t="s">
        <v>421</v>
      </c>
      <c r="C257" s="1843" t="str">
        <f t="shared" ref="C256:R258" si="185">IF(ISERROR(C187/C117),"-",C187/C117)</f>
        <v>-</v>
      </c>
      <c r="D257" s="1846" t="str">
        <f t="shared" si="185"/>
        <v>-</v>
      </c>
      <c r="E257" s="1846">
        <f t="shared" si="185"/>
        <v>1</v>
      </c>
      <c r="F257" s="1846">
        <f t="shared" si="185"/>
        <v>1</v>
      </c>
      <c r="G257" s="1846" t="str">
        <f t="shared" si="185"/>
        <v>-</v>
      </c>
      <c r="H257" s="1846">
        <f t="shared" si="185"/>
        <v>1</v>
      </c>
      <c r="I257" s="1433" t="str">
        <f t="shared" si="185"/>
        <v>-</v>
      </c>
      <c r="J257" s="1847">
        <f t="shared" si="185"/>
        <v>1</v>
      </c>
      <c r="K257" s="1843">
        <f t="shared" si="185"/>
        <v>1</v>
      </c>
      <c r="L257" s="1846">
        <f t="shared" si="185"/>
        <v>1</v>
      </c>
      <c r="M257" s="1846">
        <f t="shared" si="185"/>
        <v>0.8672057502246181</v>
      </c>
      <c r="N257" s="1846" t="str">
        <f t="shared" si="185"/>
        <v>-</v>
      </c>
      <c r="O257" s="1846">
        <f t="shared" si="185"/>
        <v>1</v>
      </c>
      <c r="P257" s="1846">
        <f t="shared" si="185"/>
        <v>1</v>
      </c>
      <c r="Q257" s="1846" t="str">
        <f t="shared" si="185"/>
        <v>-</v>
      </c>
      <c r="R257" s="1433" t="str">
        <f t="shared" si="185"/>
        <v>-</v>
      </c>
      <c r="S257" s="1847">
        <f t="shared" ref="S257:V258" si="186">IF(ISERROR(S187/S117),"-",S187/S117)</f>
        <v>0.95710844772047943</v>
      </c>
      <c r="T257" s="1843">
        <f t="shared" si="186"/>
        <v>0.95542553833162436</v>
      </c>
      <c r="U257" s="1433">
        <f t="shared" si="186"/>
        <v>1</v>
      </c>
      <c r="V257" s="1842">
        <f t="shared" si="186"/>
        <v>0.72599184278828333</v>
      </c>
      <c r="W257" s="1195"/>
      <c r="X257" s="266"/>
      <c r="AC257" s="266"/>
      <c r="AD257" s="266"/>
      <c r="AE257" s="266"/>
      <c r="AF257" s="266"/>
      <c r="AG257" s="266"/>
      <c r="AH257" s="266"/>
      <c r="AI257" s="266"/>
      <c r="AJ257" s="266"/>
      <c r="AK257" s="266"/>
      <c r="AL257" s="266"/>
      <c r="AM257" s="266"/>
      <c r="AN257" s="266"/>
      <c r="AO257" s="266"/>
      <c r="AP257" s="266"/>
      <c r="AQ257" s="266"/>
    </row>
    <row r="258" spans="1:43" ht="12.75" thickBot="1">
      <c r="A258" s="908">
        <f>+A256+1</f>
        <v>27</v>
      </c>
      <c r="B258" s="909" t="s">
        <v>807</v>
      </c>
      <c r="C258" s="1826" t="str">
        <f t="shared" si="185"/>
        <v>-</v>
      </c>
      <c r="D258" s="1823" t="str">
        <f t="shared" si="185"/>
        <v>-</v>
      </c>
      <c r="E258" s="1823" t="str">
        <f t="shared" si="185"/>
        <v>-</v>
      </c>
      <c r="F258" s="1823" t="str">
        <f t="shared" si="185"/>
        <v>-</v>
      </c>
      <c r="G258" s="1823" t="str">
        <f t="shared" si="185"/>
        <v>-</v>
      </c>
      <c r="H258" s="1823" t="str">
        <f t="shared" si="185"/>
        <v>-</v>
      </c>
      <c r="I258" s="1836" t="str">
        <f t="shared" si="185"/>
        <v>-</v>
      </c>
      <c r="J258" s="1840" t="str">
        <f t="shared" si="185"/>
        <v>-</v>
      </c>
      <c r="K258" s="1838" t="str">
        <f t="shared" si="185"/>
        <v>-</v>
      </c>
      <c r="L258" s="1823" t="str">
        <f t="shared" si="185"/>
        <v>-</v>
      </c>
      <c r="M258" s="1823" t="str">
        <f t="shared" si="185"/>
        <v>-</v>
      </c>
      <c r="N258" s="1823" t="str">
        <f t="shared" si="185"/>
        <v>-</v>
      </c>
      <c r="O258" s="1823" t="str">
        <f t="shared" si="185"/>
        <v>-</v>
      </c>
      <c r="P258" s="1823" t="str">
        <f t="shared" si="185"/>
        <v>-</v>
      </c>
      <c r="Q258" s="1823" t="str">
        <f t="shared" si="185"/>
        <v>-</v>
      </c>
      <c r="R258" s="1430" t="str">
        <f t="shared" si="185"/>
        <v>-</v>
      </c>
      <c r="S258" s="1840" t="str">
        <f t="shared" si="186"/>
        <v>-</v>
      </c>
      <c r="T258" s="1834" t="str">
        <f t="shared" si="186"/>
        <v>-</v>
      </c>
      <c r="U258" s="1430" t="str">
        <f t="shared" si="186"/>
        <v>-</v>
      </c>
      <c r="V258" s="1840" t="str">
        <f t="shared" si="186"/>
        <v>-</v>
      </c>
      <c r="W258" s="1195"/>
    </row>
    <row r="259" spans="1:43" s="558" customFormat="1" ht="12.75" thickBot="1">
      <c r="A259" s="527" t="s">
        <v>641</v>
      </c>
      <c r="B259" s="528" t="s">
        <v>807</v>
      </c>
      <c r="C259" s="1843" t="str">
        <f t="shared" ref="C258:R260" si="187">IF(ISERROR(C189/C119),"-",C189/C119)</f>
        <v>-</v>
      </c>
      <c r="D259" s="1846" t="str">
        <f t="shared" si="187"/>
        <v>-</v>
      </c>
      <c r="E259" s="1846" t="str">
        <f t="shared" si="187"/>
        <v>-</v>
      </c>
      <c r="F259" s="1846" t="str">
        <f t="shared" si="187"/>
        <v>-</v>
      </c>
      <c r="G259" s="1846" t="str">
        <f t="shared" si="187"/>
        <v>-</v>
      </c>
      <c r="H259" s="1846" t="str">
        <f t="shared" si="187"/>
        <v>-</v>
      </c>
      <c r="I259" s="1433" t="str">
        <f t="shared" si="187"/>
        <v>-</v>
      </c>
      <c r="J259" s="1847" t="str">
        <f t="shared" si="187"/>
        <v>-</v>
      </c>
      <c r="K259" s="1843" t="str">
        <f t="shared" si="187"/>
        <v>-</v>
      </c>
      <c r="L259" s="1846" t="str">
        <f t="shared" si="187"/>
        <v>-</v>
      </c>
      <c r="M259" s="1846" t="str">
        <f t="shared" si="187"/>
        <v>-</v>
      </c>
      <c r="N259" s="1846" t="str">
        <f t="shared" si="187"/>
        <v>-</v>
      </c>
      <c r="O259" s="1846" t="str">
        <f t="shared" si="187"/>
        <v>-</v>
      </c>
      <c r="P259" s="1846" t="str">
        <f t="shared" si="187"/>
        <v>-</v>
      </c>
      <c r="Q259" s="1846" t="str">
        <f t="shared" si="187"/>
        <v>-</v>
      </c>
      <c r="R259" s="1433" t="str">
        <f t="shared" si="187"/>
        <v>-</v>
      </c>
      <c r="S259" s="1847" t="str">
        <f t="shared" ref="S259:V260" si="188">IF(ISERROR(S189/S119),"-",S189/S119)</f>
        <v>-</v>
      </c>
      <c r="T259" s="1843" t="str">
        <f t="shared" si="188"/>
        <v>-</v>
      </c>
      <c r="U259" s="1433" t="str">
        <f t="shared" si="188"/>
        <v>-</v>
      </c>
      <c r="V259" s="1842" t="str">
        <f t="shared" si="188"/>
        <v>-</v>
      </c>
      <c r="W259" s="1195"/>
      <c r="X259" s="266"/>
      <c r="AC259" s="266"/>
      <c r="AD259" s="266"/>
      <c r="AE259" s="266"/>
      <c r="AF259" s="266"/>
      <c r="AG259" s="266"/>
      <c r="AH259" s="266"/>
      <c r="AI259" s="266"/>
      <c r="AJ259" s="266"/>
      <c r="AK259" s="266"/>
      <c r="AL259" s="266"/>
      <c r="AM259" s="266"/>
      <c r="AN259" s="266"/>
      <c r="AO259" s="266"/>
      <c r="AP259" s="266"/>
      <c r="AQ259" s="266"/>
    </row>
    <row r="260" spans="1:43" ht="12.75" thickBot="1">
      <c r="A260" s="908">
        <f>+A258+1</f>
        <v>28</v>
      </c>
      <c r="B260" s="909" t="s">
        <v>822</v>
      </c>
      <c r="C260" s="1826" t="str">
        <f t="shared" si="187"/>
        <v>-</v>
      </c>
      <c r="D260" s="1823" t="str">
        <f t="shared" si="187"/>
        <v>-</v>
      </c>
      <c r="E260" s="1823" t="str">
        <f t="shared" si="187"/>
        <v>-</v>
      </c>
      <c r="F260" s="1823" t="str">
        <f t="shared" si="187"/>
        <v>-</v>
      </c>
      <c r="G260" s="1823" t="str">
        <f t="shared" si="187"/>
        <v>-</v>
      </c>
      <c r="H260" s="1823" t="str">
        <f t="shared" si="187"/>
        <v>-</v>
      </c>
      <c r="I260" s="1836" t="str">
        <f t="shared" si="187"/>
        <v>-</v>
      </c>
      <c r="J260" s="1840" t="str">
        <f t="shared" si="187"/>
        <v>-</v>
      </c>
      <c r="K260" s="1838" t="str">
        <f t="shared" si="187"/>
        <v>-</v>
      </c>
      <c r="L260" s="1823" t="str">
        <f t="shared" si="187"/>
        <v>-</v>
      </c>
      <c r="M260" s="1823" t="str">
        <f t="shared" si="187"/>
        <v>-</v>
      </c>
      <c r="N260" s="1823" t="str">
        <f t="shared" si="187"/>
        <v>-</v>
      </c>
      <c r="O260" s="1823" t="str">
        <f t="shared" si="187"/>
        <v>-</v>
      </c>
      <c r="P260" s="1823" t="str">
        <f t="shared" si="187"/>
        <v>-</v>
      </c>
      <c r="Q260" s="1823" t="str">
        <f t="shared" si="187"/>
        <v>-</v>
      </c>
      <c r="R260" s="1430" t="str">
        <f t="shared" si="187"/>
        <v>-</v>
      </c>
      <c r="S260" s="1840" t="str">
        <f t="shared" si="188"/>
        <v>-</v>
      </c>
      <c r="T260" s="1834" t="str">
        <f t="shared" si="188"/>
        <v>-</v>
      </c>
      <c r="U260" s="1430" t="str">
        <f t="shared" si="188"/>
        <v>-</v>
      </c>
      <c r="V260" s="1840" t="str">
        <f t="shared" si="188"/>
        <v>-</v>
      </c>
      <c r="W260" s="1195"/>
    </row>
    <row r="261" spans="1:43" s="558" customFormat="1" ht="12.75" thickBot="1">
      <c r="A261" s="527" t="s">
        <v>806</v>
      </c>
      <c r="B261" s="528" t="s">
        <v>822</v>
      </c>
      <c r="C261" s="1843" t="str">
        <f t="shared" ref="C260:R262" si="189">IF(ISERROR(C191/C121),"-",C191/C121)</f>
        <v>-</v>
      </c>
      <c r="D261" s="1846" t="str">
        <f t="shared" si="189"/>
        <v>-</v>
      </c>
      <c r="E261" s="1846" t="str">
        <f t="shared" si="189"/>
        <v>-</v>
      </c>
      <c r="F261" s="1846" t="str">
        <f t="shared" si="189"/>
        <v>-</v>
      </c>
      <c r="G261" s="1846" t="str">
        <f t="shared" si="189"/>
        <v>-</v>
      </c>
      <c r="H261" s="1846" t="str">
        <f t="shared" si="189"/>
        <v>-</v>
      </c>
      <c r="I261" s="1433" t="str">
        <f t="shared" si="189"/>
        <v>-</v>
      </c>
      <c r="J261" s="1847" t="str">
        <f t="shared" si="189"/>
        <v>-</v>
      </c>
      <c r="K261" s="1843" t="str">
        <f t="shared" si="189"/>
        <v>-</v>
      </c>
      <c r="L261" s="1846" t="str">
        <f t="shared" si="189"/>
        <v>-</v>
      </c>
      <c r="M261" s="1846" t="str">
        <f t="shared" si="189"/>
        <v>-</v>
      </c>
      <c r="N261" s="1846" t="str">
        <f t="shared" si="189"/>
        <v>-</v>
      </c>
      <c r="O261" s="1846" t="str">
        <f t="shared" si="189"/>
        <v>-</v>
      </c>
      <c r="P261" s="1846" t="str">
        <f t="shared" si="189"/>
        <v>-</v>
      </c>
      <c r="Q261" s="1846" t="str">
        <f t="shared" si="189"/>
        <v>-</v>
      </c>
      <c r="R261" s="1433" t="str">
        <f t="shared" si="189"/>
        <v>-</v>
      </c>
      <c r="S261" s="1847" t="str">
        <f t="shared" ref="S261:V262" si="190">IF(ISERROR(S191/S121),"-",S191/S121)</f>
        <v>-</v>
      </c>
      <c r="T261" s="1843" t="str">
        <f t="shared" si="190"/>
        <v>-</v>
      </c>
      <c r="U261" s="1433" t="str">
        <f t="shared" si="190"/>
        <v>-</v>
      </c>
      <c r="V261" s="1842" t="str">
        <f t="shared" si="190"/>
        <v>-</v>
      </c>
      <c r="W261" s="1195"/>
      <c r="X261" s="266"/>
      <c r="AC261" s="266"/>
      <c r="AD261" s="266"/>
      <c r="AE261" s="266"/>
      <c r="AF261" s="266"/>
      <c r="AG261" s="266"/>
      <c r="AH261" s="266"/>
      <c r="AI261" s="266"/>
      <c r="AJ261" s="266"/>
      <c r="AK261" s="266"/>
      <c r="AL261" s="266"/>
      <c r="AM261" s="266"/>
      <c r="AN261" s="266"/>
      <c r="AO261" s="266"/>
      <c r="AP261" s="266"/>
      <c r="AQ261" s="266"/>
    </row>
    <row r="262" spans="1:43" s="558" customFormat="1" ht="12.75" thickBot="1">
      <c r="A262" s="520" t="s">
        <v>20</v>
      </c>
      <c r="B262" s="530" t="s">
        <v>423</v>
      </c>
      <c r="C262" s="1850" t="str">
        <f t="shared" si="189"/>
        <v>-</v>
      </c>
      <c r="D262" s="1851" t="str">
        <f t="shared" si="189"/>
        <v>-</v>
      </c>
      <c r="E262" s="1851">
        <f t="shared" si="189"/>
        <v>1</v>
      </c>
      <c r="F262" s="1851">
        <f t="shared" si="189"/>
        <v>1</v>
      </c>
      <c r="G262" s="1851" t="str">
        <f t="shared" si="189"/>
        <v>-</v>
      </c>
      <c r="H262" s="1851">
        <f t="shared" si="189"/>
        <v>1</v>
      </c>
      <c r="I262" s="1852" t="str">
        <f t="shared" si="189"/>
        <v>-</v>
      </c>
      <c r="J262" s="1853">
        <f t="shared" si="189"/>
        <v>1</v>
      </c>
      <c r="K262" s="1850">
        <f t="shared" si="189"/>
        <v>1</v>
      </c>
      <c r="L262" s="1851">
        <f t="shared" si="189"/>
        <v>1</v>
      </c>
      <c r="M262" s="1851">
        <f t="shared" si="189"/>
        <v>0.8672057502246181</v>
      </c>
      <c r="N262" s="1851" t="str">
        <f t="shared" si="189"/>
        <v>-</v>
      </c>
      <c r="O262" s="1851">
        <f t="shared" si="189"/>
        <v>1</v>
      </c>
      <c r="P262" s="1851">
        <f t="shared" si="189"/>
        <v>1</v>
      </c>
      <c r="Q262" s="1851" t="str">
        <f t="shared" si="189"/>
        <v>-</v>
      </c>
      <c r="R262" s="1852" t="str">
        <f t="shared" si="189"/>
        <v>-</v>
      </c>
      <c r="S262" s="1853">
        <f t="shared" si="190"/>
        <v>0.95710844772047943</v>
      </c>
      <c r="T262" s="1850">
        <f t="shared" si="190"/>
        <v>0.95542553833162436</v>
      </c>
      <c r="U262" s="1852">
        <f t="shared" si="190"/>
        <v>1</v>
      </c>
      <c r="V262" s="1854">
        <f t="shared" si="190"/>
        <v>0.72599184278828333</v>
      </c>
      <c r="W262" s="1195"/>
      <c r="X262" s="266"/>
      <c r="AC262" s="266"/>
      <c r="AD262" s="266"/>
      <c r="AE262" s="266"/>
      <c r="AF262" s="266"/>
      <c r="AG262" s="266"/>
      <c r="AH262" s="266"/>
      <c r="AI262" s="266"/>
      <c r="AJ262" s="266"/>
      <c r="AK262" s="266"/>
      <c r="AL262" s="266"/>
      <c r="AM262" s="266"/>
      <c r="AN262" s="266"/>
      <c r="AO262" s="266"/>
      <c r="AP262" s="266"/>
      <c r="AQ262" s="266"/>
    </row>
    <row r="263" spans="1:43" s="198" customFormat="1" ht="12.75" thickBot="1">
      <c r="A263" s="542"/>
      <c r="B263" s="598"/>
      <c r="C263" s="587"/>
      <c r="D263" s="588"/>
      <c r="E263" s="588"/>
      <c r="F263" s="588"/>
      <c r="G263" s="588"/>
      <c r="H263" s="588"/>
      <c r="I263" s="589"/>
      <c r="J263" s="590"/>
      <c r="K263" s="599"/>
      <c r="L263" s="599"/>
      <c r="M263" s="599"/>
      <c r="N263" s="599"/>
      <c r="O263" s="599"/>
      <c r="P263" s="599"/>
      <c r="Q263" s="599"/>
      <c r="R263" s="599"/>
      <c r="S263" s="597"/>
      <c r="T263" s="594"/>
      <c r="U263" s="1034"/>
      <c r="V263" s="597"/>
      <c r="W263" s="1195"/>
      <c r="X263" s="266"/>
      <c r="AC263" s="199"/>
      <c r="AD263" s="199"/>
      <c r="AE263" s="199"/>
      <c r="AF263" s="199"/>
      <c r="AG263" s="199"/>
      <c r="AH263" s="199"/>
      <c r="AI263" s="199"/>
      <c r="AJ263" s="199"/>
      <c r="AK263" s="199"/>
      <c r="AL263" s="199"/>
      <c r="AM263" s="199"/>
      <c r="AN263" s="199"/>
      <c r="AO263" s="199"/>
      <c r="AP263" s="199"/>
      <c r="AQ263" s="199"/>
    </row>
    <row r="264" spans="1:43" ht="12.75" thickBot="1">
      <c r="A264" s="850">
        <f>+A260+1</f>
        <v>29</v>
      </c>
      <c r="B264" s="755" t="s">
        <v>923</v>
      </c>
      <c r="C264" s="1855" t="str">
        <f t="shared" ref="C264:V264" si="191">IF(ISERROR(C194/C124),"-",C194/C124)</f>
        <v>-</v>
      </c>
      <c r="D264" s="1856" t="str">
        <f t="shared" si="191"/>
        <v>-</v>
      </c>
      <c r="E264" s="1856" t="str">
        <f t="shared" si="191"/>
        <v>-</v>
      </c>
      <c r="F264" s="1856" t="str">
        <f t="shared" si="191"/>
        <v>-</v>
      </c>
      <c r="G264" s="1856" t="str">
        <f t="shared" si="191"/>
        <v>-</v>
      </c>
      <c r="H264" s="1856" t="str">
        <f t="shared" si="191"/>
        <v>-</v>
      </c>
      <c r="I264" s="1857" t="str">
        <f t="shared" si="191"/>
        <v>-</v>
      </c>
      <c r="J264" s="1842" t="str">
        <f t="shared" si="191"/>
        <v>-</v>
      </c>
      <c r="K264" s="1838" t="str">
        <f t="shared" si="191"/>
        <v>-</v>
      </c>
      <c r="L264" s="1823" t="str">
        <f t="shared" si="191"/>
        <v>-</v>
      </c>
      <c r="M264" s="1823" t="str">
        <f t="shared" si="191"/>
        <v>-</v>
      </c>
      <c r="N264" s="1823" t="str">
        <f t="shared" si="191"/>
        <v>-</v>
      </c>
      <c r="O264" s="1823" t="str">
        <f t="shared" si="191"/>
        <v>-</v>
      </c>
      <c r="P264" s="1823" t="str">
        <f t="shared" si="191"/>
        <v>-</v>
      </c>
      <c r="Q264" s="1823" t="str">
        <f t="shared" si="191"/>
        <v>-</v>
      </c>
      <c r="R264" s="1430" t="str">
        <f t="shared" si="191"/>
        <v>-</v>
      </c>
      <c r="S264" s="1840" t="str">
        <f t="shared" si="191"/>
        <v>-</v>
      </c>
      <c r="T264" s="1834" t="str">
        <f t="shared" si="191"/>
        <v>-</v>
      </c>
      <c r="U264" s="1430" t="str">
        <f t="shared" si="191"/>
        <v>-</v>
      </c>
      <c r="V264" s="1840" t="str">
        <f t="shared" si="191"/>
        <v>-</v>
      </c>
      <c r="W264" s="1195"/>
    </row>
    <row r="265" spans="1:43" s="558" customFormat="1" ht="12.75" thickBot="1">
      <c r="A265" s="356" t="s">
        <v>948</v>
      </c>
      <c r="B265" s="517" t="s">
        <v>923</v>
      </c>
      <c r="C265" s="1843" t="str">
        <f t="shared" ref="C265:V266" si="192">IF(ISERROR(C195/C125),"-",C195/C125)</f>
        <v>-</v>
      </c>
      <c r="D265" s="1846" t="str">
        <f t="shared" si="192"/>
        <v>-</v>
      </c>
      <c r="E265" s="1846" t="str">
        <f t="shared" si="192"/>
        <v>-</v>
      </c>
      <c r="F265" s="1846" t="str">
        <f t="shared" si="192"/>
        <v>-</v>
      </c>
      <c r="G265" s="1846" t="str">
        <f t="shared" si="192"/>
        <v>-</v>
      </c>
      <c r="H265" s="1846" t="str">
        <f t="shared" si="192"/>
        <v>-</v>
      </c>
      <c r="I265" s="1433" t="str">
        <f t="shared" si="192"/>
        <v>-</v>
      </c>
      <c r="J265" s="1847" t="str">
        <f t="shared" si="192"/>
        <v>-</v>
      </c>
      <c r="K265" s="1843" t="str">
        <f t="shared" si="192"/>
        <v>-</v>
      </c>
      <c r="L265" s="1846" t="str">
        <f t="shared" si="192"/>
        <v>-</v>
      </c>
      <c r="M265" s="1846" t="str">
        <f t="shared" si="192"/>
        <v>-</v>
      </c>
      <c r="N265" s="1846" t="str">
        <f t="shared" si="192"/>
        <v>-</v>
      </c>
      <c r="O265" s="1846" t="str">
        <f t="shared" si="192"/>
        <v>-</v>
      </c>
      <c r="P265" s="1846" t="str">
        <f t="shared" si="192"/>
        <v>-</v>
      </c>
      <c r="Q265" s="1846" t="str">
        <f t="shared" si="192"/>
        <v>-</v>
      </c>
      <c r="R265" s="1433" t="str">
        <f t="shared" si="192"/>
        <v>-</v>
      </c>
      <c r="S265" s="1847" t="str">
        <f t="shared" si="192"/>
        <v>-</v>
      </c>
      <c r="T265" s="1843" t="str">
        <f t="shared" si="192"/>
        <v>-</v>
      </c>
      <c r="U265" s="1433" t="str">
        <f t="shared" si="192"/>
        <v>-</v>
      </c>
      <c r="V265" s="1842" t="str">
        <f t="shared" si="192"/>
        <v>-</v>
      </c>
      <c r="W265" s="1195"/>
      <c r="X265" s="266"/>
      <c r="AC265" s="266"/>
      <c r="AD265" s="266"/>
      <c r="AE265" s="266"/>
      <c r="AF265" s="266"/>
      <c r="AG265" s="266"/>
      <c r="AH265" s="266"/>
      <c r="AI265" s="266"/>
      <c r="AJ265" s="266"/>
      <c r="AK265" s="266"/>
      <c r="AL265" s="266"/>
      <c r="AM265" s="266"/>
      <c r="AN265" s="266"/>
      <c r="AO265" s="266"/>
      <c r="AP265" s="266"/>
      <c r="AQ265" s="266"/>
    </row>
    <row r="266" spans="1:43" ht="12.75" thickBot="1">
      <c r="A266" s="908">
        <f>+A264+1</f>
        <v>30</v>
      </c>
      <c r="B266" s="909" t="s">
        <v>1172</v>
      </c>
      <c r="C266" s="1826" t="str">
        <f t="shared" si="192"/>
        <v>-</v>
      </c>
      <c r="D266" s="1823" t="str">
        <f t="shared" si="192"/>
        <v>-</v>
      </c>
      <c r="E266" s="1823" t="str">
        <f t="shared" si="192"/>
        <v>-</v>
      </c>
      <c r="F266" s="1823" t="str">
        <f t="shared" si="192"/>
        <v>-</v>
      </c>
      <c r="G266" s="1823" t="str">
        <f t="shared" si="192"/>
        <v>-</v>
      </c>
      <c r="H266" s="1823" t="str">
        <f t="shared" si="192"/>
        <v>-</v>
      </c>
      <c r="I266" s="1836" t="str">
        <f t="shared" si="192"/>
        <v>-</v>
      </c>
      <c r="J266" s="1840" t="str">
        <f t="shared" si="192"/>
        <v>-</v>
      </c>
      <c r="K266" s="1838">
        <f t="shared" si="192"/>
        <v>1</v>
      </c>
      <c r="L266" s="1823">
        <f t="shared" si="192"/>
        <v>1</v>
      </c>
      <c r="M266" s="1823">
        <f t="shared" si="192"/>
        <v>1</v>
      </c>
      <c r="N266" s="1823" t="str">
        <f t="shared" si="192"/>
        <v>-</v>
      </c>
      <c r="O266" s="1823">
        <f t="shared" si="192"/>
        <v>1</v>
      </c>
      <c r="P266" s="1823" t="str">
        <f t="shared" si="192"/>
        <v>-</v>
      </c>
      <c r="Q266" s="1823" t="str">
        <f t="shared" si="192"/>
        <v>-</v>
      </c>
      <c r="R266" s="1430" t="str">
        <f t="shared" si="192"/>
        <v>-</v>
      </c>
      <c r="S266" s="1840">
        <f t="shared" si="192"/>
        <v>1</v>
      </c>
      <c r="T266" s="1834">
        <f t="shared" si="192"/>
        <v>1</v>
      </c>
      <c r="U266" s="1430">
        <f t="shared" si="192"/>
        <v>1</v>
      </c>
      <c r="V266" s="1840">
        <f t="shared" si="192"/>
        <v>1</v>
      </c>
      <c r="W266" s="1195"/>
    </row>
    <row r="267" spans="1:43" s="558" customFormat="1" ht="12.75" thickBot="1">
      <c r="A267" s="527" t="s">
        <v>949</v>
      </c>
      <c r="B267" s="528" t="s">
        <v>924</v>
      </c>
      <c r="C267" s="1843" t="str">
        <f t="shared" ref="C267:V268" si="193">IF(ISERROR(C197/C127),"-",C197/C127)</f>
        <v>-</v>
      </c>
      <c r="D267" s="1846" t="str">
        <f t="shared" si="193"/>
        <v>-</v>
      </c>
      <c r="E267" s="1846" t="str">
        <f t="shared" si="193"/>
        <v>-</v>
      </c>
      <c r="F267" s="1846" t="str">
        <f t="shared" si="193"/>
        <v>-</v>
      </c>
      <c r="G267" s="1846" t="str">
        <f t="shared" si="193"/>
        <v>-</v>
      </c>
      <c r="H267" s="1846" t="str">
        <f t="shared" si="193"/>
        <v>-</v>
      </c>
      <c r="I267" s="1433" t="str">
        <f t="shared" si="193"/>
        <v>-</v>
      </c>
      <c r="J267" s="1847" t="str">
        <f t="shared" si="193"/>
        <v>-</v>
      </c>
      <c r="K267" s="1843">
        <f t="shared" si="193"/>
        <v>1</v>
      </c>
      <c r="L267" s="1846">
        <f t="shared" si="193"/>
        <v>1</v>
      </c>
      <c r="M267" s="1846">
        <f t="shared" si="193"/>
        <v>1</v>
      </c>
      <c r="N267" s="1846" t="str">
        <f t="shared" si="193"/>
        <v>-</v>
      </c>
      <c r="O267" s="1846">
        <f t="shared" si="193"/>
        <v>1</v>
      </c>
      <c r="P267" s="1846" t="str">
        <f t="shared" si="193"/>
        <v>-</v>
      </c>
      <c r="Q267" s="1846" t="str">
        <f t="shared" si="193"/>
        <v>-</v>
      </c>
      <c r="R267" s="1433" t="str">
        <f t="shared" si="193"/>
        <v>-</v>
      </c>
      <c r="S267" s="1847">
        <f t="shared" si="193"/>
        <v>1</v>
      </c>
      <c r="T267" s="1843">
        <f t="shared" si="193"/>
        <v>1</v>
      </c>
      <c r="U267" s="1433">
        <f t="shared" si="193"/>
        <v>1</v>
      </c>
      <c r="V267" s="1842">
        <f t="shared" si="193"/>
        <v>1</v>
      </c>
      <c r="W267" s="1195"/>
      <c r="X267" s="266"/>
      <c r="AC267" s="266"/>
      <c r="AD267" s="266"/>
      <c r="AE267" s="266"/>
      <c r="AF267" s="266"/>
      <c r="AG267" s="266"/>
      <c r="AH267" s="266"/>
      <c r="AI267" s="266"/>
      <c r="AJ267" s="266"/>
      <c r="AK267" s="266"/>
      <c r="AL267" s="266"/>
      <c r="AM267" s="266"/>
      <c r="AN267" s="266"/>
      <c r="AO267" s="266"/>
      <c r="AP267" s="266"/>
      <c r="AQ267" s="266"/>
    </row>
    <row r="268" spans="1:43" ht="12.75" thickBot="1">
      <c r="A268" s="908">
        <f>+A266+1</f>
        <v>31</v>
      </c>
      <c r="B268" s="909" t="s">
        <v>951</v>
      </c>
      <c r="C268" s="1826" t="str">
        <f t="shared" si="193"/>
        <v>-</v>
      </c>
      <c r="D268" s="1823" t="str">
        <f t="shared" si="193"/>
        <v>-</v>
      </c>
      <c r="E268" s="1823" t="str">
        <f t="shared" si="193"/>
        <v>-</v>
      </c>
      <c r="F268" s="1823" t="str">
        <f t="shared" si="193"/>
        <v>-</v>
      </c>
      <c r="G268" s="1823" t="str">
        <f t="shared" si="193"/>
        <v>-</v>
      </c>
      <c r="H268" s="1823" t="str">
        <f t="shared" si="193"/>
        <v>-</v>
      </c>
      <c r="I268" s="1836" t="str">
        <f t="shared" si="193"/>
        <v>-</v>
      </c>
      <c r="J268" s="1840" t="str">
        <f t="shared" si="193"/>
        <v>-</v>
      </c>
      <c r="K268" s="1838" t="str">
        <f t="shared" si="193"/>
        <v>-</v>
      </c>
      <c r="L268" s="1823" t="str">
        <f t="shared" si="193"/>
        <v>-</v>
      </c>
      <c r="M268" s="1823" t="str">
        <f t="shared" si="193"/>
        <v>-</v>
      </c>
      <c r="N268" s="1823" t="str">
        <f t="shared" si="193"/>
        <v>-</v>
      </c>
      <c r="O268" s="1823" t="str">
        <f t="shared" si="193"/>
        <v>-</v>
      </c>
      <c r="P268" s="1823" t="str">
        <f t="shared" si="193"/>
        <v>-</v>
      </c>
      <c r="Q268" s="1823" t="str">
        <f t="shared" si="193"/>
        <v>-</v>
      </c>
      <c r="R268" s="1430" t="str">
        <f t="shared" si="193"/>
        <v>-</v>
      </c>
      <c r="S268" s="1840" t="str">
        <f t="shared" si="193"/>
        <v>-</v>
      </c>
      <c r="T268" s="1834" t="str">
        <f t="shared" si="193"/>
        <v>-</v>
      </c>
      <c r="U268" s="1430" t="str">
        <f t="shared" si="193"/>
        <v>-</v>
      </c>
      <c r="V268" s="1840" t="str">
        <f t="shared" si="193"/>
        <v>-</v>
      </c>
      <c r="W268" s="1195"/>
    </row>
    <row r="269" spans="1:43" s="558" customFormat="1" ht="12.75" thickBot="1">
      <c r="A269" s="527" t="s">
        <v>950</v>
      </c>
      <c r="B269" s="528" t="s">
        <v>951</v>
      </c>
      <c r="C269" s="1843" t="str">
        <f t="shared" ref="C269:V270" si="194">IF(ISERROR(C199/C129),"-",C199/C129)</f>
        <v>-</v>
      </c>
      <c r="D269" s="1846" t="str">
        <f t="shared" si="194"/>
        <v>-</v>
      </c>
      <c r="E269" s="1846" t="str">
        <f t="shared" si="194"/>
        <v>-</v>
      </c>
      <c r="F269" s="1846" t="str">
        <f t="shared" si="194"/>
        <v>-</v>
      </c>
      <c r="G269" s="1846" t="str">
        <f t="shared" si="194"/>
        <v>-</v>
      </c>
      <c r="H269" s="1846" t="str">
        <f t="shared" si="194"/>
        <v>-</v>
      </c>
      <c r="I269" s="1433" t="str">
        <f t="shared" si="194"/>
        <v>-</v>
      </c>
      <c r="J269" s="1847" t="str">
        <f t="shared" si="194"/>
        <v>-</v>
      </c>
      <c r="K269" s="1843" t="str">
        <f t="shared" si="194"/>
        <v>-</v>
      </c>
      <c r="L269" s="1846" t="str">
        <f t="shared" si="194"/>
        <v>-</v>
      </c>
      <c r="M269" s="1846" t="str">
        <f t="shared" si="194"/>
        <v>-</v>
      </c>
      <c r="N269" s="1846" t="str">
        <f t="shared" si="194"/>
        <v>-</v>
      </c>
      <c r="O269" s="1846" t="str">
        <f t="shared" si="194"/>
        <v>-</v>
      </c>
      <c r="P269" s="1846" t="str">
        <f t="shared" si="194"/>
        <v>-</v>
      </c>
      <c r="Q269" s="1846" t="str">
        <f t="shared" si="194"/>
        <v>-</v>
      </c>
      <c r="R269" s="1433" t="str">
        <f t="shared" si="194"/>
        <v>-</v>
      </c>
      <c r="S269" s="1847" t="str">
        <f t="shared" si="194"/>
        <v>-</v>
      </c>
      <c r="T269" s="1843" t="str">
        <f t="shared" si="194"/>
        <v>-</v>
      </c>
      <c r="U269" s="1433" t="str">
        <f t="shared" si="194"/>
        <v>-</v>
      </c>
      <c r="V269" s="1842" t="str">
        <f t="shared" si="194"/>
        <v>-</v>
      </c>
      <c r="W269" s="1195"/>
      <c r="X269" s="266"/>
      <c r="AC269" s="266"/>
      <c r="AD269" s="266"/>
      <c r="AE269" s="266"/>
      <c r="AF269" s="266"/>
      <c r="AG269" s="266"/>
      <c r="AH269" s="266"/>
      <c r="AI269" s="266"/>
      <c r="AJ269" s="266"/>
      <c r="AK269" s="266"/>
      <c r="AL269" s="266"/>
      <c r="AM269" s="266"/>
      <c r="AN269" s="266"/>
      <c r="AO269" s="266"/>
      <c r="AP269" s="266"/>
      <c r="AQ269" s="266"/>
    </row>
    <row r="270" spans="1:43" s="558" customFormat="1" ht="12.75" thickBot="1">
      <c r="A270" s="520" t="s">
        <v>560</v>
      </c>
      <c r="B270" s="530" t="s">
        <v>925</v>
      </c>
      <c r="C270" s="1850" t="str">
        <f t="shared" si="194"/>
        <v>-</v>
      </c>
      <c r="D270" s="1851" t="str">
        <f t="shared" si="194"/>
        <v>-</v>
      </c>
      <c r="E270" s="1851" t="str">
        <f t="shared" si="194"/>
        <v>-</v>
      </c>
      <c r="F270" s="1851" t="str">
        <f t="shared" si="194"/>
        <v>-</v>
      </c>
      <c r="G270" s="1851" t="str">
        <f t="shared" si="194"/>
        <v>-</v>
      </c>
      <c r="H270" s="1851" t="str">
        <f t="shared" si="194"/>
        <v>-</v>
      </c>
      <c r="I270" s="1852" t="str">
        <f t="shared" si="194"/>
        <v>-</v>
      </c>
      <c r="J270" s="1853" t="str">
        <f t="shared" si="194"/>
        <v>-</v>
      </c>
      <c r="K270" s="1850">
        <f t="shared" si="194"/>
        <v>1</v>
      </c>
      <c r="L270" s="1851">
        <f t="shared" si="194"/>
        <v>1</v>
      </c>
      <c r="M270" s="1851">
        <f t="shared" si="194"/>
        <v>1</v>
      </c>
      <c r="N270" s="1851" t="str">
        <f t="shared" si="194"/>
        <v>-</v>
      </c>
      <c r="O270" s="1851">
        <f t="shared" si="194"/>
        <v>1</v>
      </c>
      <c r="P270" s="1851" t="str">
        <f t="shared" si="194"/>
        <v>-</v>
      </c>
      <c r="Q270" s="1851" t="str">
        <f t="shared" si="194"/>
        <v>-</v>
      </c>
      <c r="R270" s="1852" t="str">
        <f t="shared" si="194"/>
        <v>-</v>
      </c>
      <c r="S270" s="1853">
        <f t="shared" si="194"/>
        <v>1</v>
      </c>
      <c r="T270" s="1850">
        <f t="shared" si="194"/>
        <v>1</v>
      </c>
      <c r="U270" s="1852">
        <f t="shared" si="194"/>
        <v>1</v>
      </c>
      <c r="V270" s="1854">
        <f t="shared" si="194"/>
        <v>1</v>
      </c>
      <c r="W270" s="1195"/>
      <c r="X270" s="266"/>
      <c r="AC270" s="266"/>
      <c r="AD270" s="266"/>
      <c r="AE270" s="266"/>
      <c r="AF270" s="266"/>
      <c r="AG270" s="266"/>
      <c r="AH270" s="266"/>
      <c r="AI270" s="266"/>
      <c r="AJ270" s="266"/>
      <c r="AK270" s="266"/>
      <c r="AL270" s="266"/>
      <c r="AM270" s="266"/>
      <c r="AN270" s="266"/>
      <c r="AO270" s="266"/>
      <c r="AP270" s="266"/>
      <c r="AQ270" s="266"/>
    </row>
    <row r="271" spans="1:43" s="198" customFormat="1" ht="12.75" thickBot="1">
      <c r="A271" s="542"/>
      <c r="B271" s="598"/>
      <c r="C271" s="587"/>
      <c r="D271" s="588"/>
      <c r="E271" s="588"/>
      <c r="F271" s="588"/>
      <c r="G271" s="588"/>
      <c r="H271" s="588"/>
      <c r="I271" s="589"/>
      <c r="J271" s="590"/>
      <c r="K271" s="599"/>
      <c r="L271" s="599"/>
      <c r="M271" s="599"/>
      <c r="N271" s="599"/>
      <c r="O271" s="599"/>
      <c r="P271" s="599"/>
      <c r="Q271" s="599"/>
      <c r="R271" s="599"/>
      <c r="S271" s="597"/>
      <c r="T271" s="594"/>
      <c r="U271" s="1034"/>
      <c r="V271" s="597"/>
      <c r="W271" s="1195"/>
      <c r="X271" s="266"/>
      <c r="AC271" s="199"/>
      <c r="AD271" s="199"/>
      <c r="AE271" s="199"/>
      <c r="AF271" s="199"/>
      <c r="AG271" s="199"/>
      <c r="AH271" s="199"/>
      <c r="AI271" s="199"/>
      <c r="AJ271" s="199"/>
      <c r="AK271" s="199"/>
      <c r="AL271" s="199"/>
      <c r="AM271" s="199"/>
      <c r="AN271" s="199"/>
      <c r="AO271" s="199"/>
      <c r="AP271" s="199"/>
      <c r="AQ271" s="199"/>
    </row>
    <row r="272" spans="1:43" ht="12.75" thickBot="1">
      <c r="A272" s="850">
        <f>+A268+1</f>
        <v>32</v>
      </c>
      <c r="B272" s="755" t="s">
        <v>1270</v>
      </c>
      <c r="C272" s="1855" t="str">
        <f t="shared" ref="C272:V272" si="195">IF(ISERROR(C202/C132),"-",C202/C132)</f>
        <v>-</v>
      </c>
      <c r="D272" s="1856" t="str">
        <f t="shared" si="195"/>
        <v>-</v>
      </c>
      <c r="E272" s="1856">
        <f t="shared" si="195"/>
        <v>1</v>
      </c>
      <c r="F272" s="1856" t="str">
        <f t="shared" si="195"/>
        <v>-</v>
      </c>
      <c r="G272" s="1856" t="str">
        <f t="shared" si="195"/>
        <v>-</v>
      </c>
      <c r="H272" s="1856">
        <f t="shared" si="195"/>
        <v>1</v>
      </c>
      <c r="I272" s="1857" t="str">
        <f t="shared" si="195"/>
        <v>-</v>
      </c>
      <c r="J272" s="1842">
        <f t="shared" si="195"/>
        <v>1</v>
      </c>
      <c r="K272" s="1838">
        <f t="shared" si="195"/>
        <v>1</v>
      </c>
      <c r="L272" s="1823">
        <f t="shared" si="195"/>
        <v>1</v>
      </c>
      <c r="M272" s="1823">
        <f t="shared" si="195"/>
        <v>0.99511360860004883</v>
      </c>
      <c r="N272" s="1823" t="str">
        <f t="shared" si="195"/>
        <v>-</v>
      </c>
      <c r="O272" s="1823">
        <f t="shared" si="195"/>
        <v>1</v>
      </c>
      <c r="P272" s="1823">
        <f t="shared" si="195"/>
        <v>1</v>
      </c>
      <c r="Q272" s="1823" t="str">
        <f t="shared" si="195"/>
        <v>-</v>
      </c>
      <c r="R272" s="1430" t="str">
        <f t="shared" si="195"/>
        <v>-</v>
      </c>
      <c r="S272" s="1840">
        <f t="shared" si="195"/>
        <v>0.99970937413720451</v>
      </c>
      <c r="T272" s="1834">
        <f t="shared" si="195"/>
        <v>0.99970387041369302</v>
      </c>
      <c r="U272" s="1430">
        <f t="shared" si="195"/>
        <v>1</v>
      </c>
      <c r="V272" s="1840">
        <f t="shared" si="195"/>
        <v>1.0269179004037685</v>
      </c>
      <c r="W272" s="1195"/>
    </row>
    <row r="273" spans="1:43" s="558" customFormat="1" ht="12.75" thickBot="1">
      <c r="A273" s="356" t="s">
        <v>1258</v>
      </c>
      <c r="B273" s="517" t="s">
        <v>1203</v>
      </c>
      <c r="C273" s="1843" t="str">
        <f t="shared" ref="C273:V274" si="196">IF(ISERROR(C203/C133),"-",C203/C133)</f>
        <v>-</v>
      </c>
      <c r="D273" s="1846" t="str">
        <f t="shared" si="196"/>
        <v>-</v>
      </c>
      <c r="E273" s="1846">
        <f t="shared" si="196"/>
        <v>1</v>
      </c>
      <c r="F273" s="1846" t="str">
        <f t="shared" si="196"/>
        <v>-</v>
      </c>
      <c r="G273" s="1846" t="str">
        <f t="shared" si="196"/>
        <v>-</v>
      </c>
      <c r="H273" s="1846">
        <f t="shared" si="196"/>
        <v>1</v>
      </c>
      <c r="I273" s="1433" t="str">
        <f t="shared" si="196"/>
        <v>-</v>
      </c>
      <c r="J273" s="1847">
        <f t="shared" si="196"/>
        <v>1</v>
      </c>
      <c r="K273" s="1843">
        <f t="shared" si="196"/>
        <v>1</v>
      </c>
      <c r="L273" s="1846">
        <f t="shared" si="196"/>
        <v>1</v>
      </c>
      <c r="M273" s="1846">
        <f t="shared" si="196"/>
        <v>0.99511360860004883</v>
      </c>
      <c r="N273" s="1846" t="str">
        <f t="shared" si="196"/>
        <v>-</v>
      </c>
      <c r="O273" s="1846">
        <f t="shared" si="196"/>
        <v>1</v>
      </c>
      <c r="P273" s="1846">
        <f t="shared" si="196"/>
        <v>1</v>
      </c>
      <c r="Q273" s="1846" t="str">
        <f t="shared" si="196"/>
        <v>-</v>
      </c>
      <c r="R273" s="1433" t="str">
        <f t="shared" si="196"/>
        <v>-</v>
      </c>
      <c r="S273" s="1847">
        <f t="shared" si="196"/>
        <v>0.99970937413720451</v>
      </c>
      <c r="T273" s="1843">
        <f t="shared" si="196"/>
        <v>0.99970387041369302</v>
      </c>
      <c r="U273" s="1433">
        <f t="shared" si="196"/>
        <v>1</v>
      </c>
      <c r="V273" s="1842">
        <f t="shared" si="196"/>
        <v>1.0269179004037685</v>
      </c>
      <c r="W273" s="1195"/>
      <c r="X273" s="266"/>
      <c r="AC273" s="266"/>
      <c r="AD273" s="266"/>
      <c r="AE273" s="266"/>
      <c r="AF273" s="266"/>
      <c r="AG273" s="266"/>
      <c r="AH273" s="266"/>
      <c r="AI273" s="266"/>
      <c r="AJ273" s="266"/>
      <c r="AK273" s="266"/>
      <c r="AL273" s="266"/>
      <c r="AM273" s="266"/>
      <c r="AN273" s="266"/>
      <c r="AO273" s="266"/>
      <c r="AP273" s="266"/>
      <c r="AQ273" s="266"/>
    </row>
    <row r="274" spans="1:43" ht="12.75" thickBot="1">
      <c r="A274" s="908">
        <f>+A272+1</f>
        <v>33</v>
      </c>
      <c r="B274" s="909" t="s">
        <v>1205</v>
      </c>
      <c r="C274" s="1826" t="str">
        <f t="shared" si="196"/>
        <v>-</v>
      </c>
      <c r="D274" s="1823" t="str">
        <f t="shared" si="196"/>
        <v>-</v>
      </c>
      <c r="E274" s="1823" t="str">
        <f t="shared" si="196"/>
        <v>-</v>
      </c>
      <c r="F274" s="1823" t="str">
        <f t="shared" si="196"/>
        <v>-</v>
      </c>
      <c r="G274" s="1823" t="str">
        <f t="shared" si="196"/>
        <v>-</v>
      </c>
      <c r="H274" s="1823" t="str">
        <f t="shared" si="196"/>
        <v>-</v>
      </c>
      <c r="I274" s="1836" t="str">
        <f t="shared" si="196"/>
        <v>-</v>
      </c>
      <c r="J274" s="1840" t="str">
        <f t="shared" si="196"/>
        <v>-</v>
      </c>
      <c r="K274" s="1838" t="str">
        <f t="shared" si="196"/>
        <v>-</v>
      </c>
      <c r="L274" s="1823" t="str">
        <f t="shared" si="196"/>
        <v>-</v>
      </c>
      <c r="M274" s="1823" t="str">
        <f t="shared" si="196"/>
        <v>-</v>
      </c>
      <c r="N274" s="1823" t="str">
        <f t="shared" si="196"/>
        <v>-</v>
      </c>
      <c r="O274" s="1823" t="str">
        <f t="shared" si="196"/>
        <v>-</v>
      </c>
      <c r="P274" s="1823" t="str">
        <f t="shared" si="196"/>
        <v>-</v>
      </c>
      <c r="Q274" s="1823" t="str">
        <f t="shared" si="196"/>
        <v>-</v>
      </c>
      <c r="R274" s="1430" t="str">
        <f t="shared" si="196"/>
        <v>-</v>
      </c>
      <c r="S274" s="1840" t="str">
        <f t="shared" si="196"/>
        <v>-</v>
      </c>
      <c r="T274" s="1834" t="str">
        <f t="shared" si="196"/>
        <v>-</v>
      </c>
      <c r="U274" s="1430" t="str">
        <f t="shared" si="196"/>
        <v>-</v>
      </c>
      <c r="V274" s="1840" t="str">
        <f t="shared" si="196"/>
        <v>-</v>
      </c>
      <c r="W274" s="1195"/>
    </row>
    <row r="275" spans="1:43" s="558" customFormat="1" ht="12.75" thickBot="1">
      <c r="A275" s="527" t="s">
        <v>1259</v>
      </c>
      <c r="B275" s="528" t="s">
        <v>1204</v>
      </c>
      <c r="C275" s="1843" t="str">
        <f t="shared" ref="C275:V276" si="197">IF(ISERROR(C205/C135),"-",C205/C135)</f>
        <v>-</v>
      </c>
      <c r="D275" s="1846" t="str">
        <f t="shared" si="197"/>
        <v>-</v>
      </c>
      <c r="E275" s="1846" t="str">
        <f t="shared" si="197"/>
        <v>-</v>
      </c>
      <c r="F275" s="1846" t="str">
        <f t="shared" si="197"/>
        <v>-</v>
      </c>
      <c r="G275" s="1846" t="str">
        <f t="shared" si="197"/>
        <v>-</v>
      </c>
      <c r="H275" s="1846" t="str">
        <f t="shared" si="197"/>
        <v>-</v>
      </c>
      <c r="I275" s="1433" t="str">
        <f t="shared" si="197"/>
        <v>-</v>
      </c>
      <c r="J275" s="1847" t="str">
        <f t="shared" si="197"/>
        <v>-</v>
      </c>
      <c r="K275" s="1843" t="str">
        <f t="shared" si="197"/>
        <v>-</v>
      </c>
      <c r="L275" s="1846" t="str">
        <f t="shared" si="197"/>
        <v>-</v>
      </c>
      <c r="M275" s="1846" t="str">
        <f t="shared" si="197"/>
        <v>-</v>
      </c>
      <c r="N275" s="1846" t="str">
        <f t="shared" si="197"/>
        <v>-</v>
      </c>
      <c r="O275" s="1846" t="str">
        <f t="shared" si="197"/>
        <v>-</v>
      </c>
      <c r="P275" s="1846" t="str">
        <f t="shared" si="197"/>
        <v>-</v>
      </c>
      <c r="Q275" s="1846" t="str">
        <f t="shared" si="197"/>
        <v>-</v>
      </c>
      <c r="R275" s="1433" t="str">
        <f t="shared" si="197"/>
        <v>-</v>
      </c>
      <c r="S275" s="1847" t="str">
        <f t="shared" si="197"/>
        <v>-</v>
      </c>
      <c r="T275" s="1843" t="str">
        <f t="shared" si="197"/>
        <v>-</v>
      </c>
      <c r="U275" s="1433" t="str">
        <f t="shared" si="197"/>
        <v>-</v>
      </c>
      <c r="V275" s="1842" t="str">
        <f t="shared" si="197"/>
        <v>-</v>
      </c>
      <c r="W275" s="1195"/>
      <c r="X275" s="266"/>
      <c r="AC275" s="266"/>
      <c r="AD275" s="266"/>
      <c r="AE275" s="266"/>
      <c r="AF275" s="266"/>
      <c r="AG275" s="266"/>
      <c r="AH275" s="266"/>
      <c r="AI275" s="266"/>
      <c r="AJ275" s="266"/>
      <c r="AK275" s="266"/>
      <c r="AL275" s="266"/>
      <c r="AM275" s="266"/>
      <c r="AN275" s="266"/>
      <c r="AO275" s="266"/>
      <c r="AP275" s="266"/>
      <c r="AQ275" s="266"/>
    </row>
    <row r="276" spans="1:43" ht="12.75" thickBot="1">
      <c r="A276" s="908">
        <f>+A274+1</f>
        <v>34</v>
      </c>
      <c r="B276" s="909" t="s">
        <v>1205</v>
      </c>
      <c r="C276" s="1826" t="str">
        <f t="shared" si="197"/>
        <v>-</v>
      </c>
      <c r="D276" s="1823" t="str">
        <f t="shared" si="197"/>
        <v>-</v>
      </c>
      <c r="E276" s="1823" t="str">
        <f t="shared" si="197"/>
        <v>-</v>
      </c>
      <c r="F276" s="1823" t="str">
        <f t="shared" si="197"/>
        <v>-</v>
      </c>
      <c r="G276" s="1823" t="str">
        <f t="shared" si="197"/>
        <v>-</v>
      </c>
      <c r="H276" s="1823" t="str">
        <f t="shared" si="197"/>
        <v>-</v>
      </c>
      <c r="I276" s="1836" t="str">
        <f t="shared" si="197"/>
        <v>-</v>
      </c>
      <c r="J276" s="1840" t="str">
        <f t="shared" si="197"/>
        <v>-</v>
      </c>
      <c r="K276" s="1838" t="str">
        <f t="shared" si="197"/>
        <v>-</v>
      </c>
      <c r="L276" s="1823" t="str">
        <f t="shared" si="197"/>
        <v>-</v>
      </c>
      <c r="M276" s="1823" t="str">
        <f t="shared" si="197"/>
        <v>-</v>
      </c>
      <c r="N276" s="1823" t="str">
        <f t="shared" si="197"/>
        <v>-</v>
      </c>
      <c r="O276" s="1823" t="str">
        <f t="shared" si="197"/>
        <v>-</v>
      </c>
      <c r="P276" s="1823" t="str">
        <f t="shared" si="197"/>
        <v>-</v>
      </c>
      <c r="Q276" s="1823" t="str">
        <f t="shared" si="197"/>
        <v>-</v>
      </c>
      <c r="R276" s="1430" t="str">
        <f t="shared" si="197"/>
        <v>-</v>
      </c>
      <c r="S276" s="1840" t="str">
        <f t="shared" si="197"/>
        <v>-</v>
      </c>
      <c r="T276" s="1834" t="str">
        <f t="shared" si="197"/>
        <v>-</v>
      </c>
      <c r="U276" s="1430" t="str">
        <f t="shared" si="197"/>
        <v>-</v>
      </c>
      <c r="V276" s="1840" t="str">
        <f t="shared" si="197"/>
        <v>-</v>
      </c>
      <c r="W276" s="1195"/>
    </row>
    <row r="277" spans="1:43" s="558" customFormat="1" ht="24.75" thickBot="1">
      <c r="A277" s="527" t="s">
        <v>1260</v>
      </c>
      <c r="B277" s="528" t="s">
        <v>1205</v>
      </c>
      <c r="C277" s="1843" t="str">
        <f t="shared" ref="C277:V278" si="198">IF(ISERROR(C207/C137),"-",C207/C137)</f>
        <v>-</v>
      </c>
      <c r="D277" s="1846" t="str">
        <f t="shared" si="198"/>
        <v>-</v>
      </c>
      <c r="E277" s="1846" t="str">
        <f t="shared" si="198"/>
        <v>-</v>
      </c>
      <c r="F277" s="1846" t="str">
        <f t="shared" si="198"/>
        <v>-</v>
      </c>
      <c r="G277" s="1846" t="str">
        <f t="shared" si="198"/>
        <v>-</v>
      </c>
      <c r="H277" s="1846" t="str">
        <f t="shared" si="198"/>
        <v>-</v>
      </c>
      <c r="I277" s="1433" t="str">
        <f t="shared" si="198"/>
        <v>-</v>
      </c>
      <c r="J277" s="1847" t="str">
        <f t="shared" si="198"/>
        <v>-</v>
      </c>
      <c r="K277" s="1843" t="str">
        <f t="shared" si="198"/>
        <v>-</v>
      </c>
      <c r="L277" s="1846" t="str">
        <f t="shared" si="198"/>
        <v>-</v>
      </c>
      <c r="M277" s="1846" t="str">
        <f t="shared" si="198"/>
        <v>-</v>
      </c>
      <c r="N277" s="1846" t="str">
        <f t="shared" si="198"/>
        <v>-</v>
      </c>
      <c r="O277" s="1846" t="str">
        <f t="shared" si="198"/>
        <v>-</v>
      </c>
      <c r="P277" s="1846" t="str">
        <f t="shared" si="198"/>
        <v>-</v>
      </c>
      <c r="Q277" s="1846" t="str">
        <f t="shared" si="198"/>
        <v>-</v>
      </c>
      <c r="R277" s="1433" t="str">
        <f t="shared" si="198"/>
        <v>-</v>
      </c>
      <c r="S277" s="1847" t="str">
        <f t="shared" si="198"/>
        <v>-</v>
      </c>
      <c r="T277" s="1843" t="str">
        <f t="shared" si="198"/>
        <v>-</v>
      </c>
      <c r="U277" s="1433" t="str">
        <f t="shared" si="198"/>
        <v>-</v>
      </c>
      <c r="V277" s="1842" t="str">
        <f t="shared" si="198"/>
        <v>-</v>
      </c>
      <c r="W277" s="1195"/>
      <c r="X277" s="266"/>
      <c r="AC277" s="266"/>
      <c r="AD277" s="266"/>
      <c r="AE277" s="266"/>
      <c r="AF277" s="266"/>
      <c r="AG277" s="266"/>
      <c r="AH277" s="266"/>
      <c r="AI277" s="266"/>
      <c r="AJ277" s="266"/>
      <c r="AK277" s="266"/>
      <c r="AL277" s="266"/>
      <c r="AM277" s="266"/>
      <c r="AN277" s="266"/>
      <c r="AO277" s="266"/>
      <c r="AP277" s="266"/>
      <c r="AQ277" s="266"/>
    </row>
    <row r="278" spans="1:43" s="558" customFormat="1" ht="12.75" thickBot="1">
      <c r="A278" s="520" t="s">
        <v>42</v>
      </c>
      <c r="B278" s="530" t="s">
        <v>1206</v>
      </c>
      <c r="C278" s="1850" t="str">
        <f t="shared" si="198"/>
        <v>-</v>
      </c>
      <c r="D278" s="1851" t="str">
        <f t="shared" si="198"/>
        <v>-</v>
      </c>
      <c r="E278" s="1851">
        <f t="shared" si="198"/>
        <v>1</v>
      </c>
      <c r="F278" s="1851" t="str">
        <f t="shared" si="198"/>
        <v>-</v>
      </c>
      <c r="G278" s="1851" t="str">
        <f t="shared" si="198"/>
        <v>-</v>
      </c>
      <c r="H278" s="1851">
        <f t="shared" si="198"/>
        <v>1</v>
      </c>
      <c r="I278" s="1852" t="str">
        <f t="shared" si="198"/>
        <v>-</v>
      </c>
      <c r="J278" s="1853">
        <f t="shared" si="198"/>
        <v>1</v>
      </c>
      <c r="K278" s="1850">
        <f t="shared" si="198"/>
        <v>1</v>
      </c>
      <c r="L278" s="1851">
        <f t="shared" si="198"/>
        <v>1</v>
      </c>
      <c r="M278" s="1851">
        <f t="shared" si="198"/>
        <v>0.99511360860004883</v>
      </c>
      <c r="N278" s="1851" t="str">
        <f t="shared" si="198"/>
        <v>-</v>
      </c>
      <c r="O278" s="1851">
        <f t="shared" si="198"/>
        <v>1</v>
      </c>
      <c r="P278" s="1851">
        <f t="shared" si="198"/>
        <v>1</v>
      </c>
      <c r="Q278" s="1851" t="str">
        <f t="shared" si="198"/>
        <v>-</v>
      </c>
      <c r="R278" s="1852" t="str">
        <f t="shared" si="198"/>
        <v>-</v>
      </c>
      <c r="S278" s="1853">
        <f t="shared" si="198"/>
        <v>0.99970937413720451</v>
      </c>
      <c r="T278" s="1850">
        <f t="shared" si="198"/>
        <v>0.99970387041369302</v>
      </c>
      <c r="U278" s="1852">
        <f t="shared" si="198"/>
        <v>1</v>
      </c>
      <c r="V278" s="1854">
        <f t="shared" si="198"/>
        <v>1.0269179004037685</v>
      </c>
      <c r="W278" s="1195"/>
      <c r="X278" s="266"/>
      <c r="AC278" s="266"/>
      <c r="AD278" s="266"/>
      <c r="AE278" s="266"/>
      <c r="AF278" s="266"/>
      <c r="AG278" s="266"/>
      <c r="AH278" s="266"/>
      <c r="AI278" s="266"/>
      <c r="AJ278" s="266"/>
      <c r="AK278" s="266"/>
      <c r="AL278" s="266"/>
      <c r="AM278" s="266"/>
      <c r="AN278" s="266"/>
      <c r="AO278" s="266"/>
      <c r="AP278" s="266"/>
      <c r="AQ278" s="266"/>
    </row>
    <row r="279" spans="1:43" s="198" customFormat="1" ht="12.75" thickBot="1">
      <c r="A279" s="542"/>
      <c r="B279" s="598"/>
      <c r="C279" s="587"/>
      <c r="D279" s="588"/>
      <c r="E279" s="588"/>
      <c r="F279" s="588"/>
      <c r="G279" s="588"/>
      <c r="H279" s="588"/>
      <c r="I279" s="589"/>
      <c r="J279" s="590"/>
      <c r="K279" s="599"/>
      <c r="L279" s="599"/>
      <c r="M279" s="599"/>
      <c r="N279" s="599"/>
      <c r="O279" s="599"/>
      <c r="P279" s="599"/>
      <c r="Q279" s="599"/>
      <c r="R279" s="599"/>
      <c r="S279" s="597"/>
      <c r="T279" s="594"/>
      <c r="U279" s="1034"/>
      <c r="V279" s="597"/>
      <c r="W279" s="1195"/>
      <c r="X279" s="266"/>
      <c r="AC279" s="199"/>
      <c r="AD279" s="199"/>
      <c r="AE279" s="199"/>
      <c r="AF279" s="199"/>
      <c r="AG279" s="199"/>
      <c r="AH279" s="199"/>
      <c r="AI279" s="199"/>
      <c r="AJ279" s="199"/>
      <c r="AK279" s="199"/>
      <c r="AL279" s="199"/>
      <c r="AM279" s="199"/>
      <c r="AN279" s="199"/>
      <c r="AO279" s="199"/>
      <c r="AP279" s="199"/>
      <c r="AQ279" s="199"/>
    </row>
    <row r="280" spans="1:43" s="558" customFormat="1" ht="12.75" thickBot="1">
      <c r="A280" s="581" t="s">
        <v>41</v>
      </c>
      <c r="B280" s="582" t="s">
        <v>826</v>
      </c>
      <c r="C280" s="1850">
        <f t="shared" ref="C280:V281" si="199">IF(ISERROR(C210/C140),"-",C210/C140)</f>
        <v>1</v>
      </c>
      <c r="D280" s="1851">
        <f t="shared" si="199"/>
        <v>0.73037566424687972</v>
      </c>
      <c r="E280" s="1851">
        <f t="shared" si="199"/>
        <v>0.908092738407699</v>
      </c>
      <c r="F280" s="1851">
        <f t="shared" si="199"/>
        <v>8.6448482447888303E-2</v>
      </c>
      <c r="G280" s="1851">
        <f t="shared" si="199"/>
        <v>1</v>
      </c>
      <c r="H280" s="1851">
        <f t="shared" si="199"/>
        <v>0.81850703553541615</v>
      </c>
      <c r="I280" s="1852">
        <f t="shared" si="199"/>
        <v>0.3030211480362538</v>
      </c>
      <c r="J280" s="1853">
        <f t="shared" si="199"/>
        <v>0.94743926568314984</v>
      </c>
      <c r="K280" s="1850">
        <f t="shared" si="199"/>
        <v>1</v>
      </c>
      <c r="L280" s="1851">
        <f t="shared" si="199"/>
        <v>0.99465834738181513</v>
      </c>
      <c r="M280" s="1851">
        <f t="shared" si="199"/>
        <v>0.92813647955413314</v>
      </c>
      <c r="N280" s="1851">
        <f t="shared" si="199"/>
        <v>0.96946238093539294</v>
      </c>
      <c r="O280" s="1851">
        <f t="shared" si="199"/>
        <v>2.1448033623835829E-2</v>
      </c>
      <c r="P280" s="1851">
        <f t="shared" si="199"/>
        <v>0.89875389701874531</v>
      </c>
      <c r="Q280" s="1851">
        <f t="shared" si="199"/>
        <v>1</v>
      </c>
      <c r="R280" s="1852">
        <f t="shared" si="199"/>
        <v>1</v>
      </c>
      <c r="S280" s="1853">
        <f t="shared" si="199"/>
        <v>0.43610793599238251</v>
      </c>
      <c r="T280" s="1850">
        <f t="shared" si="199"/>
        <v>-0.41950754325439271</v>
      </c>
      <c r="U280" s="1852">
        <f t="shared" si="199"/>
        <v>1</v>
      </c>
      <c r="V280" s="1854">
        <f t="shared" si="199"/>
        <v>132.10049691569569</v>
      </c>
      <c r="W280" s="1195"/>
      <c r="X280" s="266"/>
      <c r="AC280" s="266"/>
      <c r="AD280" s="266"/>
      <c r="AE280" s="266"/>
      <c r="AF280" s="266"/>
      <c r="AG280" s="266"/>
      <c r="AH280" s="266"/>
      <c r="AI280" s="266"/>
      <c r="AJ280" s="266"/>
      <c r="AK280" s="266"/>
      <c r="AL280" s="266"/>
      <c r="AM280" s="266"/>
      <c r="AN280" s="266"/>
      <c r="AO280" s="266"/>
      <c r="AP280" s="266"/>
      <c r="AQ280" s="266"/>
    </row>
    <row r="281" spans="1:43" s="558" customFormat="1" ht="12.75" thickBot="1">
      <c r="A281" s="611" t="s">
        <v>37</v>
      </c>
      <c r="B281" s="603" t="s">
        <v>827</v>
      </c>
      <c r="C281" s="604"/>
      <c r="D281" s="604"/>
      <c r="E281" s="604"/>
      <c r="F281" s="1851">
        <f t="shared" ref="C281:V282" si="200">IF(ISERROR(F211/F141),"-",F211/F141)</f>
        <v>1</v>
      </c>
      <c r="G281" s="604"/>
      <c r="H281" s="604"/>
      <c r="I281" s="1858">
        <f t="shared" si="200"/>
        <v>1</v>
      </c>
      <c r="J281" s="1854">
        <f t="shared" si="200"/>
        <v>1</v>
      </c>
      <c r="K281" s="604"/>
      <c r="L281" s="604"/>
      <c r="M281" s="604"/>
      <c r="N281" s="604"/>
      <c r="O281" s="1851">
        <f t="shared" si="200"/>
        <v>0.73265645849572603</v>
      </c>
      <c r="P281" s="604"/>
      <c r="Q281" s="604"/>
      <c r="R281" s="1858" t="str">
        <f t="shared" si="200"/>
        <v>-</v>
      </c>
      <c r="S281" s="1854">
        <f t="shared" si="200"/>
        <v>0.73265645849572603</v>
      </c>
      <c r="T281" s="1859">
        <f t="shared" si="200"/>
        <v>1.0187716318346394</v>
      </c>
      <c r="U281" s="1858">
        <f t="shared" si="200"/>
        <v>1</v>
      </c>
      <c r="V281" s="1854">
        <f t="shared" si="200"/>
        <v>-0.73367888965044548</v>
      </c>
      <c r="W281" s="1195"/>
      <c r="X281" s="266"/>
      <c r="AC281" s="266"/>
      <c r="AD281" s="266"/>
      <c r="AE281" s="266"/>
      <c r="AF281" s="266"/>
      <c r="AG281" s="266"/>
      <c r="AH281" s="266"/>
      <c r="AI281" s="266"/>
      <c r="AJ281" s="266"/>
      <c r="AK281" s="266"/>
      <c r="AL281" s="266"/>
      <c r="AM281" s="266"/>
      <c r="AN281" s="266"/>
      <c r="AO281" s="266"/>
      <c r="AP281" s="266"/>
      <c r="AQ281" s="266"/>
    </row>
    <row r="282" spans="1:43" s="198" customFormat="1" ht="12.75" thickBot="1">
      <c r="A282" s="581" t="s">
        <v>1264</v>
      </c>
      <c r="B282" s="582" t="s">
        <v>828</v>
      </c>
      <c r="C282" s="1850">
        <f t="shared" si="200"/>
        <v>1</v>
      </c>
      <c r="D282" s="1851">
        <f t="shared" si="200"/>
        <v>0.73037566424687972</v>
      </c>
      <c r="E282" s="1851">
        <f t="shared" si="200"/>
        <v>0.908092738407699</v>
      </c>
      <c r="F282" s="1851">
        <f t="shared" si="200"/>
        <v>0.92468272531707063</v>
      </c>
      <c r="G282" s="1851">
        <f t="shared" si="200"/>
        <v>1</v>
      </c>
      <c r="H282" s="1851">
        <f t="shared" si="200"/>
        <v>0.81850703553541615</v>
      </c>
      <c r="I282" s="1852">
        <f t="shared" si="200"/>
        <v>0.99629440847065776</v>
      </c>
      <c r="J282" s="1853">
        <f t="shared" si="200"/>
        <v>0.96794256447987859</v>
      </c>
      <c r="K282" s="1850">
        <f t="shared" si="200"/>
        <v>1</v>
      </c>
      <c r="L282" s="1851">
        <f t="shared" si="200"/>
        <v>0.99465834738181513</v>
      </c>
      <c r="M282" s="1851">
        <f t="shared" si="200"/>
        <v>0.92813647955413314</v>
      </c>
      <c r="N282" s="1851">
        <f t="shared" si="200"/>
        <v>0.96946238093539294</v>
      </c>
      <c r="O282" s="1851">
        <f t="shared" si="200"/>
        <v>5.3485844809188061E-2</v>
      </c>
      <c r="P282" s="1851">
        <f t="shared" si="200"/>
        <v>0.89875389701874531</v>
      </c>
      <c r="Q282" s="1851">
        <f t="shared" si="200"/>
        <v>1</v>
      </c>
      <c r="R282" s="1852">
        <f t="shared" si="200"/>
        <v>1</v>
      </c>
      <c r="S282" s="1853">
        <f t="shared" si="200"/>
        <v>0.44369754178651843</v>
      </c>
      <c r="T282" s="1850" t="str">
        <f t="shared" si="200"/>
        <v>-</v>
      </c>
      <c r="U282" s="1852" t="str">
        <f t="shared" si="200"/>
        <v>-</v>
      </c>
      <c r="V282" s="1854" t="str">
        <f t="shared" si="200"/>
        <v>-</v>
      </c>
      <c r="W282" s="1195"/>
      <c r="X282" s="266"/>
      <c r="AC282" s="199"/>
      <c r="AD282" s="199"/>
      <c r="AE282" s="199"/>
      <c r="AF282" s="199"/>
      <c r="AG282" s="199"/>
      <c r="AH282" s="199"/>
      <c r="AI282" s="199"/>
      <c r="AJ282" s="199"/>
      <c r="AK282" s="199"/>
      <c r="AL282" s="199"/>
      <c r="AM282" s="199"/>
      <c r="AN282" s="199"/>
      <c r="AO282" s="199"/>
      <c r="AP282" s="199"/>
      <c r="AQ282" s="199"/>
    </row>
    <row r="283" spans="1:43" s="558" customFormat="1">
      <c r="A283" s="612"/>
      <c r="B283" s="602"/>
      <c r="C283" s="602"/>
      <c r="D283" s="602"/>
      <c r="E283" s="602"/>
      <c r="F283" s="602"/>
      <c r="G283" s="602"/>
      <c r="H283" s="602"/>
      <c r="I283" s="602"/>
      <c r="J283" s="602"/>
      <c r="K283" s="602"/>
      <c r="L283" s="602"/>
      <c r="M283" s="602"/>
      <c r="N283" s="602"/>
      <c r="O283" s="602"/>
      <c r="P283" s="602"/>
      <c r="Q283" s="602"/>
      <c r="R283" s="602"/>
      <c r="S283" s="602"/>
      <c r="T283" s="602"/>
      <c r="U283" s="602"/>
      <c r="V283" s="602"/>
      <c r="W283" s="1195"/>
      <c r="AC283" s="266"/>
      <c r="AD283" s="266"/>
      <c r="AE283" s="266"/>
      <c r="AF283" s="266"/>
      <c r="AG283" s="266"/>
      <c r="AH283" s="266"/>
      <c r="AI283" s="266"/>
      <c r="AJ283" s="266"/>
      <c r="AK283" s="266"/>
      <c r="AL283" s="266"/>
      <c r="AM283" s="266"/>
      <c r="AN283" s="266"/>
      <c r="AO283" s="266"/>
      <c r="AP283" s="266"/>
      <c r="AQ283" s="266"/>
    </row>
    <row r="284" spans="1:43" hidden="1">
      <c r="J284" s="558">
        <f>+'1.mell._Össz_Mérleg2018'!F102</f>
        <v>0.96794256447987859</v>
      </c>
      <c r="S284" s="558">
        <f>+'1.mell._Össz_Mérleg2018'!F208</f>
        <v>0.44369754178651843</v>
      </c>
    </row>
    <row r="285" spans="1:43" hidden="1">
      <c r="J285" s="558">
        <f>+J282-J284</f>
        <v>0</v>
      </c>
      <c r="S285" s="558">
        <f>+S282-S284</f>
        <v>0</v>
      </c>
      <c r="U285" s="1037"/>
    </row>
  </sheetData>
  <mergeCells count="1">
    <mergeCell ref="B3:V3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5" orientation="landscape" r:id="rId1"/>
  <headerFooter>
    <oddHeader xml:space="preserve">&amp;C 14. melléklet - &amp;P. oldal
</oddHeader>
  </headerFooter>
  <rowBreaks count="3" manualBreakCount="3">
    <brk id="73" max="21" man="1"/>
    <brk id="143" max="21" man="1"/>
    <brk id="213" max="21" man="1"/>
  </rowBreaks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00B0F0"/>
  </sheetPr>
  <dimension ref="A1:H273"/>
  <sheetViews>
    <sheetView zoomScaleNormal="100" zoomScaleSheetLayoutView="85" workbookViewId="0">
      <pane ySplit="5" topLeftCell="A6" activePane="bottomLeft" state="frozen"/>
      <selection activeCell="C11" sqref="C11"/>
      <selection pane="bottomLeft" activeCell="A6" sqref="A6"/>
    </sheetView>
  </sheetViews>
  <sheetFormatPr defaultRowHeight="12"/>
  <cols>
    <col min="1" max="1" width="8.85546875" style="943" customWidth="1"/>
    <col min="2" max="2" width="92.140625" style="943" bestFit="1" customWidth="1"/>
    <col min="3" max="5" width="19.140625" style="943" customWidth="1"/>
    <col min="6" max="6" width="9.140625" style="943"/>
    <col min="7" max="8" width="0" style="943" hidden="1" customWidth="1"/>
    <col min="9" max="247" width="9.140625" style="943"/>
    <col min="248" max="248" width="8.85546875" style="943" customWidth="1"/>
    <col min="249" max="249" width="92.140625" style="943" bestFit="1" customWidth="1"/>
    <col min="250" max="252" width="19.140625" style="943" customWidth="1"/>
    <col min="253" max="503" width="9.140625" style="943"/>
    <col min="504" max="504" width="8.85546875" style="943" customWidth="1"/>
    <col min="505" max="505" width="92.140625" style="943" bestFit="1" customWidth="1"/>
    <col min="506" max="508" width="19.140625" style="943" customWidth="1"/>
    <col min="509" max="759" width="9.140625" style="943"/>
    <col min="760" max="760" width="8.85546875" style="943" customWidth="1"/>
    <col min="761" max="761" width="92.140625" style="943" bestFit="1" customWidth="1"/>
    <col min="762" max="764" width="19.140625" style="943" customWidth="1"/>
    <col min="765" max="1015" width="9.140625" style="943"/>
    <col min="1016" max="1016" width="8.85546875" style="943" customWidth="1"/>
    <col min="1017" max="1017" width="92.140625" style="943" bestFit="1" customWidth="1"/>
    <col min="1018" max="1020" width="19.140625" style="943" customWidth="1"/>
    <col min="1021" max="1271" width="9.140625" style="943"/>
    <col min="1272" max="1272" width="8.85546875" style="943" customWidth="1"/>
    <col min="1273" max="1273" width="92.140625" style="943" bestFit="1" customWidth="1"/>
    <col min="1274" max="1276" width="19.140625" style="943" customWidth="1"/>
    <col min="1277" max="1527" width="9.140625" style="943"/>
    <col min="1528" max="1528" width="8.85546875" style="943" customWidth="1"/>
    <col min="1529" max="1529" width="92.140625" style="943" bestFit="1" customWidth="1"/>
    <col min="1530" max="1532" width="19.140625" style="943" customWidth="1"/>
    <col min="1533" max="1783" width="9.140625" style="943"/>
    <col min="1784" max="1784" width="8.85546875" style="943" customWidth="1"/>
    <col min="1785" max="1785" width="92.140625" style="943" bestFit="1" customWidth="1"/>
    <col min="1786" max="1788" width="19.140625" style="943" customWidth="1"/>
    <col min="1789" max="2039" width="9.140625" style="943"/>
    <col min="2040" max="2040" width="8.85546875" style="943" customWidth="1"/>
    <col min="2041" max="2041" width="92.140625" style="943" bestFit="1" customWidth="1"/>
    <col min="2042" max="2044" width="19.140625" style="943" customWidth="1"/>
    <col min="2045" max="2295" width="9.140625" style="943"/>
    <col min="2296" max="2296" width="8.85546875" style="943" customWidth="1"/>
    <col min="2297" max="2297" width="92.140625" style="943" bestFit="1" customWidth="1"/>
    <col min="2298" max="2300" width="19.140625" style="943" customWidth="1"/>
    <col min="2301" max="2551" width="9.140625" style="943"/>
    <col min="2552" max="2552" width="8.85546875" style="943" customWidth="1"/>
    <col min="2553" max="2553" width="92.140625" style="943" bestFit="1" customWidth="1"/>
    <col min="2554" max="2556" width="19.140625" style="943" customWidth="1"/>
    <col min="2557" max="2807" width="9.140625" style="943"/>
    <col min="2808" max="2808" width="8.85546875" style="943" customWidth="1"/>
    <col min="2809" max="2809" width="92.140625" style="943" bestFit="1" customWidth="1"/>
    <col min="2810" max="2812" width="19.140625" style="943" customWidth="1"/>
    <col min="2813" max="3063" width="9.140625" style="943"/>
    <col min="3064" max="3064" width="8.85546875" style="943" customWidth="1"/>
    <col min="3065" max="3065" width="92.140625" style="943" bestFit="1" customWidth="1"/>
    <col min="3066" max="3068" width="19.140625" style="943" customWidth="1"/>
    <col min="3069" max="3319" width="9.140625" style="943"/>
    <col min="3320" max="3320" width="8.85546875" style="943" customWidth="1"/>
    <col min="3321" max="3321" width="92.140625" style="943" bestFit="1" customWidth="1"/>
    <col min="3322" max="3324" width="19.140625" style="943" customWidth="1"/>
    <col min="3325" max="3575" width="9.140625" style="943"/>
    <col min="3576" max="3576" width="8.85546875" style="943" customWidth="1"/>
    <col min="3577" max="3577" width="92.140625" style="943" bestFit="1" customWidth="1"/>
    <col min="3578" max="3580" width="19.140625" style="943" customWidth="1"/>
    <col min="3581" max="3831" width="9.140625" style="943"/>
    <col min="3832" max="3832" width="8.85546875" style="943" customWidth="1"/>
    <col min="3833" max="3833" width="92.140625" style="943" bestFit="1" customWidth="1"/>
    <col min="3834" max="3836" width="19.140625" style="943" customWidth="1"/>
    <col min="3837" max="4087" width="9.140625" style="943"/>
    <col min="4088" max="4088" width="8.85546875" style="943" customWidth="1"/>
    <col min="4089" max="4089" width="92.140625" style="943" bestFit="1" customWidth="1"/>
    <col min="4090" max="4092" width="19.140625" style="943" customWidth="1"/>
    <col min="4093" max="4343" width="9.140625" style="943"/>
    <col min="4344" max="4344" width="8.85546875" style="943" customWidth="1"/>
    <col min="4345" max="4345" width="92.140625" style="943" bestFit="1" customWidth="1"/>
    <col min="4346" max="4348" width="19.140625" style="943" customWidth="1"/>
    <col min="4349" max="4599" width="9.140625" style="943"/>
    <col min="4600" max="4600" width="8.85546875" style="943" customWidth="1"/>
    <col min="4601" max="4601" width="92.140625" style="943" bestFit="1" customWidth="1"/>
    <col min="4602" max="4604" width="19.140625" style="943" customWidth="1"/>
    <col min="4605" max="4855" width="9.140625" style="943"/>
    <col min="4856" max="4856" width="8.85546875" style="943" customWidth="1"/>
    <col min="4857" max="4857" width="92.140625" style="943" bestFit="1" customWidth="1"/>
    <col min="4858" max="4860" width="19.140625" style="943" customWidth="1"/>
    <col min="4861" max="5111" width="9.140625" style="943"/>
    <col min="5112" max="5112" width="8.85546875" style="943" customWidth="1"/>
    <col min="5113" max="5113" width="92.140625" style="943" bestFit="1" customWidth="1"/>
    <col min="5114" max="5116" width="19.140625" style="943" customWidth="1"/>
    <col min="5117" max="5367" width="9.140625" style="943"/>
    <col min="5368" max="5368" width="8.85546875" style="943" customWidth="1"/>
    <col min="5369" max="5369" width="92.140625" style="943" bestFit="1" customWidth="1"/>
    <col min="5370" max="5372" width="19.140625" style="943" customWidth="1"/>
    <col min="5373" max="5623" width="9.140625" style="943"/>
    <col min="5624" max="5624" width="8.85546875" style="943" customWidth="1"/>
    <col min="5625" max="5625" width="92.140625" style="943" bestFit="1" customWidth="1"/>
    <col min="5626" max="5628" width="19.140625" style="943" customWidth="1"/>
    <col min="5629" max="5879" width="9.140625" style="943"/>
    <col min="5880" max="5880" width="8.85546875" style="943" customWidth="1"/>
    <col min="5881" max="5881" width="92.140625" style="943" bestFit="1" customWidth="1"/>
    <col min="5882" max="5884" width="19.140625" style="943" customWidth="1"/>
    <col min="5885" max="6135" width="9.140625" style="943"/>
    <col min="6136" max="6136" width="8.85546875" style="943" customWidth="1"/>
    <col min="6137" max="6137" width="92.140625" style="943" bestFit="1" customWidth="1"/>
    <col min="6138" max="6140" width="19.140625" style="943" customWidth="1"/>
    <col min="6141" max="6391" width="9.140625" style="943"/>
    <col min="6392" max="6392" width="8.85546875" style="943" customWidth="1"/>
    <col min="6393" max="6393" width="92.140625" style="943" bestFit="1" customWidth="1"/>
    <col min="6394" max="6396" width="19.140625" style="943" customWidth="1"/>
    <col min="6397" max="6647" width="9.140625" style="943"/>
    <col min="6648" max="6648" width="8.85546875" style="943" customWidth="1"/>
    <col min="6649" max="6649" width="92.140625" style="943" bestFit="1" customWidth="1"/>
    <col min="6650" max="6652" width="19.140625" style="943" customWidth="1"/>
    <col min="6653" max="6903" width="9.140625" style="943"/>
    <col min="6904" max="6904" width="8.85546875" style="943" customWidth="1"/>
    <col min="6905" max="6905" width="92.140625" style="943" bestFit="1" customWidth="1"/>
    <col min="6906" max="6908" width="19.140625" style="943" customWidth="1"/>
    <col min="6909" max="7159" width="9.140625" style="943"/>
    <col min="7160" max="7160" width="8.85546875" style="943" customWidth="1"/>
    <col min="7161" max="7161" width="92.140625" style="943" bestFit="1" customWidth="1"/>
    <col min="7162" max="7164" width="19.140625" style="943" customWidth="1"/>
    <col min="7165" max="7415" width="9.140625" style="943"/>
    <col min="7416" max="7416" width="8.85546875" style="943" customWidth="1"/>
    <col min="7417" max="7417" width="92.140625" style="943" bestFit="1" customWidth="1"/>
    <col min="7418" max="7420" width="19.140625" style="943" customWidth="1"/>
    <col min="7421" max="7671" width="9.140625" style="943"/>
    <col min="7672" max="7672" width="8.85546875" style="943" customWidth="1"/>
    <col min="7673" max="7673" width="92.140625" style="943" bestFit="1" customWidth="1"/>
    <col min="7674" max="7676" width="19.140625" style="943" customWidth="1"/>
    <col min="7677" max="7927" width="9.140625" style="943"/>
    <col min="7928" max="7928" width="8.85546875" style="943" customWidth="1"/>
    <col min="7929" max="7929" width="92.140625" style="943" bestFit="1" customWidth="1"/>
    <col min="7930" max="7932" width="19.140625" style="943" customWidth="1"/>
    <col min="7933" max="8183" width="9.140625" style="943"/>
    <col min="8184" max="8184" width="8.85546875" style="943" customWidth="1"/>
    <col min="8185" max="8185" width="92.140625" style="943" bestFit="1" customWidth="1"/>
    <col min="8186" max="8188" width="19.140625" style="943" customWidth="1"/>
    <col min="8189" max="8439" width="9.140625" style="943"/>
    <col min="8440" max="8440" width="8.85546875" style="943" customWidth="1"/>
    <col min="8441" max="8441" width="92.140625" style="943" bestFit="1" customWidth="1"/>
    <col min="8442" max="8444" width="19.140625" style="943" customWidth="1"/>
    <col min="8445" max="8695" width="9.140625" style="943"/>
    <col min="8696" max="8696" width="8.85546875" style="943" customWidth="1"/>
    <col min="8697" max="8697" width="92.140625" style="943" bestFit="1" customWidth="1"/>
    <col min="8698" max="8700" width="19.140625" style="943" customWidth="1"/>
    <col min="8701" max="8951" width="9.140625" style="943"/>
    <col min="8952" max="8952" width="8.85546875" style="943" customWidth="1"/>
    <col min="8953" max="8953" width="92.140625" style="943" bestFit="1" customWidth="1"/>
    <col min="8954" max="8956" width="19.140625" style="943" customWidth="1"/>
    <col min="8957" max="9207" width="9.140625" style="943"/>
    <col min="9208" max="9208" width="8.85546875" style="943" customWidth="1"/>
    <col min="9209" max="9209" width="92.140625" style="943" bestFit="1" customWidth="1"/>
    <col min="9210" max="9212" width="19.140625" style="943" customWidth="1"/>
    <col min="9213" max="9463" width="9.140625" style="943"/>
    <col min="9464" max="9464" width="8.85546875" style="943" customWidth="1"/>
    <col min="9465" max="9465" width="92.140625" style="943" bestFit="1" customWidth="1"/>
    <col min="9466" max="9468" width="19.140625" style="943" customWidth="1"/>
    <col min="9469" max="9719" width="9.140625" style="943"/>
    <col min="9720" max="9720" width="8.85546875" style="943" customWidth="1"/>
    <col min="9721" max="9721" width="92.140625" style="943" bestFit="1" customWidth="1"/>
    <col min="9722" max="9724" width="19.140625" style="943" customWidth="1"/>
    <col min="9725" max="9975" width="9.140625" style="943"/>
    <col min="9976" max="9976" width="8.85546875" style="943" customWidth="1"/>
    <col min="9977" max="9977" width="92.140625" style="943" bestFit="1" customWidth="1"/>
    <col min="9978" max="9980" width="19.140625" style="943" customWidth="1"/>
    <col min="9981" max="10231" width="9.140625" style="943"/>
    <col min="10232" max="10232" width="8.85546875" style="943" customWidth="1"/>
    <col min="10233" max="10233" width="92.140625" style="943" bestFit="1" customWidth="1"/>
    <col min="10234" max="10236" width="19.140625" style="943" customWidth="1"/>
    <col min="10237" max="10487" width="9.140625" style="943"/>
    <col min="10488" max="10488" width="8.85546875" style="943" customWidth="1"/>
    <col min="10489" max="10489" width="92.140625" style="943" bestFit="1" customWidth="1"/>
    <col min="10490" max="10492" width="19.140625" style="943" customWidth="1"/>
    <col min="10493" max="10743" width="9.140625" style="943"/>
    <col min="10744" max="10744" width="8.85546875" style="943" customWidth="1"/>
    <col min="10745" max="10745" width="92.140625" style="943" bestFit="1" customWidth="1"/>
    <col min="10746" max="10748" width="19.140625" style="943" customWidth="1"/>
    <col min="10749" max="10999" width="9.140625" style="943"/>
    <col min="11000" max="11000" width="8.85546875" style="943" customWidth="1"/>
    <col min="11001" max="11001" width="92.140625" style="943" bestFit="1" customWidth="1"/>
    <col min="11002" max="11004" width="19.140625" style="943" customWidth="1"/>
    <col min="11005" max="11255" width="9.140625" style="943"/>
    <col min="11256" max="11256" width="8.85546875" style="943" customWidth="1"/>
    <col min="11257" max="11257" width="92.140625" style="943" bestFit="1" customWidth="1"/>
    <col min="11258" max="11260" width="19.140625" style="943" customWidth="1"/>
    <col min="11261" max="11511" width="9.140625" style="943"/>
    <col min="11512" max="11512" width="8.85546875" style="943" customWidth="1"/>
    <col min="11513" max="11513" width="92.140625" style="943" bestFit="1" customWidth="1"/>
    <col min="11514" max="11516" width="19.140625" style="943" customWidth="1"/>
    <col min="11517" max="11767" width="9.140625" style="943"/>
    <col min="11768" max="11768" width="8.85546875" style="943" customWidth="1"/>
    <col min="11769" max="11769" width="92.140625" style="943" bestFit="1" customWidth="1"/>
    <col min="11770" max="11772" width="19.140625" style="943" customWidth="1"/>
    <col min="11773" max="12023" width="9.140625" style="943"/>
    <col min="12024" max="12024" width="8.85546875" style="943" customWidth="1"/>
    <col min="12025" max="12025" width="92.140625" style="943" bestFit="1" customWidth="1"/>
    <col min="12026" max="12028" width="19.140625" style="943" customWidth="1"/>
    <col min="12029" max="12279" width="9.140625" style="943"/>
    <col min="12280" max="12280" width="8.85546875" style="943" customWidth="1"/>
    <col min="12281" max="12281" width="92.140625" style="943" bestFit="1" customWidth="1"/>
    <col min="12282" max="12284" width="19.140625" style="943" customWidth="1"/>
    <col min="12285" max="12535" width="9.140625" style="943"/>
    <col min="12536" max="12536" width="8.85546875" style="943" customWidth="1"/>
    <col min="12537" max="12537" width="92.140625" style="943" bestFit="1" customWidth="1"/>
    <col min="12538" max="12540" width="19.140625" style="943" customWidth="1"/>
    <col min="12541" max="12791" width="9.140625" style="943"/>
    <col min="12792" max="12792" width="8.85546875" style="943" customWidth="1"/>
    <col min="12793" max="12793" width="92.140625" style="943" bestFit="1" customWidth="1"/>
    <col min="12794" max="12796" width="19.140625" style="943" customWidth="1"/>
    <col min="12797" max="13047" width="9.140625" style="943"/>
    <col min="13048" max="13048" width="8.85546875" style="943" customWidth="1"/>
    <col min="13049" max="13049" width="92.140625" style="943" bestFit="1" customWidth="1"/>
    <col min="13050" max="13052" width="19.140625" style="943" customWidth="1"/>
    <col min="13053" max="13303" width="9.140625" style="943"/>
    <col min="13304" max="13304" width="8.85546875" style="943" customWidth="1"/>
    <col min="13305" max="13305" width="92.140625" style="943" bestFit="1" customWidth="1"/>
    <col min="13306" max="13308" width="19.140625" style="943" customWidth="1"/>
    <col min="13309" max="13559" width="9.140625" style="943"/>
    <col min="13560" max="13560" width="8.85546875" style="943" customWidth="1"/>
    <col min="13561" max="13561" width="92.140625" style="943" bestFit="1" customWidth="1"/>
    <col min="13562" max="13564" width="19.140625" style="943" customWidth="1"/>
    <col min="13565" max="13815" width="9.140625" style="943"/>
    <col min="13816" max="13816" width="8.85546875" style="943" customWidth="1"/>
    <col min="13817" max="13817" width="92.140625" style="943" bestFit="1" customWidth="1"/>
    <col min="13818" max="13820" width="19.140625" style="943" customWidth="1"/>
    <col min="13821" max="14071" width="9.140625" style="943"/>
    <col min="14072" max="14072" width="8.85546875" style="943" customWidth="1"/>
    <col min="14073" max="14073" width="92.140625" style="943" bestFit="1" customWidth="1"/>
    <col min="14074" max="14076" width="19.140625" style="943" customWidth="1"/>
    <col min="14077" max="14327" width="9.140625" style="943"/>
    <col min="14328" max="14328" width="8.85546875" style="943" customWidth="1"/>
    <col min="14329" max="14329" width="92.140625" style="943" bestFit="1" customWidth="1"/>
    <col min="14330" max="14332" width="19.140625" style="943" customWidth="1"/>
    <col min="14333" max="14583" width="9.140625" style="943"/>
    <col min="14584" max="14584" width="8.85546875" style="943" customWidth="1"/>
    <col min="14585" max="14585" width="92.140625" style="943" bestFit="1" customWidth="1"/>
    <col min="14586" max="14588" width="19.140625" style="943" customWidth="1"/>
    <col min="14589" max="14839" width="9.140625" style="943"/>
    <col min="14840" max="14840" width="8.85546875" style="943" customWidth="1"/>
    <col min="14841" max="14841" width="92.140625" style="943" bestFit="1" customWidth="1"/>
    <col min="14842" max="14844" width="19.140625" style="943" customWidth="1"/>
    <col min="14845" max="15095" width="9.140625" style="943"/>
    <col min="15096" max="15096" width="8.85546875" style="943" customWidth="1"/>
    <col min="15097" max="15097" width="92.140625" style="943" bestFit="1" customWidth="1"/>
    <col min="15098" max="15100" width="19.140625" style="943" customWidth="1"/>
    <col min="15101" max="15351" width="9.140625" style="943"/>
    <col min="15352" max="15352" width="8.85546875" style="943" customWidth="1"/>
    <col min="15353" max="15353" width="92.140625" style="943" bestFit="1" customWidth="1"/>
    <col min="15354" max="15356" width="19.140625" style="943" customWidth="1"/>
    <col min="15357" max="15607" width="9.140625" style="943"/>
    <col min="15608" max="15608" width="8.85546875" style="943" customWidth="1"/>
    <col min="15609" max="15609" width="92.140625" style="943" bestFit="1" customWidth="1"/>
    <col min="15610" max="15612" width="19.140625" style="943" customWidth="1"/>
    <col min="15613" max="15863" width="9.140625" style="943"/>
    <col min="15864" max="15864" width="8.85546875" style="943" customWidth="1"/>
    <col min="15865" max="15865" width="92.140625" style="943" bestFit="1" customWidth="1"/>
    <col min="15866" max="15868" width="19.140625" style="943" customWidth="1"/>
    <col min="15869" max="16119" width="9.140625" style="943"/>
    <col min="16120" max="16120" width="8.85546875" style="943" customWidth="1"/>
    <col min="16121" max="16121" width="92.140625" style="943" bestFit="1" customWidth="1"/>
    <col min="16122" max="16124" width="19.140625" style="943" customWidth="1"/>
    <col min="16125" max="16384" width="9.140625" style="943"/>
  </cols>
  <sheetData>
    <row r="1" spans="1:5" ht="15.75">
      <c r="E1" s="192" t="s">
        <v>838</v>
      </c>
    </row>
    <row r="2" spans="1:5" s="1510" customFormat="1" ht="15.75">
      <c r="A2" s="1508" t="s">
        <v>1503</v>
      </c>
      <c r="B2" s="1509"/>
      <c r="C2" s="1509"/>
      <c r="D2" s="1509"/>
      <c r="E2" s="1509"/>
    </row>
    <row r="3" spans="1:5" s="1512" customFormat="1" ht="12.75" thickBot="1">
      <c r="A3" s="1511"/>
      <c r="E3" s="242" t="s">
        <v>458</v>
      </c>
    </row>
    <row r="4" spans="1:5" s="1516" customFormat="1" ht="24">
      <c r="A4" s="1513" t="s">
        <v>1557</v>
      </c>
      <c r="B4" s="1514" t="s">
        <v>7</v>
      </c>
      <c r="C4" s="1514" t="s">
        <v>1558</v>
      </c>
      <c r="D4" s="1514" t="s">
        <v>1559</v>
      </c>
      <c r="E4" s="1515" t="s">
        <v>1560</v>
      </c>
    </row>
    <row r="5" spans="1:5" ht="12.75" thickBot="1">
      <c r="A5" s="1517">
        <v>2</v>
      </c>
      <c r="B5" s="1518">
        <v>3</v>
      </c>
      <c r="C5" s="1518">
        <v>4</v>
      </c>
      <c r="D5" s="1518">
        <v>5</v>
      </c>
      <c r="E5" s="1519">
        <v>6</v>
      </c>
    </row>
    <row r="6" spans="1:5">
      <c r="A6" s="1520" t="s">
        <v>1561</v>
      </c>
      <c r="B6" s="1521" t="s">
        <v>1562</v>
      </c>
      <c r="C6" s="1522">
        <v>708955</v>
      </c>
      <c r="D6" s="1522"/>
      <c r="E6" s="1523">
        <f>+C6+D6</f>
        <v>708955</v>
      </c>
    </row>
    <row r="7" spans="1:5">
      <c r="A7" s="1524" t="s">
        <v>1563</v>
      </c>
      <c r="B7" s="1525" t="s">
        <v>1564</v>
      </c>
      <c r="C7" s="1526"/>
      <c r="D7" s="1526"/>
      <c r="E7" s="1527">
        <f t="shared" ref="E7:E19" si="0">+C7+D7</f>
        <v>0</v>
      </c>
    </row>
    <row r="8" spans="1:5">
      <c r="A8" s="1524" t="s">
        <v>1565</v>
      </c>
      <c r="B8" s="1525" t="s">
        <v>1566</v>
      </c>
      <c r="C8" s="1526">
        <v>1455</v>
      </c>
      <c r="D8" s="1526"/>
      <c r="E8" s="1527">
        <f t="shared" si="0"/>
        <v>1455</v>
      </c>
    </row>
    <row r="9" spans="1:5">
      <c r="A9" s="1524" t="s">
        <v>1567</v>
      </c>
      <c r="B9" s="1525" t="s">
        <v>1568</v>
      </c>
      <c r="C9" s="1526">
        <v>2692</v>
      </c>
      <c r="D9" s="1526"/>
      <c r="E9" s="1527">
        <f t="shared" si="0"/>
        <v>2692</v>
      </c>
    </row>
    <row r="10" spans="1:5">
      <c r="A10" s="1524" t="s">
        <v>1569</v>
      </c>
      <c r="B10" s="1525" t="s">
        <v>1570</v>
      </c>
      <c r="C10" s="1526"/>
      <c r="D10" s="1526"/>
      <c r="E10" s="1527">
        <f t="shared" si="0"/>
        <v>0</v>
      </c>
    </row>
    <row r="11" spans="1:5">
      <c r="A11" s="1524" t="s">
        <v>1571</v>
      </c>
      <c r="B11" s="1525" t="s">
        <v>1572</v>
      </c>
      <c r="C11" s="1526">
        <v>3245</v>
      </c>
      <c r="D11" s="1526"/>
      <c r="E11" s="1527">
        <f t="shared" si="0"/>
        <v>3245</v>
      </c>
    </row>
    <row r="12" spans="1:5">
      <c r="A12" s="1524" t="s">
        <v>1573</v>
      </c>
      <c r="B12" s="1525" t="s">
        <v>1574</v>
      </c>
      <c r="C12" s="1526">
        <v>12807</v>
      </c>
      <c r="D12" s="1526"/>
      <c r="E12" s="1527">
        <f t="shared" si="0"/>
        <v>12807</v>
      </c>
    </row>
    <row r="13" spans="1:5">
      <c r="A13" s="1524" t="s">
        <v>1575</v>
      </c>
      <c r="B13" s="1525" t="s">
        <v>1576</v>
      </c>
      <c r="C13" s="1526"/>
      <c r="D13" s="1526"/>
      <c r="E13" s="1527">
        <f t="shared" si="0"/>
        <v>0</v>
      </c>
    </row>
    <row r="14" spans="1:5">
      <c r="A14" s="1524" t="s">
        <v>1577</v>
      </c>
      <c r="B14" s="1525" t="s">
        <v>1578</v>
      </c>
      <c r="C14" s="1526">
        <v>7318</v>
      </c>
      <c r="D14" s="1526"/>
      <c r="E14" s="1527">
        <f t="shared" si="0"/>
        <v>7318</v>
      </c>
    </row>
    <row r="15" spans="1:5">
      <c r="A15" s="1524" t="s">
        <v>1579</v>
      </c>
      <c r="B15" s="1525" t="s">
        <v>1580</v>
      </c>
      <c r="C15" s="1526"/>
      <c r="D15" s="1526"/>
      <c r="E15" s="1527">
        <f t="shared" si="0"/>
        <v>0</v>
      </c>
    </row>
    <row r="16" spans="1:5">
      <c r="A16" s="1524" t="s">
        <v>1581</v>
      </c>
      <c r="B16" s="1525" t="s">
        <v>1582</v>
      </c>
      <c r="C16" s="1526"/>
      <c r="D16" s="1526"/>
      <c r="E16" s="1527">
        <f t="shared" si="0"/>
        <v>0</v>
      </c>
    </row>
    <row r="17" spans="1:8">
      <c r="A17" s="1524" t="s">
        <v>1583</v>
      </c>
      <c r="B17" s="1525" t="s">
        <v>1584</v>
      </c>
      <c r="C17" s="1526"/>
      <c r="D17" s="1526"/>
      <c r="E17" s="1527">
        <f t="shared" si="0"/>
        <v>0</v>
      </c>
    </row>
    <row r="18" spans="1:8">
      <c r="A18" s="1524" t="s">
        <v>1585</v>
      </c>
      <c r="B18" s="1525" t="s">
        <v>1586</v>
      </c>
      <c r="C18" s="1526">
        <v>10087</v>
      </c>
      <c r="D18" s="1526"/>
      <c r="E18" s="1527">
        <f t="shared" si="0"/>
        <v>10087</v>
      </c>
    </row>
    <row r="19" spans="1:8" ht="12.75" thickBot="1">
      <c r="A19" s="1517" t="s">
        <v>1587</v>
      </c>
      <c r="B19" s="1528" t="s">
        <v>1588</v>
      </c>
      <c r="C19" s="1529"/>
      <c r="D19" s="1529"/>
      <c r="E19" s="1530">
        <f t="shared" si="0"/>
        <v>0</v>
      </c>
    </row>
    <row r="20" spans="1:8" ht="12.75" thickBot="1">
      <c r="A20" s="1531" t="s">
        <v>1589</v>
      </c>
      <c r="B20" s="1532" t="s">
        <v>1590</v>
      </c>
      <c r="C20" s="1533">
        <f>SUM(C6:C18)</f>
        <v>746559</v>
      </c>
      <c r="D20" s="1533">
        <f>SUM(D6:D18)</f>
        <v>0</v>
      </c>
      <c r="E20" s="1534">
        <f>SUM(E6:E18)</f>
        <v>746559</v>
      </c>
      <c r="G20" s="118">
        <f>+'1.mell._Össz_Mérleg2018'!E112</f>
        <v>746559</v>
      </c>
      <c r="H20" s="118">
        <f t="shared" ref="H20" si="1">+G20-E20</f>
        <v>0</v>
      </c>
    </row>
    <row r="21" spans="1:8">
      <c r="A21" s="1535" t="s">
        <v>1591</v>
      </c>
      <c r="B21" s="1536" t="s">
        <v>1592</v>
      </c>
      <c r="C21" s="1537">
        <v>32144</v>
      </c>
      <c r="D21" s="1537"/>
      <c r="E21" s="1538">
        <f>+C21+D21</f>
        <v>32144</v>
      </c>
    </row>
    <row r="22" spans="1:8">
      <c r="A22" s="1524" t="s">
        <v>1593</v>
      </c>
      <c r="B22" s="1525" t="s">
        <v>1594</v>
      </c>
      <c r="C22" s="1526">
        <v>53763</v>
      </c>
      <c r="D22" s="1526"/>
      <c r="E22" s="1527">
        <f>+C22+D22</f>
        <v>53763</v>
      </c>
    </row>
    <row r="23" spans="1:8" ht="12.75" thickBot="1">
      <c r="A23" s="1517" t="s">
        <v>1595</v>
      </c>
      <c r="B23" s="1528" t="s">
        <v>1596</v>
      </c>
      <c r="C23" s="1529">
        <v>6592</v>
      </c>
      <c r="D23" s="1529"/>
      <c r="E23" s="1530">
        <f>+C23+D23</f>
        <v>6592</v>
      </c>
    </row>
    <row r="24" spans="1:8" ht="12.75" thickBot="1">
      <c r="A24" s="1531" t="s">
        <v>1597</v>
      </c>
      <c r="B24" s="1532" t="s">
        <v>1598</v>
      </c>
      <c r="C24" s="1533">
        <f>SUM(C21:C23)</f>
        <v>92499</v>
      </c>
      <c r="D24" s="1533">
        <f>SUM(D21:D23)</f>
        <v>0</v>
      </c>
      <c r="E24" s="1534">
        <f>SUM(E21:E23)</f>
        <v>92499</v>
      </c>
      <c r="G24" s="118">
        <f>+'1.mell._Össz_Mérleg2018'!E113</f>
        <v>92499</v>
      </c>
      <c r="H24" s="118">
        <f t="shared" ref="H24" si="2">+G24-E24</f>
        <v>0</v>
      </c>
    </row>
    <row r="25" spans="1:8" ht="12.75" thickBot="1">
      <c r="A25" s="1539" t="s">
        <v>1599</v>
      </c>
      <c r="B25" s="1540" t="s">
        <v>1600</v>
      </c>
      <c r="C25" s="1541">
        <f>+C20+C24</f>
        <v>839058</v>
      </c>
      <c r="D25" s="1541">
        <f>+D20+D24</f>
        <v>0</v>
      </c>
      <c r="E25" s="1542">
        <f>+E20+E24</f>
        <v>839058</v>
      </c>
    </row>
    <row r="26" spans="1:8" ht="24.75" thickBot="1">
      <c r="A26" s="1531" t="s">
        <v>1601</v>
      </c>
      <c r="B26" s="1532" t="s">
        <v>2586</v>
      </c>
      <c r="C26" s="1533">
        <f>SUM(C27:C32)</f>
        <v>153994</v>
      </c>
      <c r="D26" s="1533">
        <f>SUM(D27:D32)</f>
        <v>0</v>
      </c>
      <c r="E26" s="1534">
        <f>SUM(E27:E32)</f>
        <v>153994</v>
      </c>
      <c r="G26" s="118">
        <f>+'1.mell._Össz_Mérleg2018'!E114</f>
        <v>153994</v>
      </c>
      <c r="H26" s="118">
        <f t="shared" ref="H26" si="3">+G26-E26</f>
        <v>0</v>
      </c>
    </row>
    <row r="27" spans="1:8">
      <c r="A27" s="1535" t="s">
        <v>1602</v>
      </c>
      <c r="B27" s="1536" t="s">
        <v>1603</v>
      </c>
      <c r="C27" s="1537">
        <v>141676</v>
      </c>
      <c r="D27" s="1537"/>
      <c r="E27" s="1538">
        <f t="shared" ref="E27:E35" si="4">+C27+D27</f>
        <v>141676</v>
      </c>
    </row>
    <row r="28" spans="1:8">
      <c r="A28" s="1524" t="s">
        <v>1604</v>
      </c>
      <c r="B28" s="1525" t="s">
        <v>1605</v>
      </c>
      <c r="C28" s="1526">
        <v>7426</v>
      </c>
      <c r="D28" s="1526"/>
      <c r="E28" s="1527">
        <f t="shared" si="4"/>
        <v>7426</v>
      </c>
    </row>
    <row r="29" spans="1:8">
      <c r="A29" s="1524" t="s">
        <v>1606</v>
      </c>
      <c r="B29" s="1525" t="s">
        <v>1608</v>
      </c>
      <c r="C29" s="1526">
        <v>1889</v>
      </c>
      <c r="D29" s="1526"/>
      <c r="E29" s="1527">
        <f t="shared" si="4"/>
        <v>1889</v>
      </c>
    </row>
    <row r="30" spans="1:8">
      <c r="A30" s="1524" t="s">
        <v>1607</v>
      </c>
      <c r="B30" s="1525" t="s">
        <v>1610</v>
      </c>
      <c r="C30" s="1526">
        <v>1583</v>
      </c>
      <c r="D30" s="1526"/>
      <c r="E30" s="1527">
        <f t="shared" si="4"/>
        <v>1583</v>
      </c>
    </row>
    <row r="31" spans="1:8">
      <c r="A31" s="1524" t="s">
        <v>1609</v>
      </c>
      <c r="B31" s="1525" t="s">
        <v>1612</v>
      </c>
      <c r="C31" s="1526"/>
      <c r="D31" s="1526"/>
      <c r="E31" s="1527">
        <f t="shared" si="4"/>
        <v>0</v>
      </c>
    </row>
    <row r="32" spans="1:8">
      <c r="A32" s="1524" t="s">
        <v>1611</v>
      </c>
      <c r="B32" s="1525" t="s">
        <v>1614</v>
      </c>
      <c r="C32" s="1526">
        <v>1420</v>
      </c>
      <c r="D32" s="1526"/>
      <c r="E32" s="1527">
        <f t="shared" si="4"/>
        <v>1420</v>
      </c>
    </row>
    <row r="33" spans="1:8">
      <c r="A33" s="1524" t="s">
        <v>1613</v>
      </c>
      <c r="B33" s="1525" t="s">
        <v>1616</v>
      </c>
      <c r="C33" s="1526">
        <v>15816</v>
      </c>
      <c r="D33" s="1526"/>
      <c r="E33" s="1527">
        <f t="shared" si="4"/>
        <v>15816</v>
      </c>
    </row>
    <row r="34" spans="1:8">
      <c r="A34" s="1524" t="s">
        <v>1615</v>
      </c>
      <c r="B34" s="1525" t="s">
        <v>1618</v>
      </c>
      <c r="C34" s="1526">
        <v>54561</v>
      </c>
      <c r="D34" s="1526"/>
      <c r="E34" s="1527">
        <f t="shared" si="4"/>
        <v>54561</v>
      </c>
    </row>
    <row r="35" spans="1:8" ht="12.75" thickBot="1">
      <c r="A35" s="1517" t="s">
        <v>1617</v>
      </c>
      <c r="B35" s="1528" t="s">
        <v>1620</v>
      </c>
      <c r="C35" s="1529"/>
      <c r="D35" s="1529"/>
      <c r="E35" s="1530">
        <f t="shared" si="4"/>
        <v>0</v>
      </c>
    </row>
    <row r="36" spans="1:8" ht="12.75" thickBot="1">
      <c r="A36" s="1531" t="s">
        <v>1619</v>
      </c>
      <c r="B36" s="1532" t="s">
        <v>2587</v>
      </c>
      <c r="C36" s="1533">
        <f>SUM(C33:C35)</f>
        <v>70377</v>
      </c>
      <c r="D36" s="1533">
        <f>SUM(D33:D35)</f>
        <v>0</v>
      </c>
      <c r="E36" s="1534">
        <f>SUM(E33:E35)</f>
        <v>70377</v>
      </c>
      <c r="G36" s="118">
        <f>+'1.mell._Össz_Mérleg2018'!E118</f>
        <v>70377</v>
      </c>
      <c r="H36" s="118">
        <f t="shared" ref="H36" si="5">+G36-E36</f>
        <v>0</v>
      </c>
    </row>
    <row r="37" spans="1:8">
      <c r="A37" s="1535" t="s">
        <v>1621</v>
      </c>
      <c r="B37" s="1536" t="s">
        <v>1623</v>
      </c>
      <c r="C37" s="1537">
        <v>19252</v>
      </c>
      <c r="D37" s="1537"/>
      <c r="E37" s="1538">
        <f>+C37+D37</f>
        <v>19252</v>
      </c>
    </row>
    <row r="38" spans="1:8" ht="12.75" thickBot="1">
      <c r="A38" s="1517" t="s">
        <v>1622</v>
      </c>
      <c r="B38" s="1528" t="s">
        <v>1625</v>
      </c>
      <c r="C38" s="1529">
        <v>5221</v>
      </c>
      <c r="D38" s="1529"/>
      <c r="E38" s="1530">
        <f>+C38+D38</f>
        <v>5221</v>
      </c>
    </row>
    <row r="39" spans="1:8" ht="12.75" thickBot="1">
      <c r="A39" s="1531" t="s">
        <v>1624</v>
      </c>
      <c r="B39" s="1532" t="s">
        <v>2588</v>
      </c>
      <c r="C39" s="1533">
        <f>SUM(C37:C38)</f>
        <v>24473</v>
      </c>
      <c r="D39" s="1533">
        <f>SUM(D37:D38)</f>
        <v>0</v>
      </c>
      <c r="E39" s="1534">
        <f>SUM(E37:E38)</f>
        <v>24473</v>
      </c>
      <c r="G39" s="118">
        <f>+'1.mell._Össz_Mérleg2018'!E119</f>
        <v>24473</v>
      </c>
      <c r="H39" s="118">
        <f t="shared" ref="H39" si="6">+G39-E39</f>
        <v>0</v>
      </c>
    </row>
    <row r="40" spans="1:8">
      <c r="A40" s="1535" t="s">
        <v>1626</v>
      </c>
      <c r="B40" s="1536" t="s">
        <v>1628</v>
      </c>
      <c r="C40" s="1537">
        <v>46099</v>
      </c>
      <c r="D40" s="1537"/>
      <c r="E40" s="1538">
        <f t="shared" ref="E40:E49" si="7">+C40+D40</f>
        <v>46099</v>
      </c>
    </row>
    <row r="41" spans="1:8">
      <c r="A41" s="1524" t="s">
        <v>1627</v>
      </c>
      <c r="B41" s="1525" t="s">
        <v>1630</v>
      </c>
      <c r="C41" s="1526">
        <v>75010</v>
      </c>
      <c r="D41" s="1526"/>
      <c r="E41" s="1527">
        <f t="shared" si="7"/>
        <v>75010</v>
      </c>
    </row>
    <row r="42" spans="1:8">
      <c r="A42" s="1524" t="s">
        <v>1629</v>
      </c>
      <c r="B42" s="1525" t="s">
        <v>2589</v>
      </c>
      <c r="C42" s="1526">
        <v>7391</v>
      </c>
      <c r="D42" s="1526"/>
      <c r="E42" s="1527">
        <f t="shared" si="7"/>
        <v>7391</v>
      </c>
    </row>
    <row r="43" spans="1:8">
      <c r="A43" s="1524" t="s">
        <v>1631</v>
      </c>
      <c r="B43" s="1525" t="s">
        <v>1633</v>
      </c>
      <c r="C43" s="1526"/>
      <c r="D43" s="1526"/>
      <c r="E43" s="1527">
        <f t="shared" si="7"/>
        <v>0</v>
      </c>
    </row>
    <row r="44" spans="1:8">
      <c r="A44" s="1524" t="s">
        <v>1632</v>
      </c>
      <c r="B44" s="1525" t="s">
        <v>1635</v>
      </c>
      <c r="C44" s="1526">
        <v>12034</v>
      </c>
      <c r="D44" s="1526"/>
      <c r="E44" s="1527">
        <f t="shared" si="7"/>
        <v>12034</v>
      </c>
    </row>
    <row r="45" spans="1:8">
      <c r="A45" s="1524" t="s">
        <v>1634</v>
      </c>
      <c r="B45" s="1525" t="s">
        <v>2590</v>
      </c>
      <c r="C45" s="1526">
        <v>1991</v>
      </c>
      <c r="D45" s="1526"/>
      <c r="E45" s="1527">
        <f t="shared" si="7"/>
        <v>1991</v>
      </c>
    </row>
    <row r="46" spans="1:8">
      <c r="A46" s="1524" t="s">
        <v>1636</v>
      </c>
      <c r="B46" s="1525" t="s">
        <v>1638</v>
      </c>
      <c r="C46" s="1526">
        <v>42</v>
      </c>
      <c r="D46" s="1526"/>
      <c r="E46" s="1527">
        <f t="shared" si="7"/>
        <v>42</v>
      </c>
    </row>
    <row r="47" spans="1:8">
      <c r="A47" s="1524" t="s">
        <v>1637</v>
      </c>
      <c r="B47" s="1525" t="s">
        <v>1640</v>
      </c>
      <c r="C47" s="1526">
        <v>8981</v>
      </c>
      <c r="D47" s="1526"/>
      <c r="E47" s="1527">
        <f t="shared" si="7"/>
        <v>8981</v>
      </c>
    </row>
    <row r="48" spans="1:8">
      <c r="A48" s="1517" t="s">
        <v>1639</v>
      </c>
      <c r="B48" s="1528" t="s">
        <v>2591</v>
      </c>
      <c r="C48" s="1529">
        <v>286312</v>
      </c>
      <c r="D48" s="1529"/>
      <c r="E48" s="1527">
        <f t="shared" si="7"/>
        <v>286312</v>
      </c>
    </row>
    <row r="49" spans="1:8" ht="12.75" thickBot="1">
      <c r="A49" s="1517" t="s">
        <v>1641</v>
      </c>
      <c r="B49" s="1528" t="s">
        <v>1643</v>
      </c>
      <c r="C49" s="1529">
        <v>2487</v>
      </c>
      <c r="D49" s="1529"/>
      <c r="E49" s="1530">
        <f t="shared" si="7"/>
        <v>2487</v>
      </c>
    </row>
    <row r="50" spans="1:8" ht="12.75" thickBot="1">
      <c r="A50" s="1531" t="s">
        <v>1642</v>
      </c>
      <c r="B50" s="1532" t="s">
        <v>2592</v>
      </c>
      <c r="C50" s="1533">
        <f>SUM(C40:C49)-C43-C46-C49</f>
        <v>437818</v>
      </c>
      <c r="D50" s="1533">
        <f>SUM(D40:D49)-D43-D46-D49</f>
        <v>0</v>
      </c>
      <c r="E50" s="1534">
        <f>SUM(E40:E49)-E43-E46-E49</f>
        <v>437818</v>
      </c>
      <c r="G50" s="118">
        <f>+'1.mell._Össz_Mérleg2018'!E120</f>
        <v>437818</v>
      </c>
      <c r="H50" s="118">
        <f t="shared" ref="H50" si="8">+G50-E50</f>
        <v>0</v>
      </c>
    </row>
    <row r="51" spans="1:8">
      <c r="A51" s="1535" t="s">
        <v>1644</v>
      </c>
      <c r="B51" s="1536" t="s">
        <v>1646</v>
      </c>
      <c r="C51" s="1537">
        <v>139</v>
      </c>
      <c r="D51" s="1537"/>
      <c r="E51" s="1538">
        <f>+C51+D51</f>
        <v>139</v>
      </c>
    </row>
    <row r="52" spans="1:8" ht="12.75" thickBot="1">
      <c r="A52" s="1517" t="s">
        <v>1645</v>
      </c>
      <c r="B52" s="1528" t="s">
        <v>1648</v>
      </c>
      <c r="C52" s="1529">
        <v>2960</v>
      </c>
      <c r="D52" s="1529"/>
      <c r="E52" s="1530">
        <f>+C52+D52</f>
        <v>2960</v>
      </c>
    </row>
    <row r="53" spans="1:8" ht="12.75" thickBot="1">
      <c r="A53" s="1531" t="s">
        <v>1647</v>
      </c>
      <c r="B53" s="1532" t="s">
        <v>2593</v>
      </c>
      <c r="C53" s="1533">
        <f>SUM(C51:C52)</f>
        <v>3099</v>
      </c>
      <c r="D53" s="1533">
        <f>SUM(D51:D52)</f>
        <v>0</v>
      </c>
      <c r="E53" s="1534">
        <f>SUM(E51:E52)</f>
        <v>3099</v>
      </c>
      <c r="G53" s="118">
        <f>+'1.mell._Össz_Mérleg2018'!E121</f>
        <v>3099</v>
      </c>
      <c r="H53" s="118">
        <f t="shared" ref="H53" si="9">+G53-E53</f>
        <v>0</v>
      </c>
    </row>
    <row r="54" spans="1:8">
      <c r="A54" s="1535" t="s">
        <v>1649</v>
      </c>
      <c r="B54" s="1536" t="s">
        <v>1651</v>
      </c>
      <c r="C54" s="1537">
        <v>120716</v>
      </c>
      <c r="D54" s="1537"/>
      <c r="E54" s="1538">
        <f t="shared" ref="E54:E63" si="10">+C54+D54</f>
        <v>120716</v>
      </c>
    </row>
    <row r="55" spans="1:8">
      <c r="A55" s="1524" t="s">
        <v>1650</v>
      </c>
      <c r="B55" s="1525" t="s">
        <v>1653</v>
      </c>
      <c r="C55" s="1526">
        <v>19164</v>
      </c>
      <c r="D55" s="1526"/>
      <c r="E55" s="1527">
        <f t="shared" si="10"/>
        <v>19164</v>
      </c>
    </row>
    <row r="56" spans="1:8">
      <c r="A56" s="1524" t="s">
        <v>1652</v>
      </c>
      <c r="B56" s="1525" t="s">
        <v>2594</v>
      </c>
      <c r="C56" s="1526">
        <v>1824</v>
      </c>
      <c r="D56" s="1526"/>
      <c r="E56" s="1527">
        <f t="shared" si="10"/>
        <v>1824</v>
      </c>
    </row>
    <row r="57" spans="1:8">
      <c r="A57" s="1524" t="s">
        <v>1654</v>
      </c>
      <c r="B57" s="1525" t="s">
        <v>1656</v>
      </c>
      <c r="C57" s="1526"/>
      <c r="D57" s="1526"/>
      <c r="E57" s="1527">
        <f t="shared" si="10"/>
        <v>0</v>
      </c>
    </row>
    <row r="58" spans="1:8">
      <c r="A58" s="1524" t="s">
        <v>1655</v>
      </c>
      <c r="B58" s="1525" t="s">
        <v>1658</v>
      </c>
      <c r="C58" s="1526"/>
      <c r="D58" s="1526"/>
      <c r="E58" s="1527">
        <f t="shared" si="10"/>
        <v>0</v>
      </c>
    </row>
    <row r="59" spans="1:8">
      <c r="A59" s="1524" t="s">
        <v>1657</v>
      </c>
      <c r="B59" s="1525" t="s">
        <v>2595</v>
      </c>
      <c r="C59" s="1526"/>
      <c r="D59" s="1526"/>
      <c r="E59" s="1527">
        <f t="shared" si="10"/>
        <v>0</v>
      </c>
    </row>
    <row r="60" spans="1:8">
      <c r="A60" s="1524" t="s">
        <v>1659</v>
      </c>
      <c r="B60" s="1525" t="s">
        <v>1661</v>
      </c>
      <c r="C60" s="1526"/>
      <c r="D60" s="1526"/>
      <c r="E60" s="1527">
        <f t="shared" si="10"/>
        <v>0</v>
      </c>
    </row>
    <row r="61" spans="1:8">
      <c r="A61" s="1524" t="s">
        <v>1660</v>
      </c>
      <c r="B61" s="1525" t="s">
        <v>1663</v>
      </c>
      <c r="C61" s="1526"/>
      <c r="D61" s="1526"/>
      <c r="E61" s="1527">
        <f t="shared" si="10"/>
        <v>0</v>
      </c>
    </row>
    <row r="62" spans="1:8">
      <c r="A62" s="1524" t="s">
        <v>1662</v>
      </c>
      <c r="B62" s="1525" t="s">
        <v>1665</v>
      </c>
      <c r="C62" s="1526"/>
      <c r="D62" s="1526"/>
      <c r="E62" s="1527">
        <f t="shared" si="10"/>
        <v>0</v>
      </c>
    </row>
    <row r="63" spans="1:8" ht="12.75" thickBot="1">
      <c r="A63" s="1517" t="s">
        <v>1664</v>
      </c>
      <c r="B63" s="1528" t="s">
        <v>1667</v>
      </c>
      <c r="C63" s="1529">
        <v>13302</v>
      </c>
      <c r="D63" s="1529"/>
      <c r="E63" s="1530">
        <f t="shared" si="10"/>
        <v>13302</v>
      </c>
    </row>
    <row r="64" spans="1:8" ht="12.75" thickBot="1">
      <c r="A64" s="1531" t="s">
        <v>1666</v>
      </c>
      <c r="B64" s="1532" t="s">
        <v>2596</v>
      </c>
      <c r="C64" s="1533">
        <f>+C54+C55+C56+C59+C63</f>
        <v>155006</v>
      </c>
      <c r="D64" s="1533">
        <f>+D54+D55+D56+D59+D63</f>
        <v>0</v>
      </c>
      <c r="E64" s="1534">
        <f>+E54+E55+E56+E59+E63</f>
        <v>155006</v>
      </c>
      <c r="G64" s="118">
        <f>+'1.mell._Össz_Mérleg2018'!E122</f>
        <v>155006</v>
      </c>
      <c r="H64" s="118">
        <f t="shared" ref="H64" si="11">+G64-E64</f>
        <v>0</v>
      </c>
    </row>
    <row r="65" spans="1:8" ht="12.75" thickBot="1">
      <c r="A65" s="1531" t="s">
        <v>1668</v>
      </c>
      <c r="B65" s="1532" t="s">
        <v>2597</v>
      </c>
      <c r="C65" s="1533">
        <f>+C36+C39+C50+C53+C64</f>
        <v>690773</v>
      </c>
      <c r="D65" s="1533">
        <f>+D36+D39+D50+D53+D64</f>
        <v>0</v>
      </c>
      <c r="E65" s="1534">
        <f>+E36+E39+E50+E53+E64</f>
        <v>690773</v>
      </c>
      <c r="G65" s="118"/>
    </row>
    <row r="66" spans="1:8" s="938" customFormat="1" ht="12.75" thickBot="1">
      <c r="A66" s="1539" t="s">
        <v>1669</v>
      </c>
      <c r="B66" s="1540" t="s">
        <v>134</v>
      </c>
      <c r="C66" s="1541"/>
      <c r="D66" s="1541"/>
      <c r="E66" s="1542">
        <f>+C66+D66</f>
        <v>0</v>
      </c>
      <c r="G66" s="118">
        <f>+'1.mell._Össz_Mérleg2018'!E124</f>
        <v>0</v>
      </c>
      <c r="H66" s="118">
        <f t="shared" ref="H66:H67" si="12">+G66-E66</f>
        <v>0</v>
      </c>
    </row>
    <row r="67" spans="1:8" s="938" customFormat="1" ht="12.75" thickBot="1">
      <c r="A67" s="1531" t="s">
        <v>1670</v>
      </c>
      <c r="B67" s="1532" t="s">
        <v>2598</v>
      </c>
      <c r="C67" s="1533">
        <f>SUM(C68:C77)</f>
        <v>12775</v>
      </c>
      <c r="D67" s="1533">
        <f>SUM(D68:D77)</f>
        <v>0</v>
      </c>
      <c r="E67" s="1534">
        <f>SUM(E68:E77)</f>
        <v>12775</v>
      </c>
      <c r="G67" s="118">
        <f>+'1.mell._Össz_Mérleg2018'!E125</f>
        <v>12775</v>
      </c>
      <c r="H67" s="118">
        <f t="shared" si="12"/>
        <v>0</v>
      </c>
    </row>
    <row r="68" spans="1:8">
      <c r="A68" s="1535" t="s">
        <v>1671</v>
      </c>
      <c r="B68" s="1536" t="s">
        <v>1673</v>
      </c>
      <c r="C68" s="1537"/>
      <c r="D68" s="1537"/>
      <c r="E68" s="1538">
        <f t="shared" ref="E68:E77" si="13">+C68+D68</f>
        <v>0</v>
      </c>
    </row>
    <row r="69" spans="1:8">
      <c r="A69" s="1524" t="s">
        <v>1672</v>
      </c>
      <c r="B69" s="1525" t="s">
        <v>1675</v>
      </c>
      <c r="C69" s="1526"/>
      <c r="D69" s="1526"/>
      <c r="E69" s="1527">
        <f t="shared" si="13"/>
        <v>0</v>
      </c>
    </row>
    <row r="70" spans="1:8">
      <c r="A70" s="1524" t="s">
        <v>1674</v>
      </c>
      <c r="B70" s="1525" t="s">
        <v>1677</v>
      </c>
      <c r="C70" s="1526"/>
      <c r="D70" s="1526"/>
      <c r="E70" s="1527">
        <f t="shared" si="13"/>
        <v>0</v>
      </c>
    </row>
    <row r="71" spans="1:8">
      <c r="A71" s="1524" t="s">
        <v>1676</v>
      </c>
      <c r="B71" s="1525" t="s">
        <v>1679</v>
      </c>
      <c r="C71" s="1526"/>
      <c r="D71" s="1526"/>
      <c r="E71" s="1527">
        <f t="shared" si="13"/>
        <v>0</v>
      </c>
    </row>
    <row r="72" spans="1:8">
      <c r="A72" s="1524" t="s">
        <v>1678</v>
      </c>
      <c r="B72" s="1525" t="s">
        <v>1681</v>
      </c>
      <c r="C72" s="1526"/>
      <c r="D72" s="1526"/>
      <c r="E72" s="1527">
        <f t="shared" si="13"/>
        <v>0</v>
      </c>
    </row>
    <row r="73" spans="1:8">
      <c r="A73" s="1524" t="s">
        <v>1680</v>
      </c>
      <c r="B73" s="1525" t="s">
        <v>1683</v>
      </c>
      <c r="C73" s="1526"/>
      <c r="D73" s="1526"/>
      <c r="E73" s="1527">
        <f t="shared" si="13"/>
        <v>0</v>
      </c>
    </row>
    <row r="74" spans="1:8">
      <c r="A74" s="1524" t="s">
        <v>1682</v>
      </c>
      <c r="B74" s="1525" t="s">
        <v>1685</v>
      </c>
      <c r="C74" s="1526"/>
      <c r="D74" s="1526"/>
      <c r="E74" s="1527">
        <f t="shared" si="13"/>
        <v>0</v>
      </c>
    </row>
    <row r="75" spans="1:8">
      <c r="A75" s="1524" t="s">
        <v>1684</v>
      </c>
      <c r="B75" s="1525" t="s">
        <v>1687</v>
      </c>
      <c r="C75" s="1526"/>
      <c r="D75" s="1526"/>
      <c r="E75" s="1527">
        <f t="shared" si="13"/>
        <v>0</v>
      </c>
    </row>
    <row r="76" spans="1:8">
      <c r="A76" s="1524" t="s">
        <v>1686</v>
      </c>
      <c r="B76" s="1525" t="s">
        <v>1689</v>
      </c>
      <c r="C76" s="1526"/>
      <c r="D76" s="1526"/>
      <c r="E76" s="1527">
        <f t="shared" si="13"/>
        <v>0</v>
      </c>
    </row>
    <row r="77" spans="1:8" ht="12.75" thickBot="1">
      <c r="A77" s="1524" t="s">
        <v>1688</v>
      </c>
      <c r="B77" s="1525" t="s">
        <v>2599</v>
      </c>
      <c r="C77" s="1526">
        <v>12775</v>
      </c>
      <c r="D77" s="1526"/>
      <c r="E77" s="1527">
        <f t="shared" si="13"/>
        <v>12775</v>
      </c>
    </row>
    <row r="78" spans="1:8" ht="12.75" thickBot="1">
      <c r="A78" s="1531" t="s">
        <v>1690</v>
      </c>
      <c r="B78" s="1532" t="s">
        <v>136</v>
      </c>
      <c r="C78" s="1533"/>
      <c r="D78" s="1533"/>
      <c r="E78" s="1534">
        <f>+C78+D78</f>
        <v>0</v>
      </c>
      <c r="G78" s="118">
        <f>+'1.mell._Össz_Mérleg2018'!E126</f>
        <v>0</v>
      </c>
      <c r="H78" s="118">
        <f t="shared" ref="H78:H79" si="14">+G78-E78</f>
        <v>0</v>
      </c>
    </row>
    <row r="79" spans="1:8" s="938" customFormat="1" ht="12.75" thickBot="1">
      <c r="A79" s="1531" t="s">
        <v>1691</v>
      </c>
      <c r="B79" s="1532" t="s">
        <v>2600</v>
      </c>
      <c r="C79" s="1533">
        <f>SUM(C80:C86)</f>
        <v>0</v>
      </c>
      <c r="D79" s="1533">
        <f>SUM(D80:D86)</f>
        <v>0</v>
      </c>
      <c r="E79" s="1534">
        <f>SUM(E80:E86)</f>
        <v>0</v>
      </c>
      <c r="G79" s="118">
        <f>+'1.mell._Össz_Mérleg2018'!E127</f>
        <v>0</v>
      </c>
      <c r="H79" s="118">
        <f t="shared" si="14"/>
        <v>0</v>
      </c>
    </row>
    <row r="80" spans="1:8" s="938" customFormat="1">
      <c r="A80" s="1535" t="s">
        <v>1692</v>
      </c>
      <c r="B80" s="1536" t="s">
        <v>1694</v>
      </c>
      <c r="C80" s="1537"/>
      <c r="D80" s="1537"/>
      <c r="E80" s="1538">
        <f t="shared" ref="E80:E86" si="15">+C80+D80</f>
        <v>0</v>
      </c>
    </row>
    <row r="81" spans="1:8">
      <c r="A81" s="1524" t="s">
        <v>1693</v>
      </c>
      <c r="B81" s="1525" t="s">
        <v>1696</v>
      </c>
      <c r="C81" s="1526"/>
      <c r="D81" s="1526"/>
      <c r="E81" s="1527">
        <f t="shared" si="15"/>
        <v>0</v>
      </c>
    </row>
    <row r="82" spans="1:8">
      <c r="A82" s="1524" t="s">
        <v>1695</v>
      </c>
      <c r="B82" s="1525" t="s">
        <v>2601</v>
      </c>
      <c r="C82" s="1526"/>
      <c r="D82" s="1526"/>
      <c r="E82" s="1527">
        <f t="shared" si="15"/>
        <v>0</v>
      </c>
    </row>
    <row r="83" spans="1:8">
      <c r="A83" s="1524" t="s">
        <v>1697</v>
      </c>
      <c r="B83" s="1525" t="s">
        <v>1698</v>
      </c>
      <c r="C83" s="1526"/>
      <c r="D83" s="1526"/>
      <c r="E83" s="1527">
        <f t="shared" si="15"/>
        <v>0</v>
      </c>
    </row>
    <row r="84" spans="1:8">
      <c r="A84" s="1524" t="s">
        <v>1699</v>
      </c>
      <c r="B84" s="1525" t="s">
        <v>1700</v>
      </c>
      <c r="C84" s="1526"/>
      <c r="D84" s="1526"/>
      <c r="E84" s="1527">
        <f t="shared" si="15"/>
        <v>0</v>
      </c>
    </row>
    <row r="85" spans="1:8">
      <c r="A85" s="1524" t="s">
        <v>1701</v>
      </c>
      <c r="B85" s="1525" t="s">
        <v>1702</v>
      </c>
      <c r="C85" s="1526"/>
      <c r="D85" s="1526"/>
      <c r="E85" s="1527">
        <f t="shared" si="15"/>
        <v>0</v>
      </c>
    </row>
    <row r="86" spans="1:8" ht="12.75" thickBot="1">
      <c r="A86" s="1524" t="s">
        <v>1703</v>
      </c>
      <c r="B86" s="1525" t="s">
        <v>1704</v>
      </c>
      <c r="C86" s="1526"/>
      <c r="D86" s="1526"/>
      <c r="E86" s="1527">
        <f t="shared" si="15"/>
        <v>0</v>
      </c>
    </row>
    <row r="87" spans="1:8" ht="12.75" thickBot="1">
      <c r="A87" s="1531" t="s">
        <v>1705</v>
      </c>
      <c r="B87" s="1532" t="s">
        <v>1706</v>
      </c>
      <c r="C87" s="1533">
        <f>SUM(C88:C96)</f>
        <v>0</v>
      </c>
      <c r="D87" s="1533">
        <f>SUM(D88:D96)</f>
        <v>0</v>
      </c>
      <c r="E87" s="1534">
        <f>SUM(E88:E96)</f>
        <v>0</v>
      </c>
      <c r="G87" s="118">
        <f>+'1.mell._Össz_Mérleg2018'!E128</f>
        <v>0</v>
      </c>
      <c r="H87" s="118">
        <f>+G87-E87</f>
        <v>0</v>
      </c>
    </row>
    <row r="88" spans="1:8">
      <c r="A88" s="1535" t="s">
        <v>1707</v>
      </c>
      <c r="B88" s="1536" t="s">
        <v>2602</v>
      </c>
      <c r="C88" s="1537"/>
      <c r="D88" s="1537"/>
      <c r="E88" s="1538">
        <f t="shared" ref="E88:E96" si="16">+C88+D88</f>
        <v>0</v>
      </c>
    </row>
    <row r="89" spans="1:8" ht="24">
      <c r="A89" s="1524" t="s">
        <v>1708</v>
      </c>
      <c r="B89" s="1525" t="s">
        <v>1709</v>
      </c>
      <c r="C89" s="1526"/>
      <c r="D89" s="1526"/>
      <c r="E89" s="1527">
        <f t="shared" si="16"/>
        <v>0</v>
      </c>
    </row>
    <row r="90" spans="1:8" s="938" customFormat="1">
      <c r="A90" s="1524" t="s">
        <v>1710</v>
      </c>
      <c r="B90" s="1525" t="s">
        <v>1711</v>
      </c>
      <c r="C90" s="1526"/>
      <c r="D90" s="1526"/>
      <c r="E90" s="1527">
        <f t="shared" si="16"/>
        <v>0</v>
      </c>
    </row>
    <row r="91" spans="1:8">
      <c r="A91" s="1524" t="s">
        <v>1712</v>
      </c>
      <c r="B91" s="1525" t="s">
        <v>1714</v>
      </c>
      <c r="C91" s="1526"/>
      <c r="D91" s="1526"/>
      <c r="E91" s="1527">
        <f t="shared" si="16"/>
        <v>0</v>
      </c>
    </row>
    <row r="92" spans="1:8">
      <c r="A92" s="1524" t="s">
        <v>1713</v>
      </c>
      <c r="B92" s="1525" t="s">
        <v>1716</v>
      </c>
      <c r="C92" s="1526"/>
      <c r="D92" s="1526"/>
      <c r="E92" s="1527">
        <f t="shared" si="16"/>
        <v>0</v>
      </c>
    </row>
    <row r="93" spans="1:8">
      <c r="A93" s="1524" t="s">
        <v>1715</v>
      </c>
      <c r="B93" s="1525" t="s">
        <v>1718</v>
      </c>
      <c r="C93" s="1526"/>
      <c r="D93" s="1526"/>
      <c r="E93" s="1527">
        <f t="shared" si="16"/>
        <v>0</v>
      </c>
    </row>
    <row r="94" spans="1:8">
      <c r="A94" s="1524" t="s">
        <v>1717</v>
      </c>
      <c r="B94" s="1525" t="s">
        <v>1720</v>
      </c>
      <c r="C94" s="1526"/>
      <c r="D94" s="1526"/>
      <c r="E94" s="1527">
        <f t="shared" si="16"/>
        <v>0</v>
      </c>
    </row>
    <row r="95" spans="1:8">
      <c r="A95" s="1524" t="s">
        <v>1719</v>
      </c>
      <c r="B95" s="1525" t="s">
        <v>1722</v>
      </c>
      <c r="C95" s="1526"/>
      <c r="D95" s="1526"/>
      <c r="E95" s="1527">
        <f t="shared" si="16"/>
        <v>0</v>
      </c>
    </row>
    <row r="96" spans="1:8" ht="12.75" thickBot="1">
      <c r="A96" s="1517" t="s">
        <v>1721</v>
      </c>
      <c r="B96" s="1528" t="s">
        <v>1724</v>
      </c>
      <c r="C96" s="1529"/>
      <c r="D96" s="1529"/>
      <c r="E96" s="1530">
        <f t="shared" si="16"/>
        <v>0</v>
      </c>
    </row>
    <row r="97" spans="1:8" ht="12.75" thickBot="1">
      <c r="A97" s="1531" t="s">
        <v>1723</v>
      </c>
      <c r="B97" s="1532" t="s">
        <v>2603</v>
      </c>
      <c r="C97" s="1533">
        <f>SUM(C98:C99)</f>
        <v>0</v>
      </c>
      <c r="D97" s="1533">
        <f>SUM(D98:D99)</f>
        <v>0</v>
      </c>
      <c r="E97" s="1534">
        <f>SUM(E98:E99)</f>
        <v>0</v>
      </c>
      <c r="G97" s="118">
        <f>+'1.mell._Össz_Mérleg2018'!E129</f>
        <v>0</v>
      </c>
      <c r="H97" s="118">
        <f>+G97-E97</f>
        <v>0</v>
      </c>
    </row>
    <row r="98" spans="1:8">
      <c r="A98" s="1535" t="s">
        <v>1725</v>
      </c>
      <c r="B98" s="1536" t="s">
        <v>1727</v>
      </c>
      <c r="C98" s="1537"/>
      <c r="D98" s="1537"/>
      <c r="E98" s="1538">
        <f>+C98+D98</f>
        <v>0</v>
      </c>
    </row>
    <row r="99" spans="1:8" ht="12.75" thickBot="1">
      <c r="A99" s="1524" t="s">
        <v>1726</v>
      </c>
      <c r="B99" s="1525" t="s">
        <v>1729</v>
      </c>
      <c r="C99" s="1526"/>
      <c r="D99" s="1526"/>
      <c r="E99" s="1527">
        <f>+C99+D99</f>
        <v>0</v>
      </c>
    </row>
    <row r="100" spans="1:8" s="938" customFormat="1" ht="12.75" thickBot="1">
      <c r="A100" s="1531" t="s">
        <v>1728</v>
      </c>
      <c r="B100" s="1532" t="s">
        <v>2604</v>
      </c>
      <c r="C100" s="1533">
        <f>SUM(C101:C102)</f>
        <v>2300</v>
      </c>
      <c r="D100" s="1533">
        <f>SUM(D101:D102)</f>
        <v>0</v>
      </c>
      <c r="E100" s="1534">
        <f>SUM(E101:E102)</f>
        <v>2300</v>
      </c>
      <c r="G100" s="118">
        <f>+'1.mell._Össz_Mérleg2018'!E130</f>
        <v>2300</v>
      </c>
      <c r="H100" s="118">
        <f>+G100-E100</f>
        <v>0</v>
      </c>
    </row>
    <row r="101" spans="1:8">
      <c r="A101" s="1535" t="s">
        <v>1730</v>
      </c>
      <c r="B101" s="1536" t="s">
        <v>1734</v>
      </c>
      <c r="C101" s="1537"/>
      <c r="D101" s="1537"/>
      <c r="E101" s="1538">
        <f t="shared" ref="E101:E122" si="17">+C101+D101</f>
        <v>0</v>
      </c>
    </row>
    <row r="102" spans="1:8" ht="12.75" thickBot="1">
      <c r="A102" s="1517" t="s">
        <v>1731</v>
      </c>
      <c r="B102" s="1528" t="s">
        <v>1736</v>
      </c>
      <c r="C102" s="1529">
        <v>2300</v>
      </c>
      <c r="D102" s="1529"/>
      <c r="E102" s="1530">
        <f t="shared" si="17"/>
        <v>2300</v>
      </c>
    </row>
    <row r="103" spans="1:8" ht="12.75" thickBot="1">
      <c r="A103" s="1531" t="s">
        <v>1732</v>
      </c>
      <c r="B103" s="1532" t="s">
        <v>2605</v>
      </c>
      <c r="C103" s="1533">
        <v>39275</v>
      </c>
      <c r="D103" s="1533">
        <v>0</v>
      </c>
      <c r="E103" s="1534">
        <f t="shared" si="17"/>
        <v>39275</v>
      </c>
      <c r="G103" s="118">
        <f>+'1.mell._Össz_Mérleg2018'!E131</f>
        <v>39275</v>
      </c>
      <c r="H103" s="118">
        <f>+G103-E103</f>
        <v>0</v>
      </c>
    </row>
    <row r="104" spans="1:8">
      <c r="A104" s="1535" t="s">
        <v>1733</v>
      </c>
      <c r="B104" s="1536" t="s">
        <v>1739</v>
      </c>
      <c r="C104" s="1537"/>
      <c r="D104" s="1537"/>
      <c r="E104" s="1538">
        <f t="shared" si="17"/>
        <v>0</v>
      </c>
    </row>
    <row r="105" spans="1:8">
      <c r="A105" s="1524" t="s">
        <v>1735</v>
      </c>
      <c r="B105" s="1525" t="s">
        <v>1741</v>
      </c>
      <c r="C105" s="1526"/>
      <c r="D105" s="1526"/>
      <c r="E105" s="1527">
        <f t="shared" si="17"/>
        <v>0</v>
      </c>
    </row>
    <row r="106" spans="1:8">
      <c r="A106" s="1524" t="s">
        <v>1737</v>
      </c>
      <c r="B106" s="1525" t="s">
        <v>1743</v>
      </c>
      <c r="C106" s="1526"/>
      <c r="D106" s="1526"/>
      <c r="E106" s="1527">
        <f t="shared" si="17"/>
        <v>0</v>
      </c>
    </row>
    <row r="107" spans="1:8" s="938" customFormat="1">
      <c r="A107" s="1524" t="s">
        <v>1738</v>
      </c>
      <c r="B107" s="1525" t="s">
        <v>2606</v>
      </c>
      <c r="C107" s="1526"/>
      <c r="D107" s="1526"/>
      <c r="E107" s="1527">
        <f t="shared" si="17"/>
        <v>0</v>
      </c>
    </row>
    <row r="108" spans="1:8">
      <c r="A108" s="1524" t="s">
        <v>1740</v>
      </c>
      <c r="B108" s="1525" t="s">
        <v>1746</v>
      </c>
      <c r="C108" s="1526"/>
      <c r="D108" s="1526"/>
      <c r="E108" s="1527">
        <f t="shared" si="17"/>
        <v>0</v>
      </c>
    </row>
    <row r="109" spans="1:8">
      <c r="A109" s="1524" t="s">
        <v>1742</v>
      </c>
      <c r="B109" s="1525" t="s">
        <v>1748</v>
      </c>
      <c r="C109" s="1526"/>
      <c r="D109" s="1526"/>
      <c r="E109" s="1527">
        <f t="shared" si="17"/>
        <v>0</v>
      </c>
    </row>
    <row r="110" spans="1:8" s="938" customFormat="1">
      <c r="A110" s="1524" t="s">
        <v>1744</v>
      </c>
      <c r="B110" s="1525" t="s">
        <v>1750</v>
      </c>
      <c r="C110" s="1526"/>
      <c r="D110" s="1526"/>
      <c r="E110" s="1527">
        <f t="shared" si="17"/>
        <v>0</v>
      </c>
    </row>
    <row r="111" spans="1:8" ht="24">
      <c r="A111" s="1524" t="s">
        <v>1745</v>
      </c>
      <c r="B111" s="1525" t="s">
        <v>1752</v>
      </c>
      <c r="C111" s="1526"/>
      <c r="D111" s="1526"/>
      <c r="E111" s="1527">
        <f t="shared" si="17"/>
        <v>0</v>
      </c>
    </row>
    <row r="112" spans="1:8">
      <c r="A112" s="1524" t="s">
        <v>1747</v>
      </c>
      <c r="B112" s="1525" t="s">
        <v>1754</v>
      </c>
      <c r="C112" s="1526"/>
      <c r="D112" s="1526"/>
      <c r="E112" s="1527">
        <f t="shared" si="17"/>
        <v>0</v>
      </c>
    </row>
    <row r="113" spans="1:8">
      <c r="A113" s="1524" t="s">
        <v>1749</v>
      </c>
      <c r="B113" s="1525" t="s">
        <v>1756</v>
      </c>
      <c r="C113" s="1526"/>
      <c r="D113" s="1526"/>
      <c r="E113" s="1527">
        <f t="shared" si="17"/>
        <v>0</v>
      </c>
    </row>
    <row r="114" spans="1:8">
      <c r="A114" s="1524" t="s">
        <v>1751</v>
      </c>
      <c r="B114" s="1525" t="s">
        <v>1758</v>
      </c>
      <c r="C114" s="1526"/>
      <c r="D114" s="1526"/>
      <c r="E114" s="1527">
        <f t="shared" si="17"/>
        <v>0</v>
      </c>
    </row>
    <row r="115" spans="1:8">
      <c r="A115" s="1524" t="s">
        <v>1753</v>
      </c>
      <c r="B115" s="1525" t="s">
        <v>1760</v>
      </c>
      <c r="C115" s="1526"/>
      <c r="D115" s="1526"/>
      <c r="E115" s="1527">
        <f t="shared" si="17"/>
        <v>0</v>
      </c>
    </row>
    <row r="116" spans="1:8">
      <c r="A116" s="1524" t="s">
        <v>1755</v>
      </c>
      <c r="B116" s="1525" t="s">
        <v>1762</v>
      </c>
      <c r="C116" s="1526"/>
      <c r="D116" s="1526"/>
      <c r="E116" s="1527">
        <f t="shared" si="17"/>
        <v>0</v>
      </c>
    </row>
    <row r="117" spans="1:8">
      <c r="A117" s="1524" t="s">
        <v>1757</v>
      </c>
      <c r="B117" s="1525" t="s">
        <v>1764</v>
      </c>
      <c r="C117" s="1526"/>
      <c r="D117" s="1526"/>
      <c r="E117" s="1527">
        <f t="shared" si="17"/>
        <v>0</v>
      </c>
    </row>
    <row r="118" spans="1:8">
      <c r="A118" s="1524" t="s">
        <v>1759</v>
      </c>
      <c r="B118" s="1525" t="s">
        <v>1766</v>
      </c>
      <c r="C118" s="1526"/>
      <c r="D118" s="1526"/>
      <c r="E118" s="1527">
        <f t="shared" si="17"/>
        <v>0</v>
      </c>
    </row>
    <row r="119" spans="1:8">
      <c r="A119" s="1524" t="s">
        <v>1761</v>
      </c>
      <c r="B119" s="1525" t="s">
        <v>1768</v>
      </c>
      <c r="C119" s="1526">
        <v>451</v>
      </c>
      <c r="D119" s="1526"/>
      <c r="E119" s="1527">
        <f t="shared" si="17"/>
        <v>451</v>
      </c>
    </row>
    <row r="120" spans="1:8">
      <c r="A120" s="1524" t="s">
        <v>1763</v>
      </c>
      <c r="B120" s="1525" t="s">
        <v>1770</v>
      </c>
      <c r="C120" s="1526">
        <v>26353</v>
      </c>
      <c r="D120" s="1526"/>
      <c r="E120" s="1527">
        <f t="shared" si="17"/>
        <v>26353</v>
      </c>
    </row>
    <row r="121" spans="1:8">
      <c r="A121" s="1524" t="s">
        <v>1765</v>
      </c>
      <c r="B121" s="1525" t="s">
        <v>1772</v>
      </c>
      <c r="C121" s="1526"/>
      <c r="D121" s="1526"/>
      <c r="E121" s="1527">
        <f t="shared" si="17"/>
        <v>0</v>
      </c>
    </row>
    <row r="122" spans="1:8" ht="12.75" thickBot="1">
      <c r="A122" s="1524" t="s">
        <v>1767</v>
      </c>
      <c r="B122" s="1525" t="s">
        <v>1774</v>
      </c>
      <c r="C122" s="1526"/>
      <c r="D122" s="1526"/>
      <c r="E122" s="1527">
        <f t="shared" si="17"/>
        <v>0</v>
      </c>
    </row>
    <row r="123" spans="1:8" ht="12.75" thickBot="1">
      <c r="A123" s="1531" t="s">
        <v>1769</v>
      </c>
      <c r="B123" s="1532" t="s">
        <v>2607</v>
      </c>
      <c r="C123" s="1533">
        <f>+C66+C67+C78++C79+C87+C97+C100+C103</f>
        <v>54350</v>
      </c>
      <c r="D123" s="1533">
        <f>+D66+D67+D78++D79+D87+D97+D100+D103</f>
        <v>0</v>
      </c>
      <c r="E123" s="1534">
        <f>+E66+E67+E78++E79+E87+E97+E100+E103</f>
        <v>54350</v>
      </c>
      <c r="G123" s="118"/>
    </row>
    <row r="124" spans="1:8" ht="12.75" thickBot="1">
      <c r="A124" s="1531" t="s">
        <v>1771</v>
      </c>
      <c r="B124" s="1532" t="s">
        <v>2608</v>
      </c>
      <c r="C124" s="1533">
        <v>0</v>
      </c>
      <c r="D124" s="1533">
        <v>0</v>
      </c>
      <c r="E124" s="1534">
        <f>+C124+D124</f>
        <v>0</v>
      </c>
      <c r="G124" s="118">
        <f>+'1.mell._Össz_Mérleg2018'!E133</f>
        <v>0</v>
      </c>
      <c r="H124" s="118">
        <f>+G124-E124</f>
        <v>0</v>
      </c>
    </row>
    <row r="125" spans="1:8">
      <c r="A125" s="1535" t="s">
        <v>1773</v>
      </c>
      <c r="B125" s="1536" t="s">
        <v>1778</v>
      </c>
      <c r="C125" s="1537"/>
      <c r="D125" s="1537"/>
      <c r="E125" s="1538">
        <f>+C125+D125</f>
        <v>0</v>
      </c>
    </row>
    <row r="126" spans="1:8">
      <c r="A126" s="1524" t="s">
        <v>1775</v>
      </c>
      <c r="B126" s="1525" t="s">
        <v>1780</v>
      </c>
      <c r="C126" s="1526"/>
      <c r="D126" s="1526"/>
      <c r="E126" s="1527">
        <f>+C126+D126</f>
        <v>0</v>
      </c>
    </row>
    <row r="127" spans="1:8">
      <c r="A127" s="1524" t="s">
        <v>1776</v>
      </c>
      <c r="B127" s="1525" t="s">
        <v>1782</v>
      </c>
      <c r="C127" s="1526"/>
      <c r="D127" s="1526"/>
      <c r="E127" s="1527">
        <f>+C127+D127</f>
        <v>0</v>
      </c>
    </row>
    <row r="128" spans="1:8" ht="12.75" thickBot="1">
      <c r="A128" s="1517" t="s">
        <v>1777</v>
      </c>
      <c r="B128" s="1528" t="s">
        <v>1784</v>
      </c>
      <c r="C128" s="1529">
        <v>4931</v>
      </c>
      <c r="D128" s="1529"/>
      <c r="E128" s="1530">
        <f>+C128+D128</f>
        <v>4931</v>
      </c>
    </row>
    <row r="129" spans="1:8" ht="12.75" thickBot="1">
      <c r="A129" s="1531" t="s">
        <v>1779</v>
      </c>
      <c r="B129" s="1532" t="s">
        <v>2609</v>
      </c>
      <c r="C129" s="1533">
        <f>SUM(C126:C128)</f>
        <v>4931</v>
      </c>
      <c r="D129" s="1533">
        <f>SUM(D126:D128)</f>
        <v>0</v>
      </c>
      <c r="E129" s="1534">
        <f>SUM(E126:E128)</f>
        <v>4931</v>
      </c>
      <c r="G129" s="118">
        <f>+'1.mell._Össz_Mérleg2018'!E134</f>
        <v>4931</v>
      </c>
      <c r="H129" s="118">
        <f t="shared" ref="H129:H131" si="18">+G129-E129</f>
        <v>0</v>
      </c>
    </row>
    <row r="130" spans="1:8" ht="12.75" thickBot="1">
      <c r="A130" s="1539" t="s">
        <v>1781</v>
      </c>
      <c r="B130" s="1540" t="s">
        <v>144</v>
      </c>
      <c r="C130" s="1541">
        <v>0</v>
      </c>
      <c r="D130" s="1541">
        <v>0</v>
      </c>
      <c r="E130" s="1542">
        <f>+C130+D130</f>
        <v>0</v>
      </c>
      <c r="G130" s="118">
        <f>+'1.mell._Össz_Mérleg2018'!E135</f>
        <v>0</v>
      </c>
      <c r="H130" s="118">
        <f t="shared" si="18"/>
        <v>0</v>
      </c>
    </row>
    <row r="131" spans="1:8" ht="12.75" thickBot="1">
      <c r="A131" s="1531" t="s">
        <v>1783</v>
      </c>
      <c r="B131" s="1532" t="s">
        <v>2610</v>
      </c>
      <c r="C131" s="1533">
        <f>SUM(C132:C141)</f>
        <v>0</v>
      </c>
      <c r="D131" s="1533">
        <f>SUM(D132:D141)</f>
        <v>0</v>
      </c>
      <c r="E131" s="1534">
        <f>SUM(E132:E141)</f>
        <v>0</v>
      </c>
      <c r="G131" s="118">
        <f>+'1.mell._Össz_Mérleg2018'!E136</f>
        <v>0</v>
      </c>
      <c r="H131" s="118">
        <f t="shared" si="18"/>
        <v>0</v>
      </c>
    </row>
    <row r="132" spans="1:8">
      <c r="A132" s="1535" t="s">
        <v>1785</v>
      </c>
      <c r="B132" s="1536" t="s">
        <v>1789</v>
      </c>
      <c r="C132" s="1537"/>
      <c r="D132" s="1537"/>
      <c r="E132" s="1538">
        <f t="shared" ref="E132:E141" si="19">+C132+D132</f>
        <v>0</v>
      </c>
    </row>
    <row r="133" spans="1:8">
      <c r="A133" s="1524" t="s">
        <v>1786</v>
      </c>
      <c r="B133" s="1525" t="s">
        <v>1791</v>
      </c>
      <c r="C133" s="1526"/>
      <c r="D133" s="1526"/>
      <c r="E133" s="1527">
        <f t="shared" si="19"/>
        <v>0</v>
      </c>
    </row>
    <row r="134" spans="1:8">
      <c r="A134" s="1524" t="s">
        <v>1787</v>
      </c>
      <c r="B134" s="1525" t="s">
        <v>1793</v>
      </c>
      <c r="C134" s="1526"/>
      <c r="D134" s="1526"/>
      <c r="E134" s="1527">
        <f t="shared" si="19"/>
        <v>0</v>
      </c>
    </row>
    <row r="135" spans="1:8">
      <c r="A135" s="1524" t="s">
        <v>1788</v>
      </c>
      <c r="B135" s="1525" t="s">
        <v>1795</v>
      </c>
      <c r="C135" s="1526"/>
      <c r="D135" s="1526"/>
      <c r="E135" s="1527">
        <f t="shared" si="19"/>
        <v>0</v>
      </c>
    </row>
    <row r="136" spans="1:8">
      <c r="A136" s="1524" t="s">
        <v>1790</v>
      </c>
      <c r="B136" s="1525" t="s">
        <v>1797</v>
      </c>
      <c r="C136" s="1526"/>
      <c r="D136" s="1526"/>
      <c r="E136" s="1527">
        <f t="shared" si="19"/>
        <v>0</v>
      </c>
    </row>
    <row r="137" spans="1:8">
      <c r="A137" s="1524" t="s">
        <v>1792</v>
      </c>
      <c r="B137" s="1525" t="s">
        <v>1799</v>
      </c>
      <c r="C137" s="1526"/>
      <c r="D137" s="1526"/>
      <c r="E137" s="1527">
        <f t="shared" si="19"/>
        <v>0</v>
      </c>
    </row>
    <row r="138" spans="1:8">
      <c r="A138" s="1524" t="s">
        <v>1794</v>
      </c>
      <c r="B138" s="1525" t="s">
        <v>1801</v>
      </c>
      <c r="C138" s="1526"/>
      <c r="D138" s="1526"/>
      <c r="E138" s="1527">
        <f t="shared" si="19"/>
        <v>0</v>
      </c>
    </row>
    <row r="139" spans="1:8">
      <c r="A139" s="1524" t="s">
        <v>1796</v>
      </c>
      <c r="B139" s="1525" t="s">
        <v>1803</v>
      </c>
      <c r="C139" s="1526"/>
      <c r="D139" s="1526"/>
      <c r="E139" s="1527">
        <f t="shared" si="19"/>
        <v>0</v>
      </c>
    </row>
    <row r="140" spans="1:8">
      <c r="A140" s="1524" t="s">
        <v>1798</v>
      </c>
      <c r="B140" s="1525" t="s">
        <v>1805</v>
      </c>
      <c r="C140" s="1526"/>
      <c r="D140" s="1526"/>
      <c r="E140" s="1527">
        <f t="shared" si="19"/>
        <v>0</v>
      </c>
    </row>
    <row r="141" spans="1:8" ht="12.75" thickBot="1">
      <c r="A141" s="1517" t="s">
        <v>1800</v>
      </c>
      <c r="B141" s="1528" t="s">
        <v>1807</v>
      </c>
      <c r="C141" s="1529"/>
      <c r="D141" s="1529"/>
      <c r="E141" s="1530">
        <f t="shared" si="19"/>
        <v>0</v>
      </c>
    </row>
    <row r="142" spans="1:8" s="938" customFormat="1" ht="12.75" thickBot="1">
      <c r="A142" s="1531" t="s">
        <v>1802</v>
      </c>
      <c r="B142" s="1532" t="s">
        <v>2611</v>
      </c>
      <c r="C142" s="1533">
        <f>SUM(C143:C152)</f>
        <v>0</v>
      </c>
      <c r="D142" s="1533">
        <f>SUM(D143:D152)</f>
        <v>0</v>
      </c>
      <c r="E142" s="1534">
        <f>SUM(E143:E152)</f>
        <v>0</v>
      </c>
      <c r="G142" s="118">
        <f>+'1.mell._Össz_Mérleg2018'!E137</f>
        <v>0</v>
      </c>
      <c r="H142" s="118">
        <f>+G142-E142</f>
        <v>0</v>
      </c>
    </row>
    <row r="143" spans="1:8" s="938" customFormat="1">
      <c r="A143" s="1535" t="s">
        <v>1804</v>
      </c>
      <c r="B143" s="1536" t="s">
        <v>1810</v>
      </c>
      <c r="C143" s="1537"/>
      <c r="D143" s="1537"/>
      <c r="E143" s="1538">
        <f t="shared" ref="E143:E152" si="20">+C143+D143</f>
        <v>0</v>
      </c>
    </row>
    <row r="144" spans="1:8" s="938" customFormat="1">
      <c r="A144" s="1524" t="s">
        <v>1806</v>
      </c>
      <c r="B144" s="1525" t="s">
        <v>1812</v>
      </c>
      <c r="C144" s="1526"/>
      <c r="D144" s="1526"/>
      <c r="E144" s="1527">
        <f t="shared" si="20"/>
        <v>0</v>
      </c>
      <c r="G144" s="118"/>
    </row>
    <row r="145" spans="1:8">
      <c r="A145" s="1524" t="s">
        <v>1808</v>
      </c>
      <c r="B145" s="1525" t="s">
        <v>1814</v>
      </c>
      <c r="C145" s="1526"/>
      <c r="D145" s="1526"/>
      <c r="E145" s="1527">
        <f t="shared" si="20"/>
        <v>0</v>
      </c>
    </row>
    <row r="146" spans="1:8">
      <c r="A146" s="1524" t="s">
        <v>1809</v>
      </c>
      <c r="B146" s="1525" t="s">
        <v>1816</v>
      </c>
      <c r="C146" s="1526"/>
      <c r="D146" s="1526"/>
      <c r="E146" s="1527">
        <f t="shared" si="20"/>
        <v>0</v>
      </c>
    </row>
    <row r="147" spans="1:8">
      <c r="A147" s="1524" t="s">
        <v>1811</v>
      </c>
      <c r="B147" s="1525" t="s">
        <v>1818</v>
      </c>
      <c r="C147" s="1526"/>
      <c r="D147" s="1526"/>
      <c r="E147" s="1527">
        <f t="shared" si="20"/>
        <v>0</v>
      </c>
    </row>
    <row r="148" spans="1:8">
      <c r="A148" s="1524" t="s">
        <v>1813</v>
      </c>
      <c r="B148" s="1525" t="s">
        <v>1820</v>
      </c>
      <c r="C148" s="1526"/>
      <c r="D148" s="1526"/>
      <c r="E148" s="1527">
        <f t="shared" si="20"/>
        <v>0</v>
      </c>
    </row>
    <row r="149" spans="1:8">
      <c r="A149" s="1524" t="s">
        <v>1815</v>
      </c>
      <c r="B149" s="1525" t="s">
        <v>1822</v>
      </c>
      <c r="C149" s="1526"/>
      <c r="D149" s="1526"/>
      <c r="E149" s="1527">
        <f t="shared" si="20"/>
        <v>0</v>
      </c>
    </row>
    <row r="150" spans="1:8">
      <c r="A150" s="1524" t="s">
        <v>1817</v>
      </c>
      <c r="B150" s="1525" t="s">
        <v>1824</v>
      </c>
      <c r="C150" s="1526"/>
      <c r="D150" s="1526"/>
      <c r="E150" s="1527">
        <f t="shared" si="20"/>
        <v>0</v>
      </c>
    </row>
    <row r="151" spans="1:8">
      <c r="A151" s="1524" t="s">
        <v>1819</v>
      </c>
      <c r="B151" s="1525" t="s">
        <v>1826</v>
      </c>
      <c r="C151" s="1526"/>
      <c r="D151" s="1526"/>
      <c r="E151" s="1527">
        <f t="shared" si="20"/>
        <v>0</v>
      </c>
    </row>
    <row r="152" spans="1:8" ht="12.75" thickBot="1">
      <c r="A152" s="1517" t="s">
        <v>1821</v>
      </c>
      <c r="B152" s="1528" t="s">
        <v>1828</v>
      </c>
      <c r="C152" s="1529"/>
      <c r="D152" s="1529"/>
      <c r="E152" s="1530">
        <f t="shared" si="20"/>
        <v>0</v>
      </c>
    </row>
    <row r="153" spans="1:8" ht="12.75" thickBot="1">
      <c r="A153" s="1531" t="s">
        <v>1823</v>
      </c>
      <c r="B153" s="1532" t="s">
        <v>2612</v>
      </c>
      <c r="C153" s="1533">
        <f>SUM(C154:C163)</f>
        <v>10526</v>
      </c>
      <c r="D153" s="1533">
        <f>SUM(D154:D163)</f>
        <v>0</v>
      </c>
      <c r="E153" s="1534">
        <f>SUM(E154:E163)</f>
        <v>10526</v>
      </c>
      <c r="G153" s="118">
        <f>+'1.mell._Össz_Mérleg2018'!E138</f>
        <v>10526</v>
      </c>
      <c r="H153" s="118">
        <f>+G153-E153</f>
        <v>0</v>
      </c>
    </row>
    <row r="154" spans="1:8">
      <c r="A154" s="1535" t="s">
        <v>1825</v>
      </c>
      <c r="B154" s="1536" t="s">
        <v>1831</v>
      </c>
      <c r="C154" s="1537">
        <v>925</v>
      </c>
      <c r="D154" s="1537"/>
      <c r="E154" s="1538">
        <f t="shared" ref="E154:E163" si="21">+C154+D154</f>
        <v>925</v>
      </c>
    </row>
    <row r="155" spans="1:8" s="938" customFormat="1">
      <c r="A155" s="1524" t="s">
        <v>1827</v>
      </c>
      <c r="B155" s="1525" t="s">
        <v>1833</v>
      </c>
      <c r="C155" s="1526">
        <v>62</v>
      </c>
      <c r="D155" s="1526"/>
      <c r="E155" s="1527">
        <f t="shared" si="21"/>
        <v>62</v>
      </c>
      <c r="G155" s="118"/>
    </row>
    <row r="156" spans="1:8">
      <c r="A156" s="1524" t="s">
        <v>1829</v>
      </c>
      <c r="B156" s="1525" t="s">
        <v>1835</v>
      </c>
      <c r="C156" s="1526"/>
      <c r="D156" s="1526"/>
      <c r="E156" s="1527">
        <f t="shared" si="21"/>
        <v>0</v>
      </c>
    </row>
    <row r="157" spans="1:8">
      <c r="A157" s="1524" t="s">
        <v>1830</v>
      </c>
      <c r="B157" s="1525" t="s">
        <v>1837</v>
      </c>
      <c r="C157" s="1526">
        <v>47</v>
      </c>
      <c r="D157" s="1526"/>
      <c r="E157" s="1527">
        <f t="shared" si="21"/>
        <v>47</v>
      </c>
    </row>
    <row r="158" spans="1:8">
      <c r="A158" s="1524" t="s">
        <v>1832</v>
      </c>
      <c r="B158" s="1525" t="s">
        <v>1839</v>
      </c>
      <c r="C158" s="1526"/>
      <c r="D158" s="1526"/>
      <c r="E158" s="1527">
        <f t="shared" si="21"/>
        <v>0</v>
      </c>
    </row>
    <row r="159" spans="1:8">
      <c r="A159" s="1524" t="s">
        <v>1834</v>
      </c>
      <c r="B159" s="1525" t="s">
        <v>1841</v>
      </c>
      <c r="C159" s="1526">
        <v>1279</v>
      </c>
      <c r="D159" s="1526"/>
      <c r="E159" s="1527">
        <f t="shared" si="21"/>
        <v>1279</v>
      </c>
    </row>
    <row r="160" spans="1:8">
      <c r="A160" s="1524" t="s">
        <v>1836</v>
      </c>
      <c r="B160" s="1525" t="s">
        <v>1843</v>
      </c>
      <c r="C160" s="1526"/>
      <c r="D160" s="1526"/>
      <c r="E160" s="1527">
        <f t="shared" si="21"/>
        <v>0</v>
      </c>
    </row>
    <row r="161" spans="1:8">
      <c r="A161" s="1524" t="s">
        <v>1838</v>
      </c>
      <c r="B161" s="1525" t="s">
        <v>1845</v>
      </c>
      <c r="C161" s="1526">
        <v>7813</v>
      </c>
      <c r="D161" s="1526"/>
      <c r="E161" s="1527">
        <f t="shared" si="21"/>
        <v>7813</v>
      </c>
    </row>
    <row r="162" spans="1:8">
      <c r="A162" s="1524" t="s">
        <v>1840</v>
      </c>
      <c r="B162" s="1525" t="s">
        <v>1847</v>
      </c>
      <c r="C162" s="1526">
        <v>400</v>
      </c>
      <c r="D162" s="1526"/>
      <c r="E162" s="1527">
        <f t="shared" si="21"/>
        <v>400</v>
      </c>
    </row>
    <row r="163" spans="1:8" ht="12.75" thickBot="1">
      <c r="A163" s="1517" t="s">
        <v>1842</v>
      </c>
      <c r="B163" s="1528" t="s">
        <v>1849</v>
      </c>
      <c r="C163" s="1529"/>
      <c r="D163" s="1529"/>
      <c r="E163" s="1530">
        <f t="shared" si="21"/>
        <v>0</v>
      </c>
    </row>
    <row r="164" spans="1:8" ht="12.75" thickBot="1">
      <c r="A164" s="1531" t="s">
        <v>1844</v>
      </c>
      <c r="B164" s="1532" t="s">
        <v>2613</v>
      </c>
      <c r="C164" s="1533">
        <v>0</v>
      </c>
      <c r="D164" s="1533">
        <v>0</v>
      </c>
      <c r="E164" s="1534">
        <f>+C164+D164</f>
        <v>0</v>
      </c>
      <c r="G164" s="118">
        <f>+'1.mell._Össz_Mérleg2018'!E140</f>
        <v>0</v>
      </c>
      <c r="H164" s="118">
        <f>+G164-E164</f>
        <v>0</v>
      </c>
    </row>
    <row r="165" spans="1:8" ht="12.75" thickBot="1">
      <c r="A165" s="1543" t="s">
        <v>1846</v>
      </c>
      <c r="B165" s="1544" t="s">
        <v>1852</v>
      </c>
      <c r="C165" s="1545"/>
      <c r="D165" s="1545"/>
      <c r="E165" s="1546">
        <f>+C165+D165</f>
        <v>0</v>
      </c>
    </row>
    <row r="166" spans="1:8" s="938" customFormat="1" ht="12.75" thickBot="1">
      <c r="A166" s="1531" t="s">
        <v>1848</v>
      </c>
      <c r="B166" s="1532" t="s">
        <v>2614</v>
      </c>
      <c r="C166" s="1533">
        <f>SUM(C167:C177)</f>
        <v>9401</v>
      </c>
      <c r="D166" s="1533">
        <f>SUM(D167:D177)</f>
        <v>0</v>
      </c>
      <c r="E166" s="1534">
        <f>SUM(E167:E177)</f>
        <v>9401</v>
      </c>
      <c r="G166" s="118">
        <f>+'1.mell._Össz_Mérleg2018'!E141</f>
        <v>9401</v>
      </c>
      <c r="H166" s="118">
        <f>+G166-E166</f>
        <v>0</v>
      </c>
    </row>
    <row r="167" spans="1:8">
      <c r="A167" s="1535" t="s">
        <v>1850</v>
      </c>
      <c r="B167" s="1536" t="s">
        <v>1855</v>
      </c>
      <c r="C167" s="1537"/>
      <c r="D167" s="1537"/>
      <c r="E167" s="1538">
        <f t="shared" ref="E167:E177" si="22">+C167+D167</f>
        <v>0</v>
      </c>
      <c r="G167" s="118"/>
    </row>
    <row r="168" spans="1:8">
      <c r="A168" s="1524" t="s">
        <v>1851</v>
      </c>
      <c r="B168" s="1525" t="s">
        <v>1857</v>
      </c>
      <c r="C168" s="1526"/>
      <c r="D168" s="1526"/>
      <c r="E168" s="1527">
        <f t="shared" si="22"/>
        <v>0</v>
      </c>
    </row>
    <row r="169" spans="1:8">
      <c r="A169" s="1524" t="s">
        <v>1853</v>
      </c>
      <c r="B169" s="1525" t="s">
        <v>1859</v>
      </c>
      <c r="C169" s="1526"/>
      <c r="D169" s="1526"/>
      <c r="E169" s="1527">
        <f t="shared" si="22"/>
        <v>0</v>
      </c>
    </row>
    <row r="170" spans="1:8">
      <c r="A170" s="1524" t="s">
        <v>1854</v>
      </c>
      <c r="B170" s="1525" t="s">
        <v>1861</v>
      </c>
      <c r="C170" s="1526">
        <v>9401</v>
      </c>
      <c r="D170" s="1526"/>
      <c r="E170" s="1527">
        <f t="shared" si="22"/>
        <v>9401</v>
      </c>
    </row>
    <row r="171" spans="1:8">
      <c r="A171" s="1524" t="s">
        <v>1856</v>
      </c>
      <c r="B171" s="1525" t="s">
        <v>1863</v>
      </c>
      <c r="C171" s="1526"/>
      <c r="D171" s="1526"/>
      <c r="E171" s="1527">
        <f t="shared" si="22"/>
        <v>0</v>
      </c>
    </row>
    <row r="172" spans="1:8">
      <c r="A172" s="1524" t="s">
        <v>1858</v>
      </c>
      <c r="B172" s="1525" t="s">
        <v>1865</v>
      </c>
      <c r="C172" s="1526"/>
      <c r="D172" s="1526"/>
      <c r="E172" s="1527">
        <f t="shared" si="22"/>
        <v>0</v>
      </c>
    </row>
    <row r="173" spans="1:8">
      <c r="A173" s="1524" t="s">
        <v>1860</v>
      </c>
      <c r="B173" s="1525" t="s">
        <v>2615</v>
      </c>
      <c r="C173" s="1526"/>
      <c r="D173" s="1526"/>
      <c r="E173" s="1527">
        <f t="shared" si="22"/>
        <v>0</v>
      </c>
    </row>
    <row r="174" spans="1:8">
      <c r="A174" s="1524" t="s">
        <v>1862</v>
      </c>
      <c r="B174" s="1525" t="s">
        <v>1868</v>
      </c>
      <c r="C174" s="1526"/>
      <c r="D174" s="1526"/>
      <c r="E174" s="1527">
        <f t="shared" si="22"/>
        <v>0</v>
      </c>
    </row>
    <row r="175" spans="1:8">
      <c r="A175" s="1524" t="s">
        <v>1864</v>
      </c>
      <c r="B175" s="1525" t="s">
        <v>1870</v>
      </c>
      <c r="C175" s="1526"/>
      <c r="D175" s="1526"/>
      <c r="E175" s="1527">
        <f t="shared" si="22"/>
        <v>0</v>
      </c>
    </row>
    <row r="176" spans="1:8">
      <c r="A176" s="1524" t="s">
        <v>1866</v>
      </c>
      <c r="B176" s="1525" t="s">
        <v>1872</v>
      </c>
      <c r="C176" s="1526"/>
      <c r="D176" s="1526"/>
      <c r="E176" s="1527">
        <f t="shared" si="22"/>
        <v>0</v>
      </c>
    </row>
    <row r="177" spans="1:8" s="938" customFormat="1" ht="12.75" thickBot="1">
      <c r="A177" s="1517" t="s">
        <v>1867</v>
      </c>
      <c r="B177" s="1528" t="s">
        <v>1874</v>
      </c>
      <c r="C177" s="1529"/>
      <c r="D177" s="1529"/>
      <c r="E177" s="1530">
        <f t="shared" si="22"/>
        <v>0</v>
      </c>
    </row>
    <row r="178" spans="1:8" ht="12.75" thickBot="1">
      <c r="A178" s="1531" t="s">
        <v>1869</v>
      </c>
      <c r="B178" s="1532" t="s">
        <v>150</v>
      </c>
      <c r="C178" s="1533">
        <v>0</v>
      </c>
      <c r="D178" s="1533">
        <v>0</v>
      </c>
      <c r="E178" s="1534">
        <f>+C178+D178</f>
        <v>0</v>
      </c>
      <c r="G178" s="118">
        <f>+'1.mell._Össz_Mérleg2018'!E142</f>
        <v>0</v>
      </c>
      <c r="H178" s="118">
        <f t="shared" ref="H178:H181" si="23">+G178-E178</f>
        <v>0</v>
      </c>
    </row>
    <row r="179" spans="1:8" s="938" customFormat="1" ht="12.75" thickBot="1">
      <c r="A179" s="1539" t="s">
        <v>1871</v>
      </c>
      <c r="B179" s="1540" t="s">
        <v>151</v>
      </c>
      <c r="C179" s="1541">
        <v>0</v>
      </c>
      <c r="D179" s="1541">
        <v>0</v>
      </c>
      <c r="E179" s="1542">
        <f>+C179+D179</f>
        <v>0</v>
      </c>
      <c r="G179" s="118">
        <f>+'1.mell._Össz_Mérleg2018'!E143</f>
        <v>0</v>
      </c>
      <c r="H179" s="118">
        <f t="shared" si="23"/>
        <v>0</v>
      </c>
    </row>
    <row r="180" spans="1:8" ht="12.75" thickBot="1">
      <c r="A180" s="1531" t="s">
        <v>1873</v>
      </c>
      <c r="B180" s="1532" t="s">
        <v>988</v>
      </c>
      <c r="C180" s="1533">
        <v>0</v>
      </c>
      <c r="D180" s="1533">
        <v>0</v>
      </c>
      <c r="E180" s="1534">
        <f>+C180+D180</f>
        <v>0</v>
      </c>
      <c r="G180" s="118">
        <f>+'1.mell._Össz_Mérleg2018'!E144</f>
        <v>0</v>
      </c>
      <c r="H180" s="118">
        <f t="shared" si="23"/>
        <v>0</v>
      </c>
    </row>
    <row r="181" spans="1:8" ht="12.75" thickBot="1">
      <c r="A181" s="1531" t="s">
        <v>1875</v>
      </c>
      <c r="B181" s="1532" t="s">
        <v>2616</v>
      </c>
      <c r="C181" s="1533">
        <f>SUM(C182:C191)</f>
        <v>43972</v>
      </c>
      <c r="D181" s="1533">
        <f>SUM(D182:D191)</f>
        <v>0</v>
      </c>
      <c r="E181" s="1534">
        <f>SUM(E182:E191)</f>
        <v>43972</v>
      </c>
      <c r="G181" s="118">
        <f>+'1.mell._Össz_Mérleg2018'!E145</f>
        <v>43972</v>
      </c>
      <c r="H181" s="118">
        <f t="shared" si="23"/>
        <v>0</v>
      </c>
    </row>
    <row r="182" spans="1:8">
      <c r="A182" s="1535" t="s">
        <v>1876</v>
      </c>
      <c r="B182" s="1536" t="s">
        <v>1880</v>
      </c>
      <c r="C182" s="1537"/>
      <c r="D182" s="1537"/>
      <c r="E182" s="1538">
        <f t="shared" ref="E182:E191" si="24">+C182+D182</f>
        <v>0</v>
      </c>
      <c r="G182" s="118"/>
    </row>
    <row r="183" spans="1:8">
      <c r="A183" s="1524" t="s">
        <v>1877</v>
      </c>
      <c r="B183" s="1525" t="s">
        <v>1882</v>
      </c>
      <c r="C183" s="1526"/>
      <c r="D183" s="1526"/>
      <c r="E183" s="1527">
        <f t="shared" si="24"/>
        <v>0</v>
      </c>
    </row>
    <row r="184" spans="1:8">
      <c r="A184" s="1524" t="s">
        <v>1878</v>
      </c>
      <c r="B184" s="1525" t="s">
        <v>1884</v>
      </c>
      <c r="C184" s="1526">
        <v>13162</v>
      </c>
      <c r="D184" s="1526"/>
      <c r="E184" s="1527">
        <f t="shared" si="24"/>
        <v>13162</v>
      </c>
    </row>
    <row r="185" spans="1:8">
      <c r="A185" s="1524" t="s">
        <v>1879</v>
      </c>
      <c r="B185" s="1525" t="s">
        <v>1886</v>
      </c>
      <c r="C185" s="1526">
        <v>2810</v>
      </c>
      <c r="D185" s="1526"/>
      <c r="E185" s="1527">
        <f t="shared" si="24"/>
        <v>2810</v>
      </c>
    </row>
    <row r="186" spans="1:8">
      <c r="A186" s="1524" t="s">
        <v>1881</v>
      </c>
      <c r="B186" s="1525" t="s">
        <v>1888</v>
      </c>
      <c r="C186" s="1526"/>
      <c r="D186" s="1526"/>
      <c r="E186" s="1527">
        <f t="shared" si="24"/>
        <v>0</v>
      </c>
    </row>
    <row r="187" spans="1:8">
      <c r="A187" s="1524" t="s">
        <v>1883</v>
      </c>
      <c r="B187" s="1525" t="s">
        <v>1890</v>
      </c>
      <c r="C187" s="1526"/>
      <c r="D187" s="1526"/>
      <c r="E187" s="1527">
        <f t="shared" si="24"/>
        <v>0</v>
      </c>
    </row>
    <row r="188" spans="1:8">
      <c r="A188" s="1524" t="s">
        <v>1885</v>
      </c>
      <c r="B188" s="1525" t="s">
        <v>2617</v>
      </c>
      <c r="C188" s="1526">
        <v>28000</v>
      </c>
      <c r="D188" s="1526"/>
      <c r="E188" s="1527">
        <f t="shared" si="24"/>
        <v>28000</v>
      </c>
    </row>
    <row r="189" spans="1:8">
      <c r="A189" s="1524" t="s">
        <v>1887</v>
      </c>
      <c r="B189" s="1525" t="s">
        <v>1893</v>
      </c>
      <c r="C189" s="1526"/>
      <c r="D189" s="1526"/>
      <c r="E189" s="1527">
        <f t="shared" si="24"/>
        <v>0</v>
      </c>
    </row>
    <row r="190" spans="1:8">
      <c r="A190" s="1524" t="s">
        <v>1889</v>
      </c>
      <c r="B190" s="1525" t="s">
        <v>1895</v>
      </c>
      <c r="C190" s="1526"/>
      <c r="D190" s="1526"/>
      <c r="E190" s="1527">
        <f t="shared" si="24"/>
        <v>0</v>
      </c>
    </row>
    <row r="191" spans="1:8" s="938" customFormat="1" ht="12.75" thickBot="1">
      <c r="A191" s="1517" t="s">
        <v>1891</v>
      </c>
      <c r="B191" s="1528" t="s">
        <v>1897</v>
      </c>
      <c r="C191" s="1529"/>
      <c r="D191" s="1529"/>
      <c r="E191" s="1530">
        <f t="shared" si="24"/>
        <v>0</v>
      </c>
    </row>
    <row r="192" spans="1:8" s="938" customFormat="1" ht="12.75" thickBot="1">
      <c r="A192" s="1531" t="s">
        <v>1892</v>
      </c>
      <c r="B192" s="1532" t="s">
        <v>1899</v>
      </c>
      <c r="C192" s="1533">
        <v>0</v>
      </c>
      <c r="D192" s="1533">
        <v>0</v>
      </c>
      <c r="E192" s="1534">
        <f>+C192+D192</f>
        <v>0</v>
      </c>
      <c r="G192" s="118">
        <f>+'1.mell._Össz_Mérleg2018'!E146</f>
        <v>0</v>
      </c>
      <c r="H192" s="118">
        <f>+G192-E192</f>
        <v>0</v>
      </c>
    </row>
    <row r="193" spans="1:8" s="938" customFormat="1" ht="12.75" thickBot="1">
      <c r="A193" s="1531" t="s">
        <v>1894</v>
      </c>
      <c r="B193" s="1532" t="s">
        <v>2618</v>
      </c>
      <c r="C193" s="1533">
        <f>+C124+C129+C130+C131+C142+C153+C164+C166+C178+C179+C180+C181+C192</f>
        <v>68830</v>
      </c>
      <c r="D193" s="1533">
        <f>+D124+D129+D130+D131+D142+D153+D164+D166+D178+D179+D180+D181+D192</f>
        <v>0</v>
      </c>
      <c r="E193" s="1534">
        <f>+E124+E129+E130+E131+E142+E153+E164+E166+E178+E179+E180+E181+E192</f>
        <v>68830</v>
      </c>
      <c r="G193" s="118"/>
    </row>
    <row r="194" spans="1:8" s="938" customFormat="1">
      <c r="A194" s="1535" t="s">
        <v>1896</v>
      </c>
      <c r="B194" s="1536" t="s">
        <v>152</v>
      </c>
      <c r="C194" s="1537">
        <v>1102</v>
      </c>
      <c r="D194" s="1537"/>
      <c r="E194" s="1538">
        <f t="shared" ref="E194:E201" si="25">+C194+D194</f>
        <v>1102</v>
      </c>
      <c r="G194" s="118">
        <f>+'1.mell._Össz_Mérleg2018'!E152</f>
        <v>1102</v>
      </c>
      <c r="H194" s="118">
        <f t="shared" ref="H194:H195" si="26">+G194-E194</f>
        <v>0</v>
      </c>
    </row>
    <row r="195" spans="1:8">
      <c r="A195" s="1524" t="s">
        <v>1898</v>
      </c>
      <c r="B195" s="1525" t="s">
        <v>2619</v>
      </c>
      <c r="C195" s="1526">
        <v>312152</v>
      </c>
      <c r="D195" s="1526"/>
      <c r="E195" s="1527">
        <f t="shared" si="25"/>
        <v>312152</v>
      </c>
      <c r="G195" s="118">
        <f>+'1.mell._Össz_Mérleg2018'!E153</f>
        <v>312152</v>
      </c>
      <c r="H195" s="118">
        <f t="shared" si="26"/>
        <v>0</v>
      </c>
    </row>
    <row r="196" spans="1:8">
      <c r="A196" s="1524" t="s">
        <v>1900</v>
      </c>
      <c r="B196" s="1525" t="s">
        <v>1904</v>
      </c>
      <c r="C196" s="1526"/>
      <c r="D196" s="1526"/>
      <c r="E196" s="1527">
        <f t="shared" si="25"/>
        <v>0</v>
      </c>
    </row>
    <row r="197" spans="1:8">
      <c r="A197" s="1524" t="s">
        <v>1901</v>
      </c>
      <c r="B197" s="1525" t="s">
        <v>154</v>
      </c>
      <c r="C197" s="1526">
        <v>19415</v>
      </c>
      <c r="D197" s="1526"/>
      <c r="E197" s="1527">
        <f t="shared" si="25"/>
        <v>19415</v>
      </c>
      <c r="G197" s="118">
        <f>+'1.mell._Össz_Mérleg2018'!E154</f>
        <v>19415</v>
      </c>
      <c r="H197" s="118">
        <f t="shared" ref="H197:H201" si="27">+G197-E197</f>
        <v>0</v>
      </c>
    </row>
    <row r="198" spans="1:8">
      <c r="A198" s="1524" t="s">
        <v>1902</v>
      </c>
      <c r="B198" s="1525" t="s">
        <v>155</v>
      </c>
      <c r="C198" s="1526">
        <v>55680</v>
      </c>
      <c r="D198" s="1526"/>
      <c r="E198" s="1527">
        <f t="shared" si="25"/>
        <v>55680</v>
      </c>
      <c r="G198" s="118">
        <f>+'1.mell._Össz_Mérleg2018'!E155</f>
        <v>55680</v>
      </c>
      <c r="H198" s="118">
        <f t="shared" si="27"/>
        <v>0</v>
      </c>
    </row>
    <row r="199" spans="1:8">
      <c r="A199" s="1524" t="s">
        <v>1903</v>
      </c>
      <c r="B199" s="1525" t="s">
        <v>156</v>
      </c>
      <c r="C199" s="1526">
        <v>5000</v>
      </c>
      <c r="D199" s="1526"/>
      <c r="E199" s="1527">
        <f t="shared" si="25"/>
        <v>5000</v>
      </c>
      <c r="G199" s="118">
        <f>+'1.mell._Össz_Mérleg2018'!E156</f>
        <v>5000</v>
      </c>
      <c r="H199" s="118">
        <f t="shared" si="27"/>
        <v>0</v>
      </c>
    </row>
    <row r="200" spans="1:8">
      <c r="A200" s="1524" t="s">
        <v>1905</v>
      </c>
      <c r="B200" s="1525" t="s">
        <v>157</v>
      </c>
      <c r="C200" s="1526"/>
      <c r="D200" s="1526"/>
      <c r="E200" s="1527">
        <f t="shared" si="25"/>
        <v>0</v>
      </c>
      <c r="G200" s="118">
        <f>+'1.mell._Össz_Mérleg2018'!E157</f>
        <v>0</v>
      </c>
      <c r="H200" s="118">
        <f t="shared" si="27"/>
        <v>0</v>
      </c>
    </row>
    <row r="201" spans="1:8" ht="12.75" thickBot="1">
      <c r="A201" s="1517" t="s">
        <v>1906</v>
      </c>
      <c r="B201" s="1528" t="s">
        <v>158</v>
      </c>
      <c r="C201" s="1529">
        <v>83182</v>
      </c>
      <c r="D201" s="1529"/>
      <c r="E201" s="1530">
        <f t="shared" si="25"/>
        <v>83182</v>
      </c>
      <c r="G201" s="118">
        <f>+'1.mell._Össz_Mérleg2018'!E158</f>
        <v>83182</v>
      </c>
      <c r="H201" s="118">
        <f t="shared" si="27"/>
        <v>0</v>
      </c>
    </row>
    <row r="202" spans="1:8" ht="12.75" thickBot="1">
      <c r="A202" s="1531" t="s">
        <v>1907</v>
      </c>
      <c r="B202" s="1532" t="s">
        <v>2620</v>
      </c>
      <c r="C202" s="1533">
        <f>+C194+C195+C197+C198+C199+C200+C201</f>
        <v>476531</v>
      </c>
      <c r="D202" s="1533">
        <f>+D194+D195+D197+D198+D199+D200+D201</f>
        <v>0</v>
      </c>
      <c r="E202" s="1534">
        <f>+E194+E195+E197+E198+E199+E200+E201</f>
        <v>476531</v>
      </c>
      <c r="G202" s="118"/>
    </row>
    <row r="203" spans="1:8">
      <c r="A203" s="1535" t="s">
        <v>1908</v>
      </c>
      <c r="B203" s="1536" t="s">
        <v>159</v>
      </c>
      <c r="C203" s="1537">
        <v>178158</v>
      </c>
      <c r="D203" s="1537"/>
      <c r="E203" s="1538">
        <f>+C203+D203</f>
        <v>178158</v>
      </c>
      <c r="G203" s="118">
        <f>+'1.mell._Össz_Mérleg2018'!E161</f>
        <v>178158</v>
      </c>
      <c r="H203" s="118">
        <f t="shared" ref="H203:H206" si="28">+G203-E203</f>
        <v>0</v>
      </c>
    </row>
    <row r="204" spans="1:8">
      <c r="A204" s="1524" t="s">
        <v>1909</v>
      </c>
      <c r="B204" s="1525" t="s">
        <v>160</v>
      </c>
      <c r="C204" s="1526"/>
      <c r="D204" s="1526"/>
      <c r="E204" s="1527">
        <f>+C204+D204</f>
        <v>0</v>
      </c>
      <c r="G204" s="118">
        <f>+'1.mell._Össz_Mérleg2018'!E162</f>
        <v>0</v>
      </c>
      <c r="H204" s="118">
        <f t="shared" si="28"/>
        <v>0</v>
      </c>
    </row>
    <row r="205" spans="1:8" s="938" customFormat="1">
      <c r="A205" s="1524" t="s">
        <v>1910</v>
      </c>
      <c r="B205" s="1525" t="s">
        <v>161</v>
      </c>
      <c r="C205" s="1526">
        <v>2109</v>
      </c>
      <c r="D205" s="1526"/>
      <c r="E205" s="1527">
        <f>+C205+D205</f>
        <v>2109</v>
      </c>
      <c r="G205" s="118">
        <f>+'1.mell._Össz_Mérleg2018'!E163</f>
        <v>2109</v>
      </c>
      <c r="H205" s="118">
        <f t="shared" si="28"/>
        <v>0</v>
      </c>
    </row>
    <row r="206" spans="1:8" s="938" customFormat="1" ht="12.75" thickBot="1">
      <c r="A206" s="1517" t="s">
        <v>1911</v>
      </c>
      <c r="B206" s="1528" t="s">
        <v>162</v>
      </c>
      <c r="C206" s="1529">
        <v>48533</v>
      </c>
      <c r="D206" s="1529"/>
      <c r="E206" s="1530">
        <f>+C206+D206</f>
        <v>48533</v>
      </c>
      <c r="G206" s="118">
        <f>+'1.mell._Össz_Mérleg2018'!E164</f>
        <v>48533</v>
      </c>
      <c r="H206" s="118">
        <f t="shared" si="28"/>
        <v>0</v>
      </c>
    </row>
    <row r="207" spans="1:8" ht="12.75" thickBot="1">
      <c r="A207" s="1531" t="s">
        <v>1912</v>
      </c>
      <c r="B207" s="1532" t="s">
        <v>2621</v>
      </c>
      <c r="C207" s="1533">
        <f>SUM(C203:C206)</f>
        <v>228800</v>
      </c>
      <c r="D207" s="1533">
        <f>SUM(D203:D206)</f>
        <v>0</v>
      </c>
      <c r="E207" s="1534">
        <f>SUM(E203:E206)</f>
        <v>228800</v>
      </c>
      <c r="G207" s="118"/>
    </row>
    <row r="208" spans="1:8" ht="12.75" thickBot="1">
      <c r="A208" s="1531" t="s">
        <v>1913</v>
      </c>
      <c r="B208" s="1532" t="s">
        <v>163</v>
      </c>
      <c r="C208" s="1533">
        <v>0</v>
      </c>
      <c r="D208" s="1533">
        <v>0</v>
      </c>
      <c r="E208" s="1534">
        <f>+C208+D208</f>
        <v>0</v>
      </c>
      <c r="G208" s="118">
        <f>+'1.mell._Össz_Mérleg2018'!E166</f>
        <v>0</v>
      </c>
      <c r="H208" s="118">
        <f t="shared" ref="H208:H209" si="29">+G208-E208</f>
        <v>0</v>
      </c>
    </row>
    <row r="209" spans="1:8" ht="12.75" thickBot="1">
      <c r="A209" s="1531" t="s">
        <v>1914</v>
      </c>
      <c r="B209" s="1532" t="s">
        <v>2622</v>
      </c>
      <c r="C209" s="1533">
        <f>SUM(C210:C219)</f>
        <v>0</v>
      </c>
      <c r="D209" s="1533">
        <f>SUM(D210:D219)</f>
        <v>0</v>
      </c>
      <c r="E209" s="1534">
        <f>SUM(E210:E219)</f>
        <v>0</v>
      </c>
      <c r="G209" s="118">
        <f>+'1.mell._Össz_Mérleg2018'!E167</f>
        <v>0</v>
      </c>
      <c r="H209" s="118">
        <f t="shared" si="29"/>
        <v>0</v>
      </c>
    </row>
    <row r="210" spans="1:8">
      <c r="A210" s="1535" t="s">
        <v>1915</v>
      </c>
      <c r="B210" s="1536" t="s">
        <v>1919</v>
      </c>
      <c r="C210" s="1537"/>
      <c r="D210" s="1537"/>
      <c r="E210" s="1538">
        <f t="shared" ref="E210:E219" si="30">+C210+D210</f>
        <v>0</v>
      </c>
    </row>
    <row r="211" spans="1:8">
      <c r="A211" s="1524" t="s">
        <v>1916</v>
      </c>
      <c r="B211" s="1525" t="s">
        <v>1921</v>
      </c>
      <c r="C211" s="1526"/>
      <c r="D211" s="1526"/>
      <c r="E211" s="1527">
        <f t="shared" si="30"/>
        <v>0</v>
      </c>
    </row>
    <row r="212" spans="1:8">
      <c r="A212" s="1524" t="s">
        <v>1917</v>
      </c>
      <c r="B212" s="1525" t="s">
        <v>1923</v>
      </c>
      <c r="C212" s="1526"/>
      <c r="D212" s="1526"/>
      <c r="E212" s="1527">
        <f t="shared" si="30"/>
        <v>0</v>
      </c>
    </row>
    <row r="213" spans="1:8">
      <c r="A213" s="1524" t="s">
        <v>1918</v>
      </c>
      <c r="B213" s="1525" t="s">
        <v>1925</v>
      </c>
      <c r="C213" s="1526"/>
      <c r="D213" s="1526"/>
      <c r="E213" s="1527">
        <f t="shared" si="30"/>
        <v>0</v>
      </c>
    </row>
    <row r="214" spans="1:8">
      <c r="A214" s="1524" t="s">
        <v>1920</v>
      </c>
      <c r="B214" s="1525" t="s">
        <v>1927</v>
      </c>
      <c r="C214" s="1526"/>
      <c r="D214" s="1526"/>
      <c r="E214" s="1527">
        <f t="shared" si="30"/>
        <v>0</v>
      </c>
    </row>
    <row r="215" spans="1:8" s="938" customFormat="1">
      <c r="A215" s="1524" t="s">
        <v>1922</v>
      </c>
      <c r="B215" s="1525" t="s">
        <v>1929</v>
      </c>
      <c r="C215" s="1526"/>
      <c r="D215" s="1526"/>
      <c r="E215" s="1527">
        <f t="shared" si="30"/>
        <v>0</v>
      </c>
    </row>
    <row r="216" spans="1:8">
      <c r="A216" s="1524" t="s">
        <v>1924</v>
      </c>
      <c r="B216" s="1525" t="s">
        <v>1931</v>
      </c>
      <c r="C216" s="1526"/>
      <c r="D216" s="1526"/>
      <c r="E216" s="1527">
        <f t="shared" si="30"/>
        <v>0</v>
      </c>
    </row>
    <row r="217" spans="1:8">
      <c r="A217" s="1524" t="s">
        <v>1926</v>
      </c>
      <c r="B217" s="1525" t="s">
        <v>1933</v>
      </c>
      <c r="C217" s="1526"/>
      <c r="D217" s="1526"/>
      <c r="E217" s="1527">
        <f t="shared" si="30"/>
        <v>0</v>
      </c>
    </row>
    <row r="218" spans="1:8">
      <c r="A218" s="1524" t="s">
        <v>1928</v>
      </c>
      <c r="B218" s="1525" t="s">
        <v>1935</v>
      </c>
      <c r="C218" s="1526"/>
      <c r="D218" s="1526"/>
      <c r="E218" s="1527">
        <f t="shared" si="30"/>
        <v>0</v>
      </c>
    </row>
    <row r="219" spans="1:8" ht="12.75" thickBot="1">
      <c r="A219" s="1517" t="s">
        <v>1930</v>
      </c>
      <c r="B219" s="1528" t="s">
        <v>1937</v>
      </c>
      <c r="C219" s="1529"/>
      <c r="D219" s="1529"/>
      <c r="E219" s="1530">
        <f t="shared" si="30"/>
        <v>0</v>
      </c>
    </row>
    <row r="220" spans="1:8" s="938" customFormat="1" ht="12.75" thickBot="1">
      <c r="A220" s="1531" t="s">
        <v>1932</v>
      </c>
      <c r="B220" s="1532" t="s">
        <v>2623</v>
      </c>
      <c r="C220" s="1533">
        <f>SUM(C221:C230)</f>
        <v>0</v>
      </c>
      <c r="D220" s="1533">
        <f>SUM(D221:D230)</f>
        <v>0</v>
      </c>
      <c r="E220" s="1534">
        <f>SUM(E221:E230)</f>
        <v>0</v>
      </c>
      <c r="G220" s="118">
        <f>+'1.mell._Össz_Mérleg2018'!E168</f>
        <v>0</v>
      </c>
      <c r="H220" s="118">
        <f>+G220-E220</f>
        <v>0</v>
      </c>
    </row>
    <row r="221" spans="1:8" s="938" customFormat="1">
      <c r="A221" s="1535" t="s">
        <v>1934</v>
      </c>
      <c r="B221" s="1536" t="s">
        <v>1940</v>
      </c>
      <c r="C221" s="1537"/>
      <c r="D221" s="1537"/>
      <c r="E221" s="1538">
        <f t="shared" ref="E221:E230" si="31">+C221+D221</f>
        <v>0</v>
      </c>
    </row>
    <row r="222" spans="1:8" s="938" customFormat="1">
      <c r="A222" s="1524" t="s">
        <v>1936</v>
      </c>
      <c r="B222" s="1525" t="s">
        <v>1942</v>
      </c>
      <c r="C222" s="1526"/>
      <c r="D222" s="1526"/>
      <c r="E222" s="1527">
        <f t="shared" si="31"/>
        <v>0</v>
      </c>
    </row>
    <row r="223" spans="1:8">
      <c r="A223" s="1524" t="s">
        <v>1938</v>
      </c>
      <c r="B223" s="1525" t="s">
        <v>1944</v>
      </c>
      <c r="C223" s="1526"/>
      <c r="D223" s="1526"/>
      <c r="E223" s="1527">
        <f t="shared" si="31"/>
        <v>0</v>
      </c>
    </row>
    <row r="224" spans="1:8">
      <c r="A224" s="1524" t="s">
        <v>1939</v>
      </c>
      <c r="B224" s="1525" t="s">
        <v>1946</v>
      </c>
      <c r="C224" s="1526"/>
      <c r="D224" s="1526"/>
      <c r="E224" s="1527">
        <f t="shared" si="31"/>
        <v>0</v>
      </c>
    </row>
    <row r="225" spans="1:8">
      <c r="A225" s="1524" t="s">
        <v>1941</v>
      </c>
      <c r="B225" s="1525" t="s">
        <v>1948</v>
      </c>
      <c r="C225" s="1526"/>
      <c r="D225" s="1526"/>
      <c r="E225" s="1527">
        <f t="shared" si="31"/>
        <v>0</v>
      </c>
    </row>
    <row r="226" spans="1:8">
      <c r="A226" s="1524" t="s">
        <v>1943</v>
      </c>
      <c r="B226" s="1525" t="s">
        <v>1950</v>
      </c>
      <c r="C226" s="1526"/>
      <c r="D226" s="1526"/>
      <c r="E226" s="1527">
        <f t="shared" si="31"/>
        <v>0</v>
      </c>
    </row>
    <row r="227" spans="1:8">
      <c r="A227" s="1524" t="s">
        <v>1945</v>
      </c>
      <c r="B227" s="1525" t="s">
        <v>1952</v>
      </c>
      <c r="C227" s="1526"/>
      <c r="D227" s="1526"/>
      <c r="E227" s="1527">
        <f t="shared" si="31"/>
        <v>0</v>
      </c>
    </row>
    <row r="228" spans="1:8">
      <c r="A228" s="1524" t="s">
        <v>1947</v>
      </c>
      <c r="B228" s="1525" t="s">
        <v>1954</v>
      </c>
      <c r="C228" s="1526"/>
      <c r="D228" s="1526"/>
      <c r="E228" s="1527">
        <f t="shared" si="31"/>
        <v>0</v>
      </c>
    </row>
    <row r="229" spans="1:8">
      <c r="A229" s="1524" t="s">
        <v>1949</v>
      </c>
      <c r="B229" s="1525" t="s">
        <v>1956</v>
      </c>
      <c r="C229" s="1526"/>
      <c r="D229" s="1526"/>
      <c r="E229" s="1527">
        <f t="shared" si="31"/>
        <v>0</v>
      </c>
    </row>
    <row r="230" spans="1:8" ht="12.75" thickBot="1">
      <c r="A230" s="1517" t="s">
        <v>1951</v>
      </c>
      <c r="B230" s="1528" t="s">
        <v>1958</v>
      </c>
      <c r="C230" s="1529"/>
      <c r="D230" s="1529"/>
      <c r="E230" s="1530">
        <f t="shared" si="31"/>
        <v>0</v>
      </c>
    </row>
    <row r="231" spans="1:8" ht="12.75" thickBot="1">
      <c r="A231" s="1531" t="s">
        <v>1953</v>
      </c>
      <c r="B231" s="1532" t="s">
        <v>2624</v>
      </c>
      <c r="C231" s="1533">
        <f>SUM(C232:C241)</f>
        <v>1200</v>
      </c>
      <c r="D231" s="1533">
        <f>SUM(D232:D241)</f>
        <v>0</v>
      </c>
      <c r="E231" s="1534">
        <f>SUM(E232:E241)</f>
        <v>1200</v>
      </c>
      <c r="G231" s="118">
        <f>+'1.mell._Össz_Mérleg2018'!E169</f>
        <v>1200</v>
      </c>
      <c r="H231" s="118">
        <f>+G231-E231</f>
        <v>0</v>
      </c>
    </row>
    <row r="232" spans="1:8">
      <c r="A232" s="1535" t="s">
        <v>1955</v>
      </c>
      <c r="B232" s="1536" t="s">
        <v>1961</v>
      </c>
      <c r="C232" s="1537"/>
      <c r="D232" s="1537"/>
      <c r="E232" s="1538">
        <f t="shared" ref="E232:E241" si="32">+C232+D232</f>
        <v>0</v>
      </c>
    </row>
    <row r="233" spans="1:8" s="938" customFormat="1">
      <c r="A233" s="1524" t="s">
        <v>1957</v>
      </c>
      <c r="B233" s="1525" t="s">
        <v>1963</v>
      </c>
      <c r="C233" s="1526"/>
      <c r="D233" s="1526"/>
      <c r="E233" s="1527">
        <f t="shared" si="32"/>
        <v>0</v>
      </c>
    </row>
    <row r="234" spans="1:8">
      <c r="A234" s="1524" t="s">
        <v>1959</v>
      </c>
      <c r="B234" s="1525" t="s">
        <v>1965</v>
      </c>
      <c r="C234" s="1526"/>
      <c r="D234" s="1526"/>
      <c r="E234" s="1527">
        <f t="shared" si="32"/>
        <v>0</v>
      </c>
    </row>
    <row r="235" spans="1:8">
      <c r="A235" s="1524" t="s">
        <v>1960</v>
      </c>
      <c r="B235" s="1525" t="s">
        <v>1967</v>
      </c>
      <c r="C235" s="1526"/>
      <c r="D235" s="1526"/>
      <c r="E235" s="1527">
        <f t="shared" si="32"/>
        <v>0</v>
      </c>
    </row>
    <row r="236" spans="1:8">
      <c r="A236" s="1524" t="s">
        <v>1962</v>
      </c>
      <c r="B236" s="1525" t="s">
        <v>1969</v>
      </c>
      <c r="C236" s="1526"/>
      <c r="D236" s="1526"/>
      <c r="E236" s="1527">
        <f t="shared" si="32"/>
        <v>0</v>
      </c>
    </row>
    <row r="237" spans="1:8">
      <c r="A237" s="1524" t="s">
        <v>1964</v>
      </c>
      <c r="B237" s="1525" t="s">
        <v>1971</v>
      </c>
      <c r="C237" s="1526"/>
      <c r="D237" s="1526"/>
      <c r="E237" s="1527">
        <f t="shared" si="32"/>
        <v>0</v>
      </c>
    </row>
    <row r="238" spans="1:8">
      <c r="A238" s="1524" t="s">
        <v>1966</v>
      </c>
      <c r="B238" s="1525" t="s">
        <v>1973</v>
      </c>
      <c r="C238" s="1526"/>
      <c r="D238" s="1526"/>
      <c r="E238" s="1527">
        <f t="shared" si="32"/>
        <v>0</v>
      </c>
    </row>
    <row r="239" spans="1:8">
      <c r="A239" s="1524" t="s">
        <v>1968</v>
      </c>
      <c r="B239" s="1525" t="s">
        <v>1975</v>
      </c>
      <c r="C239" s="1526">
        <v>1200</v>
      </c>
      <c r="D239" s="1526"/>
      <c r="E239" s="1527">
        <f t="shared" si="32"/>
        <v>1200</v>
      </c>
    </row>
    <row r="240" spans="1:8">
      <c r="A240" s="1524" t="s">
        <v>1970</v>
      </c>
      <c r="B240" s="1525" t="s">
        <v>1977</v>
      </c>
      <c r="C240" s="1526"/>
      <c r="D240" s="1526"/>
      <c r="E240" s="1527">
        <f t="shared" si="32"/>
        <v>0</v>
      </c>
    </row>
    <row r="241" spans="1:8" ht="12.75" thickBot="1">
      <c r="A241" s="1517" t="s">
        <v>1972</v>
      </c>
      <c r="B241" s="1528" t="s">
        <v>1979</v>
      </c>
      <c r="C241" s="1529"/>
      <c r="D241" s="1529"/>
      <c r="E241" s="1530">
        <f t="shared" si="32"/>
        <v>0</v>
      </c>
    </row>
    <row r="242" spans="1:8" ht="12.75" thickBot="1">
      <c r="A242" s="1531" t="s">
        <v>1974</v>
      </c>
      <c r="B242" s="1532" t="s">
        <v>2625</v>
      </c>
      <c r="C242" s="1533">
        <v>0</v>
      </c>
      <c r="D242" s="1533">
        <v>0</v>
      </c>
      <c r="E242" s="1534">
        <f>+C242+D242</f>
        <v>0</v>
      </c>
      <c r="G242" s="118">
        <f>+'1.mell._Össz_Mérleg2018'!E171</f>
        <v>0</v>
      </c>
      <c r="H242" s="118">
        <f>+G242-E242</f>
        <v>0</v>
      </c>
    </row>
    <row r="243" spans="1:8" ht="12.75" thickBot="1">
      <c r="A243" s="1543" t="s">
        <v>1976</v>
      </c>
      <c r="B243" s="1544" t="s">
        <v>1982</v>
      </c>
      <c r="C243" s="1545"/>
      <c r="D243" s="1545"/>
      <c r="E243" s="1546">
        <f>+C243+D243</f>
        <v>0</v>
      </c>
    </row>
    <row r="244" spans="1:8" s="938" customFormat="1" ht="12.75" thickBot="1">
      <c r="A244" s="1531" t="s">
        <v>1978</v>
      </c>
      <c r="B244" s="1532" t="s">
        <v>2626</v>
      </c>
      <c r="C244" s="1533">
        <f>SUM(C245:C255)</f>
        <v>0</v>
      </c>
      <c r="D244" s="1533">
        <f>SUM(D245:D255)</f>
        <v>0</v>
      </c>
      <c r="E244" s="1534">
        <f>SUM(E245:E255)</f>
        <v>0</v>
      </c>
      <c r="G244" s="118">
        <f>+'1.mell._Össz_Mérleg2018'!E172</f>
        <v>0</v>
      </c>
      <c r="H244" s="118">
        <f>+G244-E244</f>
        <v>0</v>
      </c>
    </row>
    <row r="245" spans="1:8">
      <c r="A245" s="1535" t="s">
        <v>1980</v>
      </c>
      <c r="B245" s="1536" t="s">
        <v>1985</v>
      </c>
      <c r="C245" s="1537"/>
      <c r="D245" s="1537"/>
      <c r="E245" s="1538">
        <f t="shared" ref="E245:E255" si="33">+C245+D245</f>
        <v>0</v>
      </c>
    </row>
    <row r="246" spans="1:8">
      <c r="A246" s="1524" t="s">
        <v>1981</v>
      </c>
      <c r="B246" s="1525" t="s">
        <v>1987</v>
      </c>
      <c r="C246" s="1526"/>
      <c r="D246" s="1526"/>
      <c r="E246" s="1527">
        <f t="shared" si="33"/>
        <v>0</v>
      </c>
    </row>
    <row r="247" spans="1:8">
      <c r="A247" s="1524" t="s">
        <v>1983</v>
      </c>
      <c r="B247" s="1525" t="s">
        <v>1989</v>
      </c>
      <c r="C247" s="1526"/>
      <c r="D247" s="1526"/>
      <c r="E247" s="1527">
        <f t="shared" si="33"/>
        <v>0</v>
      </c>
    </row>
    <row r="248" spans="1:8">
      <c r="A248" s="1524" t="s">
        <v>1984</v>
      </c>
      <c r="B248" s="1525" t="s">
        <v>1991</v>
      </c>
      <c r="C248" s="1526"/>
      <c r="D248" s="1526"/>
      <c r="E248" s="1527">
        <f t="shared" si="33"/>
        <v>0</v>
      </c>
    </row>
    <row r="249" spans="1:8">
      <c r="A249" s="1524" t="s">
        <v>1986</v>
      </c>
      <c r="B249" s="1525" t="s">
        <v>1993</v>
      </c>
      <c r="C249" s="1526"/>
      <c r="D249" s="1526"/>
      <c r="E249" s="1527">
        <f t="shared" si="33"/>
        <v>0</v>
      </c>
    </row>
    <row r="250" spans="1:8">
      <c r="A250" s="1524" t="s">
        <v>1988</v>
      </c>
      <c r="B250" s="1525" t="s">
        <v>1995</v>
      </c>
      <c r="C250" s="1526"/>
      <c r="D250" s="1526"/>
      <c r="E250" s="1527">
        <f t="shared" si="33"/>
        <v>0</v>
      </c>
    </row>
    <row r="251" spans="1:8">
      <c r="A251" s="1524" t="s">
        <v>1990</v>
      </c>
      <c r="B251" s="1525" t="s">
        <v>2627</v>
      </c>
      <c r="C251" s="1526"/>
      <c r="D251" s="1526"/>
      <c r="E251" s="1527">
        <f t="shared" si="33"/>
        <v>0</v>
      </c>
    </row>
    <row r="252" spans="1:8">
      <c r="A252" s="1524" t="s">
        <v>1992</v>
      </c>
      <c r="B252" s="1525" t="s">
        <v>1998</v>
      </c>
      <c r="C252" s="1526"/>
      <c r="D252" s="1526"/>
      <c r="E252" s="1527">
        <f t="shared" si="33"/>
        <v>0</v>
      </c>
    </row>
    <row r="253" spans="1:8">
      <c r="A253" s="1524" t="s">
        <v>1994</v>
      </c>
      <c r="B253" s="1525" t="s">
        <v>2000</v>
      </c>
      <c r="C253" s="1526"/>
      <c r="D253" s="1526"/>
      <c r="E253" s="1527">
        <f t="shared" si="33"/>
        <v>0</v>
      </c>
    </row>
    <row r="254" spans="1:8">
      <c r="A254" s="1524" t="s">
        <v>1996</v>
      </c>
      <c r="B254" s="1525" t="s">
        <v>2002</v>
      </c>
      <c r="C254" s="1526"/>
      <c r="D254" s="1526"/>
      <c r="E254" s="1527">
        <f t="shared" si="33"/>
        <v>0</v>
      </c>
    </row>
    <row r="255" spans="1:8" s="938" customFormat="1" ht="12.75" thickBot="1">
      <c r="A255" s="1517" t="s">
        <v>1997</v>
      </c>
      <c r="B255" s="1528" t="s">
        <v>2004</v>
      </c>
      <c r="C255" s="1529"/>
      <c r="D255" s="1529"/>
      <c r="E255" s="1530">
        <f t="shared" si="33"/>
        <v>0</v>
      </c>
    </row>
    <row r="256" spans="1:8" ht="12.75" thickBot="1">
      <c r="A256" s="1531" t="s">
        <v>1999</v>
      </c>
      <c r="B256" s="1532" t="s">
        <v>169</v>
      </c>
      <c r="C256" s="1533">
        <v>0</v>
      </c>
      <c r="D256" s="1533">
        <v>0</v>
      </c>
      <c r="E256" s="1534">
        <f>+C256+D256</f>
        <v>0</v>
      </c>
      <c r="G256" s="118">
        <f>+'1.mell._Össz_Mérleg2018'!E173</f>
        <v>0</v>
      </c>
      <c r="H256" s="118">
        <f t="shared" ref="H256:H258" si="34">+G256-E256</f>
        <v>0</v>
      </c>
    </row>
    <row r="257" spans="1:8" s="938" customFormat="1" ht="12.75" thickBot="1">
      <c r="A257" s="1531" t="s">
        <v>2001</v>
      </c>
      <c r="B257" s="1532" t="s">
        <v>997</v>
      </c>
      <c r="C257" s="1533"/>
      <c r="D257" s="1533"/>
      <c r="E257" s="1534">
        <f>+C257+D257</f>
        <v>0</v>
      </c>
      <c r="G257" s="118">
        <f>+'1.mell._Össz_Mérleg2018'!E174</f>
        <v>0</v>
      </c>
      <c r="H257" s="118">
        <f t="shared" si="34"/>
        <v>0</v>
      </c>
    </row>
    <row r="258" spans="1:8" ht="12.75" thickBot="1">
      <c r="A258" s="1531" t="s">
        <v>2003</v>
      </c>
      <c r="B258" s="1532" t="s">
        <v>2628</v>
      </c>
      <c r="C258" s="1533">
        <f>SUM(C259:C268)</f>
        <v>0</v>
      </c>
      <c r="D258" s="1533">
        <f>SUM(D259:D268)</f>
        <v>0</v>
      </c>
      <c r="E258" s="1534">
        <f>SUM(E259:E268)</f>
        <v>0</v>
      </c>
      <c r="G258" s="118">
        <f>+'1.mell._Össz_Mérleg2018'!E175</f>
        <v>0</v>
      </c>
      <c r="H258" s="118">
        <f t="shared" si="34"/>
        <v>0</v>
      </c>
    </row>
    <row r="259" spans="1:8">
      <c r="A259" s="1535" t="s">
        <v>2005</v>
      </c>
      <c r="B259" s="1536" t="s">
        <v>2009</v>
      </c>
      <c r="C259" s="1537"/>
      <c r="D259" s="1537"/>
      <c r="E259" s="1538">
        <f t="shared" ref="E259:E268" si="35">+C259+D259</f>
        <v>0</v>
      </c>
    </row>
    <row r="260" spans="1:8">
      <c r="A260" s="1524" t="s">
        <v>2006</v>
      </c>
      <c r="B260" s="1525" t="s">
        <v>2011</v>
      </c>
      <c r="C260" s="1526"/>
      <c r="D260" s="1526"/>
      <c r="E260" s="1527">
        <f t="shared" si="35"/>
        <v>0</v>
      </c>
    </row>
    <row r="261" spans="1:8">
      <c r="A261" s="1524" t="s">
        <v>2007</v>
      </c>
      <c r="B261" s="1525" t="s">
        <v>2013</v>
      </c>
      <c r="C261" s="1526"/>
      <c r="D261" s="1526"/>
      <c r="E261" s="1527">
        <f t="shared" si="35"/>
        <v>0</v>
      </c>
    </row>
    <row r="262" spans="1:8">
      <c r="A262" s="1524" t="s">
        <v>2008</v>
      </c>
      <c r="B262" s="1525" t="s">
        <v>2015</v>
      </c>
      <c r="C262" s="1526"/>
      <c r="D262" s="1526"/>
      <c r="E262" s="1527">
        <f t="shared" si="35"/>
        <v>0</v>
      </c>
    </row>
    <row r="263" spans="1:8">
      <c r="A263" s="1524" t="s">
        <v>2010</v>
      </c>
      <c r="B263" s="1525" t="s">
        <v>2017</v>
      </c>
      <c r="C263" s="1526"/>
      <c r="D263" s="1526"/>
      <c r="E263" s="1527">
        <f t="shared" si="35"/>
        <v>0</v>
      </c>
    </row>
    <row r="264" spans="1:8">
      <c r="A264" s="1524" t="s">
        <v>2012</v>
      </c>
      <c r="B264" s="1547" t="s">
        <v>2019</v>
      </c>
      <c r="C264" s="988"/>
      <c r="D264" s="988"/>
      <c r="E264" s="989">
        <f t="shared" si="35"/>
        <v>0</v>
      </c>
    </row>
    <row r="265" spans="1:8">
      <c r="A265" s="1524" t="s">
        <v>2014</v>
      </c>
      <c r="B265" s="1547" t="s">
        <v>2629</v>
      </c>
      <c r="C265" s="988"/>
      <c r="D265" s="988"/>
      <c r="E265" s="989">
        <f t="shared" si="35"/>
        <v>0</v>
      </c>
    </row>
    <row r="266" spans="1:8">
      <c r="A266" s="1524" t="s">
        <v>2016</v>
      </c>
      <c r="B266" s="1547" t="s">
        <v>2022</v>
      </c>
      <c r="C266" s="988"/>
      <c r="D266" s="988"/>
      <c r="E266" s="989">
        <f t="shared" si="35"/>
        <v>0</v>
      </c>
    </row>
    <row r="267" spans="1:8">
      <c r="A267" s="1524" t="s">
        <v>2018</v>
      </c>
      <c r="B267" s="1547" t="s">
        <v>2024</v>
      </c>
      <c r="C267" s="988"/>
      <c r="D267" s="988"/>
      <c r="E267" s="989">
        <f t="shared" si="35"/>
        <v>0</v>
      </c>
    </row>
    <row r="268" spans="1:8" ht="12.75" thickBot="1">
      <c r="A268" s="1517" t="s">
        <v>2020</v>
      </c>
      <c r="B268" s="1548" t="s">
        <v>2026</v>
      </c>
      <c r="C268" s="991"/>
      <c r="D268" s="991"/>
      <c r="E268" s="992">
        <f t="shared" si="35"/>
        <v>0</v>
      </c>
    </row>
    <row r="269" spans="1:8" s="938" customFormat="1" ht="12.75" thickBot="1">
      <c r="A269" s="1531" t="s">
        <v>2021</v>
      </c>
      <c r="B269" s="1549" t="s">
        <v>2630</v>
      </c>
      <c r="C269" s="111">
        <f>+C208+C209+C220+C231+C242+C244+C256+C257+C258</f>
        <v>1200</v>
      </c>
      <c r="D269" s="111">
        <f>+D208+D209+D220+D231+D242+D244+D256+D257+D258</f>
        <v>0</v>
      </c>
      <c r="E269" s="112">
        <f>+E208+E209+E220+E231+E242+E244+E256+E257+E258</f>
        <v>1200</v>
      </c>
    </row>
    <row r="270" spans="1:8" ht="12.75" thickBot="1">
      <c r="A270" s="1531" t="s">
        <v>2023</v>
      </c>
      <c r="B270" s="1549" t="s">
        <v>2631</v>
      </c>
      <c r="C270" s="111">
        <f>+C25+C26+C65+C123+C193+C202+C207+C269</f>
        <v>2513536</v>
      </c>
      <c r="D270" s="111">
        <f>+D25+D26+D65+D123+D193+D202+D207+D269</f>
        <v>0</v>
      </c>
      <c r="E270" s="112">
        <f>+E25+E26+E65+E123+E193+E202+E207+E269</f>
        <v>2513536</v>
      </c>
      <c r="G270" s="118">
        <f>+'1.mell._Össz_Mérleg2018'!E176</f>
        <v>2513536</v>
      </c>
      <c r="H270" s="118">
        <f>+G270-E270</f>
        <v>0</v>
      </c>
    </row>
    <row r="272" spans="1:8">
      <c r="E272" s="118"/>
    </row>
    <row r="273" spans="5:5">
      <c r="E273" s="118"/>
    </row>
  </sheetData>
  <mergeCells count="1">
    <mergeCell ref="A2:E2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58" fitToHeight="3" orientation="portrait" r:id="rId1"/>
  <headerFooter alignWithMargins="0">
    <oddHeader>&amp;C15. melléklet - &amp;P. oldal</oddHeader>
  </headerFooter>
  <rowBreaks count="2" manualBreakCount="2">
    <brk id="102" max="4" man="1"/>
    <brk id="208" max="4" man="1"/>
  </rowBreaks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00B0F0"/>
  </sheetPr>
  <dimension ref="A1:H292"/>
  <sheetViews>
    <sheetView zoomScaleNormal="100" zoomScaleSheetLayoutView="85" workbookViewId="0">
      <pane ySplit="5" topLeftCell="A6" activePane="bottomLeft" state="frozen"/>
      <selection activeCell="C11" sqref="C11"/>
      <selection pane="bottomLeft" activeCell="A6" sqref="A6"/>
    </sheetView>
  </sheetViews>
  <sheetFormatPr defaultRowHeight="12"/>
  <cols>
    <col min="1" max="1" width="8.140625" style="943" customWidth="1"/>
    <col min="2" max="2" width="82" style="943" customWidth="1"/>
    <col min="3" max="5" width="19.140625" style="943" customWidth="1"/>
    <col min="6" max="6" width="9.140625" style="943"/>
    <col min="7" max="8" width="0" style="943" hidden="1" customWidth="1"/>
    <col min="9" max="254" width="9.140625" style="943"/>
    <col min="255" max="255" width="8.140625" style="943" customWidth="1"/>
    <col min="256" max="256" width="82" style="943" customWidth="1"/>
    <col min="257" max="259" width="19.140625" style="943" customWidth="1"/>
    <col min="260" max="510" width="9.140625" style="943"/>
    <col min="511" max="511" width="8.140625" style="943" customWidth="1"/>
    <col min="512" max="512" width="82" style="943" customWidth="1"/>
    <col min="513" max="515" width="19.140625" style="943" customWidth="1"/>
    <col min="516" max="766" width="9.140625" style="943"/>
    <col min="767" max="767" width="8.140625" style="943" customWidth="1"/>
    <col min="768" max="768" width="82" style="943" customWidth="1"/>
    <col min="769" max="771" width="19.140625" style="943" customWidth="1"/>
    <col min="772" max="1022" width="9.140625" style="943"/>
    <col min="1023" max="1023" width="8.140625" style="943" customWidth="1"/>
    <col min="1024" max="1024" width="82" style="943" customWidth="1"/>
    <col min="1025" max="1027" width="19.140625" style="943" customWidth="1"/>
    <col min="1028" max="1278" width="9.140625" style="943"/>
    <col min="1279" max="1279" width="8.140625" style="943" customWidth="1"/>
    <col min="1280" max="1280" width="82" style="943" customWidth="1"/>
    <col min="1281" max="1283" width="19.140625" style="943" customWidth="1"/>
    <col min="1284" max="1534" width="9.140625" style="943"/>
    <col min="1535" max="1535" width="8.140625" style="943" customWidth="1"/>
    <col min="1536" max="1536" width="82" style="943" customWidth="1"/>
    <col min="1537" max="1539" width="19.140625" style="943" customWidth="1"/>
    <col min="1540" max="1790" width="9.140625" style="943"/>
    <col min="1791" max="1791" width="8.140625" style="943" customWidth="1"/>
    <col min="1792" max="1792" width="82" style="943" customWidth="1"/>
    <col min="1793" max="1795" width="19.140625" style="943" customWidth="1"/>
    <col min="1796" max="2046" width="9.140625" style="943"/>
    <col min="2047" max="2047" width="8.140625" style="943" customWidth="1"/>
    <col min="2048" max="2048" width="82" style="943" customWidth="1"/>
    <col min="2049" max="2051" width="19.140625" style="943" customWidth="1"/>
    <col min="2052" max="2302" width="9.140625" style="943"/>
    <col min="2303" max="2303" width="8.140625" style="943" customWidth="1"/>
    <col min="2304" max="2304" width="82" style="943" customWidth="1"/>
    <col min="2305" max="2307" width="19.140625" style="943" customWidth="1"/>
    <col min="2308" max="2558" width="9.140625" style="943"/>
    <col min="2559" max="2559" width="8.140625" style="943" customWidth="1"/>
    <col min="2560" max="2560" width="82" style="943" customWidth="1"/>
    <col min="2561" max="2563" width="19.140625" style="943" customWidth="1"/>
    <col min="2564" max="2814" width="9.140625" style="943"/>
    <col min="2815" max="2815" width="8.140625" style="943" customWidth="1"/>
    <col min="2816" max="2816" width="82" style="943" customWidth="1"/>
    <col min="2817" max="2819" width="19.140625" style="943" customWidth="1"/>
    <col min="2820" max="3070" width="9.140625" style="943"/>
    <col min="3071" max="3071" width="8.140625" style="943" customWidth="1"/>
    <col min="3072" max="3072" width="82" style="943" customWidth="1"/>
    <col min="3073" max="3075" width="19.140625" style="943" customWidth="1"/>
    <col min="3076" max="3326" width="9.140625" style="943"/>
    <col min="3327" max="3327" width="8.140625" style="943" customWidth="1"/>
    <col min="3328" max="3328" width="82" style="943" customWidth="1"/>
    <col min="3329" max="3331" width="19.140625" style="943" customWidth="1"/>
    <col min="3332" max="3582" width="9.140625" style="943"/>
    <col min="3583" max="3583" width="8.140625" style="943" customWidth="1"/>
    <col min="3584" max="3584" width="82" style="943" customWidth="1"/>
    <col min="3585" max="3587" width="19.140625" style="943" customWidth="1"/>
    <col min="3588" max="3838" width="9.140625" style="943"/>
    <col min="3839" max="3839" width="8.140625" style="943" customWidth="1"/>
    <col min="3840" max="3840" width="82" style="943" customWidth="1"/>
    <col min="3841" max="3843" width="19.140625" style="943" customWidth="1"/>
    <col min="3844" max="4094" width="9.140625" style="943"/>
    <col min="4095" max="4095" width="8.140625" style="943" customWidth="1"/>
    <col min="4096" max="4096" width="82" style="943" customWidth="1"/>
    <col min="4097" max="4099" width="19.140625" style="943" customWidth="1"/>
    <col min="4100" max="4350" width="9.140625" style="943"/>
    <col min="4351" max="4351" width="8.140625" style="943" customWidth="1"/>
    <col min="4352" max="4352" width="82" style="943" customWidth="1"/>
    <col min="4353" max="4355" width="19.140625" style="943" customWidth="1"/>
    <col min="4356" max="4606" width="9.140625" style="943"/>
    <col min="4607" max="4607" width="8.140625" style="943" customWidth="1"/>
    <col min="4608" max="4608" width="82" style="943" customWidth="1"/>
    <col min="4609" max="4611" width="19.140625" style="943" customWidth="1"/>
    <col min="4612" max="4862" width="9.140625" style="943"/>
    <col min="4863" max="4863" width="8.140625" style="943" customWidth="1"/>
    <col min="4864" max="4864" width="82" style="943" customWidth="1"/>
    <col min="4865" max="4867" width="19.140625" style="943" customWidth="1"/>
    <col min="4868" max="5118" width="9.140625" style="943"/>
    <col min="5119" max="5119" width="8.140625" style="943" customWidth="1"/>
    <col min="5120" max="5120" width="82" style="943" customWidth="1"/>
    <col min="5121" max="5123" width="19.140625" style="943" customWidth="1"/>
    <col min="5124" max="5374" width="9.140625" style="943"/>
    <col min="5375" max="5375" width="8.140625" style="943" customWidth="1"/>
    <col min="5376" max="5376" width="82" style="943" customWidth="1"/>
    <col min="5377" max="5379" width="19.140625" style="943" customWidth="1"/>
    <col min="5380" max="5630" width="9.140625" style="943"/>
    <col min="5631" max="5631" width="8.140625" style="943" customWidth="1"/>
    <col min="5632" max="5632" width="82" style="943" customWidth="1"/>
    <col min="5633" max="5635" width="19.140625" style="943" customWidth="1"/>
    <col min="5636" max="5886" width="9.140625" style="943"/>
    <col min="5887" max="5887" width="8.140625" style="943" customWidth="1"/>
    <col min="5888" max="5888" width="82" style="943" customWidth="1"/>
    <col min="5889" max="5891" width="19.140625" style="943" customWidth="1"/>
    <col min="5892" max="6142" width="9.140625" style="943"/>
    <col min="6143" max="6143" width="8.140625" style="943" customWidth="1"/>
    <col min="6144" max="6144" width="82" style="943" customWidth="1"/>
    <col min="6145" max="6147" width="19.140625" style="943" customWidth="1"/>
    <col min="6148" max="6398" width="9.140625" style="943"/>
    <col min="6399" max="6399" width="8.140625" style="943" customWidth="1"/>
    <col min="6400" max="6400" width="82" style="943" customWidth="1"/>
    <col min="6401" max="6403" width="19.140625" style="943" customWidth="1"/>
    <col min="6404" max="6654" width="9.140625" style="943"/>
    <col min="6655" max="6655" width="8.140625" style="943" customWidth="1"/>
    <col min="6656" max="6656" width="82" style="943" customWidth="1"/>
    <col min="6657" max="6659" width="19.140625" style="943" customWidth="1"/>
    <col min="6660" max="6910" width="9.140625" style="943"/>
    <col min="6911" max="6911" width="8.140625" style="943" customWidth="1"/>
    <col min="6912" max="6912" width="82" style="943" customWidth="1"/>
    <col min="6913" max="6915" width="19.140625" style="943" customWidth="1"/>
    <col min="6916" max="7166" width="9.140625" style="943"/>
    <col min="7167" max="7167" width="8.140625" style="943" customWidth="1"/>
    <col min="7168" max="7168" width="82" style="943" customWidth="1"/>
    <col min="7169" max="7171" width="19.140625" style="943" customWidth="1"/>
    <col min="7172" max="7422" width="9.140625" style="943"/>
    <col min="7423" max="7423" width="8.140625" style="943" customWidth="1"/>
    <col min="7424" max="7424" width="82" style="943" customWidth="1"/>
    <col min="7425" max="7427" width="19.140625" style="943" customWidth="1"/>
    <col min="7428" max="7678" width="9.140625" style="943"/>
    <col min="7679" max="7679" width="8.140625" style="943" customWidth="1"/>
    <col min="7680" max="7680" width="82" style="943" customWidth="1"/>
    <col min="7681" max="7683" width="19.140625" style="943" customWidth="1"/>
    <col min="7684" max="7934" width="9.140625" style="943"/>
    <col min="7935" max="7935" width="8.140625" style="943" customWidth="1"/>
    <col min="7936" max="7936" width="82" style="943" customWidth="1"/>
    <col min="7937" max="7939" width="19.140625" style="943" customWidth="1"/>
    <col min="7940" max="8190" width="9.140625" style="943"/>
    <col min="8191" max="8191" width="8.140625" style="943" customWidth="1"/>
    <col min="8192" max="8192" width="82" style="943" customWidth="1"/>
    <col min="8193" max="8195" width="19.140625" style="943" customWidth="1"/>
    <col min="8196" max="8446" width="9.140625" style="943"/>
    <col min="8447" max="8447" width="8.140625" style="943" customWidth="1"/>
    <col min="8448" max="8448" width="82" style="943" customWidth="1"/>
    <col min="8449" max="8451" width="19.140625" style="943" customWidth="1"/>
    <col min="8452" max="8702" width="9.140625" style="943"/>
    <col min="8703" max="8703" width="8.140625" style="943" customWidth="1"/>
    <col min="8704" max="8704" width="82" style="943" customWidth="1"/>
    <col min="8705" max="8707" width="19.140625" style="943" customWidth="1"/>
    <col min="8708" max="8958" width="9.140625" style="943"/>
    <col min="8959" max="8959" width="8.140625" style="943" customWidth="1"/>
    <col min="8960" max="8960" width="82" style="943" customWidth="1"/>
    <col min="8961" max="8963" width="19.140625" style="943" customWidth="1"/>
    <col min="8964" max="9214" width="9.140625" style="943"/>
    <col min="9215" max="9215" width="8.140625" style="943" customWidth="1"/>
    <col min="9216" max="9216" width="82" style="943" customWidth="1"/>
    <col min="9217" max="9219" width="19.140625" style="943" customWidth="1"/>
    <col min="9220" max="9470" width="9.140625" style="943"/>
    <col min="9471" max="9471" width="8.140625" style="943" customWidth="1"/>
    <col min="9472" max="9472" width="82" style="943" customWidth="1"/>
    <col min="9473" max="9475" width="19.140625" style="943" customWidth="1"/>
    <col min="9476" max="9726" width="9.140625" style="943"/>
    <col min="9727" max="9727" width="8.140625" style="943" customWidth="1"/>
    <col min="9728" max="9728" width="82" style="943" customWidth="1"/>
    <col min="9729" max="9731" width="19.140625" style="943" customWidth="1"/>
    <col min="9732" max="9982" width="9.140625" style="943"/>
    <col min="9983" max="9983" width="8.140625" style="943" customWidth="1"/>
    <col min="9984" max="9984" width="82" style="943" customWidth="1"/>
    <col min="9985" max="9987" width="19.140625" style="943" customWidth="1"/>
    <col min="9988" max="10238" width="9.140625" style="943"/>
    <col min="10239" max="10239" width="8.140625" style="943" customWidth="1"/>
    <col min="10240" max="10240" width="82" style="943" customWidth="1"/>
    <col min="10241" max="10243" width="19.140625" style="943" customWidth="1"/>
    <col min="10244" max="10494" width="9.140625" style="943"/>
    <col min="10495" max="10495" width="8.140625" style="943" customWidth="1"/>
    <col min="10496" max="10496" width="82" style="943" customWidth="1"/>
    <col min="10497" max="10499" width="19.140625" style="943" customWidth="1"/>
    <col min="10500" max="10750" width="9.140625" style="943"/>
    <col min="10751" max="10751" width="8.140625" style="943" customWidth="1"/>
    <col min="10752" max="10752" width="82" style="943" customWidth="1"/>
    <col min="10753" max="10755" width="19.140625" style="943" customWidth="1"/>
    <col min="10756" max="11006" width="9.140625" style="943"/>
    <col min="11007" max="11007" width="8.140625" style="943" customWidth="1"/>
    <col min="11008" max="11008" width="82" style="943" customWidth="1"/>
    <col min="11009" max="11011" width="19.140625" style="943" customWidth="1"/>
    <col min="11012" max="11262" width="9.140625" style="943"/>
    <col min="11263" max="11263" width="8.140625" style="943" customWidth="1"/>
    <col min="11264" max="11264" width="82" style="943" customWidth="1"/>
    <col min="11265" max="11267" width="19.140625" style="943" customWidth="1"/>
    <col min="11268" max="11518" width="9.140625" style="943"/>
    <col min="11519" max="11519" width="8.140625" style="943" customWidth="1"/>
    <col min="11520" max="11520" width="82" style="943" customWidth="1"/>
    <col min="11521" max="11523" width="19.140625" style="943" customWidth="1"/>
    <col min="11524" max="11774" width="9.140625" style="943"/>
    <col min="11775" max="11775" width="8.140625" style="943" customWidth="1"/>
    <col min="11776" max="11776" width="82" style="943" customWidth="1"/>
    <col min="11777" max="11779" width="19.140625" style="943" customWidth="1"/>
    <col min="11780" max="12030" width="9.140625" style="943"/>
    <col min="12031" max="12031" width="8.140625" style="943" customWidth="1"/>
    <col min="12032" max="12032" width="82" style="943" customWidth="1"/>
    <col min="12033" max="12035" width="19.140625" style="943" customWidth="1"/>
    <col min="12036" max="12286" width="9.140625" style="943"/>
    <col min="12287" max="12287" width="8.140625" style="943" customWidth="1"/>
    <col min="12288" max="12288" width="82" style="943" customWidth="1"/>
    <col min="12289" max="12291" width="19.140625" style="943" customWidth="1"/>
    <col min="12292" max="12542" width="9.140625" style="943"/>
    <col min="12543" max="12543" width="8.140625" style="943" customWidth="1"/>
    <col min="12544" max="12544" width="82" style="943" customWidth="1"/>
    <col min="12545" max="12547" width="19.140625" style="943" customWidth="1"/>
    <col min="12548" max="12798" width="9.140625" style="943"/>
    <col min="12799" max="12799" width="8.140625" style="943" customWidth="1"/>
    <col min="12800" max="12800" width="82" style="943" customWidth="1"/>
    <col min="12801" max="12803" width="19.140625" style="943" customWidth="1"/>
    <col min="12804" max="13054" width="9.140625" style="943"/>
    <col min="13055" max="13055" width="8.140625" style="943" customWidth="1"/>
    <col min="13056" max="13056" width="82" style="943" customWidth="1"/>
    <col min="13057" max="13059" width="19.140625" style="943" customWidth="1"/>
    <col min="13060" max="13310" width="9.140625" style="943"/>
    <col min="13311" max="13311" width="8.140625" style="943" customWidth="1"/>
    <col min="13312" max="13312" width="82" style="943" customWidth="1"/>
    <col min="13313" max="13315" width="19.140625" style="943" customWidth="1"/>
    <col min="13316" max="13566" width="9.140625" style="943"/>
    <col min="13567" max="13567" width="8.140625" style="943" customWidth="1"/>
    <col min="13568" max="13568" width="82" style="943" customWidth="1"/>
    <col min="13569" max="13571" width="19.140625" style="943" customWidth="1"/>
    <col min="13572" max="13822" width="9.140625" style="943"/>
    <col min="13823" max="13823" width="8.140625" style="943" customWidth="1"/>
    <col min="13824" max="13824" width="82" style="943" customWidth="1"/>
    <col min="13825" max="13827" width="19.140625" style="943" customWidth="1"/>
    <col min="13828" max="14078" width="9.140625" style="943"/>
    <col min="14079" max="14079" width="8.140625" style="943" customWidth="1"/>
    <col min="14080" max="14080" width="82" style="943" customWidth="1"/>
    <col min="14081" max="14083" width="19.140625" style="943" customWidth="1"/>
    <col min="14084" max="14334" width="9.140625" style="943"/>
    <col min="14335" max="14335" width="8.140625" style="943" customWidth="1"/>
    <col min="14336" max="14336" width="82" style="943" customWidth="1"/>
    <col min="14337" max="14339" width="19.140625" style="943" customWidth="1"/>
    <col min="14340" max="14590" width="9.140625" style="943"/>
    <col min="14591" max="14591" width="8.140625" style="943" customWidth="1"/>
    <col min="14592" max="14592" width="82" style="943" customWidth="1"/>
    <col min="14593" max="14595" width="19.140625" style="943" customWidth="1"/>
    <col min="14596" max="14846" width="9.140625" style="943"/>
    <col min="14847" max="14847" width="8.140625" style="943" customWidth="1"/>
    <col min="14848" max="14848" width="82" style="943" customWidth="1"/>
    <col min="14849" max="14851" width="19.140625" style="943" customWidth="1"/>
    <col min="14852" max="15102" width="9.140625" style="943"/>
    <col min="15103" max="15103" width="8.140625" style="943" customWidth="1"/>
    <col min="15104" max="15104" width="82" style="943" customWidth="1"/>
    <col min="15105" max="15107" width="19.140625" style="943" customWidth="1"/>
    <col min="15108" max="15358" width="9.140625" style="943"/>
    <col min="15359" max="15359" width="8.140625" style="943" customWidth="1"/>
    <col min="15360" max="15360" width="82" style="943" customWidth="1"/>
    <col min="15361" max="15363" width="19.140625" style="943" customWidth="1"/>
    <col min="15364" max="15614" width="9.140625" style="943"/>
    <col min="15615" max="15615" width="8.140625" style="943" customWidth="1"/>
    <col min="15616" max="15616" width="82" style="943" customWidth="1"/>
    <col min="15617" max="15619" width="19.140625" style="943" customWidth="1"/>
    <col min="15620" max="15870" width="9.140625" style="943"/>
    <col min="15871" max="15871" width="8.140625" style="943" customWidth="1"/>
    <col min="15872" max="15872" width="82" style="943" customWidth="1"/>
    <col min="15873" max="15875" width="19.140625" style="943" customWidth="1"/>
    <col min="15876" max="16126" width="9.140625" style="943"/>
    <col min="16127" max="16127" width="8.140625" style="943" customWidth="1"/>
    <col min="16128" max="16128" width="82" style="943" customWidth="1"/>
    <col min="16129" max="16131" width="19.140625" style="943" customWidth="1"/>
    <col min="16132" max="16384" width="9.140625" style="943"/>
  </cols>
  <sheetData>
    <row r="1" spans="1:8" ht="15.75">
      <c r="E1" s="192" t="s">
        <v>903</v>
      </c>
    </row>
    <row r="2" spans="1:8" s="1552" customFormat="1" ht="15.75">
      <c r="A2" s="1550" t="s">
        <v>1504</v>
      </c>
      <c r="B2" s="1551"/>
      <c r="C2" s="1551"/>
      <c r="D2" s="1551"/>
      <c r="E2" s="1551"/>
    </row>
    <row r="3" spans="1:8" ht="12.75" thickBot="1">
      <c r="A3" s="1553"/>
      <c r="E3" s="242" t="s">
        <v>458</v>
      </c>
    </row>
    <row r="4" spans="1:8" s="1516" customFormat="1" ht="24">
      <c r="A4" s="1513" t="s">
        <v>1557</v>
      </c>
      <c r="B4" s="1514" t="s">
        <v>7</v>
      </c>
      <c r="C4" s="1514" t="s">
        <v>1558</v>
      </c>
      <c r="D4" s="1514" t="s">
        <v>1559</v>
      </c>
      <c r="E4" s="1515" t="s">
        <v>1560</v>
      </c>
    </row>
    <row r="5" spans="1:8" ht="12.75" thickBot="1">
      <c r="A5" s="1554">
        <v>2</v>
      </c>
      <c r="B5" s="1555">
        <v>3</v>
      </c>
      <c r="C5" s="1555">
        <v>4</v>
      </c>
      <c r="D5" s="1555">
        <v>5</v>
      </c>
      <c r="E5" s="1556">
        <v>6</v>
      </c>
    </row>
    <row r="6" spans="1:8">
      <c r="A6" s="1535" t="s">
        <v>1561</v>
      </c>
      <c r="B6" s="1536" t="s">
        <v>93</v>
      </c>
      <c r="C6" s="1537">
        <v>231822</v>
      </c>
      <c r="D6" s="1537"/>
      <c r="E6" s="1538">
        <f t="shared" ref="E6:E11" si="0">+C6+D6</f>
        <v>231822</v>
      </c>
      <c r="G6" s="118">
        <f>+'1.mell._Össz_Mérleg2018'!E13</f>
        <v>231822</v>
      </c>
      <c r="H6" s="118">
        <f t="shared" ref="H6:H11" si="1">+G6-E6</f>
        <v>0</v>
      </c>
    </row>
    <row r="7" spans="1:8">
      <c r="A7" s="1524" t="s">
        <v>1563</v>
      </c>
      <c r="B7" s="1525" t="s">
        <v>94</v>
      </c>
      <c r="C7" s="1526">
        <v>223149</v>
      </c>
      <c r="D7" s="1526"/>
      <c r="E7" s="1527">
        <f t="shared" si="0"/>
        <v>223149</v>
      </c>
      <c r="G7" s="118">
        <f>+'1.mell._Össz_Mérleg2018'!E14</f>
        <v>223149</v>
      </c>
      <c r="H7" s="118">
        <f t="shared" si="1"/>
        <v>0</v>
      </c>
    </row>
    <row r="8" spans="1:8">
      <c r="A8" s="1524" t="s">
        <v>1565</v>
      </c>
      <c r="B8" s="1525" t="s">
        <v>2029</v>
      </c>
      <c r="C8" s="1526">
        <v>254533</v>
      </c>
      <c r="D8" s="1526"/>
      <c r="E8" s="1527">
        <f t="shared" si="0"/>
        <v>254533</v>
      </c>
      <c r="G8" s="118">
        <f>+'1.mell._Össz_Mérleg2018'!E15</f>
        <v>254533</v>
      </c>
      <c r="H8" s="118">
        <f t="shared" si="1"/>
        <v>0</v>
      </c>
    </row>
    <row r="9" spans="1:8">
      <c r="A9" s="1524" t="s">
        <v>1567</v>
      </c>
      <c r="B9" s="1525" t="s">
        <v>96</v>
      </c>
      <c r="C9" s="1526">
        <v>21839</v>
      </c>
      <c r="D9" s="1526"/>
      <c r="E9" s="1527">
        <f t="shared" si="0"/>
        <v>21839</v>
      </c>
      <c r="G9" s="118">
        <f>+'1.mell._Össz_Mérleg2018'!E16</f>
        <v>21839</v>
      </c>
      <c r="H9" s="118">
        <f t="shared" si="1"/>
        <v>0</v>
      </c>
    </row>
    <row r="10" spans="1:8">
      <c r="A10" s="1524" t="s">
        <v>1569</v>
      </c>
      <c r="B10" s="1525" t="s">
        <v>959</v>
      </c>
      <c r="C10" s="1526">
        <v>58352</v>
      </c>
      <c r="D10" s="1526"/>
      <c r="E10" s="1527">
        <f t="shared" si="0"/>
        <v>58352</v>
      </c>
      <c r="G10" s="118">
        <f>+'1.mell._Össz_Mérleg2018'!E17</f>
        <v>58352</v>
      </c>
      <c r="H10" s="118">
        <f t="shared" si="1"/>
        <v>0</v>
      </c>
    </row>
    <row r="11" spans="1:8" ht="12.75" thickBot="1">
      <c r="A11" s="1517" t="s">
        <v>1571</v>
      </c>
      <c r="B11" s="1528" t="s">
        <v>960</v>
      </c>
      <c r="C11" s="1529"/>
      <c r="D11" s="1529"/>
      <c r="E11" s="1530">
        <f t="shared" si="0"/>
        <v>0</v>
      </c>
      <c r="G11" s="118">
        <f>+'1.mell._Össz_Mérleg2018'!E18</f>
        <v>0</v>
      </c>
      <c r="H11" s="118">
        <f t="shared" si="1"/>
        <v>0</v>
      </c>
    </row>
    <row r="12" spans="1:8" ht="12.75" thickBot="1">
      <c r="A12" s="1531" t="s">
        <v>1573</v>
      </c>
      <c r="B12" s="1532" t="s">
        <v>2030</v>
      </c>
      <c r="C12" s="1533">
        <f>SUM(C6:C11)</f>
        <v>789695</v>
      </c>
      <c r="D12" s="1533">
        <f>SUM(D6:D11)</f>
        <v>0</v>
      </c>
      <c r="E12" s="1534">
        <f>SUM(E6:E11)</f>
        <v>789695</v>
      </c>
    </row>
    <row r="13" spans="1:8" s="938" customFormat="1" ht="12.75" thickBot="1">
      <c r="A13" s="1531" t="s">
        <v>1575</v>
      </c>
      <c r="B13" s="1532" t="s">
        <v>97</v>
      </c>
      <c r="C13" s="1533">
        <v>1543</v>
      </c>
      <c r="D13" s="1533"/>
      <c r="E13" s="1534">
        <f>+C13+D13</f>
        <v>1543</v>
      </c>
      <c r="G13" s="118">
        <f>+'1.mell._Össz_Mérleg2018'!E19</f>
        <v>1543</v>
      </c>
      <c r="H13" s="118">
        <f t="shared" ref="H13:H15" si="2">+G13-E13</f>
        <v>0</v>
      </c>
    </row>
    <row r="14" spans="1:8" s="938" customFormat="1" ht="12.75" thickBot="1">
      <c r="A14" s="1539" t="s">
        <v>1577</v>
      </c>
      <c r="B14" s="1540" t="s">
        <v>98</v>
      </c>
      <c r="C14" s="1541"/>
      <c r="D14" s="1541"/>
      <c r="E14" s="1542">
        <f>+C14+D14</f>
        <v>0</v>
      </c>
      <c r="G14" s="118">
        <f>+'1.mell._Össz_Mérleg2018'!E20</f>
        <v>0</v>
      </c>
      <c r="H14" s="118">
        <f t="shared" si="2"/>
        <v>0</v>
      </c>
    </row>
    <row r="15" spans="1:8" s="938" customFormat="1" ht="24.75" thickBot="1">
      <c r="A15" s="1531" t="s">
        <v>1579</v>
      </c>
      <c r="B15" s="1532" t="s">
        <v>2031</v>
      </c>
      <c r="C15" s="1533">
        <f>SUM(C16:C25)</f>
        <v>0</v>
      </c>
      <c r="D15" s="1533">
        <f>SUM(D16:D25)</f>
        <v>0</v>
      </c>
      <c r="E15" s="1534">
        <f>SUM(E16:E25)</f>
        <v>0</v>
      </c>
      <c r="G15" s="118">
        <f>+'1.mell._Össz_Mérleg2018'!E21</f>
        <v>0</v>
      </c>
      <c r="H15" s="118">
        <f t="shared" si="2"/>
        <v>0</v>
      </c>
    </row>
    <row r="16" spans="1:8">
      <c r="A16" s="1535" t="s">
        <v>1581</v>
      </c>
      <c r="B16" s="1536" t="s">
        <v>2032</v>
      </c>
      <c r="C16" s="1537"/>
      <c r="D16" s="1537"/>
      <c r="E16" s="1538">
        <f t="shared" ref="E16:E25" si="3">+C16+D16</f>
        <v>0</v>
      </c>
    </row>
    <row r="17" spans="1:8">
      <c r="A17" s="1524" t="s">
        <v>1583</v>
      </c>
      <c r="B17" s="1525" t="s">
        <v>2033</v>
      </c>
      <c r="C17" s="1526"/>
      <c r="D17" s="1526"/>
      <c r="E17" s="1527">
        <f t="shared" si="3"/>
        <v>0</v>
      </c>
    </row>
    <row r="18" spans="1:8">
      <c r="A18" s="1524" t="s">
        <v>1585</v>
      </c>
      <c r="B18" s="1525" t="s">
        <v>2034</v>
      </c>
      <c r="C18" s="1526"/>
      <c r="D18" s="1526"/>
      <c r="E18" s="1527">
        <f t="shared" si="3"/>
        <v>0</v>
      </c>
    </row>
    <row r="19" spans="1:8">
      <c r="A19" s="1524" t="s">
        <v>1587</v>
      </c>
      <c r="B19" s="1525" t="s">
        <v>2035</v>
      </c>
      <c r="C19" s="1526"/>
      <c r="D19" s="1526"/>
      <c r="E19" s="1527">
        <f t="shared" si="3"/>
        <v>0</v>
      </c>
    </row>
    <row r="20" spans="1:8">
      <c r="A20" s="1524" t="s">
        <v>1589</v>
      </c>
      <c r="B20" s="1525" t="s">
        <v>2036</v>
      </c>
      <c r="C20" s="1526"/>
      <c r="D20" s="1526"/>
      <c r="E20" s="1527">
        <f t="shared" si="3"/>
        <v>0</v>
      </c>
    </row>
    <row r="21" spans="1:8">
      <c r="A21" s="1524" t="s">
        <v>1591</v>
      </c>
      <c r="B21" s="1525" t="s">
        <v>2037</v>
      </c>
      <c r="C21" s="1526"/>
      <c r="D21" s="1526"/>
      <c r="E21" s="1527">
        <f t="shared" si="3"/>
        <v>0</v>
      </c>
    </row>
    <row r="22" spans="1:8">
      <c r="A22" s="1524" t="s">
        <v>1593</v>
      </c>
      <c r="B22" s="1525" t="s">
        <v>2038</v>
      </c>
      <c r="C22" s="1526"/>
      <c r="D22" s="1526"/>
      <c r="E22" s="1527">
        <f t="shared" si="3"/>
        <v>0</v>
      </c>
    </row>
    <row r="23" spans="1:8">
      <c r="A23" s="1524" t="s">
        <v>1595</v>
      </c>
      <c r="B23" s="1525" t="s">
        <v>2039</v>
      </c>
      <c r="C23" s="1526"/>
      <c r="D23" s="1526"/>
      <c r="E23" s="1527">
        <f t="shared" si="3"/>
        <v>0</v>
      </c>
    </row>
    <row r="24" spans="1:8">
      <c r="A24" s="1524" t="s">
        <v>1597</v>
      </c>
      <c r="B24" s="1525" t="s">
        <v>2040</v>
      </c>
      <c r="C24" s="1526"/>
      <c r="D24" s="1526"/>
      <c r="E24" s="1527">
        <f t="shared" si="3"/>
        <v>0</v>
      </c>
    </row>
    <row r="25" spans="1:8" ht="12.75" thickBot="1">
      <c r="A25" s="1517" t="s">
        <v>1599</v>
      </c>
      <c r="B25" s="1528" t="s">
        <v>2041</v>
      </c>
      <c r="C25" s="1529"/>
      <c r="D25" s="1529"/>
      <c r="E25" s="1530">
        <f t="shared" si="3"/>
        <v>0</v>
      </c>
    </row>
    <row r="26" spans="1:8" s="938" customFormat="1" ht="24.75" thickBot="1">
      <c r="A26" s="1531" t="s">
        <v>1601</v>
      </c>
      <c r="B26" s="1532" t="s">
        <v>2042</v>
      </c>
      <c r="C26" s="1533">
        <f>SUM(C27:C36)</f>
        <v>0</v>
      </c>
      <c r="D26" s="1533">
        <f>SUM(D27:D36)</f>
        <v>0</v>
      </c>
      <c r="E26" s="1534">
        <f>SUM(E27:E36)</f>
        <v>0</v>
      </c>
      <c r="G26" s="118">
        <f>+'1.mell._Össz_Mérleg2018'!E22</f>
        <v>0</v>
      </c>
      <c r="H26" s="118">
        <f>+G26-E26</f>
        <v>0</v>
      </c>
    </row>
    <row r="27" spans="1:8">
      <c r="A27" s="1535" t="s">
        <v>1602</v>
      </c>
      <c r="B27" s="1536" t="s">
        <v>2043</v>
      </c>
      <c r="C27" s="1537"/>
      <c r="D27" s="1537"/>
      <c r="E27" s="1538">
        <f t="shared" ref="E27:E36" si="4">+C27+D27</f>
        <v>0</v>
      </c>
    </row>
    <row r="28" spans="1:8">
      <c r="A28" s="1524" t="s">
        <v>1604</v>
      </c>
      <c r="B28" s="1525" t="s">
        <v>2044</v>
      </c>
      <c r="C28" s="1526"/>
      <c r="D28" s="1526"/>
      <c r="E28" s="1527">
        <f t="shared" si="4"/>
        <v>0</v>
      </c>
    </row>
    <row r="29" spans="1:8">
      <c r="A29" s="1524" t="s">
        <v>1606</v>
      </c>
      <c r="B29" s="1525" t="s">
        <v>2045</v>
      </c>
      <c r="C29" s="1526"/>
      <c r="D29" s="1526"/>
      <c r="E29" s="1527">
        <f t="shared" si="4"/>
        <v>0</v>
      </c>
    </row>
    <row r="30" spans="1:8">
      <c r="A30" s="1524" t="s">
        <v>1607</v>
      </c>
      <c r="B30" s="1525" t="s">
        <v>2046</v>
      </c>
      <c r="C30" s="1526"/>
      <c r="D30" s="1526"/>
      <c r="E30" s="1527">
        <f t="shared" si="4"/>
        <v>0</v>
      </c>
    </row>
    <row r="31" spans="1:8">
      <c r="A31" s="1524" t="s">
        <v>1609</v>
      </c>
      <c r="B31" s="1525" t="s">
        <v>2047</v>
      </c>
      <c r="C31" s="1526"/>
      <c r="D31" s="1526"/>
      <c r="E31" s="1527">
        <f t="shared" si="4"/>
        <v>0</v>
      </c>
    </row>
    <row r="32" spans="1:8">
      <c r="A32" s="1524" t="s">
        <v>1611</v>
      </c>
      <c r="B32" s="1525" t="s">
        <v>2048</v>
      </c>
      <c r="C32" s="1526"/>
      <c r="D32" s="1526"/>
      <c r="E32" s="1527">
        <f t="shared" si="4"/>
        <v>0</v>
      </c>
    </row>
    <row r="33" spans="1:8">
      <c r="A33" s="1524" t="s">
        <v>1613</v>
      </c>
      <c r="B33" s="1525" t="s">
        <v>2049</v>
      </c>
      <c r="C33" s="1526"/>
      <c r="D33" s="1526"/>
      <c r="E33" s="1527">
        <f t="shared" si="4"/>
        <v>0</v>
      </c>
    </row>
    <row r="34" spans="1:8">
      <c r="A34" s="1524" t="s">
        <v>1615</v>
      </c>
      <c r="B34" s="1525" t="s">
        <v>2050</v>
      </c>
      <c r="C34" s="1526"/>
      <c r="D34" s="1526"/>
      <c r="E34" s="1527">
        <f t="shared" si="4"/>
        <v>0</v>
      </c>
    </row>
    <row r="35" spans="1:8">
      <c r="A35" s="1524" t="s">
        <v>1617</v>
      </c>
      <c r="B35" s="1525" t="s">
        <v>2051</v>
      </c>
      <c r="C35" s="1526"/>
      <c r="D35" s="1526"/>
      <c r="E35" s="1527">
        <f t="shared" si="4"/>
        <v>0</v>
      </c>
    </row>
    <row r="36" spans="1:8" ht="12.75" thickBot="1">
      <c r="A36" s="1517" t="s">
        <v>1619</v>
      </c>
      <c r="B36" s="1528" t="s">
        <v>2052</v>
      </c>
      <c r="C36" s="1529"/>
      <c r="D36" s="1529"/>
      <c r="E36" s="1530">
        <f t="shared" si="4"/>
        <v>0</v>
      </c>
    </row>
    <row r="37" spans="1:8" s="938" customFormat="1" ht="12.75" thickBot="1">
      <c r="A37" s="1531" t="s">
        <v>1621</v>
      </c>
      <c r="B37" s="1532" t="s">
        <v>2053</v>
      </c>
      <c r="C37" s="1533">
        <f>SUM(C38:C47)</f>
        <v>800991</v>
      </c>
      <c r="D37" s="1533">
        <f>SUM(D38:D47)</f>
        <v>0</v>
      </c>
      <c r="E37" s="1534">
        <f>SUM(E38:E47)</f>
        <v>800991</v>
      </c>
      <c r="G37" s="118">
        <f>+'1.mell._Össz_Mérleg2018'!E23</f>
        <v>800991</v>
      </c>
      <c r="H37" s="118">
        <f>+G37-E37</f>
        <v>0</v>
      </c>
    </row>
    <row r="38" spans="1:8">
      <c r="A38" s="1535" t="s">
        <v>1622</v>
      </c>
      <c r="B38" s="1536" t="s">
        <v>2054</v>
      </c>
      <c r="C38" s="1537">
        <v>150</v>
      </c>
      <c r="D38" s="1537"/>
      <c r="E38" s="1538">
        <f t="shared" ref="E38:E47" si="5">+C38+D38</f>
        <v>150</v>
      </c>
    </row>
    <row r="39" spans="1:8">
      <c r="A39" s="1524" t="s">
        <v>1624</v>
      </c>
      <c r="B39" s="1525" t="s">
        <v>2055</v>
      </c>
      <c r="C39" s="1526">
        <v>12951</v>
      </c>
      <c r="D39" s="1526"/>
      <c r="E39" s="1527">
        <f t="shared" si="5"/>
        <v>12951</v>
      </c>
    </row>
    <row r="40" spans="1:8">
      <c r="A40" s="1524" t="s">
        <v>1626</v>
      </c>
      <c r="B40" s="1525" t="s">
        <v>2056</v>
      </c>
      <c r="C40" s="1526">
        <v>564550</v>
      </c>
      <c r="D40" s="1526"/>
      <c r="E40" s="1527">
        <f t="shared" si="5"/>
        <v>564550</v>
      </c>
    </row>
    <row r="41" spans="1:8">
      <c r="A41" s="1524" t="s">
        <v>1627</v>
      </c>
      <c r="B41" s="1525" t="s">
        <v>2057</v>
      </c>
      <c r="C41" s="1526">
        <v>11867</v>
      </c>
      <c r="D41" s="1526"/>
      <c r="E41" s="1527">
        <f t="shared" si="5"/>
        <v>11867</v>
      </c>
    </row>
    <row r="42" spans="1:8">
      <c r="A42" s="1524" t="s">
        <v>1629</v>
      </c>
      <c r="B42" s="1525" t="s">
        <v>2058</v>
      </c>
      <c r="C42" s="1526"/>
      <c r="D42" s="1526"/>
      <c r="E42" s="1527">
        <f t="shared" si="5"/>
        <v>0</v>
      </c>
    </row>
    <row r="43" spans="1:8">
      <c r="A43" s="1524" t="s">
        <v>1631</v>
      </c>
      <c r="B43" s="1525" t="s">
        <v>2059</v>
      </c>
      <c r="C43" s="1526">
        <v>211473</v>
      </c>
      <c r="D43" s="1526"/>
      <c r="E43" s="1527">
        <f t="shared" si="5"/>
        <v>211473</v>
      </c>
    </row>
    <row r="44" spans="1:8">
      <c r="A44" s="1524" t="s">
        <v>1632</v>
      </c>
      <c r="B44" s="1525" t="s">
        <v>2060</v>
      </c>
      <c r="C44" s="1526"/>
      <c r="D44" s="1526"/>
      <c r="E44" s="1527">
        <f t="shared" si="5"/>
        <v>0</v>
      </c>
    </row>
    <row r="45" spans="1:8">
      <c r="A45" s="1524" t="s">
        <v>1634</v>
      </c>
      <c r="B45" s="1525" t="s">
        <v>2061</v>
      </c>
      <c r="C45" s="1526"/>
      <c r="D45" s="1526"/>
      <c r="E45" s="1527">
        <f t="shared" si="5"/>
        <v>0</v>
      </c>
    </row>
    <row r="46" spans="1:8">
      <c r="A46" s="1524" t="s">
        <v>1636</v>
      </c>
      <c r="B46" s="1525" t="s">
        <v>2062</v>
      </c>
      <c r="C46" s="1526"/>
      <c r="D46" s="1526"/>
      <c r="E46" s="1527">
        <f t="shared" si="5"/>
        <v>0</v>
      </c>
    </row>
    <row r="47" spans="1:8" ht="12.75" thickBot="1">
      <c r="A47" s="1517" t="s">
        <v>1637</v>
      </c>
      <c r="B47" s="1528" t="s">
        <v>2063</v>
      </c>
      <c r="C47" s="1529"/>
      <c r="D47" s="1529"/>
      <c r="E47" s="1530">
        <f t="shared" si="5"/>
        <v>0</v>
      </c>
    </row>
    <row r="48" spans="1:8" ht="12.75" thickBot="1">
      <c r="A48" s="1531" t="s">
        <v>1639</v>
      </c>
      <c r="B48" s="1532" t="s">
        <v>2064</v>
      </c>
      <c r="C48" s="1533">
        <f>+C12+C13+C14+C15+C26+C37</f>
        <v>1592229</v>
      </c>
      <c r="D48" s="1533">
        <f>+D12+D13+D14+D15+D26+D37</f>
        <v>0</v>
      </c>
      <c r="E48" s="1534">
        <f>+E12+E13+E14+E15+E26+E37</f>
        <v>1592229</v>
      </c>
    </row>
    <row r="49" spans="1:8" ht="12.75" thickBot="1">
      <c r="A49" s="1557" t="s">
        <v>1641</v>
      </c>
      <c r="B49" s="1558" t="s">
        <v>116</v>
      </c>
      <c r="C49" s="1559">
        <v>22708</v>
      </c>
      <c r="D49" s="1559"/>
      <c r="E49" s="1560">
        <f>+C49+D49</f>
        <v>22708</v>
      </c>
      <c r="G49" s="118">
        <f>+'1.mell._Össz_Mérleg2018'!E52</f>
        <v>22708</v>
      </c>
      <c r="H49" s="118">
        <f t="shared" ref="H49:H51" si="6">+G49-E49</f>
        <v>0</v>
      </c>
    </row>
    <row r="50" spans="1:8" ht="24.75" thickBot="1">
      <c r="A50" s="1531" t="s">
        <v>1642</v>
      </c>
      <c r="B50" s="1532" t="s">
        <v>117</v>
      </c>
      <c r="C50" s="1533"/>
      <c r="D50" s="1533"/>
      <c r="E50" s="1534">
        <f>+C50+D50</f>
        <v>0</v>
      </c>
      <c r="G50" s="118">
        <f>+'1.mell._Össz_Mérleg2018'!E53</f>
        <v>0</v>
      </c>
      <c r="H50" s="118">
        <f t="shared" si="6"/>
        <v>0</v>
      </c>
    </row>
    <row r="51" spans="1:8" ht="24.75" thickBot="1">
      <c r="A51" s="1561" t="s">
        <v>1644</v>
      </c>
      <c r="B51" s="1562" t="s">
        <v>2065</v>
      </c>
      <c r="C51" s="1563">
        <f>SUM(C52:C61)</f>
        <v>0</v>
      </c>
      <c r="D51" s="1563">
        <f>SUM(D52:D61)</f>
        <v>0</v>
      </c>
      <c r="E51" s="1564">
        <f>SUM(E52:E61)</f>
        <v>0</v>
      </c>
      <c r="G51" s="118">
        <f>+'1.mell._Össz_Mérleg2018'!E54</f>
        <v>0</v>
      </c>
      <c r="H51" s="118">
        <f t="shared" si="6"/>
        <v>0</v>
      </c>
    </row>
    <row r="52" spans="1:8">
      <c r="A52" s="1535" t="s">
        <v>1645</v>
      </c>
      <c r="B52" s="1536" t="s">
        <v>2066</v>
      </c>
      <c r="C52" s="1537"/>
      <c r="D52" s="1537"/>
      <c r="E52" s="1538">
        <f t="shared" ref="E52:E61" si="7">+C52+D52</f>
        <v>0</v>
      </c>
    </row>
    <row r="53" spans="1:8">
      <c r="A53" s="1524" t="s">
        <v>1647</v>
      </c>
      <c r="B53" s="1525" t="s">
        <v>2067</v>
      </c>
      <c r="C53" s="1526"/>
      <c r="D53" s="1526"/>
      <c r="E53" s="1527">
        <f t="shared" si="7"/>
        <v>0</v>
      </c>
      <c r="G53" s="118"/>
    </row>
    <row r="54" spans="1:8">
      <c r="A54" s="1524" t="s">
        <v>1649</v>
      </c>
      <c r="B54" s="1525" t="s">
        <v>2068</v>
      </c>
      <c r="C54" s="1526"/>
      <c r="D54" s="1526"/>
      <c r="E54" s="1527">
        <f t="shared" si="7"/>
        <v>0</v>
      </c>
    </row>
    <row r="55" spans="1:8">
      <c r="A55" s="1524" t="s">
        <v>1650</v>
      </c>
      <c r="B55" s="1525" t="s">
        <v>2069</v>
      </c>
      <c r="C55" s="1526"/>
      <c r="D55" s="1526"/>
      <c r="E55" s="1527">
        <f t="shared" si="7"/>
        <v>0</v>
      </c>
    </row>
    <row r="56" spans="1:8">
      <c r="A56" s="1524" t="s">
        <v>1652</v>
      </c>
      <c r="B56" s="1525" t="s">
        <v>2070</v>
      </c>
      <c r="C56" s="1526"/>
      <c r="D56" s="1526"/>
      <c r="E56" s="1527">
        <f t="shared" si="7"/>
        <v>0</v>
      </c>
    </row>
    <row r="57" spans="1:8">
      <c r="A57" s="1524" t="s">
        <v>1654</v>
      </c>
      <c r="B57" s="1525" t="s">
        <v>2071</v>
      </c>
      <c r="C57" s="1526"/>
      <c r="D57" s="1526"/>
      <c r="E57" s="1527">
        <f t="shared" si="7"/>
        <v>0</v>
      </c>
    </row>
    <row r="58" spans="1:8">
      <c r="A58" s="1524" t="s">
        <v>1655</v>
      </c>
      <c r="B58" s="1525" t="s">
        <v>2072</v>
      </c>
      <c r="C58" s="1526"/>
      <c r="D58" s="1526"/>
      <c r="E58" s="1527">
        <f t="shared" si="7"/>
        <v>0</v>
      </c>
    </row>
    <row r="59" spans="1:8">
      <c r="A59" s="1524" t="s">
        <v>1657</v>
      </c>
      <c r="B59" s="1525" t="s">
        <v>2073</v>
      </c>
      <c r="C59" s="1526"/>
      <c r="D59" s="1526"/>
      <c r="E59" s="1527">
        <f t="shared" si="7"/>
        <v>0</v>
      </c>
    </row>
    <row r="60" spans="1:8">
      <c r="A60" s="1524" t="s">
        <v>1659</v>
      </c>
      <c r="B60" s="1525" t="s">
        <v>2074</v>
      </c>
      <c r="C60" s="1526"/>
      <c r="D60" s="1526"/>
      <c r="E60" s="1527">
        <f t="shared" si="7"/>
        <v>0</v>
      </c>
    </row>
    <row r="61" spans="1:8" ht="12.75" thickBot="1">
      <c r="A61" s="1517" t="s">
        <v>1660</v>
      </c>
      <c r="B61" s="1528" t="s">
        <v>2075</v>
      </c>
      <c r="C61" s="1529"/>
      <c r="D61" s="1529"/>
      <c r="E61" s="1530">
        <f t="shared" si="7"/>
        <v>0</v>
      </c>
    </row>
    <row r="62" spans="1:8" s="938" customFormat="1" ht="24.75" thickBot="1">
      <c r="A62" s="1531" t="s">
        <v>1662</v>
      </c>
      <c r="B62" s="1532" t="s">
        <v>2076</v>
      </c>
      <c r="C62" s="1533">
        <f>SUM(C63:C72)</f>
        <v>0</v>
      </c>
      <c r="D62" s="1533">
        <f>SUM(D63:D72)</f>
        <v>0</v>
      </c>
      <c r="E62" s="1534">
        <f>SUM(E63:E72)</f>
        <v>0</v>
      </c>
      <c r="G62" s="118">
        <f>+'1.mell._Össz_Mérleg2018'!E55</f>
        <v>0</v>
      </c>
      <c r="H62" s="118">
        <f>+G62-E62</f>
        <v>0</v>
      </c>
    </row>
    <row r="63" spans="1:8">
      <c r="A63" s="1535" t="s">
        <v>1664</v>
      </c>
      <c r="B63" s="1536" t="s">
        <v>2077</v>
      </c>
      <c r="C63" s="1537"/>
      <c r="D63" s="1537"/>
      <c r="E63" s="1538">
        <f t="shared" ref="E63:E71" si="8">+C63+D63</f>
        <v>0</v>
      </c>
    </row>
    <row r="64" spans="1:8">
      <c r="A64" s="1524" t="s">
        <v>1666</v>
      </c>
      <c r="B64" s="1525" t="s">
        <v>2078</v>
      </c>
      <c r="C64" s="1526"/>
      <c r="D64" s="1526"/>
      <c r="E64" s="1527">
        <f t="shared" si="8"/>
        <v>0</v>
      </c>
    </row>
    <row r="65" spans="1:8">
      <c r="A65" s="1524" t="s">
        <v>1668</v>
      </c>
      <c r="B65" s="1525" t="s">
        <v>2079</v>
      </c>
      <c r="C65" s="1526"/>
      <c r="D65" s="1526"/>
      <c r="E65" s="1527">
        <f t="shared" si="8"/>
        <v>0</v>
      </c>
    </row>
    <row r="66" spans="1:8">
      <c r="A66" s="1524" t="s">
        <v>1669</v>
      </c>
      <c r="B66" s="1525" t="s">
        <v>2080</v>
      </c>
      <c r="C66" s="1526"/>
      <c r="D66" s="1526"/>
      <c r="E66" s="1527">
        <f t="shared" si="8"/>
        <v>0</v>
      </c>
    </row>
    <row r="67" spans="1:8">
      <c r="A67" s="1524" t="s">
        <v>1670</v>
      </c>
      <c r="B67" s="1525" t="s">
        <v>2081</v>
      </c>
      <c r="C67" s="1526"/>
      <c r="D67" s="1526"/>
      <c r="E67" s="1527">
        <f t="shared" si="8"/>
        <v>0</v>
      </c>
    </row>
    <row r="68" spans="1:8">
      <c r="A68" s="1524" t="s">
        <v>1671</v>
      </c>
      <c r="B68" s="1525" t="s">
        <v>2082</v>
      </c>
      <c r="C68" s="1526"/>
      <c r="D68" s="1526"/>
      <c r="E68" s="1527">
        <f t="shared" si="8"/>
        <v>0</v>
      </c>
    </row>
    <row r="69" spans="1:8">
      <c r="A69" s="1524" t="s">
        <v>1672</v>
      </c>
      <c r="B69" s="1525" t="s">
        <v>2083</v>
      </c>
      <c r="C69" s="1526"/>
      <c r="D69" s="1526"/>
      <c r="E69" s="1527">
        <f t="shared" si="8"/>
        <v>0</v>
      </c>
    </row>
    <row r="70" spans="1:8">
      <c r="A70" s="1524" t="s">
        <v>1674</v>
      </c>
      <c r="B70" s="1525" t="s">
        <v>2084</v>
      </c>
      <c r="C70" s="1526"/>
      <c r="D70" s="1526"/>
      <c r="E70" s="1527">
        <f t="shared" si="8"/>
        <v>0</v>
      </c>
    </row>
    <row r="71" spans="1:8">
      <c r="A71" s="1524" t="s">
        <v>1676</v>
      </c>
      <c r="B71" s="1525" t="s">
        <v>2085</v>
      </c>
      <c r="C71" s="1526"/>
      <c r="D71" s="1526"/>
      <c r="E71" s="1527">
        <f t="shared" si="8"/>
        <v>0</v>
      </c>
    </row>
    <row r="72" spans="1:8" ht="12.75" thickBot="1">
      <c r="A72" s="1517" t="s">
        <v>1678</v>
      </c>
      <c r="B72" s="1528" t="s">
        <v>2086</v>
      </c>
      <c r="C72" s="1529"/>
      <c r="D72" s="1529"/>
      <c r="E72" s="1530">
        <f>+C72+D72</f>
        <v>0</v>
      </c>
    </row>
    <row r="73" spans="1:8" ht="12.75" thickBot="1">
      <c r="A73" s="1531" t="s">
        <v>1680</v>
      </c>
      <c r="B73" s="1532" t="s">
        <v>2087</v>
      </c>
      <c r="C73" s="1533">
        <f>SUM(C74:C83)</f>
        <v>1308456</v>
      </c>
      <c r="D73" s="1533">
        <f>SUM(D74:D83)</f>
        <v>0</v>
      </c>
      <c r="E73" s="1534">
        <f>SUM(E74:E83)</f>
        <v>1308456</v>
      </c>
      <c r="G73" s="118">
        <f>+'1.mell._Össz_Mérleg2018'!E56</f>
        <v>1308456</v>
      </c>
      <c r="H73" s="118">
        <f>+G73-E73</f>
        <v>0</v>
      </c>
    </row>
    <row r="74" spans="1:8">
      <c r="A74" s="1535" t="s">
        <v>1682</v>
      </c>
      <c r="B74" s="1536" t="s">
        <v>2088</v>
      </c>
      <c r="C74" s="1537">
        <v>7497</v>
      </c>
      <c r="D74" s="1537"/>
      <c r="E74" s="1538">
        <f t="shared" ref="E74:E83" si="9">+C74+D74</f>
        <v>7497</v>
      </c>
    </row>
    <row r="75" spans="1:8">
      <c r="A75" s="1524" t="s">
        <v>1684</v>
      </c>
      <c r="B75" s="1525" t="s">
        <v>2089</v>
      </c>
      <c r="C75" s="1526"/>
      <c r="D75" s="1526"/>
      <c r="E75" s="1527">
        <f t="shared" si="9"/>
        <v>0</v>
      </c>
    </row>
    <row r="76" spans="1:8">
      <c r="A76" s="1524" t="s">
        <v>1686</v>
      </c>
      <c r="B76" s="1525" t="s">
        <v>2090</v>
      </c>
      <c r="C76" s="1526">
        <v>1289663</v>
      </c>
      <c r="D76" s="1526"/>
      <c r="E76" s="1527">
        <f t="shared" si="9"/>
        <v>1289663</v>
      </c>
    </row>
    <row r="77" spans="1:8">
      <c r="A77" s="1524" t="s">
        <v>1688</v>
      </c>
      <c r="B77" s="1525" t="s">
        <v>2091</v>
      </c>
      <c r="C77" s="1526"/>
      <c r="D77" s="1526"/>
      <c r="E77" s="1527">
        <f t="shared" si="9"/>
        <v>0</v>
      </c>
    </row>
    <row r="78" spans="1:8">
      <c r="A78" s="1524" t="s">
        <v>1690</v>
      </c>
      <c r="B78" s="1525" t="s">
        <v>2092</v>
      </c>
      <c r="C78" s="1526"/>
      <c r="D78" s="1526"/>
      <c r="E78" s="1527">
        <f t="shared" si="9"/>
        <v>0</v>
      </c>
    </row>
    <row r="79" spans="1:8">
      <c r="A79" s="1524" t="s">
        <v>1691</v>
      </c>
      <c r="B79" s="1525" t="s">
        <v>2093</v>
      </c>
      <c r="C79" s="1526">
        <v>11296</v>
      </c>
      <c r="D79" s="1526"/>
      <c r="E79" s="1527">
        <f t="shared" si="9"/>
        <v>11296</v>
      </c>
    </row>
    <row r="80" spans="1:8">
      <c r="A80" s="1524" t="s">
        <v>1692</v>
      </c>
      <c r="B80" s="1525" t="s">
        <v>2094</v>
      </c>
      <c r="C80" s="1526"/>
      <c r="D80" s="1526"/>
      <c r="E80" s="1527">
        <f t="shared" si="9"/>
        <v>0</v>
      </c>
    </row>
    <row r="81" spans="1:5">
      <c r="A81" s="1524" t="s">
        <v>1693</v>
      </c>
      <c r="B81" s="1525" t="s">
        <v>2095</v>
      </c>
      <c r="C81" s="1526"/>
      <c r="D81" s="1526"/>
      <c r="E81" s="1527">
        <f t="shared" si="9"/>
        <v>0</v>
      </c>
    </row>
    <row r="82" spans="1:5">
      <c r="A82" s="1524" t="s">
        <v>1695</v>
      </c>
      <c r="B82" s="1525" t="s">
        <v>2096</v>
      </c>
      <c r="C82" s="1526"/>
      <c r="D82" s="1526"/>
      <c r="E82" s="1527">
        <f t="shared" si="9"/>
        <v>0</v>
      </c>
    </row>
    <row r="83" spans="1:5" ht="12.75" thickBot="1">
      <c r="A83" s="1517" t="s">
        <v>1697</v>
      </c>
      <c r="B83" s="1528" t="s">
        <v>2097</v>
      </c>
      <c r="C83" s="1529"/>
      <c r="D83" s="1529"/>
      <c r="E83" s="1530">
        <f t="shared" si="9"/>
        <v>0</v>
      </c>
    </row>
    <row r="84" spans="1:5" ht="12.75" thickBot="1">
      <c r="A84" s="1531" t="s">
        <v>1699</v>
      </c>
      <c r="B84" s="1532" t="s">
        <v>2098</v>
      </c>
      <c r="C84" s="1533">
        <f>+C49+C50+C51+C62+C73</f>
        <v>1331164</v>
      </c>
      <c r="D84" s="1533">
        <f>+D49+D50+D51+D62+D73</f>
        <v>0</v>
      </c>
      <c r="E84" s="1534">
        <f>+E49+E50+E51+E62+E73</f>
        <v>1331164</v>
      </c>
    </row>
    <row r="85" spans="1:5" s="938" customFormat="1" ht="12.75" thickBot="1">
      <c r="A85" s="1531" t="s">
        <v>1701</v>
      </c>
      <c r="B85" s="1532" t="s">
        <v>2099</v>
      </c>
      <c r="C85" s="1533">
        <f>SUM(C86:C88)</f>
        <v>62</v>
      </c>
      <c r="D85" s="1533">
        <f>SUM(D86:D88)</f>
        <v>0</v>
      </c>
      <c r="E85" s="1534">
        <f>SUM(E86:E88)</f>
        <v>62</v>
      </c>
    </row>
    <row r="86" spans="1:5">
      <c r="A86" s="1535" t="s">
        <v>1703</v>
      </c>
      <c r="B86" s="1536" t="s">
        <v>2100</v>
      </c>
      <c r="C86" s="1537"/>
      <c r="D86" s="1537"/>
      <c r="E86" s="1538">
        <f>+C86+D86</f>
        <v>0</v>
      </c>
    </row>
    <row r="87" spans="1:5">
      <c r="A87" s="1524" t="s">
        <v>1705</v>
      </c>
      <c r="B87" s="1525" t="s">
        <v>2101</v>
      </c>
      <c r="C87" s="1526"/>
      <c r="D87" s="1526"/>
      <c r="E87" s="1527">
        <f>+C87+D87</f>
        <v>0</v>
      </c>
    </row>
    <row r="88" spans="1:5" ht="12.75" thickBot="1">
      <c r="A88" s="1517" t="s">
        <v>1707</v>
      </c>
      <c r="B88" s="1528" t="s">
        <v>2102</v>
      </c>
      <c r="C88" s="1529">
        <v>62</v>
      </c>
      <c r="D88" s="1529"/>
      <c r="E88" s="1530">
        <f>+C88+D88</f>
        <v>62</v>
      </c>
    </row>
    <row r="89" spans="1:5" s="938" customFormat="1" ht="12.75" thickBot="1">
      <c r="A89" s="1531" t="s">
        <v>1708</v>
      </c>
      <c r="B89" s="1532" t="s">
        <v>2103</v>
      </c>
      <c r="C89" s="1533">
        <f>SUM(C90:C97)</f>
        <v>0</v>
      </c>
      <c r="D89" s="1533">
        <f>SUM(D90:D97)</f>
        <v>0</v>
      </c>
      <c r="E89" s="1534">
        <f>SUM(E90:E97)</f>
        <v>0</v>
      </c>
    </row>
    <row r="90" spans="1:5">
      <c r="A90" s="1535" t="s">
        <v>1710</v>
      </c>
      <c r="B90" s="1536" t="s">
        <v>2104</v>
      </c>
      <c r="C90" s="1537"/>
      <c r="D90" s="1537"/>
      <c r="E90" s="1538">
        <f t="shared" ref="E90:E97" si="10">+C90+D90</f>
        <v>0</v>
      </c>
    </row>
    <row r="91" spans="1:5">
      <c r="A91" s="1524" t="s">
        <v>1712</v>
      </c>
      <c r="B91" s="1525" t="s">
        <v>2105</v>
      </c>
      <c r="C91" s="1526"/>
      <c r="D91" s="1526"/>
      <c r="E91" s="1527">
        <f t="shared" si="10"/>
        <v>0</v>
      </c>
    </row>
    <row r="92" spans="1:5">
      <c r="A92" s="1524" t="s">
        <v>1713</v>
      </c>
      <c r="B92" s="1525" t="s">
        <v>2106</v>
      </c>
      <c r="C92" s="1526"/>
      <c r="D92" s="1526"/>
      <c r="E92" s="1527">
        <f t="shared" si="10"/>
        <v>0</v>
      </c>
    </row>
    <row r="93" spans="1:5">
      <c r="A93" s="1524" t="s">
        <v>1715</v>
      </c>
      <c r="B93" s="1525" t="s">
        <v>2107</v>
      </c>
      <c r="C93" s="1526"/>
      <c r="D93" s="1526"/>
      <c r="E93" s="1527">
        <f t="shared" si="10"/>
        <v>0</v>
      </c>
    </row>
    <row r="94" spans="1:5">
      <c r="A94" s="1524" t="s">
        <v>1717</v>
      </c>
      <c r="B94" s="1525" t="s">
        <v>2108</v>
      </c>
      <c r="C94" s="1526"/>
      <c r="D94" s="1526"/>
      <c r="E94" s="1527">
        <f t="shared" si="10"/>
        <v>0</v>
      </c>
    </row>
    <row r="95" spans="1:5">
      <c r="A95" s="1524" t="s">
        <v>1719</v>
      </c>
      <c r="B95" s="1525" t="s">
        <v>2109</v>
      </c>
      <c r="C95" s="1526"/>
      <c r="D95" s="1526"/>
      <c r="E95" s="1527">
        <f t="shared" si="10"/>
        <v>0</v>
      </c>
    </row>
    <row r="96" spans="1:5">
      <c r="A96" s="1524" t="s">
        <v>1721</v>
      </c>
      <c r="B96" s="1525" t="s">
        <v>2110</v>
      </c>
      <c r="C96" s="1526"/>
      <c r="D96" s="1526"/>
      <c r="E96" s="1527">
        <f t="shared" si="10"/>
        <v>0</v>
      </c>
    </row>
    <row r="97" spans="1:8" ht="12.75" thickBot="1">
      <c r="A97" s="1517" t="s">
        <v>1723</v>
      </c>
      <c r="B97" s="1528" t="s">
        <v>2111</v>
      </c>
      <c r="C97" s="1529"/>
      <c r="D97" s="1529"/>
      <c r="E97" s="1530">
        <f t="shared" si="10"/>
        <v>0</v>
      </c>
    </row>
    <row r="98" spans="1:8" ht="12.75" thickBot="1">
      <c r="A98" s="1531" t="s">
        <v>1725</v>
      </c>
      <c r="B98" s="1532" t="s">
        <v>2112</v>
      </c>
      <c r="C98" s="1533">
        <f>+C85+C89</f>
        <v>62</v>
      </c>
      <c r="D98" s="1533">
        <f>+D85+D89</f>
        <v>0</v>
      </c>
      <c r="E98" s="1534">
        <f>+E85+E89</f>
        <v>62</v>
      </c>
      <c r="G98" s="118">
        <f>+'1.mell._Össz_Mérleg2018'!E26</f>
        <v>62</v>
      </c>
      <c r="H98" s="118">
        <f t="shared" ref="H98:H99" si="11">+G98-E98</f>
        <v>0</v>
      </c>
    </row>
    <row r="99" spans="1:8" s="938" customFormat="1" ht="12.75" thickBot="1">
      <c r="A99" s="1531" t="s">
        <v>1726</v>
      </c>
      <c r="B99" s="1532" t="s">
        <v>2113</v>
      </c>
      <c r="C99" s="1533">
        <f>SUM(C100:C108)</f>
        <v>0</v>
      </c>
      <c r="D99" s="1533">
        <f>SUM(D100:D108)</f>
        <v>0</v>
      </c>
      <c r="E99" s="1534">
        <f>SUM(E100:E108)</f>
        <v>0</v>
      </c>
      <c r="G99" s="118">
        <f>+'1.mell._Össz_Mérleg2018'!E27</f>
        <v>0</v>
      </c>
      <c r="H99" s="118">
        <f t="shared" si="11"/>
        <v>0</v>
      </c>
    </row>
    <row r="100" spans="1:8">
      <c r="A100" s="1535" t="s">
        <v>1728</v>
      </c>
      <c r="B100" s="1536" t="s">
        <v>2114</v>
      </c>
      <c r="C100" s="1537"/>
      <c r="D100" s="1537"/>
      <c r="E100" s="1538">
        <f t="shared" ref="E100:E108" si="12">+C100+D100</f>
        <v>0</v>
      </c>
    </row>
    <row r="101" spans="1:8">
      <c r="A101" s="1524" t="s">
        <v>1730</v>
      </c>
      <c r="B101" s="1525" t="s">
        <v>2115</v>
      </c>
      <c r="C101" s="1526"/>
      <c r="D101" s="1526"/>
      <c r="E101" s="1527">
        <f t="shared" si="12"/>
        <v>0</v>
      </c>
    </row>
    <row r="102" spans="1:8">
      <c r="A102" s="1524" t="s">
        <v>1731</v>
      </c>
      <c r="B102" s="1525" t="s">
        <v>2116</v>
      </c>
      <c r="C102" s="1526"/>
      <c r="D102" s="1526"/>
      <c r="E102" s="1527">
        <f t="shared" si="12"/>
        <v>0</v>
      </c>
    </row>
    <row r="103" spans="1:8">
      <c r="A103" s="1524" t="s">
        <v>1732</v>
      </c>
      <c r="B103" s="1525" t="s">
        <v>2117</v>
      </c>
      <c r="C103" s="1526"/>
      <c r="D103" s="1526"/>
      <c r="E103" s="1527">
        <f t="shared" si="12"/>
        <v>0</v>
      </c>
    </row>
    <row r="104" spans="1:8">
      <c r="A104" s="1524" t="s">
        <v>1733</v>
      </c>
      <c r="B104" s="1525" t="s">
        <v>2118</v>
      </c>
      <c r="C104" s="1526"/>
      <c r="D104" s="1526"/>
      <c r="E104" s="1527">
        <f t="shared" si="12"/>
        <v>0</v>
      </c>
    </row>
    <row r="105" spans="1:8">
      <c r="A105" s="1524" t="s">
        <v>1735</v>
      </c>
      <c r="B105" s="1525" t="s">
        <v>2119</v>
      </c>
      <c r="C105" s="1526"/>
      <c r="D105" s="1526"/>
      <c r="E105" s="1527">
        <f t="shared" si="12"/>
        <v>0</v>
      </c>
    </row>
    <row r="106" spans="1:8">
      <c r="A106" s="1524" t="s">
        <v>1737</v>
      </c>
      <c r="B106" s="1525" t="s">
        <v>2120</v>
      </c>
      <c r="C106" s="1526"/>
      <c r="D106" s="1526"/>
      <c r="E106" s="1527">
        <f t="shared" si="12"/>
        <v>0</v>
      </c>
    </row>
    <row r="107" spans="1:8">
      <c r="A107" s="1524" t="s">
        <v>1738</v>
      </c>
      <c r="B107" s="1525" t="s">
        <v>2121</v>
      </c>
      <c r="C107" s="1526"/>
      <c r="D107" s="1526"/>
      <c r="E107" s="1527">
        <f t="shared" si="12"/>
        <v>0</v>
      </c>
    </row>
    <row r="108" spans="1:8" ht="12.75" thickBot="1">
      <c r="A108" s="1517" t="s">
        <v>1740</v>
      </c>
      <c r="B108" s="1528" t="s">
        <v>2122</v>
      </c>
      <c r="C108" s="1529"/>
      <c r="D108" s="1529"/>
      <c r="E108" s="1530">
        <f t="shared" si="12"/>
        <v>0</v>
      </c>
    </row>
    <row r="109" spans="1:8" s="938" customFormat="1" ht="12.75" thickBot="1">
      <c r="A109" s="1531" t="s">
        <v>1742</v>
      </c>
      <c r="B109" s="1532" t="s">
        <v>2123</v>
      </c>
      <c r="C109" s="1533">
        <f>SUM(C110:C113)</f>
        <v>0</v>
      </c>
      <c r="D109" s="1533">
        <v>0</v>
      </c>
      <c r="E109" s="1534">
        <v>0</v>
      </c>
      <c r="G109" s="118">
        <f>+'1.mell._Össz_Mérleg2018'!E28</f>
        <v>0</v>
      </c>
      <c r="H109" s="118">
        <f>+G109-E109</f>
        <v>0</v>
      </c>
    </row>
    <row r="110" spans="1:8">
      <c r="A110" s="1535" t="s">
        <v>1744</v>
      </c>
      <c r="B110" s="1536" t="s">
        <v>2124</v>
      </c>
      <c r="C110" s="1537"/>
      <c r="D110" s="1537"/>
      <c r="E110" s="1538">
        <f>+C110+D110</f>
        <v>0</v>
      </c>
    </row>
    <row r="111" spans="1:8">
      <c r="A111" s="1524" t="s">
        <v>1745</v>
      </c>
      <c r="B111" s="1525" t="s">
        <v>2125</v>
      </c>
      <c r="C111" s="1526"/>
      <c r="D111" s="1526"/>
      <c r="E111" s="1527">
        <f>+C111+D111</f>
        <v>0</v>
      </c>
    </row>
    <row r="112" spans="1:8">
      <c r="A112" s="1524" t="s">
        <v>1747</v>
      </c>
      <c r="B112" s="1525" t="s">
        <v>2126</v>
      </c>
      <c r="C112" s="1526"/>
      <c r="D112" s="1526"/>
      <c r="E112" s="1527">
        <f>+C112+D112</f>
        <v>0</v>
      </c>
    </row>
    <row r="113" spans="1:8" ht="12.75" thickBot="1">
      <c r="A113" s="1517" t="s">
        <v>1749</v>
      </c>
      <c r="B113" s="1528" t="s">
        <v>2127</v>
      </c>
      <c r="C113" s="1529"/>
      <c r="D113" s="1529"/>
      <c r="E113" s="1530">
        <f>+C113+D113</f>
        <v>0</v>
      </c>
    </row>
    <row r="114" spans="1:8" s="938" customFormat="1" ht="12.75" thickBot="1">
      <c r="A114" s="1531" t="s">
        <v>1751</v>
      </c>
      <c r="B114" s="1532" t="s">
        <v>2632</v>
      </c>
      <c r="C114" s="1533">
        <f>SUM(C115:C120)</f>
        <v>60575</v>
      </c>
      <c r="D114" s="1533">
        <f>SUM(D115:D120)</f>
        <v>0</v>
      </c>
      <c r="E114" s="1534">
        <f>SUM(E115:E120)</f>
        <v>60575</v>
      </c>
      <c r="G114" s="118">
        <f>+'1.mell._Össz_Mérleg2018'!E29</f>
        <v>60575</v>
      </c>
      <c r="H114" s="118">
        <f>+G114-E114</f>
        <v>0</v>
      </c>
    </row>
    <row r="115" spans="1:8">
      <c r="A115" s="1535" t="s">
        <v>1753</v>
      </c>
      <c r="B115" s="1536" t="s">
        <v>2128</v>
      </c>
      <c r="C115" s="1537">
        <v>32515</v>
      </c>
      <c r="D115" s="1537"/>
      <c r="E115" s="1538">
        <f t="shared" ref="E115:E120" si="13">+C115+D115</f>
        <v>32515</v>
      </c>
    </row>
    <row r="116" spans="1:8">
      <c r="A116" s="1524" t="s">
        <v>1755</v>
      </c>
      <c r="B116" s="1525" t="s">
        <v>2129</v>
      </c>
      <c r="C116" s="1526">
        <v>20789</v>
      </c>
      <c r="D116" s="1526"/>
      <c r="E116" s="1527">
        <f t="shared" si="13"/>
        <v>20789</v>
      </c>
    </row>
    <row r="117" spans="1:8">
      <c r="A117" s="1524" t="s">
        <v>1757</v>
      </c>
      <c r="B117" s="1525" t="s">
        <v>2130</v>
      </c>
      <c r="C117" s="1526">
        <v>7271</v>
      </c>
      <c r="D117" s="1526"/>
      <c r="E117" s="1527">
        <f t="shared" si="13"/>
        <v>7271</v>
      </c>
    </row>
    <row r="118" spans="1:8">
      <c r="A118" s="1524" t="s">
        <v>1759</v>
      </c>
      <c r="B118" s="1525" t="s">
        <v>2131</v>
      </c>
      <c r="C118" s="1526"/>
      <c r="D118" s="1526"/>
      <c r="E118" s="1527">
        <f t="shared" si="13"/>
        <v>0</v>
      </c>
    </row>
    <row r="119" spans="1:8">
      <c r="A119" s="1524" t="s">
        <v>1761</v>
      </c>
      <c r="B119" s="1525" t="s">
        <v>2132</v>
      </c>
      <c r="C119" s="1526"/>
      <c r="D119" s="1526"/>
      <c r="E119" s="1527">
        <f t="shared" si="13"/>
        <v>0</v>
      </c>
    </row>
    <row r="120" spans="1:8" ht="12.75" thickBot="1">
      <c r="A120" s="1517" t="s">
        <v>1763</v>
      </c>
      <c r="B120" s="1528" t="s">
        <v>2133</v>
      </c>
      <c r="C120" s="1529"/>
      <c r="D120" s="1529"/>
      <c r="E120" s="1530">
        <f t="shared" si="13"/>
        <v>0</v>
      </c>
    </row>
    <row r="121" spans="1:8" ht="12.75" thickBot="1">
      <c r="A121" s="1531" t="s">
        <v>1765</v>
      </c>
      <c r="B121" s="1532" t="s">
        <v>2633</v>
      </c>
      <c r="C121" s="1533">
        <f>SUM(C122:C143)</f>
        <v>263042</v>
      </c>
      <c r="D121" s="1533">
        <f>SUM(D122:D143)</f>
        <v>0</v>
      </c>
      <c r="E121" s="1534">
        <f>SUM(E122:E143)</f>
        <v>263042</v>
      </c>
    </row>
    <row r="122" spans="1:8" s="938" customFormat="1">
      <c r="A122" s="1535" t="s">
        <v>1767</v>
      </c>
      <c r="B122" s="1536" t="s">
        <v>2134</v>
      </c>
      <c r="C122" s="1537"/>
      <c r="D122" s="1537"/>
      <c r="E122" s="1538">
        <f t="shared" ref="E122:E143" si="14">+C122+D122</f>
        <v>0</v>
      </c>
    </row>
    <row r="123" spans="1:8">
      <c r="A123" s="1524" t="s">
        <v>1769</v>
      </c>
      <c r="B123" s="1525" t="s">
        <v>2135</v>
      </c>
      <c r="C123" s="1526"/>
      <c r="D123" s="1526"/>
      <c r="E123" s="1527">
        <f t="shared" si="14"/>
        <v>0</v>
      </c>
    </row>
    <row r="124" spans="1:8">
      <c r="A124" s="1524" t="s">
        <v>1771</v>
      </c>
      <c r="B124" s="1525" t="s">
        <v>2136</v>
      </c>
      <c r="C124" s="1526"/>
      <c r="D124" s="1526"/>
      <c r="E124" s="1527">
        <f t="shared" si="14"/>
        <v>0</v>
      </c>
    </row>
    <row r="125" spans="1:8">
      <c r="A125" s="1524" t="s">
        <v>1773</v>
      </c>
      <c r="B125" s="1525" t="s">
        <v>2137</v>
      </c>
      <c r="C125" s="1526"/>
      <c r="D125" s="1526"/>
      <c r="E125" s="1527">
        <f t="shared" si="14"/>
        <v>0</v>
      </c>
    </row>
    <row r="126" spans="1:8">
      <c r="A126" s="1524" t="s">
        <v>1775</v>
      </c>
      <c r="B126" s="1525" t="s">
        <v>2138</v>
      </c>
      <c r="C126" s="1526"/>
      <c r="D126" s="1526"/>
      <c r="E126" s="1527">
        <f t="shared" si="14"/>
        <v>0</v>
      </c>
    </row>
    <row r="127" spans="1:8">
      <c r="A127" s="1524" t="s">
        <v>1776</v>
      </c>
      <c r="B127" s="1525" t="s">
        <v>2139</v>
      </c>
      <c r="C127" s="1526"/>
      <c r="D127" s="1526"/>
      <c r="E127" s="1527">
        <f t="shared" si="14"/>
        <v>0</v>
      </c>
    </row>
    <row r="128" spans="1:8">
      <c r="A128" s="1524" t="s">
        <v>1777</v>
      </c>
      <c r="B128" s="1525" t="s">
        <v>2634</v>
      </c>
      <c r="C128" s="1526">
        <v>263042</v>
      </c>
      <c r="D128" s="1526"/>
      <c r="E128" s="1527">
        <f t="shared" si="14"/>
        <v>263042</v>
      </c>
    </row>
    <row r="129" spans="1:5">
      <c r="A129" s="1524" t="s">
        <v>1779</v>
      </c>
      <c r="B129" s="1525" t="s">
        <v>2635</v>
      </c>
      <c r="C129" s="1526"/>
      <c r="D129" s="1526"/>
      <c r="E129" s="1527">
        <f t="shared" si="14"/>
        <v>0</v>
      </c>
    </row>
    <row r="130" spans="1:5">
      <c r="A130" s="1524" t="s">
        <v>1781</v>
      </c>
      <c r="B130" s="1525" t="s">
        <v>2140</v>
      </c>
      <c r="C130" s="1526"/>
      <c r="D130" s="1526"/>
      <c r="E130" s="1527">
        <f t="shared" si="14"/>
        <v>0</v>
      </c>
    </row>
    <row r="131" spans="1:5">
      <c r="A131" s="1524" t="s">
        <v>1783</v>
      </c>
      <c r="B131" s="1525" t="s">
        <v>2141</v>
      </c>
      <c r="C131" s="1526"/>
      <c r="D131" s="1526"/>
      <c r="E131" s="1527">
        <f t="shared" si="14"/>
        <v>0</v>
      </c>
    </row>
    <row r="132" spans="1:5">
      <c r="A132" s="1524" t="s">
        <v>1785</v>
      </c>
      <c r="B132" s="1525" t="s">
        <v>2142</v>
      </c>
      <c r="C132" s="1526"/>
      <c r="D132" s="1526"/>
      <c r="E132" s="1527">
        <f t="shared" si="14"/>
        <v>0</v>
      </c>
    </row>
    <row r="133" spans="1:5">
      <c r="A133" s="1524" t="s">
        <v>1786</v>
      </c>
      <c r="B133" s="1525" t="s">
        <v>2143</v>
      </c>
      <c r="C133" s="1526"/>
      <c r="D133" s="1526"/>
      <c r="E133" s="1527">
        <f t="shared" si="14"/>
        <v>0</v>
      </c>
    </row>
    <row r="134" spans="1:5">
      <c r="A134" s="1524" t="s">
        <v>1787</v>
      </c>
      <c r="B134" s="1525" t="s">
        <v>2144</v>
      </c>
      <c r="C134" s="1526"/>
      <c r="D134" s="1526"/>
      <c r="E134" s="1527">
        <f t="shared" si="14"/>
        <v>0</v>
      </c>
    </row>
    <row r="135" spans="1:5" ht="24">
      <c r="A135" s="1524" t="s">
        <v>1788</v>
      </c>
      <c r="B135" s="1525" t="s">
        <v>2145</v>
      </c>
      <c r="C135" s="1526"/>
      <c r="D135" s="1526"/>
      <c r="E135" s="1527">
        <f t="shared" si="14"/>
        <v>0</v>
      </c>
    </row>
    <row r="136" spans="1:5" ht="24">
      <c r="A136" s="1524" t="s">
        <v>1790</v>
      </c>
      <c r="B136" s="1525" t="s">
        <v>2636</v>
      </c>
      <c r="C136" s="1526"/>
      <c r="D136" s="1526"/>
      <c r="E136" s="1527">
        <f t="shared" si="14"/>
        <v>0</v>
      </c>
    </row>
    <row r="137" spans="1:5">
      <c r="A137" s="1524" t="s">
        <v>1792</v>
      </c>
      <c r="B137" s="1525" t="s">
        <v>2146</v>
      </c>
      <c r="C137" s="1526"/>
      <c r="D137" s="1526"/>
      <c r="E137" s="1527">
        <f t="shared" si="14"/>
        <v>0</v>
      </c>
    </row>
    <row r="138" spans="1:5">
      <c r="A138" s="1524" t="s">
        <v>1794</v>
      </c>
      <c r="B138" s="1525" t="s">
        <v>2147</v>
      </c>
      <c r="C138" s="1526"/>
      <c r="D138" s="1526"/>
      <c r="E138" s="1527">
        <f t="shared" si="14"/>
        <v>0</v>
      </c>
    </row>
    <row r="139" spans="1:5">
      <c r="A139" s="1524" t="s">
        <v>1796</v>
      </c>
      <c r="B139" s="1525" t="s">
        <v>2148</v>
      </c>
      <c r="C139" s="1526"/>
      <c r="D139" s="1526"/>
      <c r="E139" s="1527">
        <f t="shared" si="14"/>
        <v>0</v>
      </c>
    </row>
    <row r="140" spans="1:5">
      <c r="A140" s="1524" t="s">
        <v>1798</v>
      </c>
      <c r="B140" s="1525" t="s">
        <v>2149</v>
      </c>
      <c r="C140" s="1526"/>
      <c r="D140" s="1526"/>
      <c r="E140" s="1527">
        <f t="shared" si="14"/>
        <v>0</v>
      </c>
    </row>
    <row r="141" spans="1:5">
      <c r="A141" s="1524" t="s">
        <v>1800</v>
      </c>
      <c r="B141" s="1525" t="s">
        <v>2150</v>
      </c>
      <c r="C141" s="1526"/>
      <c r="D141" s="1526"/>
      <c r="E141" s="1527">
        <f t="shared" si="14"/>
        <v>0</v>
      </c>
    </row>
    <row r="142" spans="1:5">
      <c r="A142" s="1524" t="s">
        <v>1802</v>
      </c>
      <c r="B142" s="1525" t="s">
        <v>2151</v>
      </c>
      <c r="C142" s="1526"/>
      <c r="D142" s="1526"/>
      <c r="E142" s="1527">
        <f t="shared" si="14"/>
        <v>0</v>
      </c>
    </row>
    <row r="143" spans="1:5" ht="24.75" thickBot="1">
      <c r="A143" s="1517" t="s">
        <v>1804</v>
      </c>
      <c r="B143" s="1528" t="s">
        <v>2152</v>
      </c>
      <c r="C143" s="1529"/>
      <c r="D143" s="1529"/>
      <c r="E143" s="1530">
        <f t="shared" si="14"/>
        <v>0</v>
      </c>
    </row>
    <row r="144" spans="1:5" ht="12.75" thickBot="1">
      <c r="A144" s="1531" t="s">
        <v>1806</v>
      </c>
      <c r="B144" s="1532" t="s">
        <v>2637</v>
      </c>
      <c r="C144" s="1533">
        <f>SUM(C145:C147)</f>
        <v>0</v>
      </c>
      <c r="D144" s="1533">
        <f>SUM(D145:D147)</f>
        <v>0</v>
      </c>
      <c r="E144" s="1534">
        <f>SUM(E145:E147)</f>
        <v>0</v>
      </c>
    </row>
    <row r="145" spans="1:8" s="938" customFormat="1">
      <c r="A145" s="1535" t="s">
        <v>1808</v>
      </c>
      <c r="B145" s="1536" t="s">
        <v>2153</v>
      </c>
      <c r="C145" s="1537"/>
      <c r="D145" s="1537"/>
      <c r="E145" s="1538">
        <f>+C145+D145</f>
        <v>0</v>
      </c>
    </row>
    <row r="146" spans="1:8">
      <c r="A146" s="1524" t="s">
        <v>1809</v>
      </c>
      <c r="B146" s="1525" t="s">
        <v>2154</v>
      </c>
      <c r="C146" s="1526"/>
      <c r="D146" s="1526"/>
      <c r="E146" s="1527">
        <f>+C146+D146</f>
        <v>0</v>
      </c>
    </row>
    <row r="147" spans="1:8" ht="12.75" thickBot="1">
      <c r="A147" s="1517" t="s">
        <v>1811</v>
      </c>
      <c r="B147" s="1528" t="s">
        <v>2638</v>
      </c>
      <c r="C147" s="1529"/>
      <c r="D147" s="1529"/>
      <c r="E147" s="1530">
        <f>+C147+D147</f>
        <v>0</v>
      </c>
    </row>
    <row r="148" spans="1:8" ht="12.75" thickBot="1">
      <c r="A148" s="1531" t="s">
        <v>1813</v>
      </c>
      <c r="B148" s="1532" t="s">
        <v>2155</v>
      </c>
      <c r="C148" s="1533">
        <v>0</v>
      </c>
      <c r="D148" s="1533">
        <v>0</v>
      </c>
      <c r="E148" s="1534">
        <f>+C148+D148</f>
        <v>0</v>
      </c>
    </row>
    <row r="149" spans="1:8" s="938" customFormat="1" ht="12.75" thickBot="1">
      <c r="A149" s="1531" t="s">
        <v>1815</v>
      </c>
      <c r="B149" s="1532" t="s">
        <v>2639</v>
      </c>
      <c r="C149" s="1533">
        <f>SUM(C150:C153)</f>
        <v>26916</v>
      </c>
      <c r="D149" s="1533">
        <f>SUM(D150:D153)</f>
        <v>0</v>
      </c>
      <c r="E149" s="1534">
        <f>SUM(E150:E153)</f>
        <v>26916</v>
      </c>
    </row>
    <row r="150" spans="1:8" s="938" customFormat="1">
      <c r="A150" s="1535" t="s">
        <v>1817</v>
      </c>
      <c r="B150" s="1536" t="s">
        <v>2156</v>
      </c>
      <c r="C150" s="1537"/>
      <c r="D150" s="1537"/>
      <c r="E150" s="1538">
        <f>+C150+D150</f>
        <v>0</v>
      </c>
    </row>
    <row r="151" spans="1:8">
      <c r="A151" s="1524" t="s">
        <v>1819</v>
      </c>
      <c r="B151" s="1525" t="s">
        <v>2157</v>
      </c>
      <c r="C151" s="1526">
        <v>26916</v>
      </c>
      <c r="D151" s="1526"/>
      <c r="E151" s="1527">
        <f>+C151+D151</f>
        <v>26916</v>
      </c>
    </row>
    <row r="152" spans="1:8">
      <c r="A152" s="1524" t="s">
        <v>1821</v>
      </c>
      <c r="B152" s="1525" t="s">
        <v>2158</v>
      </c>
      <c r="C152" s="1526"/>
      <c r="D152" s="1526"/>
      <c r="E152" s="1527">
        <f>+C152+D152</f>
        <v>0</v>
      </c>
    </row>
    <row r="153" spans="1:8" ht="12.75" thickBot="1">
      <c r="A153" s="1517" t="s">
        <v>1823</v>
      </c>
      <c r="B153" s="1528" t="s">
        <v>2159</v>
      </c>
      <c r="C153" s="1529"/>
      <c r="D153" s="1529"/>
      <c r="E153" s="1530">
        <f>+C153+D153</f>
        <v>0</v>
      </c>
    </row>
    <row r="154" spans="1:8" ht="12.75" thickBot="1">
      <c r="A154" s="1531" t="s">
        <v>1825</v>
      </c>
      <c r="B154" s="1532" t="s">
        <v>2640</v>
      </c>
      <c r="C154" s="1533">
        <f>SUM(C155:C171)</f>
        <v>126</v>
      </c>
      <c r="D154" s="1533">
        <f>SUM(D155:D171)</f>
        <v>0</v>
      </c>
      <c r="E154" s="1534">
        <f>SUM(E155:E171)</f>
        <v>126</v>
      </c>
    </row>
    <row r="155" spans="1:8" s="938" customFormat="1">
      <c r="A155" s="1535" t="s">
        <v>1827</v>
      </c>
      <c r="B155" s="1536" t="s">
        <v>2160</v>
      </c>
      <c r="C155" s="1537"/>
      <c r="D155" s="1537"/>
      <c r="E155" s="1538">
        <f t="shared" ref="E155:E171" si="15">+C155+D155</f>
        <v>0</v>
      </c>
      <c r="H155" s="943"/>
    </row>
    <row r="156" spans="1:8">
      <c r="A156" s="1524" t="s">
        <v>1829</v>
      </c>
      <c r="B156" s="1525" t="s">
        <v>2161</v>
      </c>
      <c r="C156" s="1526"/>
      <c r="D156" s="1526"/>
      <c r="E156" s="1527">
        <f t="shared" si="15"/>
        <v>0</v>
      </c>
    </row>
    <row r="157" spans="1:8">
      <c r="A157" s="1524" t="s">
        <v>1830</v>
      </c>
      <c r="B157" s="1525" t="s">
        <v>2162</v>
      </c>
      <c r="C157" s="1526"/>
      <c r="D157" s="1526"/>
      <c r="E157" s="1527">
        <f t="shared" si="15"/>
        <v>0</v>
      </c>
    </row>
    <row r="158" spans="1:8">
      <c r="A158" s="1524" t="s">
        <v>1832</v>
      </c>
      <c r="B158" s="1525" t="s">
        <v>2163</v>
      </c>
      <c r="C158" s="1526"/>
      <c r="D158" s="1526"/>
      <c r="E158" s="1527">
        <f t="shared" si="15"/>
        <v>0</v>
      </c>
    </row>
    <row r="159" spans="1:8">
      <c r="A159" s="1524" t="s">
        <v>1834</v>
      </c>
      <c r="B159" s="1525" t="s">
        <v>2164</v>
      </c>
      <c r="C159" s="1526"/>
      <c r="D159" s="1526"/>
      <c r="E159" s="1527">
        <f t="shared" si="15"/>
        <v>0</v>
      </c>
    </row>
    <row r="160" spans="1:8">
      <c r="A160" s="1524" t="s">
        <v>1836</v>
      </c>
      <c r="B160" s="1525" t="s">
        <v>2165</v>
      </c>
      <c r="C160" s="1526"/>
      <c r="D160" s="1526"/>
      <c r="E160" s="1527">
        <f t="shared" si="15"/>
        <v>0</v>
      </c>
    </row>
    <row r="161" spans="1:8">
      <c r="A161" s="1524" t="s">
        <v>1838</v>
      </c>
      <c r="B161" s="1525" t="s">
        <v>2166</v>
      </c>
      <c r="C161" s="1526"/>
      <c r="D161" s="1526"/>
      <c r="E161" s="1527">
        <f t="shared" si="15"/>
        <v>0</v>
      </c>
    </row>
    <row r="162" spans="1:8">
      <c r="A162" s="1524" t="s">
        <v>1840</v>
      </c>
      <c r="B162" s="1525" t="s">
        <v>2167</v>
      </c>
      <c r="C162" s="1526">
        <v>126</v>
      </c>
      <c r="D162" s="1526"/>
      <c r="E162" s="1527">
        <f t="shared" si="15"/>
        <v>126</v>
      </c>
    </row>
    <row r="163" spans="1:8">
      <c r="A163" s="1524" t="s">
        <v>1842</v>
      </c>
      <c r="B163" s="1525" t="s">
        <v>2168</v>
      </c>
      <c r="C163" s="1526"/>
      <c r="D163" s="1526"/>
      <c r="E163" s="1527">
        <f t="shared" si="15"/>
        <v>0</v>
      </c>
    </row>
    <row r="164" spans="1:8">
      <c r="A164" s="1524" t="s">
        <v>1844</v>
      </c>
      <c r="B164" s="1525" t="s">
        <v>2169</v>
      </c>
      <c r="C164" s="1526"/>
      <c r="D164" s="1526"/>
      <c r="E164" s="1527">
        <f t="shared" si="15"/>
        <v>0</v>
      </c>
    </row>
    <row r="165" spans="1:8">
      <c r="A165" s="1524" t="s">
        <v>1846</v>
      </c>
      <c r="B165" s="1525" t="s">
        <v>2170</v>
      </c>
      <c r="C165" s="1526"/>
      <c r="D165" s="1526"/>
      <c r="E165" s="1527">
        <f t="shared" si="15"/>
        <v>0</v>
      </c>
    </row>
    <row r="166" spans="1:8">
      <c r="A166" s="1524" t="s">
        <v>1848</v>
      </c>
      <c r="B166" s="1525" t="s">
        <v>2171</v>
      </c>
      <c r="C166" s="1526"/>
      <c r="D166" s="1526"/>
      <c r="E166" s="1527">
        <f t="shared" si="15"/>
        <v>0</v>
      </c>
    </row>
    <row r="167" spans="1:8">
      <c r="A167" s="1524" t="s">
        <v>1850</v>
      </c>
      <c r="B167" s="1525" t="s">
        <v>2172</v>
      </c>
      <c r="C167" s="1526"/>
      <c r="D167" s="1526"/>
      <c r="E167" s="1527">
        <f t="shared" si="15"/>
        <v>0</v>
      </c>
    </row>
    <row r="168" spans="1:8">
      <c r="A168" s="1524" t="s">
        <v>1851</v>
      </c>
      <c r="B168" s="1525" t="s">
        <v>2173</v>
      </c>
      <c r="C168" s="1526"/>
      <c r="D168" s="1526"/>
      <c r="E168" s="1527">
        <f t="shared" si="15"/>
        <v>0</v>
      </c>
    </row>
    <row r="169" spans="1:8">
      <c r="A169" s="1524" t="s">
        <v>1853</v>
      </c>
      <c r="B169" s="1525" t="s">
        <v>2174</v>
      </c>
      <c r="C169" s="1526"/>
      <c r="D169" s="1526"/>
      <c r="E169" s="1527">
        <f t="shared" si="15"/>
        <v>0</v>
      </c>
    </row>
    <row r="170" spans="1:8" ht="24">
      <c r="A170" s="1524" t="s">
        <v>1854</v>
      </c>
      <c r="B170" s="1525" t="s">
        <v>2175</v>
      </c>
      <c r="C170" s="1526"/>
      <c r="D170" s="1526"/>
      <c r="E170" s="1527">
        <f t="shared" si="15"/>
        <v>0</v>
      </c>
    </row>
    <row r="171" spans="1:8" ht="12.75" thickBot="1">
      <c r="A171" s="1517" t="s">
        <v>1856</v>
      </c>
      <c r="B171" s="1528" t="s">
        <v>2176</v>
      </c>
      <c r="C171" s="1529"/>
      <c r="D171" s="1529"/>
      <c r="E171" s="1530">
        <f t="shared" si="15"/>
        <v>0</v>
      </c>
    </row>
    <row r="172" spans="1:8" ht="12.75" thickBot="1">
      <c r="A172" s="1531" t="s">
        <v>1858</v>
      </c>
      <c r="B172" s="1532" t="s">
        <v>2641</v>
      </c>
      <c r="C172" s="1533">
        <f>+C121+C144+C148+C149+C154</f>
        <v>290084</v>
      </c>
      <c r="D172" s="1533">
        <f>+D121+D144+D148+D149+D154</f>
        <v>0</v>
      </c>
      <c r="E172" s="1534">
        <f>+E121+E144+E148+E149+E154</f>
        <v>290084</v>
      </c>
      <c r="G172" s="118">
        <f>+'1.mell._Össz_Mérleg2018'!E30</f>
        <v>290084</v>
      </c>
      <c r="H172" s="118">
        <f t="shared" ref="H172:H173" si="16">+G172-E172</f>
        <v>0</v>
      </c>
    </row>
    <row r="173" spans="1:8" s="938" customFormat="1" ht="12.75" thickBot="1">
      <c r="A173" s="1531" t="s">
        <v>1860</v>
      </c>
      <c r="B173" s="1532" t="s">
        <v>2642</v>
      </c>
      <c r="C173" s="1533">
        <v>5947</v>
      </c>
      <c r="D173" s="1533"/>
      <c r="E173" s="1534">
        <f>+C173+D173</f>
        <v>5947</v>
      </c>
      <c r="G173" s="118">
        <f>+'1.mell._Össz_Mérleg2018'!E31</f>
        <v>5947</v>
      </c>
      <c r="H173" s="118">
        <f t="shared" si="16"/>
        <v>0</v>
      </c>
    </row>
    <row r="174" spans="1:8" s="938" customFormat="1">
      <c r="A174" s="1535" t="s">
        <v>1862</v>
      </c>
      <c r="B174" s="1536" t="s">
        <v>2643</v>
      </c>
      <c r="C174" s="1537"/>
      <c r="D174" s="1537"/>
      <c r="E174" s="1538">
        <f t="shared" ref="E174:E190" si="17">+C174+D174</f>
        <v>0</v>
      </c>
      <c r="H174" s="943"/>
    </row>
    <row r="175" spans="1:8">
      <c r="A175" s="1524" t="s">
        <v>1864</v>
      </c>
      <c r="B175" s="1525" t="s">
        <v>2177</v>
      </c>
      <c r="C175" s="1526"/>
      <c r="D175" s="1526"/>
      <c r="E175" s="1527">
        <f t="shared" si="17"/>
        <v>0</v>
      </c>
    </row>
    <row r="176" spans="1:8">
      <c r="A176" s="1524" t="s">
        <v>1866</v>
      </c>
      <c r="B176" s="1525" t="s">
        <v>2178</v>
      </c>
      <c r="C176" s="1526">
        <v>3557</v>
      </c>
      <c r="D176" s="1526"/>
      <c r="E176" s="1527">
        <f t="shared" si="17"/>
        <v>3557</v>
      </c>
    </row>
    <row r="177" spans="1:8">
      <c r="A177" s="1524" t="s">
        <v>1867</v>
      </c>
      <c r="B177" s="1525" t="s">
        <v>2179</v>
      </c>
      <c r="C177" s="1526"/>
      <c r="D177" s="1526"/>
      <c r="E177" s="1527">
        <f t="shared" si="17"/>
        <v>0</v>
      </c>
    </row>
    <row r="178" spans="1:8">
      <c r="A178" s="1524" t="s">
        <v>1869</v>
      </c>
      <c r="B178" s="1525" t="s">
        <v>2180</v>
      </c>
      <c r="C178" s="1526"/>
      <c r="D178" s="1526"/>
      <c r="E178" s="1527">
        <f t="shared" si="17"/>
        <v>0</v>
      </c>
    </row>
    <row r="179" spans="1:8" ht="24">
      <c r="A179" s="1524" t="s">
        <v>1871</v>
      </c>
      <c r="B179" s="1525" t="s">
        <v>2181</v>
      </c>
      <c r="C179" s="1526"/>
      <c r="D179" s="1526"/>
      <c r="E179" s="1527">
        <f t="shared" si="17"/>
        <v>0</v>
      </c>
    </row>
    <row r="180" spans="1:8">
      <c r="A180" s="1524" t="s">
        <v>1873</v>
      </c>
      <c r="B180" s="1525" t="s">
        <v>2182</v>
      </c>
      <c r="C180" s="1526"/>
      <c r="D180" s="1526"/>
      <c r="E180" s="1527">
        <f t="shared" si="17"/>
        <v>0</v>
      </c>
    </row>
    <row r="181" spans="1:8">
      <c r="A181" s="1524" t="s">
        <v>1875</v>
      </c>
      <c r="B181" s="1525" t="s">
        <v>2183</v>
      </c>
      <c r="C181" s="1526"/>
      <c r="D181" s="1526"/>
      <c r="E181" s="1527">
        <f t="shared" si="17"/>
        <v>0</v>
      </c>
    </row>
    <row r="182" spans="1:8">
      <c r="A182" s="1524" t="s">
        <v>1876</v>
      </c>
      <c r="B182" s="1525" t="s">
        <v>2184</v>
      </c>
      <c r="C182" s="1526"/>
      <c r="D182" s="1526"/>
      <c r="E182" s="1527">
        <f t="shared" si="17"/>
        <v>0</v>
      </c>
    </row>
    <row r="183" spans="1:8">
      <c r="A183" s="1524" t="s">
        <v>1877</v>
      </c>
      <c r="B183" s="1525" t="s">
        <v>2185</v>
      </c>
      <c r="C183" s="1526"/>
      <c r="D183" s="1526"/>
      <c r="E183" s="1527">
        <f t="shared" si="17"/>
        <v>0</v>
      </c>
    </row>
    <row r="184" spans="1:8" ht="24">
      <c r="A184" s="1535" t="s">
        <v>1878</v>
      </c>
      <c r="B184" s="1536" t="s">
        <v>2186</v>
      </c>
      <c r="C184" s="1537"/>
      <c r="D184" s="1537"/>
      <c r="E184" s="1538">
        <f t="shared" si="17"/>
        <v>0</v>
      </c>
      <c r="G184" s="118"/>
    </row>
    <row r="185" spans="1:8">
      <c r="A185" s="1524" t="s">
        <v>1879</v>
      </c>
      <c r="B185" s="1525" t="s">
        <v>2187</v>
      </c>
      <c r="C185" s="1526">
        <v>732</v>
      </c>
      <c r="D185" s="1526"/>
      <c r="E185" s="1527">
        <f t="shared" si="17"/>
        <v>732</v>
      </c>
    </row>
    <row r="186" spans="1:8">
      <c r="A186" s="1524" t="s">
        <v>1881</v>
      </c>
      <c r="B186" s="1525" t="s">
        <v>2188</v>
      </c>
      <c r="C186" s="1526"/>
      <c r="D186" s="1526"/>
      <c r="E186" s="1527">
        <f t="shared" si="17"/>
        <v>0</v>
      </c>
    </row>
    <row r="187" spans="1:8">
      <c r="A187" s="1524" t="s">
        <v>1883</v>
      </c>
      <c r="B187" s="1525" t="s">
        <v>2189</v>
      </c>
      <c r="C187" s="1526"/>
      <c r="D187" s="1526"/>
      <c r="E187" s="1527"/>
    </row>
    <row r="188" spans="1:8">
      <c r="A188" s="1524" t="s">
        <v>1885</v>
      </c>
      <c r="B188" s="1525" t="s">
        <v>2190</v>
      </c>
      <c r="C188" s="1526"/>
      <c r="D188" s="1526"/>
      <c r="E188" s="1527"/>
    </row>
    <row r="189" spans="1:8">
      <c r="A189" s="1524" t="s">
        <v>1887</v>
      </c>
      <c r="B189" s="1525" t="s">
        <v>2644</v>
      </c>
      <c r="C189" s="1526">
        <v>1105</v>
      </c>
      <c r="D189" s="1526"/>
      <c r="E189" s="1527">
        <f t="shared" si="17"/>
        <v>1105</v>
      </c>
    </row>
    <row r="190" spans="1:8" s="938" customFormat="1" ht="12.75" thickBot="1">
      <c r="A190" s="1517" t="s">
        <v>1889</v>
      </c>
      <c r="B190" s="1528" t="s">
        <v>2645</v>
      </c>
      <c r="C190" s="1529"/>
      <c r="D190" s="1529"/>
      <c r="E190" s="1530">
        <f t="shared" si="17"/>
        <v>0</v>
      </c>
      <c r="H190" s="943"/>
    </row>
    <row r="191" spans="1:8" s="938" customFormat="1" ht="12.75" thickBot="1">
      <c r="A191" s="1531" t="s">
        <v>1891</v>
      </c>
      <c r="B191" s="1532" t="s">
        <v>2646</v>
      </c>
      <c r="C191" s="1533">
        <f>+C98+C99+C109+C114+C172+C173</f>
        <v>356668</v>
      </c>
      <c r="D191" s="1533">
        <f>+D98+D99+D109+D114+D172+D173</f>
        <v>0</v>
      </c>
      <c r="E191" s="1534">
        <f>+E98+E99+E109+E114+E172+E173</f>
        <v>356668</v>
      </c>
      <c r="G191" s="118"/>
    </row>
    <row r="192" spans="1:8" ht="12.75" thickBot="1">
      <c r="A192" s="1531" t="s">
        <v>1892</v>
      </c>
      <c r="B192" s="1532" t="s">
        <v>2191</v>
      </c>
      <c r="C192" s="1533">
        <v>8714</v>
      </c>
      <c r="D192" s="1533"/>
      <c r="E192" s="1534">
        <f t="shared" ref="E192:E204" si="18">+C192+D192</f>
        <v>8714</v>
      </c>
      <c r="G192" s="118">
        <f>+'1.mell._Össz_Mérleg2018'!E33</f>
        <v>8714</v>
      </c>
      <c r="H192" s="118">
        <f>+G192-E192</f>
        <v>0</v>
      </c>
    </row>
    <row r="193" spans="1:8" ht="12.75" thickBot="1">
      <c r="A193" s="1531" t="s">
        <v>1894</v>
      </c>
      <c r="B193" s="1532" t="s">
        <v>2647</v>
      </c>
      <c r="C193" s="1533">
        <v>54287</v>
      </c>
      <c r="D193" s="1533"/>
      <c r="E193" s="1534">
        <f t="shared" si="18"/>
        <v>54287</v>
      </c>
      <c r="G193" s="118">
        <f>+'1.mell._Össz_Mérleg2018'!E34</f>
        <v>54287</v>
      </c>
      <c r="H193" s="118">
        <f>+G193-E193</f>
        <v>0</v>
      </c>
    </row>
    <row r="194" spans="1:8">
      <c r="A194" s="1535" t="s">
        <v>1896</v>
      </c>
      <c r="B194" s="1536" t="s">
        <v>2648</v>
      </c>
      <c r="C194" s="1537">
        <v>11948</v>
      </c>
      <c r="D194" s="1537"/>
      <c r="E194" s="1538">
        <f t="shared" si="18"/>
        <v>11948</v>
      </c>
    </row>
    <row r="195" spans="1:8" s="938" customFormat="1" ht="12.75" thickBot="1">
      <c r="A195" s="1517" t="s">
        <v>1898</v>
      </c>
      <c r="B195" s="1528" t="s">
        <v>2192</v>
      </c>
      <c r="C195" s="1529"/>
      <c r="D195" s="1529"/>
      <c r="E195" s="1530">
        <f t="shared" si="18"/>
        <v>0</v>
      </c>
      <c r="H195" s="943"/>
    </row>
    <row r="196" spans="1:8" ht="12.75" thickBot="1">
      <c r="A196" s="1531" t="s">
        <v>1900</v>
      </c>
      <c r="B196" s="1532" t="s">
        <v>2649</v>
      </c>
      <c r="C196" s="1533">
        <v>16417</v>
      </c>
      <c r="D196" s="1533"/>
      <c r="E196" s="1534">
        <f t="shared" si="18"/>
        <v>16417</v>
      </c>
      <c r="G196" s="118">
        <f>+'1.mell._Össz_Mérleg2018'!E35</f>
        <v>16417</v>
      </c>
      <c r="H196" s="118">
        <f>+G196-E196</f>
        <v>0</v>
      </c>
    </row>
    <row r="197" spans="1:8" ht="12.75" thickBot="1">
      <c r="A197" s="1543" t="s">
        <v>1901</v>
      </c>
      <c r="B197" s="1544" t="s">
        <v>2193</v>
      </c>
      <c r="C197" s="1545">
        <v>7215</v>
      </c>
      <c r="D197" s="1545"/>
      <c r="E197" s="1546">
        <f t="shared" si="18"/>
        <v>7215</v>
      </c>
    </row>
    <row r="198" spans="1:8" ht="12.75" thickBot="1">
      <c r="A198" s="1531" t="s">
        <v>1902</v>
      </c>
      <c r="B198" s="1532" t="s">
        <v>2650</v>
      </c>
      <c r="C198" s="1533">
        <v>236</v>
      </c>
      <c r="D198" s="1533"/>
      <c r="E198" s="1534">
        <f t="shared" si="18"/>
        <v>236</v>
      </c>
      <c r="G198" s="118">
        <f>+'1.mell._Össz_Mérleg2018'!E36</f>
        <v>236</v>
      </c>
      <c r="H198" s="118">
        <f>+G198-E198</f>
        <v>0</v>
      </c>
    </row>
    <row r="199" spans="1:8">
      <c r="A199" s="1535" t="s">
        <v>1903</v>
      </c>
      <c r="B199" s="1536" t="s">
        <v>2194</v>
      </c>
      <c r="C199" s="1537"/>
      <c r="D199" s="1537"/>
      <c r="E199" s="1538">
        <f t="shared" si="18"/>
        <v>0</v>
      </c>
    </row>
    <row r="200" spans="1:8">
      <c r="A200" s="1524" t="s">
        <v>1905</v>
      </c>
      <c r="B200" s="1525" t="s">
        <v>2195</v>
      </c>
      <c r="C200" s="1526"/>
      <c r="D200" s="1526"/>
      <c r="E200" s="1527">
        <f t="shared" si="18"/>
        <v>0</v>
      </c>
    </row>
    <row r="201" spans="1:8">
      <c r="A201" s="1524" t="s">
        <v>1906</v>
      </c>
      <c r="B201" s="1525" t="s">
        <v>2196</v>
      </c>
      <c r="C201" s="1526"/>
      <c r="D201" s="1526"/>
      <c r="E201" s="1527">
        <f t="shared" si="18"/>
        <v>0</v>
      </c>
    </row>
    <row r="202" spans="1:8">
      <c r="A202" s="1524" t="s">
        <v>1907</v>
      </c>
      <c r="B202" s="1525" t="s">
        <v>2197</v>
      </c>
      <c r="C202" s="1526"/>
      <c r="D202" s="1526"/>
      <c r="E202" s="1527">
        <f t="shared" si="18"/>
        <v>0</v>
      </c>
    </row>
    <row r="203" spans="1:8">
      <c r="A203" s="1524" t="s">
        <v>1908</v>
      </c>
      <c r="B203" s="1525" t="s">
        <v>2651</v>
      </c>
      <c r="C203" s="1526"/>
      <c r="D203" s="1526"/>
      <c r="E203" s="1527">
        <f t="shared" si="18"/>
        <v>0</v>
      </c>
    </row>
    <row r="204" spans="1:8" s="938" customFormat="1" ht="12.75" thickBot="1">
      <c r="A204" s="1517" t="s">
        <v>1909</v>
      </c>
      <c r="B204" s="1528" t="s">
        <v>2198</v>
      </c>
      <c r="C204" s="1529"/>
      <c r="D204" s="1529"/>
      <c r="E204" s="1530">
        <f t="shared" si="18"/>
        <v>0</v>
      </c>
      <c r="H204" s="943"/>
    </row>
    <row r="205" spans="1:8" s="938" customFormat="1" ht="12.75" thickBot="1">
      <c r="A205" s="1531" t="s">
        <v>1910</v>
      </c>
      <c r="B205" s="1532" t="s">
        <v>111</v>
      </c>
      <c r="C205" s="1533">
        <v>8465</v>
      </c>
      <c r="D205" s="1533"/>
      <c r="E205" s="1534">
        <f>+C205+D205</f>
        <v>8465</v>
      </c>
      <c r="G205" s="118">
        <f>+'1.mell._Össz_Mérleg2018'!E37</f>
        <v>8465</v>
      </c>
      <c r="H205" s="118">
        <f t="shared" ref="H205:H207" si="19">+G205-E205</f>
        <v>0</v>
      </c>
    </row>
    <row r="206" spans="1:8" s="938" customFormat="1" ht="12.75" thickBot="1">
      <c r="A206" s="1539" t="s">
        <v>1911</v>
      </c>
      <c r="B206" s="1540" t="s">
        <v>112</v>
      </c>
      <c r="C206" s="1541">
        <v>21996</v>
      </c>
      <c r="D206" s="1541"/>
      <c r="E206" s="1542">
        <f>+C206+D206</f>
        <v>21996</v>
      </c>
      <c r="G206" s="118">
        <f>+'1.mell._Össz_Mérleg2018'!E38</f>
        <v>21996</v>
      </c>
      <c r="H206" s="118">
        <f t="shared" si="19"/>
        <v>0</v>
      </c>
    </row>
    <row r="207" spans="1:8" s="938" customFormat="1" ht="12.75" thickBot="1">
      <c r="A207" s="1531" t="s">
        <v>1912</v>
      </c>
      <c r="B207" s="1532" t="s">
        <v>113</v>
      </c>
      <c r="C207" s="1533">
        <v>6293</v>
      </c>
      <c r="D207" s="1533"/>
      <c r="E207" s="1534">
        <f>+C207+D207</f>
        <v>6293</v>
      </c>
      <c r="G207" s="118">
        <f>+'1.mell._Össz_Mérleg2018'!E39</f>
        <v>6293</v>
      </c>
      <c r="H207" s="118">
        <f t="shared" si="19"/>
        <v>0</v>
      </c>
    </row>
    <row r="208" spans="1:8" ht="12.75" thickBot="1">
      <c r="A208" s="1531" t="s">
        <v>1913</v>
      </c>
      <c r="B208" s="1532" t="s">
        <v>2652</v>
      </c>
      <c r="C208" s="1533"/>
      <c r="D208" s="1533"/>
      <c r="E208" s="1534">
        <f>+C208+D208</f>
        <v>0</v>
      </c>
      <c r="H208" s="938"/>
    </row>
    <row r="209" spans="1:8">
      <c r="A209" s="1535" t="s">
        <v>1914</v>
      </c>
      <c r="B209" s="1536" t="s">
        <v>2199</v>
      </c>
      <c r="C209" s="1537"/>
      <c r="D209" s="1537"/>
      <c r="E209" s="1538">
        <f t="shared" ref="E209:E278" si="20">+C209+D209</f>
        <v>0</v>
      </c>
      <c r="H209" s="938"/>
    </row>
    <row r="210" spans="1:8" ht="12.75" thickBot="1">
      <c r="A210" s="1543" t="s">
        <v>1915</v>
      </c>
      <c r="B210" s="1544" t="s">
        <v>2200</v>
      </c>
      <c r="C210" s="1545"/>
      <c r="D210" s="1545"/>
      <c r="E210" s="1538">
        <f t="shared" si="20"/>
        <v>0</v>
      </c>
    </row>
    <row r="211" spans="1:8" s="938" customFormat="1" ht="12.75" thickBot="1">
      <c r="A211" s="1531" t="s">
        <v>1916</v>
      </c>
      <c r="B211" s="1532" t="s">
        <v>2653</v>
      </c>
      <c r="C211" s="1533">
        <v>1</v>
      </c>
      <c r="D211" s="1533"/>
      <c r="E211" s="1534">
        <f t="shared" si="20"/>
        <v>1</v>
      </c>
      <c r="H211" s="943"/>
    </row>
    <row r="212" spans="1:8">
      <c r="A212" s="1535" t="s">
        <v>1917</v>
      </c>
      <c r="B212" s="1536" t="s">
        <v>2201</v>
      </c>
      <c r="C212" s="1537"/>
      <c r="D212" s="1537"/>
      <c r="E212" s="1538">
        <f t="shared" si="20"/>
        <v>0</v>
      </c>
    </row>
    <row r="213" spans="1:8" ht="12.75" thickBot="1">
      <c r="A213" s="1517" t="s">
        <v>1918</v>
      </c>
      <c r="B213" s="1528" t="s">
        <v>2202</v>
      </c>
      <c r="C213" s="1529"/>
      <c r="D213" s="1529"/>
      <c r="E213" s="1530">
        <f t="shared" si="20"/>
        <v>0</v>
      </c>
      <c r="H213" s="938"/>
    </row>
    <row r="214" spans="1:8" ht="12.75" thickBot="1">
      <c r="A214" s="1531" t="s">
        <v>1920</v>
      </c>
      <c r="B214" s="1532" t="s">
        <v>2654</v>
      </c>
      <c r="C214" s="1533">
        <f>+C208+C211</f>
        <v>1</v>
      </c>
      <c r="D214" s="1533">
        <f>+D208+D211</f>
        <v>0</v>
      </c>
      <c r="E214" s="1534">
        <f>+E208+E211</f>
        <v>1</v>
      </c>
      <c r="G214" s="118">
        <f>+'1.mell._Össz_Mérleg2018'!E40</f>
        <v>1</v>
      </c>
      <c r="H214" s="118">
        <f>+G214-E214</f>
        <v>0</v>
      </c>
    </row>
    <row r="215" spans="1:8" ht="12.75" thickBot="1">
      <c r="A215" s="1543" t="s">
        <v>1922</v>
      </c>
      <c r="B215" s="1544" t="s">
        <v>2203</v>
      </c>
      <c r="C215" s="1545">
        <v>3880</v>
      </c>
      <c r="D215" s="1545"/>
      <c r="E215" s="1546">
        <f t="shared" si="20"/>
        <v>3880</v>
      </c>
    </row>
    <row r="216" spans="1:8" s="938" customFormat="1" ht="12.75" thickBot="1">
      <c r="A216" s="1531" t="s">
        <v>1924</v>
      </c>
      <c r="B216" s="1532" t="s">
        <v>2655</v>
      </c>
      <c r="C216" s="1533">
        <v>0</v>
      </c>
      <c r="D216" s="1533">
        <v>0</v>
      </c>
      <c r="E216" s="1534">
        <f t="shared" si="20"/>
        <v>0</v>
      </c>
      <c r="H216" s="943"/>
    </row>
    <row r="217" spans="1:8" s="938" customFormat="1">
      <c r="A217" s="1535" t="s">
        <v>1926</v>
      </c>
      <c r="B217" s="1536" t="s">
        <v>2204</v>
      </c>
      <c r="C217" s="1537"/>
      <c r="D217" s="1537"/>
      <c r="E217" s="1527">
        <f t="shared" si="20"/>
        <v>0</v>
      </c>
      <c r="H217" s="943"/>
    </row>
    <row r="218" spans="1:8">
      <c r="A218" s="1524" t="s">
        <v>1928</v>
      </c>
      <c r="B218" s="1525" t="s">
        <v>2205</v>
      </c>
      <c r="C218" s="1526"/>
      <c r="D218" s="1526"/>
      <c r="E218" s="1527">
        <f t="shared" si="20"/>
        <v>0</v>
      </c>
    </row>
    <row r="219" spans="1:8">
      <c r="A219" s="1524" t="s">
        <v>1930</v>
      </c>
      <c r="B219" s="1525" t="s">
        <v>2206</v>
      </c>
      <c r="C219" s="1526"/>
      <c r="D219" s="1526"/>
      <c r="E219" s="1527">
        <f t="shared" si="20"/>
        <v>0</v>
      </c>
    </row>
    <row r="220" spans="1:8" s="938" customFormat="1">
      <c r="A220" s="1524" t="s">
        <v>1932</v>
      </c>
      <c r="B220" s="1525" t="s">
        <v>2207</v>
      </c>
      <c r="C220" s="1526"/>
      <c r="D220" s="1526"/>
      <c r="E220" s="1527">
        <f t="shared" si="20"/>
        <v>0</v>
      </c>
      <c r="H220" s="943"/>
    </row>
    <row r="221" spans="1:8" ht="12.75" thickBot="1">
      <c r="A221" s="1517" t="s">
        <v>1934</v>
      </c>
      <c r="B221" s="1528" t="s">
        <v>2208</v>
      </c>
      <c r="C221" s="1529"/>
      <c r="D221" s="1529"/>
      <c r="E221" s="1530">
        <f t="shared" si="20"/>
        <v>0</v>
      </c>
    </row>
    <row r="222" spans="1:8" ht="12.75" thickBot="1">
      <c r="A222" s="1531" t="s">
        <v>1936</v>
      </c>
      <c r="B222" s="1532" t="s">
        <v>2656</v>
      </c>
      <c r="C222" s="1533">
        <f>+C215+C216</f>
        <v>3880</v>
      </c>
      <c r="D222" s="1533">
        <f>+D215+D216</f>
        <v>0</v>
      </c>
      <c r="E222" s="1534">
        <f>+E215+E216</f>
        <v>3880</v>
      </c>
      <c r="G222" s="118">
        <f>+'1.mell._Össz_Mérleg2018'!E41</f>
        <v>3880</v>
      </c>
      <c r="H222" s="118">
        <f t="shared" ref="H222:H224" si="21">+G222-E222</f>
        <v>0</v>
      </c>
    </row>
    <row r="223" spans="1:8" ht="12.75" thickBot="1">
      <c r="A223" s="1531" t="s">
        <v>1938</v>
      </c>
      <c r="B223" s="1532" t="s">
        <v>962</v>
      </c>
      <c r="C223" s="1533">
        <v>786</v>
      </c>
      <c r="D223" s="1533"/>
      <c r="E223" s="1534">
        <f t="shared" si="20"/>
        <v>786</v>
      </c>
      <c r="G223" s="118">
        <f>+'1.mell._Össz_Mérleg2018'!E42</f>
        <v>786</v>
      </c>
      <c r="H223" s="118">
        <f t="shared" si="21"/>
        <v>0</v>
      </c>
    </row>
    <row r="224" spans="1:8" ht="12.75" thickBot="1">
      <c r="A224" s="1531" t="s">
        <v>1939</v>
      </c>
      <c r="B224" s="1532" t="s">
        <v>2657</v>
      </c>
      <c r="C224" s="1533">
        <v>3479</v>
      </c>
      <c r="D224" s="1533"/>
      <c r="E224" s="1534">
        <f t="shared" si="20"/>
        <v>3479</v>
      </c>
      <c r="G224" s="118">
        <f>+'1.mell._Össz_Mérleg2018'!E43</f>
        <v>3479</v>
      </c>
      <c r="H224" s="118">
        <f t="shared" si="21"/>
        <v>0</v>
      </c>
    </row>
    <row r="225" spans="1:8" ht="36">
      <c r="A225" s="1535" t="s">
        <v>1941</v>
      </c>
      <c r="B225" s="1536" t="s">
        <v>2209</v>
      </c>
      <c r="C225" s="1537"/>
      <c r="D225" s="1537"/>
      <c r="E225" s="1538">
        <f t="shared" si="20"/>
        <v>0</v>
      </c>
      <c r="H225" s="938"/>
    </row>
    <row r="226" spans="1:8" ht="12.75" thickBot="1">
      <c r="A226" s="1517" t="s">
        <v>1943</v>
      </c>
      <c r="B226" s="1528" t="s">
        <v>2210</v>
      </c>
      <c r="C226" s="1529">
        <v>1087</v>
      </c>
      <c r="D226" s="1529"/>
      <c r="E226" s="1530">
        <f t="shared" si="20"/>
        <v>1087</v>
      </c>
    </row>
    <row r="227" spans="1:8" ht="12.75" thickBot="1">
      <c r="A227" s="1531" t="s">
        <v>1945</v>
      </c>
      <c r="B227" s="1532" t="s">
        <v>2658</v>
      </c>
      <c r="C227" s="1533">
        <f>+C192+C193+C196+C198+C205+C206+C207+C222+C214+C223+C224</f>
        <v>124554</v>
      </c>
      <c r="D227" s="1533">
        <f>+D192+D193+D196+D198+D205+D206+D207+D222+D214+D223+D224</f>
        <v>0</v>
      </c>
      <c r="E227" s="1534">
        <f>+E192+E193+E196+E198+E205+E206+E207+E222+E214+E223+E224</f>
        <v>124554</v>
      </c>
    </row>
    <row r="228" spans="1:8">
      <c r="A228" s="1535" t="s">
        <v>1947</v>
      </c>
      <c r="B228" s="1536" t="s">
        <v>2659</v>
      </c>
      <c r="C228" s="1537"/>
      <c r="D228" s="1537"/>
      <c r="E228" s="1538">
        <f t="shared" si="20"/>
        <v>0</v>
      </c>
      <c r="G228" s="118">
        <f>+'1.mell._Össz_Mérleg2018'!E59</f>
        <v>0</v>
      </c>
      <c r="H228" s="118">
        <f>+G228-E228</f>
        <v>0</v>
      </c>
    </row>
    <row r="229" spans="1:8" s="938" customFormat="1">
      <c r="A229" s="1524" t="s">
        <v>1949</v>
      </c>
      <c r="B229" s="1525" t="s">
        <v>2211</v>
      </c>
      <c r="C229" s="1526"/>
      <c r="D229" s="1526"/>
      <c r="E229" s="1527">
        <f t="shared" si="20"/>
        <v>0</v>
      </c>
    </row>
    <row r="230" spans="1:8">
      <c r="A230" s="1524" t="s">
        <v>1951</v>
      </c>
      <c r="B230" s="1525" t="s">
        <v>2660</v>
      </c>
      <c r="C230" s="1526">
        <v>5264</v>
      </c>
      <c r="D230" s="1526"/>
      <c r="E230" s="1527">
        <f t="shared" si="20"/>
        <v>5264</v>
      </c>
      <c r="G230" s="118">
        <f>+'1.mell._Össz_Mérleg2018'!E60</f>
        <v>5264</v>
      </c>
      <c r="H230" s="118">
        <f>+G230-E230</f>
        <v>0</v>
      </c>
    </row>
    <row r="231" spans="1:8">
      <c r="A231" s="1535" t="s">
        <v>1953</v>
      </c>
      <c r="B231" s="1536" t="s">
        <v>2212</v>
      </c>
      <c r="C231" s="1537"/>
      <c r="D231" s="1537"/>
      <c r="E231" s="1538">
        <f t="shared" si="20"/>
        <v>0</v>
      </c>
    </row>
    <row r="232" spans="1:8">
      <c r="A232" s="1524" t="s">
        <v>1955</v>
      </c>
      <c r="B232" s="1525" t="s">
        <v>123</v>
      </c>
      <c r="C232" s="1526">
        <v>1600</v>
      </c>
      <c r="D232" s="1526"/>
      <c r="E232" s="1527">
        <f t="shared" si="20"/>
        <v>1600</v>
      </c>
      <c r="G232" s="118">
        <f>+'1.mell._Össz_Mérleg2018'!E61</f>
        <v>1600</v>
      </c>
      <c r="H232" s="118">
        <f t="shared" ref="H232:H233" si="22">+G232-E232</f>
        <v>0</v>
      </c>
    </row>
    <row r="233" spans="1:8" s="938" customFormat="1">
      <c r="A233" s="1524" t="s">
        <v>1957</v>
      </c>
      <c r="B233" s="1525" t="s">
        <v>2661</v>
      </c>
      <c r="C233" s="1526"/>
      <c r="D233" s="1526"/>
      <c r="E233" s="1527">
        <f t="shared" si="20"/>
        <v>0</v>
      </c>
      <c r="G233" s="118">
        <f>+'1.mell._Össz_Mérleg2018'!E62</f>
        <v>0</v>
      </c>
      <c r="H233" s="118">
        <f t="shared" si="22"/>
        <v>0</v>
      </c>
    </row>
    <row r="234" spans="1:8">
      <c r="A234" s="1524" t="s">
        <v>1959</v>
      </c>
      <c r="B234" s="1525" t="s">
        <v>2213</v>
      </c>
      <c r="C234" s="1526"/>
      <c r="D234" s="1526"/>
      <c r="E234" s="1527">
        <f t="shared" si="20"/>
        <v>0</v>
      </c>
      <c r="H234" s="938"/>
    </row>
    <row r="235" spans="1:8" ht="12.75" thickBot="1">
      <c r="A235" s="1517" t="s">
        <v>1960</v>
      </c>
      <c r="B235" s="1528" t="s">
        <v>125</v>
      </c>
      <c r="C235" s="1529"/>
      <c r="D235" s="1529"/>
      <c r="E235" s="1530">
        <f t="shared" si="20"/>
        <v>0</v>
      </c>
      <c r="G235" s="118">
        <f>+'1.mell._Össz_Mérleg2018'!E63</f>
        <v>0</v>
      </c>
      <c r="H235" s="118">
        <f>+G235-E235</f>
        <v>0</v>
      </c>
    </row>
    <row r="236" spans="1:8" ht="12.75" thickBot="1">
      <c r="A236" s="1531" t="s">
        <v>1962</v>
      </c>
      <c r="B236" s="1532" t="s">
        <v>2662</v>
      </c>
      <c r="C236" s="1533">
        <f>+C228+C230+C232+C233+C235</f>
        <v>6864</v>
      </c>
      <c r="D236" s="1533">
        <f>+D228+D230+D232+D233+D235</f>
        <v>0</v>
      </c>
      <c r="E236" s="1534">
        <f>+E228+E230+E232+E233+E235</f>
        <v>6864</v>
      </c>
    </row>
    <row r="237" spans="1:8" ht="12.75" thickBot="1">
      <c r="A237" s="1557" t="s">
        <v>1964</v>
      </c>
      <c r="B237" s="1558" t="s">
        <v>115</v>
      </c>
      <c r="C237" s="1559"/>
      <c r="D237" s="1559"/>
      <c r="E237" s="1560">
        <f t="shared" si="20"/>
        <v>0</v>
      </c>
      <c r="G237" s="118">
        <f>+'1.mell._Össz_Mérleg2018'!E45</f>
        <v>0</v>
      </c>
      <c r="H237" s="118">
        <f t="shared" ref="H237:H240" si="23">+G237-E237</f>
        <v>0</v>
      </c>
    </row>
    <row r="238" spans="1:8" ht="12.75" thickBot="1">
      <c r="A238" s="1531" t="s">
        <v>1966</v>
      </c>
      <c r="B238" s="1532" t="s">
        <v>964</v>
      </c>
      <c r="C238" s="1533"/>
      <c r="D238" s="1533"/>
      <c r="E238" s="1534">
        <f t="shared" si="20"/>
        <v>0</v>
      </c>
      <c r="G238" s="118">
        <f>+'1.mell._Össz_Mérleg2018'!E46</f>
        <v>0</v>
      </c>
      <c r="H238" s="118">
        <f t="shared" si="23"/>
        <v>0</v>
      </c>
    </row>
    <row r="239" spans="1:8" ht="24.75" thickBot="1">
      <c r="A239" s="1561" t="s">
        <v>1968</v>
      </c>
      <c r="B239" s="1562" t="s">
        <v>965</v>
      </c>
      <c r="C239" s="1563"/>
      <c r="D239" s="1563"/>
      <c r="E239" s="1564">
        <f t="shared" si="20"/>
        <v>0</v>
      </c>
      <c r="G239" s="118">
        <f>+'1.mell._Össz_Mérleg2018'!E47</f>
        <v>0</v>
      </c>
      <c r="H239" s="118">
        <f t="shared" si="23"/>
        <v>0</v>
      </c>
    </row>
    <row r="240" spans="1:8" ht="24.75" thickBot="1">
      <c r="A240" s="1531" t="s">
        <v>1970</v>
      </c>
      <c r="B240" s="1532" t="s">
        <v>2663</v>
      </c>
      <c r="C240" s="1533">
        <f>SUM(C241:C249)</f>
        <v>3280</v>
      </c>
      <c r="D240" s="1533">
        <f>SUM(D241:D249)</f>
        <v>0</v>
      </c>
      <c r="E240" s="1534">
        <f>SUM(E241:E249)</f>
        <v>3280</v>
      </c>
      <c r="G240" s="118">
        <f>+'1.mell._Össz_Mérleg2018'!E48</f>
        <v>3280</v>
      </c>
      <c r="H240" s="118">
        <f t="shared" si="23"/>
        <v>0</v>
      </c>
    </row>
    <row r="241" spans="1:8">
      <c r="A241" s="1535" t="s">
        <v>1972</v>
      </c>
      <c r="B241" s="1536" t="s">
        <v>2214</v>
      </c>
      <c r="C241" s="1537"/>
      <c r="D241" s="1537"/>
      <c r="E241" s="1538">
        <f t="shared" si="20"/>
        <v>0</v>
      </c>
    </row>
    <row r="242" spans="1:8">
      <c r="A242" s="1524" t="s">
        <v>1974</v>
      </c>
      <c r="B242" s="1525" t="s">
        <v>2215</v>
      </c>
      <c r="C242" s="1526"/>
      <c r="D242" s="1526"/>
      <c r="E242" s="1527">
        <f t="shared" si="20"/>
        <v>0</v>
      </c>
    </row>
    <row r="243" spans="1:8" s="938" customFormat="1">
      <c r="A243" s="1524" t="s">
        <v>1976</v>
      </c>
      <c r="B243" s="1525" t="s">
        <v>2216</v>
      </c>
      <c r="C243" s="1526"/>
      <c r="D243" s="1526"/>
      <c r="E243" s="1527">
        <f t="shared" si="20"/>
        <v>0</v>
      </c>
      <c r="H243" s="943"/>
    </row>
    <row r="244" spans="1:8">
      <c r="A244" s="1524" t="s">
        <v>1978</v>
      </c>
      <c r="B244" s="1525" t="s">
        <v>2217</v>
      </c>
      <c r="C244" s="1526">
        <v>5</v>
      </c>
      <c r="D244" s="1526"/>
      <c r="E244" s="1527">
        <f t="shared" si="20"/>
        <v>5</v>
      </c>
    </row>
    <row r="245" spans="1:8">
      <c r="A245" s="1524" t="s">
        <v>1980</v>
      </c>
      <c r="B245" s="1525" t="s">
        <v>2218</v>
      </c>
      <c r="C245" s="1526"/>
      <c r="D245" s="1526"/>
      <c r="E245" s="1527">
        <f t="shared" si="20"/>
        <v>0</v>
      </c>
    </row>
    <row r="246" spans="1:8">
      <c r="A246" s="1524" t="s">
        <v>1981</v>
      </c>
      <c r="B246" s="1525" t="s">
        <v>2219</v>
      </c>
      <c r="C246" s="1526"/>
      <c r="D246" s="1526"/>
      <c r="E246" s="1527">
        <f t="shared" si="20"/>
        <v>0</v>
      </c>
    </row>
    <row r="247" spans="1:8">
      <c r="A247" s="1524" t="s">
        <v>1983</v>
      </c>
      <c r="B247" s="1525" t="s">
        <v>2664</v>
      </c>
      <c r="C247" s="1526">
        <v>3275</v>
      </c>
      <c r="D247" s="1526"/>
      <c r="E247" s="1527">
        <f t="shared" si="20"/>
        <v>3275</v>
      </c>
      <c r="H247" s="938"/>
    </row>
    <row r="248" spans="1:8">
      <c r="A248" s="1524" t="s">
        <v>1984</v>
      </c>
      <c r="B248" s="1525" t="s">
        <v>2220</v>
      </c>
      <c r="C248" s="1526"/>
      <c r="D248" s="1526"/>
      <c r="E248" s="1527">
        <f t="shared" si="20"/>
        <v>0</v>
      </c>
    </row>
    <row r="249" spans="1:8" ht="12.75" thickBot="1">
      <c r="A249" s="1517" t="s">
        <v>1986</v>
      </c>
      <c r="B249" s="1528" t="s">
        <v>2221</v>
      </c>
      <c r="C249" s="1529"/>
      <c r="D249" s="1529"/>
      <c r="E249" s="1530">
        <f t="shared" si="20"/>
        <v>0</v>
      </c>
    </row>
    <row r="250" spans="1:8" ht="12.75" thickBot="1">
      <c r="A250" s="1531" t="s">
        <v>1988</v>
      </c>
      <c r="B250" s="1532" t="s">
        <v>2665</v>
      </c>
      <c r="C250" s="1533">
        <f>SUM(C251:C261)</f>
        <v>212</v>
      </c>
      <c r="D250" s="1533">
        <f>SUM(D251:D261)</f>
        <v>0</v>
      </c>
      <c r="E250" s="1534">
        <f>SUM(E251:E261)</f>
        <v>212</v>
      </c>
      <c r="G250" s="118">
        <f>+'1.mell._Össz_Mérleg2018'!E49</f>
        <v>212</v>
      </c>
      <c r="H250" s="118">
        <f>+G250-E250</f>
        <v>0</v>
      </c>
    </row>
    <row r="251" spans="1:8">
      <c r="A251" s="1535" t="s">
        <v>1990</v>
      </c>
      <c r="B251" s="1536" t="s">
        <v>2222</v>
      </c>
      <c r="C251" s="1537"/>
      <c r="D251" s="1537"/>
      <c r="E251" s="1538">
        <f t="shared" si="20"/>
        <v>0</v>
      </c>
      <c r="H251" s="938"/>
    </row>
    <row r="252" spans="1:8">
      <c r="A252" s="1524" t="s">
        <v>1992</v>
      </c>
      <c r="B252" s="1525" t="s">
        <v>2223</v>
      </c>
      <c r="C252" s="1526"/>
      <c r="D252" s="1526"/>
      <c r="E252" s="1527">
        <f t="shared" si="20"/>
        <v>0</v>
      </c>
    </row>
    <row r="253" spans="1:8">
      <c r="A253" s="1524" t="s">
        <v>1994</v>
      </c>
      <c r="B253" s="1525" t="s">
        <v>2224</v>
      </c>
      <c r="C253" s="1526">
        <v>200</v>
      </c>
      <c r="D253" s="1526"/>
      <c r="E253" s="1527">
        <f t="shared" si="20"/>
        <v>200</v>
      </c>
    </row>
    <row r="254" spans="1:8">
      <c r="A254" s="1524" t="s">
        <v>1996</v>
      </c>
      <c r="B254" s="1525" t="s">
        <v>2225</v>
      </c>
      <c r="C254" s="1526">
        <v>12</v>
      </c>
      <c r="D254" s="1526"/>
      <c r="E254" s="1527">
        <f t="shared" si="20"/>
        <v>12</v>
      </c>
    </row>
    <row r="255" spans="1:8" s="938" customFormat="1">
      <c r="A255" s="1524" t="s">
        <v>1997</v>
      </c>
      <c r="B255" s="1525" t="s">
        <v>2226</v>
      </c>
      <c r="C255" s="1526"/>
      <c r="D255" s="1526"/>
      <c r="E255" s="1527">
        <f t="shared" si="20"/>
        <v>0</v>
      </c>
      <c r="H255" s="943"/>
    </row>
    <row r="256" spans="1:8">
      <c r="A256" s="1524" t="s">
        <v>1999</v>
      </c>
      <c r="B256" s="1525" t="s">
        <v>2227</v>
      </c>
      <c r="C256" s="1526"/>
      <c r="D256" s="1526"/>
      <c r="E256" s="1527">
        <f t="shared" si="20"/>
        <v>0</v>
      </c>
    </row>
    <row r="257" spans="1:8">
      <c r="A257" s="1535" t="s">
        <v>2001</v>
      </c>
      <c r="B257" s="1536" t="s">
        <v>2666</v>
      </c>
      <c r="C257" s="1537"/>
      <c r="D257" s="1537"/>
      <c r="E257" s="1538">
        <f t="shared" si="20"/>
        <v>0</v>
      </c>
    </row>
    <row r="258" spans="1:8">
      <c r="A258" s="1524" t="s">
        <v>2003</v>
      </c>
      <c r="B258" s="1525" t="s">
        <v>2228</v>
      </c>
      <c r="C258" s="1526"/>
      <c r="D258" s="1526"/>
      <c r="E258" s="1527">
        <f t="shared" si="20"/>
        <v>0</v>
      </c>
    </row>
    <row r="259" spans="1:8">
      <c r="A259" s="1524" t="s">
        <v>2005</v>
      </c>
      <c r="B259" s="1525" t="s">
        <v>2229</v>
      </c>
      <c r="C259" s="1526"/>
      <c r="D259" s="1526"/>
      <c r="E259" s="1527">
        <f t="shared" si="20"/>
        <v>0</v>
      </c>
    </row>
    <row r="260" spans="1:8">
      <c r="A260" s="1524" t="s">
        <v>2006</v>
      </c>
      <c r="B260" s="1525" t="s">
        <v>2230</v>
      </c>
      <c r="C260" s="1526"/>
      <c r="D260" s="1526"/>
      <c r="E260" s="1527">
        <f t="shared" si="20"/>
        <v>0</v>
      </c>
    </row>
    <row r="261" spans="1:8" ht="12.75" thickBot="1">
      <c r="A261" s="1517" t="s">
        <v>2007</v>
      </c>
      <c r="B261" s="1528" t="s">
        <v>2231</v>
      </c>
      <c r="C261" s="1529"/>
      <c r="D261" s="1529"/>
      <c r="E261" s="1530">
        <f t="shared" si="20"/>
        <v>0</v>
      </c>
      <c r="H261" s="938"/>
    </row>
    <row r="262" spans="1:8" ht="12.75" thickBot="1">
      <c r="A262" s="1531" t="s">
        <v>2008</v>
      </c>
      <c r="B262" s="1532" t="s">
        <v>2667</v>
      </c>
      <c r="C262" s="1533">
        <f>+C237+C238+C239+C240+C250</f>
        <v>3492</v>
      </c>
      <c r="D262" s="1533">
        <f>+D237+D238+D239+D240+D250</f>
        <v>0</v>
      </c>
      <c r="E262" s="1534">
        <f>+E237+E238+E239+E240+E250</f>
        <v>3492</v>
      </c>
    </row>
    <row r="263" spans="1:8" ht="24.75" thickBot="1">
      <c r="A263" s="1531" t="s">
        <v>2010</v>
      </c>
      <c r="B263" s="1532" t="s">
        <v>126</v>
      </c>
      <c r="C263" s="1533"/>
      <c r="D263" s="1533"/>
      <c r="E263" s="1534">
        <f t="shared" si="20"/>
        <v>0</v>
      </c>
      <c r="G263" s="118">
        <f>+'1.mell._Össz_Mérleg2018'!E65</f>
        <v>0</v>
      </c>
      <c r="H263" s="118">
        <f t="shared" ref="H263:H265" si="24">+G263-E263</f>
        <v>0</v>
      </c>
    </row>
    <row r="264" spans="1:8" ht="12.75" thickBot="1">
      <c r="A264" s="1539" t="s">
        <v>2012</v>
      </c>
      <c r="B264" s="1540" t="s">
        <v>972</v>
      </c>
      <c r="C264" s="1541"/>
      <c r="D264" s="1541"/>
      <c r="E264" s="1542">
        <f t="shared" si="20"/>
        <v>0</v>
      </c>
      <c r="G264" s="118">
        <f>+'1.mell._Össz_Mérleg2018'!E66</f>
        <v>0</v>
      </c>
      <c r="H264" s="118">
        <f t="shared" si="24"/>
        <v>0</v>
      </c>
    </row>
    <row r="265" spans="1:8" ht="24.75" thickBot="1">
      <c r="A265" s="1531" t="s">
        <v>2014</v>
      </c>
      <c r="B265" s="1532" t="s">
        <v>973</v>
      </c>
      <c r="C265" s="1533"/>
      <c r="D265" s="1533"/>
      <c r="E265" s="1534">
        <f t="shared" si="20"/>
        <v>0</v>
      </c>
      <c r="G265" s="118">
        <f>+'1.mell._Össz_Mérleg2018'!E67</f>
        <v>0</v>
      </c>
      <c r="H265" s="118">
        <f t="shared" si="24"/>
        <v>0</v>
      </c>
    </row>
    <row r="266" spans="1:8" ht="24.75" thickBot="1">
      <c r="A266" s="1561" t="s">
        <v>2016</v>
      </c>
      <c r="B266" s="1562" t="s">
        <v>2668</v>
      </c>
      <c r="C266" s="1563">
        <f>SUM(C267:C275)</f>
        <v>1009</v>
      </c>
      <c r="D266" s="1563">
        <f>SUM(D267:D275)</f>
        <v>0</v>
      </c>
      <c r="E266" s="1564">
        <f>SUM(E267:E275)</f>
        <v>1009</v>
      </c>
      <c r="G266" s="118">
        <f>+'1.mell._Össz_Mérleg2018'!E68</f>
        <v>1009</v>
      </c>
      <c r="H266" s="118">
        <f>+G266-E266</f>
        <v>0</v>
      </c>
    </row>
    <row r="267" spans="1:8">
      <c r="A267" s="1535" t="s">
        <v>2018</v>
      </c>
      <c r="B267" s="1536" t="s">
        <v>2232</v>
      </c>
      <c r="C267" s="1537"/>
      <c r="D267" s="1537"/>
      <c r="E267" s="1538">
        <f t="shared" si="20"/>
        <v>0</v>
      </c>
    </row>
    <row r="268" spans="1:8">
      <c r="A268" s="1524" t="s">
        <v>2020</v>
      </c>
      <c r="B268" s="1525" t="s">
        <v>2233</v>
      </c>
      <c r="C268" s="1526"/>
      <c r="D268" s="1526"/>
      <c r="E268" s="1527">
        <f t="shared" si="20"/>
        <v>0</v>
      </c>
    </row>
    <row r="269" spans="1:8" s="938" customFormat="1">
      <c r="A269" s="1524" t="s">
        <v>2021</v>
      </c>
      <c r="B269" s="1525" t="s">
        <v>2234</v>
      </c>
      <c r="C269" s="1526"/>
      <c r="D269" s="1526"/>
      <c r="E269" s="1527">
        <f t="shared" si="20"/>
        <v>0</v>
      </c>
      <c r="H269" s="943"/>
    </row>
    <row r="270" spans="1:8">
      <c r="A270" s="1524" t="s">
        <v>2023</v>
      </c>
      <c r="B270" s="1525" t="s">
        <v>2235</v>
      </c>
      <c r="C270" s="1526">
        <v>1009</v>
      </c>
      <c r="D270" s="1526"/>
      <c r="E270" s="1527">
        <f t="shared" si="20"/>
        <v>1009</v>
      </c>
    </row>
    <row r="271" spans="1:8">
      <c r="A271" s="1524" t="s">
        <v>2025</v>
      </c>
      <c r="B271" s="1525" t="s">
        <v>2236</v>
      </c>
      <c r="C271" s="1526"/>
      <c r="D271" s="1526"/>
      <c r="E271" s="1527">
        <f t="shared" si="20"/>
        <v>0</v>
      </c>
    </row>
    <row r="272" spans="1:8">
      <c r="A272" s="1524" t="s">
        <v>2027</v>
      </c>
      <c r="B272" s="1525" t="s">
        <v>2237</v>
      </c>
      <c r="C272" s="1526"/>
      <c r="D272" s="1526"/>
      <c r="E272" s="1527">
        <f t="shared" si="20"/>
        <v>0</v>
      </c>
    </row>
    <row r="273" spans="1:8">
      <c r="A273" s="1524" t="s">
        <v>2028</v>
      </c>
      <c r="B273" s="1525" t="s">
        <v>2669</v>
      </c>
      <c r="C273" s="1526"/>
      <c r="D273" s="1526"/>
      <c r="E273" s="1527">
        <f t="shared" si="20"/>
        <v>0</v>
      </c>
      <c r="H273" s="938"/>
    </row>
    <row r="274" spans="1:8">
      <c r="A274" s="1524" t="s">
        <v>2239</v>
      </c>
      <c r="B274" s="1525" t="s">
        <v>2238</v>
      </c>
      <c r="C274" s="1526"/>
      <c r="D274" s="1526"/>
      <c r="E274" s="1527">
        <f t="shared" si="20"/>
        <v>0</v>
      </c>
    </row>
    <row r="275" spans="1:8" ht="12.75" thickBot="1">
      <c r="A275" s="1517" t="s">
        <v>2241</v>
      </c>
      <c r="B275" s="1528" t="s">
        <v>2240</v>
      </c>
      <c r="C275" s="1529"/>
      <c r="D275" s="1529"/>
      <c r="E275" s="1530">
        <f t="shared" si="20"/>
        <v>0</v>
      </c>
    </row>
    <row r="276" spans="1:8" ht="12.75" thickBot="1">
      <c r="A276" s="1531" t="s">
        <v>2242</v>
      </c>
      <c r="B276" s="1532" t="s">
        <v>2670</v>
      </c>
      <c r="C276" s="1533">
        <f>SUM(C277:C287)</f>
        <v>2000</v>
      </c>
      <c r="D276" s="1533">
        <f>SUM(D277:D287)</f>
        <v>0</v>
      </c>
      <c r="E276" s="1534">
        <f>SUM(E277:E287)</f>
        <v>2000</v>
      </c>
      <c r="G276" s="118">
        <f>+'1.mell._Össz_Mérleg2018'!E69</f>
        <v>2000</v>
      </c>
      <c r="H276" s="118">
        <f>+G276-E276</f>
        <v>0</v>
      </c>
    </row>
    <row r="277" spans="1:8">
      <c r="A277" s="1535" t="s">
        <v>2244</v>
      </c>
      <c r="B277" s="1536" t="s">
        <v>2243</v>
      </c>
      <c r="C277" s="1537"/>
      <c r="D277" s="1537"/>
      <c r="E277" s="1538">
        <f t="shared" si="20"/>
        <v>0</v>
      </c>
    </row>
    <row r="278" spans="1:8">
      <c r="A278" s="1524" t="s">
        <v>2246</v>
      </c>
      <c r="B278" s="1525" t="s">
        <v>2245</v>
      </c>
      <c r="C278" s="1526"/>
      <c r="D278" s="1526"/>
      <c r="E278" s="1527">
        <f t="shared" si="20"/>
        <v>0</v>
      </c>
    </row>
    <row r="279" spans="1:8">
      <c r="A279" s="1524" t="s">
        <v>2248</v>
      </c>
      <c r="B279" s="1525" t="s">
        <v>2247</v>
      </c>
      <c r="C279" s="1526">
        <v>2000</v>
      </c>
      <c r="D279" s="1526"/>
      <c r="E279" s="1527">
        <f t="shared" ref="E279:E287" si="25">+C279+D279</f>
        <v>2000</v>
      </c>
    </row>
    <row r="280" spans="1:8">
      <c r="A280" s="1524" t="s">
        <v>2250</v>
      </c>
      <c r="B280" s="1525" t="s">
        <v>2249</v>
      </c>
      <c r="C280" s="1526"/>
      <c r="D280" s="1526"/>
      <c r="E280" s="1527">
        <f t="shared" si="25"/>
        <v>0</v>
      </c>
    </row>
    <row r="281" spans="1:8" s="938" customFormat="1">
      <c r="A281" s="1524" t="s">
        <v>2252</v>
      </c>
      <c r="B281" s="1525" t="s">
        <v>2251</v>
      </c>
      <c r="C281" s="1526"/>
      <c r="D281" s="1526"/>
      <c r="E281" s="1527">
        <f t="shared" si="25"/>
        <v>0</v>
      </c>
      <c r="H281" s="943"/>
    </row>
    <row r="282" spans="1:8" s="938" customFormat="1">
      <c r="A282" s="1524" t="s">
        <v>2254</v>
      </c>
      <c r="B282" s="1525" t="s">
        <v>2253</v>
      </c>
      <c r="C282" s="1526"/>
      <c r="D282" s="1526"/>
      <c r="E282" s="1527">
        <f t="shared" si="25"/>
        <v>0</v>
      </c>
      <c r="H282" s="943"/>
    </row>
    <row r="283" spans="1:8">
      <c r="A283" s="1524" t="s">
        <v>2255</v>
      </c>
      <c r="B283" s="1525" t="s">
        <v>2671</v>
      </c>
      <c r="C283" s="1526"/>
      <c r="D283" s="1526"/>
      <c r="E283" s="1527">
        <f t="shared" si="25"/>
        <v>0</v>
      </c>
    </row>
    <row r="284" spans="1:8">
      <c r="A284" s="1524" t="s">
        <v>2257</v>
      </c>
      <c r="B284" s="1525" t="s">
        <v>2256</v>
      </c>
      <c r="C284" s="1526"/>
      <c r="D284" s="1526"/>
      <c r="E284" s="1527">
        <f t="shared" si="25"/>
        <v>0</v>
      </c>
    </row>
    <row r="285" spans="1:8">
      <c r="A285" s="1524" t="s">
        <v>2259</v>
      </c>
      <c r="B285" s="1525" t="s">
        <v>2258</v>
      </c>
      <c r="C285" s="1526"/>
      <c r="D285" s="1526"/>
      <c r="E285" s="1527">
        <f t="shared" si="25"/>
        <v>0</v>
      </c>
    </row>
    <row r="286" spans="1:8">
      <c r="A286" s="1524" t="s">
        <v>2261</v>
      </c>
      <c r="B286" s="1525" t="s">
        <v>2260</v>
      </c>
      <c r="C286" s="1526"/>
      <c r="D286" s="1526"/>
      <c r="E286" s="1527">
        <f t="shared" si="25"/>
        <v>0</v>
      </c>
    </row>
    <row r="287" spans="1:8" ht="12.75" thickBot="1">
      <c r="A287" s="1517" t="s">
        <v>2263</v>
      </c>
      <c r="B287" s="1528" t="s">
        <v>2262</v>
      </c>
      <c r="C287" s="1529"/>
      <c r="D287" s="1529"/>
      <c r="E287" s="1530">
        <f t="shared" si="25"/>
        <v>0</v>
      </c>
      <c r="H287" s="938"/>
    </row>
    <row r="288" spans="1:8" ht="12.75" thickBot="1">
      <c r="A288" s="1531" t="s">
        <v>2264</v>
      </c>
      <c r="B288" s="1532" t="s">
        <v>2672</v>
      </c>
      <c r="C288" s="1533">
        <f>+C263+C264+C265+C266+C276</f>
        <v>3009</v>
      </c>
      <c r="D288" s="1533">
        <f>+D263+D264+D265+D266+D276</f>
        <v>0</v>
      </c>
      <c r="E288" s="1534">
        <f>+E263+E264+E265+E266+E276</f>
        <v>3009</v>
      </c>
    </row>
    <row r="289" spans="1:8" ht="12.75" thickBot="1">
      <c r="A289" s="1531" t="s">
        <v>2673</v>
      </c>
      <c r="B289" s="1532" t="s">
        <v>2674</v>
      </c>
      <c r="C289" s="1533">
        <f>+C48+C84+C191+C227+C236+C262+C288</f>
        <v>3417980</v>
      </c>
      <c r="D289" s="1533">
        <f>+D48+D84+D191+D227+D236+D262+D288</f>
        <v>0</v>
      </c>
      <c r="E289" s="1534">
        <f>+E48+E84+E191+E227+E236+E262+E288</f>
        <v>3417980</v>
      </c>
      <c r="G289" s="118">
        <f>+'1.mell._Össz_Mérleg2018'!E70</f>
        <v>3417980</v>
      </c>
      <c r="H289" s="118">
        <f>+G289-E289</f>
        <v>0</v>
      </c>
    </row>
    <row r="290" spans="1:8">
      <c r="A290" s="1871"/>
      <c r="B290" s="1872"/>
      <c r="C290" s="1873"/>
      <c r="D290" s="1873"/>
      <c r="E290" s="1873"/>
    </row>
    <row r="291" spans="1:8">
      <c r="E291" s="118"/>
    </row>
    <row r="292" spans="1:8">
      <c r="E292" s="118"/>
    </row>
  </sheetData>
  <mergeCells count="1">
    <mergeCell ref="A2:E2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60" fitToHeight="3" orientation="portrait" r:id="rId1"/>
  <headerFooter alignWithMargins="0">
    <oddHeader>&amp;C16. melléklet - &amp;P. oldal</oddHeader>
  </headerFooter>
  <rowBreaks count="2" manualBreakCount="2">
    <brk id="98" max="4" man="1"/>
    <brk id="191" max="4" man="1"/>
  </rowBreaks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H48"/>
  <sheetViews>
    <sheetView zoomScaleNormal="100" workbookViewId="0">
      <pane ySplit="5" topLeftCell="A6" activePane="bottomLeft" state="frozen"/>
      <selection activeCell="C11" sqref="C11"/>
      <selection pane="bottomLeft" activeCell="A6" sqref="A6"/>
    </sheetView>
  </sheetViews>
  <sheetFormatPr defaultRowHeight="12"/>
  <cols>
    <col min="1" max="1" width="8.140625" style="943" customWidth="1"/>
    <col min="2" max="2" width="82" style="943" customWidth="1"/>
    <col min="3" max="5" width="19.140625" style="943" customWidth="1"/>
    <col min="6" max="6" width="9.140625" style="943"/>
    <col min="7" max="8" width="0" style="943" hidden="1" customWidth="1"/>
    <col min="9" max="256" width="9.140625" style="943"/>
    <col min="257" max="257" width="8.140625" style="943" customWidth="1"/>
    <col min="258" max="258" width="82" style="943" customWidth="1"/>
    <col min="259" max="261" width="19.140625" style="943" customWidth="1"/>
    <col min="262" max="512" width="9.140625" style="943"/>
    <col min="513" max="513" width="8.140625" style="943" customWidth="1"/>
    <col min="514" max="514" width="82" style="943" customWidth="1"/>
    <col min="515" max="517" width="19.140625" style="943" customWidth="1"/>
    <col min="518" max="768" width="9.140625" style="943"/>
    <col min="769" max="769" width="8.140625" style="943" customWidth="1"/>
    <col min="770" max="770" width="82" style="943" customWidth="1"/>
    <col min="771" max="773" width="19.140625" style="943" customWidth="1"/>
    <col min="774" max="1024" width="9.140625" style="943"/>
    <col min="1025" max="1025" width="8.140625" style="943" customWidth="1"/>
    <col min="1026" max="1026" width="82" style="943" customWidth="1"/>
    <col min="1027" max="1029" width="19.140625" style="943" customWidth="1"/>
    <col min="1030" max="1280" width="9.140625" style="943"/>
    <col min="1281" max="1281" width="8.140625" style="943" customWidth="1"/>
    <col min="1282" max="1282" width="82" style="943" customWidth="1"/>
    <col min="1283" max="1285" width="19.140625" style="943" customWidth="1"/>
    <col min="1286" max="1536" width="9.140625" style="943"/>
    <col min="1537" max="1537" width="8.140625" style="943" customWidth="1"/>
    <col min="1538" max="1538" width="82" style="943" customWidth="1"/>
    <col min="1539" max="1541" width="19.140625" style="943" customWidth="1"/>
    <col min="1542" max="1792" width="9.140625" style="943"/>
    <col min="1793" max="1793" width="8.140625" style="943" customWidth="1"/>
    <col min="1794" max="1794" width="82" style="943" customWidth="1"/>
    <col min="1795" max="1797" width="19.140625" style="943" customWidth="1"/>
    <col min="1798" max="2048" width="9.140625" style="943"/>
    <col min="2049" max="2049" width="8.140625" style="943" customWidth="1"/>
    <col min="2050" max="2050" width="82" style="943" customWidth="1"/>
    <col min="2051" max="2053" width="19.140625" style="943" customWidth="1"/>
    <col min="2054" max="2304" width="9.140625" style="943"/>
    <col min="2305" max="2305" width="8.140625" style="943" customWidth="1"/>
    <col min="2306" max="2306" width="82" style="943" customWidth="1"/>
    <col min="2307" max="2309" width="19.140625" style="943" customWidth="1"/>
    <col min="2310" max="2560" width="9.140625" style="943"/>
    <col min="2561" max="2561" width="8.140625" style="943" customWidth="1"/>
    <col min="2562" max="2562" width="82" style="943" customWidth="1"/>
    <col min="2563" max="2565" width="19.140625" style="943" customWidth="1"/>
    <col min="2566" max="2816" width="9.140625" style="943"/>
    <col min="2817" max="2817" width="8.140625" style="943" customWidth="1"/>
    <col min="2818" max="2818" width="82" style="943" customWidth="1"/>
    <col min="2819" max="2821" width="19.140625" style="943" customWidth="1"/>
    <col min="2822" max="3072" width="9.140625" style="943"/>
    <col min="3073" max="3073" width="8.140625" style="943" customWidth="1"/>
    <col min="3074" max="3074" width="82" style="943" customWidth="1"/>
    <col min="3075" max="3077" width="19.140625" style="943" customWidth="1"/>
    <col min="3078" max="3328" width="9.140625" style="943"/>
    <col min="3329" max="3329" width="8.140625" style="943" customWidth="1"/>
    <col min="3330" max="3330" width="82" style="943" customWidth="1"/>
    <col min="3331" max="3333" width="19.140625" style="943" customWidth="1"/>
    <col min="3334" max="3584" width="9.140625" style="943"/>
    <col min="3585" max="3585" width="8.140625" style="943" customWidth="1"/>
    <col min="3586" max="3586" width="82" style="943" customWidth="1"/>
    <col min="3587" max="3589" width="19.140625" style="943" customWidth="1"/>
    <col min="3590" max="3840" width="9.140625" style="943"/>
    <col min="3841" max="3841" width="8.140625" style="943" customWidth="1"/>
    <col min="3842" max="3842" width="82" style="943" customWidth="1"/>
    <col min="3843" max="3845" width="19.140625" style="943" customWidth="1"/>
    <col min="3846" max="4096" width="9.140625" style="943"/>
    <col min="4097" max="4097" width="8.140625" style="943" customWidth="1"/>
    <col min="4098" max="4098" width="82" style="943" customWidth="1"/>
    <col min="4099" max="4101" width="19.140625" style="943" customWidth="1"/>
    <col min="4102" max="4352" width="9.140625" style="943"/>
    <col min="4353" max="4353" width="8.140625" style="943" customWidth="1"/>
    <col min="4354" max="4354" width="82" style="943" customWidth="1"/>
    <col min="4355" max="4357" width="19.140625" style="943" customWidth="1"/>
    <col min="4358" max="4608" width="9.140625" style="943"/>
    <col min="4609" max="4609" width="8.140625" style="943" customWidth="1"/>
    <col min="4610" max="4610" width="82" style="943" customWidth="1"/>
    <col min="4611" max="4613" width="19.140625" style="943" customWidth="1"/>
    <col min="4614" max="4864" width="9.140625" style="943"/>
    <col min="4865" max="4865" width="8.140625" style="943" customWidth="1"/>
    <col min="4866" max="4866" width="82" style="943" customWidth="1"/>
    <col min="4867" max="4869" width="19.140625" style="943" customWidth="1"/>
    <col min="4870" max="5120" width="9.140625" style="943"/>
    <col min="5121" max="5121" width="8.140625" style="943" customWidth="1"/>
    <col min="5122" max="5122" width="82" style="943" customWidth="1"/>
    <col min="5123" max="5125" width="19.140625" style="943" customWidth="1"/>
    <col min="5126" max="5376" width="9.140625" style="943"/>
    <col min="5377" max="5377" width="8.140625" style="943" customWidth="1"/>
    <col min="5378" max="5378" width="82" style="943" customWidth="1"/>
    <col min="5379" max="5381" width="19.140625" style="943" customWidth="1"/>
    <col min="5382" max="5632" width="9.140625" style="943"/>
    <col min="5633" max="5633" width="8.140625" style="943" customWidth="1"/>
    <col min="5634" max="5634" width="82" style="943" customWidth="1"/>
    <col min="5635" max="5637" width="19.140625" style="943" customWidth="1"/>
    <col min="5638" max="5888" width="9.140625" style="943"/>
    <col min="5889" max="5889" width="8.140625" style="943" customWidth="1"/>
    <col min="5890" max="5890" width="82" style="943" customWidth="1"/>
    <col min="5891" max="5893" width="19.140625" style="943" customWidth="1"/>
    <col min="5894" max="6144" width="9.140625" style="943"/>
    <col min="6145" max="6145" width="8.140625" style="943" customWidth="1"/>
    <col min="6146" max="6146" width="82" style="943" customWidth="1"/>
    <col min="6147" max="6149" width="19.140625" style="943" customWidth="1"/>
    <col min="6150" max="6400" width="9.140625" style="943"/>
    <col min="6401" max="6401" width="8.140625" style="943" customWidth="1"/>
    <col min="6402" max="6402" width="82" style="943" customWidth="1"/>
    <col min="6403" max="6405" width="19.140625" style="943" customWidth="1"/>
    <col min="6406" max="6656" width="9.140625" style="943"/>
    <col min="6657" max="6657" width="8.140625" style="943" customWidth="1"/>
    <col min="6658" max="6658" width="82" style="943" customWidth="1"/>
    <col min="6659" max="6661" width="19.140625" style="943" customWidth="1"/>
    <col min="6662" max="6912" width="9.140625" style="943"/>
    <col min="6913" max="6913" width="8.140625" style="943" customWidth="1"/>
    <col min="6914" max="6914" width="82" style="943" customWidth="1"/>
    <col min="6915" max="6917" width="19.140625" style="943" customWidth="1"/>
    <col min="6918" max="7168" width="9.140625" style="943"/>
    <col min="7169" max="7169" width="8.140625" style="943" customWidth="1"/>
    <col min="7170" max="7170" width="82" style="943" customWidth="1"/>
    <col min="7171" max="7173" width="19.140625" style="943" customWidth="1"/>
    <col min="7174" max="7424" width="9.140625" style="943"/>
    <col min="7425" max="7425" width="8.140625" style="943" customWidth="1"/>
    <col min="7426" max="7426" width="82" style="943" customWidth="1"/>
    <col min="7427" max="7429" width="19.140625" style="943" customWidth="1"/>
    <col min="7430" max="7680" width="9.140625" style="943"/>
    <col min="7681" max="7681" width="8.140625" style="943" customWidth="1"/>
    <col min="7682" max="7682" width="82" style="943" customWidth="1"/>
    <col min="7683" max="7685" width="19.140625" style="943" customWidth="1"/>
    <col min="7686" max="7936" width="9.140625" style="943"/>
    <col min="7937" max="7937" width="8.140625" style="943" customWidth="1"/>
    <col min="7938" max="7938" width="82" style="943" customWidth="1"/>
    <col min="7939" max="7941" width="19.140625" style="943" customWidth="1"/>
    <col min="7942" max="8192" width="9.140625" style="943"/>
    <col min="8193" max="8193" width="8.140625" style="943" customWidth="1"/>
    <col min="8194" max="8194" width="82" style="943" customWidth="1"/>
    <col min="8195" max="8197" width="19.140625" style="943" customWidth="1"/>
    <col min="8198" max="8448" width="9.140625" style="943"/>
    <col min="8449" max="8449" width="8.140625" style="943" customWidth="1"/>
    <col min="8450" max="8450" width="82" style="943" customWidth="1"/>
    <col min="8451" max="8453" width="19.140625" style="943" customWidth="1"/>
    <col min="8454" max="8704" width="9.140625" style="943"/>
    <col min="8705" max="8705" width="8.140625" style="943" customWidth="1"/>
    <col min="8706" max="8706" width="82" style="943" customWidth="1"/>
    <col min="8707" max="8709" width="19.140625" style="943" customWidth="1"/>
    <col min="8710" max="8960" width="9.140625" style="943"/>
    <col min="8961" max="8961" width="8.140625" style="943" customWidth="1"/>
    <col min="8962" max="8962" width="82" style="943" customWidth="1"/>
    <col min="8963" max="8965" width="19.140625" style="943" customWidth="1"/>
    <col min="8966" max="9216" width="9.140625" style="943"/>
    <col min="9217" max="9217" width="8.140625" style="943" customWidth="1"/>
    <col min="9218" max="9218" width="82" style="943" customWidth="1"/>
    <col min="9219" max="9221" width="19.140625" style="943" customWidth="1"/>
    <col min="9222" max="9472" width="9.140625" style="943"/>
    <col min="9473" max="9473" width="8.140625" style="943" customWidth="1"/>
    <col min="9474" max="9474" width="82" style="943" customWidth="1"/>
    <col min="9475" max="9477" width="19.140625" style="943" customWidth="1"/>
    <col min="9478" max="9728" width="9.140625" style="943"/>
    <col min="9729" max="9729" width="8.140625" style="943" customWidth="1"/>
    <col min="9730" max="9730" width="82" style="943" customWidth="1"/>
    <col min="9731" max="9733" width="19.140625" style="943" customWidth="1"/>
    <col min="9734" max="9984" width="9.140625" style="943"/>
    <col min="9985" max="9985" width="8.140625" style="943" customWidth="1"/>
    <col min="9986" max="9986" width="82" style="943" customWidth="1"/>
    <col min="9987" max="9989" width="19.140625" style="943" customWidth="1"/>
    <col min="9990" max="10240" width="9.140625" style="943"/>
    <col min="10241" max="10241" width="8.140625" style="943" customWidth="1"/>
    <col min="10242" max="10242" width="82" style="943" customWidth="1"/>
    <col min="10243" max="10245" width="19.140625" style="943" customWidth="1"/>
    <col min="10246" max="10496" width="9.140625" style="943"/>
    <col min="10497" max="10497" width="8.140625" style="943" customWidth="1"/>
    <col min="10498" max="10498" width="82" style="943" customWidth="1"/>
    <col min="10499" max="10501" width="19.140625" style="943" customWidth="1"/>
    <col min="10502" max="10752" width="9.140625" style="943"/>
    <col min="10753" max="10753" width="8.140625" style="943" customWidth="1"/>
    <col min="10754" max="10754" width="82" style="943" customWidth="1"/>
    <col min="10755" max="10757" width="19.140625" style="943" customWidth="1"/>
    <col min="10758" max="11008" width="9.140625" style="943"/>
    <col min="11009" max="11009" width="8.140625" style="943" customWidth="1"/>
    <col min="11010" max="11010" width="82" style="943" customWidth="1"/>
    <col min="11011" max="11013" width="19.140625" style="943" customWidth="1"/>
    <col min="11014" max="11264" width="9.140625" style="943"/>
    <col min="11265" max="11265" width="8.140625" style="943" customWidth="1"/>
    <col min="11266" max="11266" width="82" style="943" customWidth="1"/>
    <col min="11267" max="11269" width="19.140625" style="943" customWidth="1"/>
    <col min="11270" max="11520" width="9.140625" style="943"/>
    <col min="11521" max="11521" width="8.140625" style="943" customWidth="1"/>
    <col min="11522" max="11522" width="82" style="943" customWidth="1"/>
    <col min="11523" max="11525" width="19.140625" style="943" customWidth="1"/>
    <col min="11526" max="11776" width="9.140625" style="943"/>
    <col min="11777" max="11777" width="8.140625" style="943" customWidth="1"/>
    <col min="11778" max="11778" width="82" style="943" customWidth="1"/>
    <col min="11779" max="11781" width="19.140625" style="943" customWidth="1"/>
    <col min="11782" max="12032" width="9.140625" style="943"/>
    <col min="12033" max="12033" width="8.140625" style="943" customWidth="1"/>
    <col min="12034" max="12034" width="82" style="943" customWidth="1"/>
    <col min="12035" max="12037" width="19.140625" style="943" customWidth="1"/>
    <col min="12038" max="12288" width="9.140625" style="943"/>
    <col min="12289" max="12289" width="8.140625" style="943" customWidth="1"/>
    <col min="12290" max="12290" width="82" style="943" customWidth="1"/>
    <col min="12291" max="12293" width="19.140625" style="943" customWidth="1"/>
    <col min="12294" max="12544" width="9.140625" style="943"/>
    <col min="12545" max="12545" width="8.140625" style="943" customWidth="1"/>
    <col min="12546" max="12546" width="82" style="943" customWidth="1"/>
    <col min="12547" max="12549" width="19.140625" style="943" customWidth="1"/>
    <col min="12550" max="12800" width="9.140625" style="943"/>
    <col min="12801" max="12801" width="8.140625" style="943" customWidth="1"/>
    <col min="12802" max="12802" width="82" style="943" customWidth="1"/>
    <col min="12803" max="12805" width="19.140625" style="943" customWidth="1"/>
    <col min="12806" max="13056" width="9.140625" style="943"/>
    <col min="13057" max="13057" width="8.140625" style="943" customWidth="1"/>
    <col min="13058" max="13058" width="82" style="943" customWidth="1"/>
    <col min="13059" max="13061" width="19.140625" style="943" customWidth="1"/>
    <col min="13062" max="13312" width="9.140625" style="943"/>
    <col min="13313" max="13313" width="8.140625" style="943" customWidth="1"/>
    <col min="13314" max="13314" width="82" style="943" customWidth="1"/>
    <col min="13315" max="13317" width="19.140625" style="943" customWidth="1"/>
    <col min="13318" max="13568" width="9.140625" style="943"/>
    <col min="13569" max="13569" width="8.140625" style="943" customWidth="1"/>
    <col min="13570" max="13570" width="82" style="943" customWidth="1"/>
    <col min="13571" max="13573" width="19.140625" style="943" customWidth="1"/>
    <col min="13574" max="13824" width="9.140625" style="943"/>
    <col min="13825" max="13825" width="8.140625" style="943" customWidth="1"/>
    <col min="13826" max="13826" width="82" style="943" customWidth="1"/>
    <col min="13827" max="13829" width="19.140625" style="943" customWidth="1"/>
    <col min="13830" max="14080" width="9.140625" style="943"/>
    <col min="14081" max="14081" width="8.140625" style="943" customWidth="1"/>
    <col min="14082" max="14082" width="82" style="943" customWidth="1"/>
    <col min="14083" max="14085" width="19.140625" style="943" customWidth="1"/>
    <col min="14086" max="14336" width="9.140625" style="943"/>
    <col min="14337" max="14337" width="8.140625" style="943" customWidth="1"/>
    <col min="14338" max="14338" width="82" style="943" customWidth="1"/>
    <col min="14339" max="14341" width="19.140625" style="943" customWidth="1"/>
    <col min="14342" max="14592" width="9.140625" style="943"/>
    <col min="14593" max="14593" width="8.140625" style="943" customWidth="1"/>
    <col min="14594" max="14594" width="82" style="943" customWidth="1"/>
    <col min="14595" max="14597" width="19.140625" style="943" customWidth="1"/>
    <col min="14598" max="14848" width="9.140625" style="943"/>
    <col min="14849" max="14849" width="8.140625" style="943" customWidth="1"/>
    <col min="14850" max="14850" width="82" style="943" customWidth="1"/>
    <col min="14851" max="14853" width="19.140625" style="943" customWidth="1"/>
    <col min="14854" max="15104" width="9.140625" style="943"/>
    <col min="15105" max="15105" width="8.140625" style="943" customWidth="1"/>
    <col min="15106" max="15106" width="82" style="943" customWidth="1"/>
    <col min="15107" max="15109" width="19.140625" style="943" customWidth="1"/>
    <col min="15110" max="15360" width="9.140625" style="943"/>
    <col min="15361" max="15361" width="8.140625" style="943" customWidth="1"/>
    <col min="15362" max="15362" width="82" style="943" customWidth="1"/>
    <col min="15363" max="15365" width="19.140625" style="943" customWidth="1"/>
    <col min="15366" max="15616" width="9.140625" style="943"/>
    <col min="15617" max="15617" width="8.140625" style="943" customWidth="1"/>
    <col min="15618" max="15618" width="82" style="943" customWidth="1"/>
    <col min="15619" max="15621" width="19.140625" style="943" customWidth="1"/>
    <col min="15622" max="15872" width="9.140625" style="943"/>
    <col min="15873" max="15873" width="8.140625" style="943" customWidth="1"/>
    <col min="15874" max="15874" width="82" style="943" customWidth="1"/>
    <col min="15875" max="15877" width="19.140625" style="943" customWidth="1"/>
    <col min="15878" max="16128" width="9.140625" style="943"/>
    <col min="16129" max="16129" width="8.140625" style="943" customWidth="1"/>
    <col min="16130" max="16130" width="82" style="943" customWidth="1"/>
    <col min="16131" max="16133" width="19.140625" style="943" customWidth="1"/>
    <col min="16134" max="16384" width="9.140625" style="943"/>
  </cols>
  <sheetData>
    <row r="1" spans="1:8" ht="15.75">
      <c r="E1" s="192" t="s">
        <v>1505</v>
      </c>
    </row>
    <row r="2" spans="1:8" s="1552" customFormat="1" ht="15.75">
      <c r="A2" s="1550" t="s">
        <v>1506</v>
      </c>
      <c r="B2" s="1551"/>
      <c r="C2" s="1551"/>
      <c r="D2" s="1551"/>
      <c r="E2" s="1551"/>
      <c r="G2" s="935"/>
    </row>
    <row r="3" spans="1:8" ht="12.75" thickBot="1">
      <c r="A3" s="1553"/>
      <c r="E3" s="242" t="s">
        <v>458</v>
      </c>
    </row>
    <row r="4" spans="1:8" s="1516" customFormat="1" ht="24">
      <c r="A4" s="1513" t="s">
        <v>1557</v>
      </c>
      <c r="B4" s="1514" t="s">
        <v>7</v>
      </c>
      <c r="C4" s="1514" t="s">
        <v>1558</v>
      </c>
      <c r="D4" s="1514" t="s">
        <v>1559</v>
      </c>
      <c r="E4" s="1515" t="s">
        <v>1560</v>
      </c>
      <c r="G4" s="1874"/>
    </row>
    <row r="5" spans="1:8" ht="12.75" thickBot="1">
      <c r="A5" s="1554">
        <v>2</v>
      </c>
      <c r="B5" s="1555">
        <v>3</v>
      </c>
      <c r="C5" s="1555">
        <v>4</v>
      </c>
      <c r="D5" s="1555">
        <v>5</v>
      </c>
      <c r="E5" s="1556">
        <v>6</v>
      </c>
    </row>
    <row r="6" spans="1:8">
      <c r="A6" s="1535" t="s">
        <v>1561</v>
      </c>
      <c r="B6" s="1536" t="s">
        <v>2265</v>
      </c>
      <c r="C6" s="1537"/>
      <c r="D6" s="1537"/>
      <c r="E6" s="1538">
        <f>+C6+D6</f>
        <v>0</v>
      </c>
    </row>
    <row r="7" spans="1:8">
      <c r="A7" s="1524" t="s">
        <v>1563</v>
      </c>
      <c r="B7" s="1525" t="s">
        <v>2266</v>
      </c>
      <c r="C7" s="1526"/>
      <c r="D7" s="1526"/>
      <c r="E7" s="1527">
        <f>+C7+D7</f>
        <v>0</v>
      </c>
    </row>
    <row r="8" spans="1:8">
      <c r="A8" s="1524" t="s">
        <v>1565</v>
      </c>
      <c r="B8" s="1525" t="s">
        <v>2267</v>
      </c>
      <c r="C8" s="1526">
        <v>85565</v>
      </c>
      <c r="D8" s="1526"/>
      <c r="E8" s="1527">
        <f>+C8+D8</f>
        <v>85565</v>
      </c>
    </row>
    <row r="9" spans="1:8">
      <c r="A9" s="1524" t="s">
        <v>1567</v>
      </c>
      <c r="B9" s="1525" t="s">
        <v>2268</v>
      </c>
      <c r="C9" s="1526"/>
      <c r="D9" s="1526"/>
      <c r="E9" s="1527">
        <f>+C9+D9</f>
        <v>0</v>
      </c>
    </row>
    <row r="10" spans="1:8" ht="12.75" thickBot="1">
      <c r="A10" s="1517" t="s">
        <v>1569</v>
      </c>
      <c r="B10" s="1528" t="s">
        <v>2269</v>
      </c>
      <c r="C10" s="1529"/>
      <c r="D10" s="1529"/>
      <c r="E10" s="1530">
        <f>+C10+D10</f>
        <v>0</v>
      </c>
    </row>
    <row r="11" spans="1:8" s="938" customFormat="1" ht="12.75" thickBot="1">
      <c r="A11" s="1531" t="s">
        <v>1571</v>
      </c>
      <c r="B11" s="1532" t="s">
        <v>2270</v>
      </c>
      <c r="C11" s="1533">
        <f>+C6+C8+C10</f>
        <v>85565</v>
      </c>
      <c r="D11" s="1533">
        <f>+D6+D8+D10</f>
        <v>0</v>
      </c>
      <c r="E11" s="1534">
        <f>+E6+E8+E10</f>
        <v>85565</v>
      </c>
      <c r="G11" s="118">
        <f>+'1.mell._Össz_Mérleg2018'!E180+'1.mell._Össz_Mérleg2018'!E195</f>
        <v>85565</v>
      </c>
      <c r="H11" s="118">
        <f>+G11-E11</f>
        <v>0</v>
      </c>
    </row>
    <row r="12" spans="1:8">
      <c r="A12" s="1543" t="s">
        <v>1573</v>
      </c>
      <c r="B12" s="1544" t="s">
        <v>2271</v>
      </c>
      <c r="C12" s="1545"/>
      <c r="D12" s="1545"/>
      <c r="E12" s="1546">
        <f t="shared" ref="E12:E23" si="0">+C12+D12</f>
        <v>0</v>
      </c>
    </row>
    <row r="13" spans="1:8">
      <c r="A13" s="1524" t="s">
        <v>1575</v>
      </c>
      <c r="B13" s="1525" t="s">
        <v>2272</v>
      </c>
      <c r="C13" s="1526"/>
      <c r="D13" s="1526"/>
      <c r="E13" s="1527">
        <f t="shared" si="0"/>
        <v>0</v>
      </c>
    </row>
    <row r="14" spans="1:8">
      <c r="A14" s="1535" t="s">
        <v>1577</v>
      </c>
      <c r="B14" s="1536" t="s">
        <v>2273</v>
      </c>
      <c r="C14" s="1537"/>
      <c r="D14" s="1537"/>
      <c r="E14" s="1538">
        <f t="shared" si="0"/>
        <v>0</v>
      </c>
    </row>
    <row r="15" spans="1:8">
      <c r="A15" s="1524" t="s">
        <v>1579</v>
      </c>
      <c r="B15" s="1525" t="s">
        <v>2274</v>
      </c>
      <c r="C15" s="1526"/>
      <c r="D15" s="1526"/>
      <c r="E15" s="1527">
        <f t="shared" si="0"/>
        <v>0</v>
      </c>
    </row>
    <row r="16" spans="1:8">
      <c r="A16" s="1524" t="s">
        <v>1581</v>
      </c>
      <c r="B16" s="1525" t="s">
        <v>2275</v>
      </c>
      <c r="C16" s="1526"/>
      <c r="D16" s="1526"/>
      <c r="E16" s="1527">
        <f t="shared" si="0"/>
        <v>0</v>
      </c>
    </row>
    <row r="17" spans="1:8">
      <c r="A17" s="1524" t="s">
        <v>1583</v>
      </c>
      <c r="B17" s="1525" t="s">
        <v>2276</v>
      </c>
      <c r="C17" s="1526"/>
      <c r="D17" s="1526"/>
      <c r="E17" s="1527">
        <f t="shared" si="0"/>
        <v>0</v>
      </c>
    </row>
    <row r="18" spans="1:8">
      <c r="A18" s="1524" t="s">
        <v>1585</v>
      </c>
      <c r="B18" s="1525" t="s">
        <v>2277</v>
      </c>
      <c r="C18" s="1526"/>
      <c r="D18" s="1526"/>
      <c r="E18" s="1527">
        <f t="shared" si="0"/>
        <v>0</v>
      </c>
    </row>
    <row r="19" spans="1:8">
      <c r="A19" s="1524" t="s">
        <v>1587</v>
      </c>
      <c r="B19" s="1525" t="s">
        <v>2278</v>
      </c>
      <c r="C19" s="1526"/>
      <c r="D19" s="1526"/>
      <c r="E19" s="1527">
        <f t="shared" si="0"/>
        <v>0</v>
      </c>
    </row>
    <row r="20" spans="1:8">
      <c r="A20" s="1524" t="s">
        <v>1589</v>
      </c>
      <c r="B20" s="1525" t="s">
        <v>2279</v>
      </c>
      <c r="C20" s="1526"/>
      <c r="D20" s="1526"/>
      <c r="E20" s="1527">
        <f t="shared" si="0"/>
        <v>0</v>
      </c>
    </row>
    <row r="21" spans="1:8">
      <c r="A21" s="1524" t="s">
        <v>1591</v>
      </c>
      <c r="B21" s="1525" t="s">
        <v>2280</v>
      </c>
      <c r="C21" s="1526"/>
      <c r="D21" s="1526"/>
      <c r="E21" s="1527">
        <f t="shared" si="0"/>
        <v>0</v>
      </c>
    </row>
    <row r="22" spans="1:8">
      <c r="A22" s="1524" t="s">
        <v>1593</v>
      </c>
      <c r="B22" s="1525" t="s">
        <v>2281</v>
      </c>
      <c r="C22" s="1526"/>
      <c r="D22" s="1526"/>
      <c r="E22" s="1527">
        <f t="shared" si="0"/>
        <v>0</v>
      </c>
    </row>
    <row r="23" spans="1:8" ht="12.75" thickBot="1">
      <c r="A23" s="1517" t="s">
        <v>1595</v>
      </c>
      <c r="B23" s="1528" t="s">
        <v>2282</v>
      </c>
      <c r="C23" s="1529"/>
      <c r="D23" s="1529"/>
      <c r="E23" s="1530">
        <f t="shared" si="0"/>
        <v>0</v>
      </c>
    </row>
    <row r="24" spans="1:8" ht="12.75" thickBot="1">
      <c r="A24" s="1531" t="s">
        <v>1597</v>
      </c>
      <c r="B24" s="1532" t="s">
        <v>2283</v>
      </c>
      <c r="C24" s="1533">
        <f>+C12+C15+C16+C17+C21+C22</f>
        <v>0</v>
      </c>
      <c r="D24" s="1533">
        <f>+D12+D15+D16+D17+D21+D22</f>
        <v>0</v>
      </c>
      <c r="E24" s="1534">
        <f>+E12+E15+E16+E17+E21+E22</f>
        <v>0</v>
      </c>
      <c r="G24" s="118">
        <f>+'1.mell._Össz_Mérleg2018'!E181+'1.mell._Össz_Mérleg2018'!E196</f>
        <v>0</v>
      </c>
      <c r="H24" s="118">
        <f t="shared" ref="H24:H30" si="1">+G24-E24</f>
        <v>0</v>
      </c>
    </row>
    <row r="25" spans="1:8">
      <c r="A25" s="1535" t="s">
        <v>1599</v>
      </c>
      <c r="B25" s="1536" t="s">
        <v>172</v>
      </c>
      <c r="C25" s="1537"/>
      <c r="D25" s="1537"/>
      <c r="E25" s="1538">
        <f t="shared" ref="E25:E32" si="2">+C25+D25</f>
        <v>0</v>
      </c>
      <c r="G25" s="118">
        <f>+'1.mell._Össz_Mérleg2018'!E182+'1.mell._Össz_Mérleg2018'!E197</f>
        <v>0</v>
      </c>
      <c r="H25" s="118">
        <f t="shared" si="1"/>
        <v>0</v>
      </c>
    </row>
    <row r="26" spans="1:8">
      <c r="A26" s="1524" t="s">
        <v>1601</v>
      </c>
      <c r="B26" s="1525" t="s">
        <v>173</v>
      </c>
      <c r="C26" s="1526">
        <v>25346</v>
      </c>
      <c r="D26" s="1526"/>
      <c r="E26" s="1527">
        <f t="shared" si="2"/>
        <v>25346</v>
      </c>
      <c r="G26" s="118">
        <f>+'1.mell._Össz_Mérleg2018'!E183+'1.mell._Össz_Mérleg2018'!E198</f>
        <v>25346</v>
      </c>
      <c r="H26" s="118">
        <f t="shared" si="1"/>
        <v>0</v>
      </c>
    </row>
    <row r="27" spans="1:8">
      <c r="A27" s="1524" t="s">
        <v>1602</v>
      </c>
      <c r="B27" s="1525" t="s">
        <v>174</v>
      </c>
      <c r="C27" s="1526">
        <v>783595</v>
      </c>
      <c r="D27" s="1526">
        <v>-783595</v>
      </c>
      <c r="E27" s="1527">
        <f t="shared" si="2"/>
        <v>0</v>
      </c>
      <c r="G27" s="118">
        <f>+'1.1.mell._ÖNK_Mérleg2018'!E184+'1.1.mell._ÖNK_Mérleg2018'!E199</f>
        <v>783595</v>
      </c>
      <c r="H27" s="118">
        <f t="shared" si="1"/>
        <v>783595</v>
      </c>
    </row>
    <row r="28" spans="1:8">
      <c r="A28" s="1524" t="s">
        <v>1604</v>
      </c>
      <c r="B28" s="1525" t="s">
        <v>2284</v>
      </c>
      <c r="C28" s="1526"/>
      <c r="D28" s="1526"/>
      <c r="E28" s="1527">
        <f t="shared" si="2"/>
        <v>0</v>
      </c>
      <c r="G28" s="118">
        <f>+'1.mell._Össz_Mérleg2018'!E185+'1.mell._Össz_Mérleg2018'!E200</f>
        <v>0</v>
      </c>
      <c r="H28" s="118">
        <f t="shared" si="1"/>
        <v>0</v>
      </c>
    </row>
    <row r="29" spans="1:8">
      <c r="A29" s="1524" t="s">
        <v>1606</v>
      </c>
      <c r="B29" s="1525" t="s">
        <v>175</v>
      </c>
      <c r="C29" s="1526"/>
      <c r="D29" s="1526"/>
      <c r="E29" s="1527">
        <f t="shared" si="2"/>
        <v>0</v>
      </c>
      <c r="G29" s="118">
        <f>+'1.mell._Össz_Mérleg2018'!E186+'1.mell._Össz_Mérleg2018'!E201</f>
        <v>0</v>
      </c>
      <c r="H29" s="118">
        <f t="shared" si="1"/>
        <v>0</v>
      </c>
    </row>
    <row r="30" spans="1:8">
      <c r="A30" s="1524" t="s">
        <v>1607</v>
      </c>
      <c r="B30" s="1525" t="s">
        <v>176</v>
      </c>
      <c r="C30" s="1526"/>
      <c r="D30" s="1526"/>
      <c r="E30" s="1527">
        <f t="shared" si="2"/>
        <v>0</v>
      </c>
      <c r="G30" s="118">
        <f>+'1.mell._Össz_Mérleg2018'!E187+'1.mell._Össz_Mérleg2018'!E202</f>
        <v>0</v>
      </c>
      <c r="H30" s="118">
        <f t="shared" si="1"/>
        <v>0</v>
      </c>
    </row>
    <row r="31" spans="1:8">
      <c r="A31" s="1524" t="s">
        <v>1609</v>
      </c>
      <c r="B31" s="1525" t="s">
        <v>2285</v>
      </c>
      <c r="C31" s="1526"/>
      <c r="D31" s="1526"/>
      <c r="E31" s="1527">
        <f t="shared" si="2"/>
        <v>0</v>
      </c>
    </row>
    <row r="32" spans="1:8" ht="12.75" thickBot="1">
      <c r="A32" s="1543" t="s">
        <v>1611</v>
      </c>
      <c r="B32" s="1544" t="s">
        <v>2286</v>
      </c>
      <c r="C32" s="1545"/>
      <c r="D32" s="1545"/>
      <c r="E32" s="1546">
        <f t="shared" si="2"/>
        <v>0</v>
      </c>
    </row>
    <row r="33" spans="1:8" s="938" customFormat="1" ht="12.75" thickBot="1">
      <c r="A33" s="1531" t="s">
        <v>1613</v>
      </c>
      <c r="B33" s="1532" t="s">
        <v>2287</v>
      </c>
      <c r="C33" s="1533">
        <f>+C31+C32</f>
        <v>0</v>
      </c>
      <c r="D33" s="1533">
        <f>+D31+D32</f>
        <v>0</v>
      </c>
      <c r="E33" s="1534">
        <f>+E31+E32</f>
        <v>0</v>
      </c>
      <c r="G33" s="118">
        <f>+'1.mell._Össz_Mérleg2018'!E188+'1.mell._Össz_Mérleg2018'!E203</f>
        <v>0</v>
      </c>
      <c r="H33" s="118">
        <f>+G33-E33</f>
        <v>0</v>
      </c>
    </row>
    <row r="34" spans="1:8" ht="12.75" thickBot="1">
      <c r="A34" s="1531" t="s">
        <v>1615</v>
      </c>
      <c r="B34" s="1532" t="s">
        <v>2288</v>
      </c>
      <c r="C34" s="1533">
        <f>+C11+C24+C25+C26+C27+C28+C29+C30+C33</f>
        <v>894506</v>
      </c>
      <c r="D34" s="1533">
        <f>+D11+D24+D25+D26+D27+D28+D29+D30+D33</f>
        <v>-783595</v>
      </c>
      <c r="E34" s="1534">
        <f>+E11+E24+E25+E26+E27+E28+E29+E30+E33</f>
        <v>110911</v>
      </c>
    </row>
    <row r="35" spans="1:8">
      <c r="A35" s="1535" t="s">
        <v>1617</v>
      </c>
      <c r="B35" s="1536" t="s">
        <v>2289</v>
      </c>
      <c r="C35" s="1537"/>
      <c r="D35" s="1537"/>
      <c r="E35" s="1538">
        <f t="shared" ref="E35:E41" si="3">+C35+D35</f>
        <v>0</v>
      </c>
    </row>
    <row r="36" spans="1:8">
      <c r="A36" s="1524" t="s">
        <v>1619</v>
      </c>
      <c r="B36" s="1525" t="s">
        <v>2290</v>
      </c>
      <c r="C36" s="1526"/>
      <c r="D36" s="1526"/>
      <c r="E36" s="1527">
        <f t="shared" si="3"/>
        <v>0</v>
      </c>
    </row>
    <row r="37" spans="1:8">
      <c r="A37" s="1524" t="s">
        <v>1621</v>
      </c>
      <c r="B37" s="1525" t="s">
        <v>2291</v>
      </c>
      <c r="C37" s="1526"/>
      <c r="D37" s="1526"/>
      <c r="E37" s="1527">
        <f t="shared" si="3"/>
        <v>0</v>
      </c>
    </row>
    <row r="38" spans="1:8">
      <c r="A38" s="1524" t="s">
        <v>1622</v>
      </c>
      <c r="B38" s="1525" t="s">
        <v>2292</v>
      </c>
      <c r="C38" s="1526"/>
      <c r="D38" s="1526"/>
      <c r="E38" s="1527">
        <f t="shared" si="3"/>
        <v>0</v>
      </c>
    </row>
    <row r="39" spans="1:8">
      <c r="A39" s="1524" t="s">
        <v>1624</v>
      </c>
      <c r="B39" s="1525" t="s">
        <v>2293</v>
      </c>
      <c r="C39" s="1526"/>
      <c r="D39" s="1526"/>
      <c r="E39" s="1527">
        <f t="shared" si="3"/>
        <v>0</v>
      </c>
    </row>
    <row r="40" spans="1:8">
      <c r="A40" s="1517" t="s">
        <v>1626</v>
      </c>
      <c r="B40" s="1528" t="s">
        <v>2294</v>
      </c>
      <c r="C40" s="1529"/>
      <c r="D40" s="1529"/>
      <c r="E40" s="1530">
        <f t="shared" si="3"/>
        <v>0</v>
      </c>
    </row>
    <row r="41" spans="1:8" ht="12.75" thickBot="1">
      <c r="A41" s="1517" t="s">
        <v>1627</v>
      </c>
      <c r="B41" s="1528" t="s">
        <v>2295</v>
      </c>
      <c r="C41" s="1529"/>
      <c r="D41" s="1529"/>
      <c r="E41" s="1530">
        <f t="shared" si="3"/>
        <v>0</v>
      </c>
    </row>
    <row r="42" spans="1:8" ht="12.75" thickBot="1">
      <c r="A42" s="1531" t="s">
        <v>1629</v>
      </c>
      <c r="B42" s="1532" t="s">
        <v>2296</v>
      </c>
      <c r="C42" s="1533">
        <f>+C35+C36+C37+C39+C40</f>
        <v>0</v>
      </c>
      <c r="D42" s="1533">
        <f>+D35+D36+D37+D39+D40</f>
        <v>0</v>
      </c>
      <c r="E42" s="1534">
        <f>+E35+E36+E37+E39+E40</f>
        <v>0</v>
      </c>
      <c r="G42" s="118">
        <f>+'1.mell._Össz_Mérleg2018'!E189+'1.mell._Össz_Mérleg2018'!E204</f>
        <v>0</v>
      </c>
      <c r="H42" s="118">
        <f t="shared" ref="H42:H44" si="4">+G42-E42</f>
        <v>0</v>
      </c>
    </row>
    <row r="43" spans="1:8" ht="12.75" thickBot="1">
      <c r="A43" s="1557" t="s">
        <v>1631</v>
      </c>
      <c r="B43" s="1558" t="s">
        <v>178</v>
      </c>
      <c r="C43" s="1559">
        <v>0</v>
      </c>
      <c r="D43" s="1559">
        <v>0</v>
      </c>
      <c r="E43" s="1560">
        <f>+C43+D43</f>
        <v>0</v>
      </c>
      <c r="G43" s="118">
        <f>+'1.mell._Össz_Mérleg2018'!E190+'1.mell._Össz_Mérleg2018'!E205</f>
        <v>0</v>
      </c>
      <c r="H43" s="118">
        <f t="shared" si="4"/>
        <v>0</v>
      </c>
    </row>
    <row r="44" spans="1:8" ht="12.75" thickBot="1">
      <c r="A44" s="1531" t="s">
        <v>1632</v>
      </c>
      <c r="B44" s="1532" t="s">
        <v>1002</v>
      </c>
      <c r="C44" s="1533">
        <v>0</v>
      </c>
      <c r="D44" s="1533">
        <v>0</v>
      </c>
      <c r="E44" s="1534">
        <f>+C44+D44</f>
        <v>0</v>
      </c>
      <c r="G44" s="118">
        <f>+'1.mell._Össz_Mérleg2018'!E191+'1.mell._Össz_Mérleg2018'!E206</f>
        <v>0</v>
      </c>
      <c r="H44" s="118">
        <f t="shared" si="4"/>
        <v>0</v>
      </c>
    </row>
    <row r="45" spans="1:8" ht="12.75" thickBot="1">
      <c r="A45" s="1561" t="s">
        <v>1634</v>
      </c>
      <c r="B45" s="1562" t="s">
        <v>2297</v>
      </c>
      <c r="C45" s="1563">
        <f>+C34+C42+C43+C44</f>
        <v>894506</v>
      </c>
      <c r="D45" s="1563">
        <f>+D34+D42+D43+D44</f>
        <v>-783595</v>
      </c>
      <c r="E45" s="1564">
        <f>+E34+E42+E43+E44</f>
        <v>110911</v>
      </c>
      <c r="G45" s="118">
        <f>+'1.mell._Össz_Mérleg2018'!E207</f>
        <v>110911</v>
      </c>
      <c r="H45" s="118">
        <f>+G45-E45</f>
        <v>0</v>
      </c>
    </row>
    <row r="47" spans="1:8">
      <c r="E47" s="118"/>
    </row>
    <row r="48" spans="1:8">
      <c r="E48" s="118"/>
    </row>
  </sheetData>
  <mergeCells count="1">
    <mergeCell ref="A2:E2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65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H37"/>
  <sheetViews>
    <sheetView zoomScaleNormal="100" workbookViewId="0">
      <pane ySplit="5" topLeftCell="A6" activePane="bottomLeft" state="frozen"/>
      <selection activeCell="C11" sqref="C11"/>
      <selection pane="bottomLeft" activeCell="A6" sqref="A6"/>
    </sheetView>
  </sheetViews>
  <sheetFormatPr defaultRowHeight="12"/>
  <cols>
    <col min="1" max="1" width="8.140625" style="943" customWidth="1"/>
    <col min="2" max="2" width="82" style="943" customWidth="1"/>
    <col min="3" max="5" width="19.140625" style="943" customWidth="1"/>
    <col min="6" max="6" width="9.140625" style="943"/>
    <col min="7" max="8" width="0" style="943" hidden="1" customWidth="1"/>
    <col min="9" max="256" width="9.140625" style="943"/>
    <col min="257" max="257" width="8.140625" style="943" customWidth="1"/>
    <col min="258" max="258" width="82" style="943" customWidth="1"/>
    <col min="259" max="261" width="19.140625" style="943" customWidth="1"/>
    <col min="262" max="512" width="9.140625" style="943"/>
    <col min="513" max="513" width="8.140625" style="943" customWidth="1"/>
    <col min="514" max="514" width="82" style="943" customWidth="1"/>
    <col min="515" max="517" width="19.140625" style="943" customWidth="1"/>
    <col min="518" max="768" width="9.140625" style="943"/>
    <col min="769" max="769" width="8.140625" style="943" customWidth="1"/>
    <col min="770" max="770" width="82" style="943" customWidth="1"/>
    <col min="771" max="773" width="19.140625" style="943" customWidth="1"/>
    <col min="774" max="1024" width="9.140625" style="943"/>
    <col min="1025" max="1025" width="8.140625" style="943" customWidth="1"/>
    <col min="1026" max="1026" width="82" style="943" customWidth="1"/>
    <col min="1027" max="1029" width="19.140625" style="943" customWidth="1"/>
    <col min="1030" max="1280" width="9.140625" style="943"/>
    <col min="1281" max="1281" width="8.140625" style="943" customWidth="1"/>
    <col min="1282" max="1282" width="82" style="943" customWidth="1"/>
    <col min="1283" max="1285" width="19.140625" style="943" customWidth="1"/>
    <col min="1286" max="1536" width="9.140625" style="943"/>
    <col min="1537" max="1537" width="8.140625" style="943" customWidth="1"/>
    <col min="1538" max="1538" width="82" style="943" customWidth="1"/>
    <col min="1539" max="1541" width="19.140625" style="943" customWidth="1"/>
    <col min="1542" max="1792" width="9.140625" style="943"/>
    <col min="1793" max="1793" width="8.140625" style="943" customWidth="1"/>
    <col min="1794" max="1794" width="82" style="943" customWidth="1"/>
    <col min="1795" max="1797" width="19.140625" style="943" customWidth="1"/>
    <col min="1798" max="2048" width="9.140625" style="943"/>
    <col min="2049" max="2049" width="8.140625" style="943" customWidth="1"/>
    <col min="2050" max="2050" width="82" style="943" customWidth="1"/>
    <col min="2051" max="2053" width="19.140625" style="943" customWidth="1"/>
    <col min="2054" max="2304" width="9.140625" style="943"/>
    <col min="2305" max="2305" width="8.140625" style="943" customWidth="1"/>
    <col min="2306" max="2306" width="82" style="943" customWidth="1"/>
    <col min="2307" max="2309" width="19.140625" style="943" customWidth="1"/>
    <col min="2310" max="2560" width="9.140625" style="943"/>
    <col min="2561" max="2561" width="8.140625" style="943" customWidth="1"/>
    <col min="2562" max="2562" width="82" style="943" customWidth="1"/>
    <col min="2563" max="2565" width="19.140625" style="943" customWidth="1"/>
    <col min="2566" max="2816" width="9.140625" style="943"/>
    <col min="2817" max="2817" width="8.140625" style="943" customWidth="1"/>
    <col min="2818" max="2818" width="82" style="943" customWidth="1"/>
    <col min="2819" max="2821" width="19.140625" style="943" customWidth="1"/>
    <col min="2822" max="3072" width="9.140625" style="943"/>
    <col min="3073" max="3073" width="8.140625" style="943" customWidth="1"/>
    <col min="3074" max="3074" width="82" style="943" customWidth="1"/>
    <col min="3075" max="3077" width="19.140625" style="943" customWidth="1"/>
    <col min="3078" max="3328" width="9.140625" style="943"/>
    <col min="3329" max="3329" width="8.140625" style="943" customWidth="1"/>
    <col min="3330" max="3330" width="82" style="943" customWidth="1"/>
    <col min="3331" max="3333" width="19.140625" style="943" customWidth="1"/>
    <col min="3334" max="3584" width="9.140625" style="943"/>
    <col min="3585" max="3585" width="8.140625" style="943" customWidth="1"/>
    <col min="3586" max="3586" width="82" style="943" customWidth="1"/>
    <col min="3587" max="3589" width="19.140625" style="943" customWidth="1"/>
    <col min="3590" max="3840" width="9.140625" style="943"/>
    <col min="3841" max="3841" width="8.140625" style="943" customWidth="1"/>
    <col min="3842" max="3842" width="82" style="943" customWidth="1"/>
    <col min="3843" max="3845" width="19.140625" style="943" customWidth="1"/>
    <col min="3846" max="4096" width="9.140625" style="943"/>
    <col min="4097" max="4097" width="8.140625" style="943" customWidth="1"/>
    <col min="4098" max="4098" width="82" style="943" customWidth="1"/>
    <col min="4099" max="4101" width="19.140625" style="943" customWidth="1"/>
    <col min="4102" max="4352" width="9.140625" style="943"/>
    <col min="4353" max="4353" width="8.140625" style="943" customWidth="1"/>
    <col min="4354" max="4354" width="82" style="943" customWidth="1"/>
    <col min="4355" max="4357" width="19.140625" style="943" customWidth="1"/>
    <col min="4358" max="4608" width="9.140625" style="943"/>
    <col min="4609" max="4609" width="8.140625" style="943" customWidth="1"/>
    <col min="4610" max="4610" width="82" style="943" customWidth="1"/>
    <col min="4611" max="4613" width="19.140625" style="943" customWidth="1"/>
    <col min="4614" max="4864" width="9.140625" style="943"/>
    <col min="4865" max="4865" width="8.140625" style="943" customWidth="1"/>
    <col min="4866" max="4866" width="82" style="943" customWidth="1"/>
    <col min="4867" max="4869" width="19.140625" style="943" customWidth="1"/>
    <col min="4870" max="5120" width="9.140625" style="943"/>
    <col min="5121" max="5121" width="8.140625" style="943" customWidth="1"/>
    <col min="5122" max="5122" width="82" style="943" customWidth="1"/>
    <col min="5123" max="5125" width="19.140625" style="943" customWidth="1"/>
    <col min="5126" max="5376" width="9.140625" style="943"/>
    <col min="5377" max="5377" width="8.140625" style="943" customWidth="1"/>
    <col min="5378" max="5378" width="82" style="943" customWidth="1"/>
    <col min="5379" max="5381" width="19.140625" style="943" customWidth="1"/>
    <col min="5382" max="5632" width="9.140625" style="943"/>
    <col min="5633" max="5633" width="8.140625" style="943" customWidth="1"/>
    <col min="5634" max="5634" width="82" style="943" customWidth="1"/>
    <col min="5635" max="5637" width="19.140625" style="943" customWidth="1"/>
    <col min="5638" max="5888" width="9.140625" style="943"/>
    <col min="5889" max="5889" width="8.140625" style="943" customWidth="1"/>
    <col min="5890" max="5890" width="82" style="943" customWidth="1"/>
    <col min="5891" max="5893" width="19.140625" style="943" customWidth="1"/>
    <col min="5894" max="6144" width="9.140625" style="943"/>
    <col min="6145" max="6145" width="8.140625" style="943" customWidth="1"/>
    <col min="6146" max="6146" width="82" style="943" customWidth="1"/>
    <col min="6147" max="6149" width="19.140625" style="943" customWidth="1"/>
    <col min="6150" max="6400" width="9.140625" style="943"/>
    <col min="6401" max="6401" width="8.140625" style="943" customWidth="1"/>
    <col min="6402" max="6402" width="82" style="943" customWidth="1"/>
    <col min="6403" max="6405" width="19.140625" style="943" customWidth="1"/>
    <col min="6406" max="6656" width="9.140625" style="943"/>
    <col min="6657" max="6657" width="8.140625" style="943" customWidth="1"/>
    <col min="6658" max="6658" width="82" style="943" customWidth="1"/>
    <col min="6659" max="6661" width="19.140625" style="943" customWidth="1"/>
    <col min="6662" max="6912" width="9.140625" style="943"/>
    <col min="6913" max="6913" width="8.140625" style="943" customWidth="1"/>
    <col min="6914" max="6914" width="82" style="943" customWidth="1"/>
    <col min="6915" max="6917" width="19.140625" style="943" customWidth="1"/>
    <col min="6918" max="7168" width="9.140625" style="943"/>
    <col min="7169" max="7169" width="8.140625" style="943" customWidth="1"/>
    <col min="7170" max="7170" width="82" style="943" customWidth="1"/>
    <col min="7171" max="7173" width="19.140625" style="943" customWidth="1"/>
    <col min="7174" max="7424" width="9.140625" style="943"/>
    <col min="7425" max="7425" width="8.140625" style="943" customWidth="1"/>
    <col min="7426" max="7426" width="82" style="943" customWidth="1"/>
    <col min="7427" max="7429" width="19.140625" style="943" customWidth="1"/>
    <col min="7430" max="7680" width="9.140625" style="943"/>
    <col min="7681" max="7681" width="8.140625" style="943" customWidth="1"/>
    <col min="7682" max="7682" width="82" style="943" customWidth="1"/>
    <col min="7683" max="7685" width="19.140625" style="943" customWidth="1"/>
    <col min="7686" max="7936" width="9.140625" style="943"/>
    <col min="7937" max="7937" width="8.140625" style="943" customWidth="1"/>
    <col min="7938" max="7938" width="82" style="943" customWidth="1"/>
    <col min="7939" max="7941" width="19.140625" style="943" customWidth="1"/>
    <col min="7942" max="8192" width="9.140625" style="943"/>
    <col min="8193" max="8193" width="8.140625" style="943" customWidth="1"/>
    <col min="8194" max="8194" width="82" style="943" customWidth="1"/>
    <col min="8195" max="8197" width="19.140625" style="943" customWidth="1"/>
    <col min="8198" max="8448" width="9.140625" style="943"/>
    <col min="8449" max="8449" width="8.140625" style="943" customWidth="1"/>
    <col min="8450" max="8450" width="82" style="943" customWidth="1"/>
    <col min="8451" max="8453" width="19.140625" style="943" customWidth="1"/>
    <col min="8454" max="8704" width="9.140625" style="943"/>
    <col min="8705" max="8705" width="8.140625" style="943" customWidth="1"/>
    <col min="8706" max="8706" width="82" style="943" customWidth="1"/>
    <col min="8707" max="8709" width="19.140625" style="943" customWidth="1"/>
    <col min="8710" max="8960" width="9.140625" style="943"/>
    <col min="8961" max="8961" width="8.140625" style="943" customWidth="1"/>
    <col min="8962" max="8962" width="82" style="943" customWidth="1"/>
    <col min="8963" max="8965" width="19.140625" style="943" customWidth="1"/>
    <col min="8966" max="9216" width="9.140625" style="943"/>
    <col min="9217" max="9217" width="8.140625" style="943" customWidth="1"/>
    <col min="9218" max="9218" width="82" style="943" customWidth="1"/>
    <col min="9219" max="9221" width="19.140625" style="943" customWidth="1"/>
    <col min="9222" max="9472" width="9.140625" style="943"/>
    <col min="9473" max="9473" width="8.140625" style="943" customWidth="1"/>
    <col min="9474" max="9474" width="82" style="943" customWidth="1"/>
    <col min="9475" max="9477" width="19.140625" style="943" customWidth="1"/>
    <col min="9478" max="9728" width="9.140625" style="943"/>
    <col min="9729" max="9729" width="8.140625" style="943" customWidth="1"/>
    <col min="9730" max="9730" width="82" style="943" customWidth="1"/>
    <col min="9731" max="9733" width="19.140625" style="943" customWidth="1"/>
    <col min="9734" max="9984" width="9.140625" style="943"/>
    <col min="9985" max="9985" width="8.140625" style="943" customWidth="1"/>
    <col min="9986" max="9986" width="82" style="943" customWidth="1"/>
    <col min="9987" max="9989" width="19.140625" style="943" customWidth="1"/>
    <col min="9990" max="10240" width="9.140625" style="943"/>
    <col min="10241" max="10241" width="8.140625" style="943" customWidth="1"/>
    <col min="10242" max="10242" width="82" style="943" customWidth="1"/>
    <col min="10243" max="10245" width="19.140625" style="943" customWidth="1"/>
    <col min="10246" max="10496" width="9.140625" style="943"/>
    <col min="10497" max="10497" width="8.140625" style="943" customWidth="1"/>
    <col min="10498" max="10498" width="82" style="943" customWidth="1"/>
    <col min="10499" max="10501" width="19.140625" style="943" customWidth="1"/>
    <col min="10502" max="10752" width="9.140625" style="943"/>
    <col min="10753" max="10753" width="8.140625" style="943" customWidth="1"/>
    <col min="10754" max="10754" width="82" style="943" customWidth="1"/>
    <col min="10755" max="10757" width="19.140625" style="943" customWidth="1"/>
    <col min="10758" max="11008" width="9.140625" style="943"/>
    <col min="11009" max="11009" width="8.140625" style="943" customWidth="1"/>
    <col min="11010" max="11010" width="82" style="943" customWidth="1"/>
    <col min="11011" max="11013" width="19.140625" style="943" customWidth="1"/>
    <col min="11014" max="11264" width="9.140625" style="943"/>
    <col min="11265" max="11265" width="8.140625" style="943" customWidth="1"/>
    <col min="11266" max="11266" width="82" style="943" customWidth="1"/>
    <col min="11267" max="11269" width="19.140625" style="943" customWidth="1"/>
    <col min="11270" max="11520" width="9.140625" style="943"/>
    <col min="11521" max="11521" width="8.140625" style="943" customWidth="1"/>
    <col min="11522" max="11522" width="82" style="943" customWidth="1"/>
    <col min="11523" max="11525" width="19.140625" style="943" customWidth="1"/>
    <col min="11526" max="11776" width="9.140625" style="943"/>
    <col min="11777" max="11777" width="8.140625" style="943" customWidth="1"/>
    <col min="11778" max="11778" width="82" style="943" customWidth="1"/>
    <col min="11779" max="11781" width="19.140625" style="943" customWidth="1"/>
    <col min="11782" max="12032" width="9.140625" style="943"/>
    <col min="12033" max="12033" width="8.140625" style="943" customWidth="1"/>
    <col min="12034" max="12034" width="82" style="943" customWidth="1"/>
    <col min="12035" max="12037" width="19.140625" style="943" customWidth="1"/>
    <col min="12038" max="12288" width="9.140625" style="943"/>
    <col min="12289" max="12289" width="8.140625" style="943" customWidth="1"/>
    <col min="12290" max="12290" width="82" style="943" customWidth="1"/>
    <col min="12291" max="12293" width="19.140625" style="943" customWidth="1"/>
    <col min="12294" max="12544" width="9.140625" style="943"/>
    <col min="12545" max="12545" width="8.140625" style="943" customWidth="1"/>
    <col min="12546" max="12546" width="82" style="943" customWidth="1"/>
    <col min="12547" max="12549" width="19.140625" style="943" customWidth="1"/>
    <col min="12550" max="12800" width="9.140625" style="943"/>
    <col min="12801" max="12801" width="8.140625" style="943" customWidth="1"/>
    <col min="12802" max="12802" width="82" style="943" customWidth="1"/>
    <col min="12803" max="12805" width="19.140625" style="943" customWidth="1"/>
    <col min="12806" max="13056" width="9.140625" style="943"/>
    <col min="13057" max="13057" width="8.140625" style="943" customWidth="1"/>
    <col min="13058" max="13058" width="82" style="943" customWidth="1"/>
    <col min="13059" max="13061" width="19.140625" style="943" customWidth="1"/>
    <col min="13062" max="13312" width="9.140625" style="943"/>
    <col min="13313" max="13313" width="8.140625" style="943" customWidth="1"/>
    <col min="13314" max="13314" width="82" style="943" customWidth="1"/>
    <col min="13315" max="13317" width="19.140625" style="943" customWidth="1"/>
    <col min="13318" max="13568" width="9.140625" style="943"/>
    <col min="13569" max="13569" width="8.140625" style="943" customWidth="1"/>
    <col min="13570" max="13570" width="82" style="943" customWidth="1"/>
    <col min="13571" max="13573" width="19.140625" style="943" customWidth="1"/>
    <col min="13574" max="13824" width="9.140625" style="943"/>
    <col min="13825" max="13825" width="8.140625" style="943" customWidth="1"/>
    <col min="13826" max="13826" width="82" style="943" customWidth="1"/>
    <col min="13827" max="13829" width="19.140625" style="943" customWidth="1"/>
    <col min="13830" max="14080" width="9.140625" style="943"/>
    <col min="14081" max="14081" width="8.140625" style="943" customWidth="1"/>
    <col min="14082" max="14082" width="82" style="943" customWidth="1"/>
    <col min="14083" max="14085" width="19.140625" style="943" customWidth="1"/>
    <col min="14086" max="14336" width="9.140625" style="943"/>
    <col min="14337" max="14337" width="8.140625" style="943" customWidth="1"/>
    <col min="14338" max="14338" width="82" style="943" customWidth="1"/>
    <col min="14339" max="14341" width="19.140625" style="943" customWidth="1"/>
    <col min="14342" max="14592" width="9.140625" style="943"/>
    <col min="14593" max="14593" width="8.140625" style="943" customWidth="1"/>
    <col min="14594" max="14594" width="82" style="943" customWidth="1"/>
    <col min="14595" max="14597" width="19.140625" style="943" customWidth="1"/>
    <col min="14598" max="14848" width="9.140625" style="943"/>
    <col min="14849" max="14849" width="8.140625" style="943" customWidth="1"/>
    <col min="14850" max="14850" width="82" style="943" customWidth="1"/>
    <col min="14851" max="14853" width="19.140625" style="943" customWidth="1"/>
    <col min="14854" max="15104" width="9.140625" style="943"/>
    <col min="15105" max="15105" width="8.140625" style="943" customWidth="1"/>
    <col min="15106" max="15106" width="82" style="943" customWidth="1"/>
    <col min="15107" max="15109" width="19.140625" style="943" customWidth="1"/>
    <col min="15110" max="15360" width="9.140625" style="943"/>
    <col min="15361" max="15361" width="8.140625" style="943" customWidth="1"/>
    <col min="15362" max="15362" width="82" style="943" customWidth="1"/>
    <col min="15363" max="15365" width="19.140625" style="943" customWidth="1"/>
    <col min="15366" max="15616" width="9.140625" style="943"/>
    <col min="15617" max="15617" width="8.140625" style="943" customWidth="1"/>
    <col min="15618" max="15618" width="82" style="943" customWidth="1"/>
    <col min="15619" max="15621" width="19.140625" style="943" customWidth="1"/>
    <col min="15622" max="15872" width="9.140625" style="943"/>
    <col min="15873" max="15873" width="8.140625" style="943" customWidth="1"/>
    <col min="15874" max="15874" width="82" style="943" customWidth="1"/>
    <col min="15875" max="15877" width="19.140625" style="943" customWidth="1"/>
    <col min="15878" max="16128" width="9.140625" style="943"/>
    <col min="16129" max="16129" width="8.140625" style="943" customWidth="1"/>
    <col min="16130" max="16130" width="82" style="943" customWidth="1"/>
    <col min="16131" max="16133" width="19.140625" style="943" customWidth="1"/>
    <col min="16134" max="16384" width="9.140625" style="943"/>
  </cols>
  <sheetData>
    <row r="1" spans="1:8" ht="15.75">
      <c r="E1" s="192" t="s">
        <v>1507</v>
      </c>
    </row>
    <row r="2" spans="1:8" s="1552" customFormat="1" ht="15.75">
      <c r="A2" s="1550" t="s">
        <v>1508</v>
      </c>
      <c r="B2" s="1551"/>
      <c r="C2" s="1551"/>
      <c r="D2" s="1551"/>
      <c r="E2" s="1551"/>
    </row>
    <row r="3" spans="1:8" ht="12.75" thickBot="1">
      <c r="A3" s="1553"/>
      <c r="E3" s="242" t="s">
        <v>458</v>
      </c>
    </row>
    <row r="4" spans="1:8" s="1516" customFormat="1" ht="24">
      <c r="A4" s="1513" t="s">
        <v>1557</v>
      </c>
      <c r="B4" s="1514" t="s">
        <v>7</v>
      </c>
      <c r="C4" s="1514" t="s">
        <v>1558</v>
      </c>
      <c r="D4" s="1514" t="s">
        <v>1559</v>
      </c>
      <c r="E4" s="1515" t="s">
        <v>1560</v>
      </c>
    </row>
    <row r="5" spans="1:8" ht="12.75" thickBot="1">
      <c r="A5" s="1554">
        <v>2</v>
      </c>
      <c r="B5" s="1555">
        <v>3</v>
      </c>
      <c r="C5" s="1555">
        <v>4</v>
      </c>
      <c r="D5" s="1555">
        <v>5</v>
      </c>
      <c r="E5" s="1556">
        <v>6</v>
      </c>
    </row>
    <row r="6" spans="1:8">
      <c r="A6" s="1535" t="s">
        <v>1561</v>
      </c>
      <c r="B6" s="1536" t="s">
        <v>2298</v>
      </c>
      <c r="C6" s="1537"/>
      <c r="D6" s="1537"/>
      <c r="E6" s="1538">
        <f>+C6+D6</f>
        <v>0</v>
      </c>
    </row>
    <row r="7" spans="1:8">
      <c r="A7" s="1524" t="s">
        <v>1563</v>
      </c>
      <c r="B7" s="1525" t="s">
        <v>2299</v>
      </c>
      <c r="C7" s="1526">
        <v>85565</v>
      </c>
      <c r="D7" s="1526"/>
      <c r="E7" s="1527">
        <f>+C7+D7</f>
        <v>85565</v>
      </c>
    </row>
    <row r="8" spans="1:8" ht="12.75" thickBot="1">
      <c r="A8" s="1517" t="s">
        <v>1565</v>
      </c>
      <c r="B8" s="1528" t="s">
        <v>2300</v>
      </c>
      <c r="C8" s="1529"/>
      <c r="D8" s="1529"/>
      <c r="E8" s="1530">
        <f>+C8+D8</f>
        <v>0</v>
      </c>
    </row>
    <row r="9" spans="1:8" s="938" customFormat="1" ht="12.75" thickBot="1">
      <c r="A9" s="1531" t="s">
        <v>1567</v>
      </c>
      <c r="B9" s="1532" t="s">
        <v>2301</v>
      </c>
      <c r="C9" s="1533">
        <f>+C6+C7+C8</f>
        <v>85565</v>
      </c>
      <c r="D9" s="1533">
        <f>+D6+D7+D8</f>
        <v>0</v>
      </c>
      <c r="E9" s="1534">
        <f>+E6+E7+E8</f>
        <v>85565</v>
      </c>
      <c r="G9" s="118">
        <f>+'1.mell._Össz_Mérleg2018'!E89+'1.mell._Össz_Mérleg2018'!E74</f>
        <v>85565</v>
      </c>
      <c r="H9" s="118">
        <f>+G9-E9</f>
        <v>0</v>
      </c>
    </row>
    <row r="10" spans="1:8">
      <c r="A10" s="1543" t="s">
        <v>1569</v>
      </c>
      <c r="B10" s="1544" t="s">
        <v>2302</v>
      </c>
      <c r="C10" s="1545"/>
      <c r="D10" s="1545"/>
      <c r="E10" s="1546">
        <f t="shared" ref="E10:E15" si="0">+C10+D10</f>
        <v>0</v>
      </c>
    </row>
    <row r="11" spans="1:8">
      <c r="A11" s="1524" t="s">
        <v>1571</v>
      </c>
      <c r="B11" s="1525" t="s">
        <v>2303</v>
      </c>
      <c r="C11" s="1526"/>
      <c r="D11" s="1526"/>
      <c r="E11" s="1527">
        <f t="shared" si="0"/>
        <v>0</v>
      </c>
    </row>
    <row r="12" spans="1:8">
      <c r="A12" s="1535" t="s">
        <v>1573</v>
      </c>
      <c r="B12" s="1536" t="s">
        <v>2304</v>
      </c>
      <c r="C12" s="1537"/>
      <c r="D12" s="1537"/>
      <c r="E12" s="1538">
        <f t="shared" si="0"/>
        <v>0</v>
      </c>
    </row>
    <row r="13" spans="1:8">
      <c r="A13" s="1524" t="s">
        <v>1575</v>
      </c>
      <c r="B13" s="1525" t="s">
        <v>2305</v>
      </c>
      <c r="C13" s="1526"/>
      <c r="D13" s="1526"/>
      <c r="E13" s="1527">
        <f t="shared" si="0"/>
        <v>0</v>
      </c>
    </row>
    <row r="14" spans="1:8">
      <c r="A14" s="1524" t="s">
        <v>1577</v>
      </c>
      <c r="B14" s="1525" t="s">
        <v>2306</v>
      </c>
      <c r="C14" s="1526"/>
      <c r="D14" s="1526"/>
      <c r="E14" s="1527">
        <f t="shared" si="0"/>
        <v>0</v>
      </c>
    </row>
    <row r="15" spans="1:8" ht="12.75" thickBot="1">
      <c r="A15" s="1517" t="s">
        <v>1579</v>
      </c>
      <c r="B15" s="1528" t="s">
        <v>2307</v>
      </c>
      <c r="C15" s="1529"/>
      <c r="D15" s="1529"/>
      <c r="E15" s="1530">
        <f t="shared" si="0"/>
        <v>0</v>
      </c>
    </row>
    <row r="16" spans="1:8" s="938" customFormat="1" ht="12.75" thickBot="1">
      <c r="A16" s="1531" t="s">
        <v>1581</v>
      </c>
      <c r="B16" s="1532" t="s">
        <v>2308</v>
      </c>
      <c r="C16" s="1533">
        <f>+C10+C13+C14+C15</f>
        <v>0</v>
      </c>
      <c r="D16" s="1533">
        <f>+D10+D13+D14+D15</f>
        <v>0</v>
      </c>
      <c r="E16" s="1534">
        <f>+E10+E13+E14+E15</f>
        <v>0</v>
      </c>
      <c r="G16" s="118">
        <f>+'1.mell._Össz_Mérleg2018'!E90+'1.mell._Össz_Mérleg2018'!E75</f>
        <v>0</v>
      </c>
      <c r="H16" s="118">
        <f>+G16-E16</f>
        <v>0</v>
      </c>
    </row>
    <row r="17" spans="1:8">
      <c r="A17" s="1543" t="s">
        <v>1583</v>
      </c>
      <c r="B17" s="1544" t="s">
        <v>2309</v>
      </c>
      <c r="C17" s="1545">
        <v>2195112</v>
      </c>
      <c r="D17" s="1545"/>
      <c r="E17" s="1546">
        <f>+C17+D17</f>
        <v>2195112</v>
      </c>
    </row>
    <row r="18" spans="1:8" ht="12.75" thickBot="1">
      <c r="A18" s="1517" t="s">
        <v>1585</v>
      </c>
      <c r="B18" s="1528" t="s">
        <v>2310</v>
      </c>
      <c r="C18" s="1529"/>
      <c r="D18" s="1529"/>
      <c r="E18" s="1530">
        <f>+C18+D18</f>
        <v>0</v>
      </c>
    </row>
    <row r="19" spans="1:8" ht="12.75" thickBot="1">
      <c r="A19" s="1531" t="s">
        <v>1587</v>
      </c>
      <c r="B19" s="1532" t="s">
        <v>2311</v>
      </c>
      <c r="C19" s="1533">
        <f>+C17+C18</f>
        <v>2195112</v>
      </c>
      <c r="D19" s="1533">
        <f>+D17+D18</f>
        <v>0</v>
      </c>
      <c r="E19" s="1534">
        <f>+E17+E18</f>
        <v>2195112</v>
      </c>
      <c r="G19" s="118">
        <f>+'1.mell._Össz_Mérleg2018'!E91+'1.mell._Össz_Mérleg2018'!E76</f>
        <v>2195112</v>
      </c>
      <c r="H19" s="118">
        <f t="shared" ref="H19:H20" si="1">+G19-E19</f>
        <v>0</v>
      </c>
    </row>
    <row r="20" spans="1:8">
      <c r="A20" s="1543" t="s">
        <v>1589</v>
      </c>
      <c r="B20" s="1544" t="s">
        <v>249</v>
      </c>
      <c r="C20" s="1545">
        <v>26671</v>
      </c>
      <c r="D20" s="1545"/>
      <c r="E20" s="1546">
        <f t="shared" ref="E20:E26" si="2">+C20+D20</f>
        <v>26671</v>
      </c>
      <c r="G20" s="118">
        <f>+'1.mell._Össz_Mérleg2018'!E92+'1.mell._Össz_Mérleg2018'!E77</f>
        <v>26671</v>
      </c>
      <c r="H20" s="118">
        <f t="shared" si="1"/>
        <v>0</v>
      </c>
    </row>
    <row r="21" spans="1:8">
      <c r="A21" s="1524" t="s">
        <v>1591</v>
      </c>
      <c r="B21" s="1525" t="s">
        <v>250</v>
      </c>
      <c r="C21" s="1526"/>
      <c r="D21" s="1526"/>
      <c r="E21" s="1527">
        <f t="shared" si="2"/>
        <v>0</v>
      </c>
      <c r="G21" s="118">
        <f>+'1.mell._Össz_Mérleg2018'!E93+'1.mell._Össz_Mérleg2018'!E78</f>
        <v>0</v>
      </c>
    </row>
    <row r="22" spans="1:8">
      <c r="A22" s="1535" t="s">
        <v>1593</v>
      </c>
      <c r="B22" s="1536" t="s">
        <v>251</v>
      </c>
      <c r="C22" s="1537">
        <v>783595</v>
      </c>
      <c r="D22" s="1537">
        <v>-783595</v>
      </c>
      <c r="E22" s="1538">
        <f t="shared" si="2"/>
        <v>0</v>
      </c>
      <c r="G22" s="118">
        <f>+'1.1.mell._ÖNK_Mérleg2018'!E184+'1.1.mell._ÖNK_Mérleg2018'!E199</f>
        <v>783595</v>
      </c>
      <c r="H22" s="118">
        <f>+G22-E22</f>
        <v>783595</v>
      </c>
    </row>
    <row r="23" spans="1:8">
      <c r="A23" s="1524" t="s">
        <v>1595</v>
      </c>
      <c r="B23" s="1525" t="s">
        <v>2312</v>
      </c>
      <c r="C23" s="1526"/>
      <c r="D23" s="1526"/>
      <c r="E23" s="1527">
        <f t="shared" si="2"/>
        <v>0</v>
      </c>
      <c r="G23" s="118">
        <f>+'1.mell._Össz_Mérleg2018'!E95+'1.mell._Össz_Mérleg2018'!E80</f>
        <v>0</v>
      </c>
    </row>
    <row r="24" spans="1:8">
      <c r="A24" s="1524" t="s">
        <v>1597</v>
      </c>
      <c r="B24" s="1525" t="s">
        <v>245</v>
      </c>
      <c r="C24" s="1526"/>
      <c r="D24" s="1526"/>
      <c r="E24" s="1527">
        <f t="shared" si="2"/>
        <v>0</v>
      </c>
      <c r="G24" s="118">
        <f>+'1.mell._Össz_Mérleg2018'!E96+'1.mell._Össz_Mérleg2018'!E81</f>
        <v>0</v>
      </c>
      <c r="H24" s="118">
        <f>+G24-E24</f>
        <v>0</v>
      </c>
    </row>
    <row r="25" spans="1:8">
      <c r="A25" s="1524" t="s">
        <v>1599</v>
      </c>
      <c r="B25" s="1525" t="s">
        <v>2313</v>
      </c>
      <c r="C25" s="1526"/>
      <c r="D25" s="1526"/>
      <c r="E25" s="1527">
        <f t="shared" si="2"/>
        <v>0</v>
      </c>
    </row>
    <row r="26" spans="1:8" ht="12.75" thickBot="1">
      <c r="A26" s="1517" t="s">
        <v>1601</v>
      </c>
      <c r="B26" s="1528" t="s">
        <v>2314</v>
      </c>
      <c r="C26" s="1529"/>
      <c r="D26" s="1529"/>
      <c r="E26" s="1530">
        <f t="shared" si="2"/>
        <v>0</v>
      </c>
    </row>
    <row r="27" spans="1:8" s="938" customFormat="1" ht="12.75" thickBot="1">
      <c r="A27" s="1531" t="s">
        <v>1602</v>
      </c>
      <c r="B27" s="1532" t="s">
        <v>2315</v>
      </c>
      <c r="C27" s="1533">
        <f>+C25+C26</f>
        <v>0</v>
      </c>
      <c r="D27" s="1533">
        <f>+D25+D26</f>
        <v>0</v>
      </c>
      <c r="E27" s="1534">
        <f>+E25+E26</f>
        <v>0</v>
      </c>
      <c r="G27" s="118">
        <f>+'1.mell._Össz_Mérleg2018'!E97+'1.mell._Össz_Mérleg2018'!E82</f>
        <v>0</v>
      </c>
      <c r="H27" s="118">
        <f>+G27-E27</f>
        <v>0</v>
      </c>
    </row>
    <row r="28" spans="1:8" ht="12.75" thickBot="1">
      <c r="A28" s="1531" t="s">
        <v>1604</v>
      </c>
      <c r="B28" s="1532" t="s">
        <v>2316</v>
      </c>
      <c r="C28" s="1533">
        <f>+C9+C16+C19+C20+C21+C22+C23+C24+C27</f>
        <v>3090943</v>
      </c>
      <c r="D28" s="1533">
        <f>+D9+D16+D19+D20+D21+D22+D23+D24+D27</f>
        <v>-783595</v>
      </c>
      <c r="E28" s="1534">
        <f>+E9+E16+E19+E20+E21+E22+E23+E24+E27</f>
        <v>2307348</v>
      </c>
      <c r="G28" s="118"/>
    </row>
    <row r="29" spans="1:8">
      <c r="A29" s="1535" t="s">
        <v>1606</v>
      </c>
      <c r="B29" s="1536" t="s">
        <v>2317</v>
      </c>
      <c r="C29" s="1537"/>
      <c r="D29" s="1537"/>
      <c r="E29" s="1538">
        <f>+C29+D29</f>
        <v>0</v>
      </c>
    </row>
    <row r="30" spans="1:8">
      <c r="A30" s="1524" t="s">
        <v>1607</v>
      </c>
      <c r="B30" s="1525" t="s">
        <v>2318</v>
      </c>
      <c r="C30" s="1526"/>
      <c r="D30" s="1526"/>
      <c r="E30" s="1527">
        <f>+C30+D30</f>
        <v>0</v>
      </c>
    </row>
    <row r="31" spans="1:8">
      <c r="A31" s="1524" t="s">
        <v>1609</v>
      </c>
      <c r="B31" s="1525" t="s">
        <v>2319</v>
      </c>
      <c r="C31" s="1526"/>
      <c r="D31" s="1526"/>
      <c r="E31" s="1527">
        <f>+C31+D31</f>
        <v>0</v>
      </c>
    </row>
    <row r="32" spans="1:8">
      <c r="A32" s="1524" t="s">
        <v>1611</v>
      </c>
      <c r="B32" s="1525" t="s">
        <v>2320</v>
      </c>
      <c r="C32" s="1526"/>
      <c r="D32" s="1526"/>
      <c r="E32" s="1527">
        <f>+C32+D32</f>
        <v>0</v>
      </c>
    </row>
    <row r="33" spans="1:8" ht="12.75" thickBot="1">
      <c r="A33" s="1517" t="s">
        <v>1613</v>
      </c>
      <c r="B33" s="1528" t="s">
        <v>2321</v>
      </c>
      <c r="C33" s="1529"/>
      <c r="D33" s="1529"/>
      <c r="E33" s="1530">
        <f>+C33+D33</f>
        <v>0</v>
      </c>
    </row>
    <row r="34" spans="1:8" s="938" customFormat="1" ht="12.75" thickBot="1">
      <c r="A34" s="1531" t="s">
        <v>1615</v>
      </c>
      <c r="B34" s="1532" t="s">
        <v>2322</v>
      </c>
      <c r="C34" s="1533">
        <f>+C29+C30+C31+C32+C33</f>
        <v>0</v>
      </c>
      <c r="D34" s="1533">
        <f>+D29+D30+D31+D32+D33</f>
        <v>0</v>
      </c>
      <c r="E34" s="1534">
        <f>+E29+E30+E31+E32+E33</f>
        <v>0</v>
      </c>
      <c r="G34" s="118">
        <f>+'1.mell._Össz_Mérleg2018'!E83+'1.mell._Össz_Mérleg2018'!E98</f>
        <v>0</v>
      </c>
      <c r="H34" s="118">
        <f t="shared" ref="H34:H36" si="3">+G34-E34</f>
        <v>0</v>
      </c>
    </row>
    <row r="35" spans="1:8">
      <c r="A35" s="1543" t="s">
        <v>1617</v>
      </c>
      <c r="B35" s="1544" t="s">
        <v>244</v>
      </c>
      <c r="C35" s="1545"/>
      <c r="D35" s="1545"/>
      <c r="E35" s="1546">
        <f>+C35+D35</f>
        <v>0</v>
      </c>
      <c r="G35" s="118">
        <f>+'1.mell._Össz_Mérleg2018'!E84+'1.mell._Össz_Mérleg2018'!E99</f>
        <v>0</v>
      </c>
      <c r="H35" s="118">
        <f t="shared" si="3"/>
        <v>0</v>
      </c>
    </row>
    <row r="36" spans="1:8" ht="12.75" thickBot="1">
      <c r="A36" s="1517" t="s">
        <v>1619</v>
      </c>
      <c r="B36" s="1528" t="s">
        <v>979</v>
      </c>
      <c r="C36" s="1529"/>
      <c r="D36" s="1529"/>
      <c r="E36" s="1530">
        <f>+C36+D36</f>
        <v>0</v>
      </c>
      <c r="G36" s="118">
        <f>+'1.mell._Össz_Mérleg2018'!E85+'1.mell._Össz_Mérleg2018'!E100</f>
        <v>0</v>
      </c>
      <c r="H36" s="118">
        <f t="shared" si="3"/>
        <v>0</v>
      </c>
    </row>
    <row r="37" spans="1:8" ht="12.75" thickBot="1">
      <c r="A37" s="1531" t="s">
        <v>1621</v>
      </c>
      <c r="B37" s="1532" t="s">
        <v>2323</v>
      </c>
      <c r="C37" s="1533">
        <f>+C28+C34+C35+C36</f>
        <v>3090943</v>
      </c>
      <c r="D37" s="1533">
        <f>+D28+D34+D35+D36</f>
        <v>-783595</v>
      </c>
      <c r="E37" s="1534">
        <f>+E28+E34+E35+E36</f>
        <v>2307348</v>
      </c>
      <c r="G37" s="118">
        <f>+'1.mell._Össz_Mérleg2018'!E101</f>
        <v>2307348</v>
      </c>
      <c r="H37" s="118">
        <f>+G37-E37</f>
        <v>0</v>
      </c>
    </row>
  </sheetData>
  <mergeCells count="1">
    <mergeCell ref="A2:E2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65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H36"/>
  <sheetViews>
    <sheetView zoomScaleNormal="100" workbookViewId="0">
      <pane ySplit="5" topLeftCell="A6" activePane="bottomLeft" state="frozen"/>
      <selection activeCell="C11" sqref="C11"/>
      <selection pane="bottomLeft" activeCell="A6" sqref="A6"/>
    </sheetView>
  </sheetViews>
  <sheetFormatPr defaultRowHeight="12"/>
  <cols>
    <col min="1" max="1" width="8.140625" style="943" customWidth="1"/>
    <col min="2" max="2" width="82" style="943" customWidth="1"/>
    <col min="3" max="5" width="19.140625" style="943" customWidth="1"/>
    <col min="6" max="6" width="9.140625" style="943"/>
    <col min="7" max="8" width="9.140625" style="943" hidden="1" customWidth="1"/>
    <col min="9" max="256" width="9.140625" style="943"/>
    <col min="257" max="257" width="8.140625" style="943" customWidth="1"/>
    <col min="258" max="258" width="82" style="943" customWidth="1"/>
    <col min="259" max="261" width="19.140625" style="943" customWidth="1"/>
    <col min="262" max="262" width="9.140625" style="943"/>
    <col min="263" max="264" width="0" style="943" hidden="1" customWidth="1"/>
    <col min="265" max="512" width="9.140625" style="943"/>
    <col min="513" max="513" width="8.140625" style="943" customWidth="1"/>
    <col min="514" max="514" width="82" style="943" customWidth="1"/>
    <col min="515" max="517" width="19.140625" style="943" customWidth="1"/>
    <col min="518" max="518" width="9.140625" style="943"/>
    <col min="519" max="520" width="0" style="943" hidden="1" customWidth="1"/>
    <col min="521" max="768" width="9.140625" style="943"/>
    <col min="769" max="769" width="8.140625" style="943" customWidth="1"/>
    <col min="770" max="770" width="82" style="943" customWidth="1"/>
    <col min="771" max="773" width="19.140625" style="943" customWidth="1"/>
    <col min="774" max="774" width="9.140625" style="943"/>
    <col min="775" max="776" width="0" style="943" hidden="1" customWidth="1"/>
    <col min="777" max="1024" width="9.140625" style="943"/>
    <col min="1025" max="1025" width="8.140625" style="943" customWidth="1"/>
    <col min="1026" max="1026" width="82" style="943" customWidth="1"/>
    <col min="1027" max="1029" width="19.140625" style="943" customWidth="1"/>
    <col min="1030" max="1030" width="9.140625" style="943"/>
    <col min="1031" max="1032" width="0" style="943" hidden="1" customWidth="1"/>
    <col min="1033" max="1280" width="9.140625" style="943"/>
    <col min="1281" max="1281" width="8.140625" style="943" customWidth="1"/>
    <col min="1282" max="1282" width="82" style="943" customWidth="1"/>
    <col min="1283" max="1285" width="19.140625" style="943" customWidth="1"/>
    <col min="1286" max="1286" width="9.140625" style="943"/>
    <col min="1287" max="1288" width="0" style="943" hidden="1" customWidth="1"/>
    <col min="1289" max="1536" width="9.140625" style="943"/>
    <col min="1537" max="1537" width="8.140625" style="943" customWidth="1"/>
    <col min="1538" max="1538" width="82" style="943" customWidth="1"/>
    <col min="1539" max="1541" width="19.140625" style="943" customWidth="1"/>
    <col min="1542" max="1542" width="9.140625" style="943"/>
    <col min="1543" max="1544" width="0" style="943" hidden="1" customWidth="1"/>
    <col min="1545" max="1792" width="9.140625" style="943"/>
    <col min="1793" max="1793" width="8.140625" style="943" customWidth="1"/>
    <col min="1794" max="1794" width="82" style="943" customWidth="1"/>
    <col min="1795" max="1797" width="19.140625" style="943" customWidth="1"/>
    <col min="1798" max="1798" width="9.140625" style="943"/>
    <col min="1799" max="1800" width="0" style="943" hidden="1" customWidth="1"/>
    <col min="1801" max="2048" width="9.140625" style="943"/>
    <col min="2049" max="2049" width="8.140625" style="943" customWidth="1"/>
    <col min="2050" max="2050" width="82" style="943" customWidth="1"/>
    <col min="2051" max="2053" width="19.140625" style="943" customWidth="1"/>
    <col min="2054" max="2054" width="9.140625" style="943"/>
    <col min="2055" max="2056" width="0" style="943" hidden="1" customWidth="1"/>
    <col min="2057" max="2304" width="9.140625" style="943"/>
    <col min="2305" max="2305" width="8.140625" style="943" customWidth="1"/>
    <col min="2306" max="2306" width="82" style="943" customWidth="1"/>
    <col min="2307" max="2309" width="19.140625" style="943" customWidth="1"/>
    <col min="2310" max="2310" width="9.140625" style="943"/>
    <col min="2311" max="2312" width="0" style="943" hidden="1" customWidth="1"/>
    <col min="2313" max="2560" width="9.140625" style="943"/>
    <col min="2561" max="2561" width="8.140625" style="943" customWidth="1"/>
    <col min="2562" max="2562" width="82" style="943" customWidth="1"/>
    <col min="2563" max="2565" width="19.140625" style="943" customWidth="1"/>
    <col min="2566" max="2566" width="9.140625" style="943"/>
    <col min="2567" max="2568" width="0" style="943" hidden="1" customWidth="1"/>
    <col min="2569" max="2816" width="9.140625" style="943"/>
    <col min="2817" max="2817" width="8.140625" style="943" customWidth="1"/>
    <col min="2818" max="2818" width="82" style="943" customWidth="1"/>
    <col min="2819" max="2821" width="19.140625" style="943" customWidth="1"/>
    <col min="2822" max="2822" width="9.140625" style="943"/>
    <col min="2823" max="2824" width="0" style="943" hidden="1" customWidth="1"/>
    <col min="2825" max="3072" width="9.140625" style="943"/>
    <col min="3073" max="3073" width="8.140625" style="943" customWidth="1"/>
    <col min="3074" max="3074" width="82" style="943" customWidth="1"/>
    <col min="3075" max="3077" width="19.140625" style="943" customWidth="1"/>
    <col min="3078" max="3078" width="9.140625" style="943"/>
    <col min="3079" max="3080" width="0" style="943" hidden="1" customWidth="1"/>
    <col min="3081" max="3328" width="9.140625" style="943"/>
    <col min="3329" max="3329" width="8.140625" style="943" customWidth="1"/>
    <col min="3330" max="3330" width="82" style="943" customWidth="1"/>
    <col min="3331" max="3333" width="19.140625" style="943" customWidth="1"/>
    <col min="3334" max="3334" width="9.140625" style="943"/>
    <col min="3335" max="3336" width="0" style="943" hidden="1" customWidth="1"/>
    <col min="3337" max="3584" width="9.140625" style="943"/>
    <col min="3585" max="3585" width="8.140625" style="943" customWidth="1"/>
    <col min="3586" max="3586" width="82" style="943" customWidth="1"/>
    <col min="3587" max="3589" width="19.140625" style="943" customWidth="1"/>
    <col min="3590" max="3590" width="9.140625" style="943"/>
    <col min="3591" max="3592" width="0" style="943" hidden="1" customWidth="1"/>
    <col min="3593" max="3840" width="9.140625" style="943"/>
    <col min="3841" max="3841" width="8.140625" style="943" customWidth="1"/>
    <col min="3842" max="3842" width="82" style="943" customWidth="1"/>
    <col min="3843" max="3845" width="19.140625" style="943" customWidth="1"/>
    <col min="3846" max="3846" width="9.140625" style="943"/>
    <col min="3847" max="3848" width="0" style="943" hidden="1" customWidth="1"/>
    <col min="3849" max="4096" width="9.140625" style="943"/>
    <col min="4097" max="4097" width="8.140625" style="943" customWidth="1"/>
    <col min="4098" max="4098" width="82" style="943" customWidth="1"/>
    <col min="4099" max="4101" width="19.140625" style="943" customWidth="1"/>
    <col min="4102" max="4102" width="9.140625" style="943"/>
    <col min="4103" max="4104" width="0" style="943" hidden="1" customWidth="1"/>
    <col min="4105" max="4352" width="9.140625" style="943"/>
    <col min="4353" max="4353" width="8.140625" style="943" customWidth="1"/>
    <col min="4354" max="4354" width="82" style="943" customWidth="1"/>
    <col min="4355" max="4357" width="19.140625" style="943" customWidth="1"/>
    <col min="4358" max="4358" width="9.140625" style="943"/>
    <col min="4359" max="4360" width="0" style="943" hidden="1" customWidth="1"/>
    <col min="4361" max="4608" width="9.140625" style="943"/>
    <col min="4609" max="4609" width="8.140625" style="943" customWidth="1"/>
    <col min="4610" max="4610" width="82" style="943" customWidth="1"/>
    <col min="4611" max="4613" width="19.140625" style="943" customWidth="1"/>
    <col min="4614" max="4614" width="9.140625" style="943"/>
    <col min="4615" max="4616" width="0" style="943" hidden="1" customWidth="1"/>
    <col min="4617" max="4864" width="9.140625" style="943"/>
    <col min="4865" max="4865" width="8.140625" style="943" customWidth="1"/>
    <col min="4866" max="4866" width="82" style="943" customWidth="1"/>
    <col min="4867" max="4869" width="19.140625" style="943" customWidth="1"/>
    <col min="4870" max="4870" width="9.140625" style="943"/>
    <col min="4871" max="4872" width="0" style="943" hidden="1" customWidth="1"/>
    <col min="4873" max="5120" width="9.140625" style="943"/>
    <col min="5121" max="5121" width="8.140625" style="943" customWidth="1"/>
    <col min="5122" max="5122" width="82" style="943" customWidth="1"/>
    <col min="5123" max="5125" width="19.140625" style="943" customWidth="1"/>
    <col min="5126" max="5126" width="9.140625" style="943"/>
    <col min="5127" max="5128" width="0" style="943" hidden="1" customWidth="1"/>
    <col min="5129" max="5376" width="9.140625" style="943"/>
    <col min="5377" max="5377" width="8.140625" style="943" customWidth="1"/>
    <col min="5378" max="5378" width="82" style="943" customWidth="1"/>
    <col min="5379" max="5381" width="19.140625" style="943" customWidth="1"/>
    <col min="5382" max="5382" width="9.140625" style="943"/>
    <col min="5383" max="5384" width="0" style="943" hidden="1" customWidth="1"/>
    <col min="5385" max="5632" width="9.140625" style="943"/>
    <col min="5633" max="5633" width="8.140625" style="943" customWidth="1"/>
    <col min="5634" max="5634" width="82" style="943" customWidth="1"/>
    <col min="5635" max="5637" width="19.140625" style="943" customWidth="1"/>
    <col min="5638" max="5638" width="9.140625" style="943"/>
    <col min="5639" max="5640" width="0" style="943" hidden="1" customWidth="1"/>
    <col min="5641" max="5888" width="9.140625" style="943"/>
    <col min="5889" max="5889" width="8.140625" style="943" customWidth="1"/>
    <col min="5890" max="5890" width="82" style="943" customWidth="1"/>
    <col min="5891" max="5893" width="19.140625" style="943" customWidth="1"/>
    <col min="5894" max="5894" width="9.140625" style="943"/>
    <col min="5895" max="5896" width="0" style="943" hidden="1" customWidth="1"/>
    <col min="5897" max="6144" width="9.140625" style="943"/>
    <col min="6145" max="6145" width="8.140625" style="943" customWidth="1"/>
    <col min="6146" max="6146" width="82" style="943" customWidth="1"/>
    <col min="6147" max="6149" width="19.140625" style="943" customWidth="1"/>
    <col min="6150" max="6150" width="9.140625" style="943"/>
    <col min="6151" max="6152" width="0" style="943" hidden="1" customWidth="1"/>
    <col min="6153" max="6400" width="9.140625" style="943"/>
    <col min="6401" max="6401" width="8.140625" style="943" customWidth="1"/>
    <col min="6402" max="6402" width="82" style="943" customWidth="1"/>
    <col min="6403" max="6405" width="19.140625" style="943" customWidth="1"/>
    <col min="6406" max="6406" width="9.140625" style="943"/>
    <col min="6407" max="6408" width="0" style="943" hidden="1" customWidth="1"/>
    <col min="6409" max="6656" width="9.140625" style="943"/>
    <col min="6657" max="6657" width="8.140625" style="943" customWidth="1"/>
    <col min="6658" max="6658" width="82" style="943" customWidth="1"/>
    <col min="6659" max="6661" width="19.140625" style="943" customWidth="1"/>
    <col min="6662" max="6662" width="9.140625" style="943"/>
    <col min="6663" max="6664" width="0" style="943" hidden="1" customWidth="1"/>
    <col min="6665" max="6912" width="9.140625" style="943"/>
    <col min="6913" max="6913" width="8.140625" style="943" customWidth="1"/>
    <col min="6914" max="6914" width="82" style="943" customWidth="1"/>
    <col min="6915" max="6917" width="19.140625" style="943" customWidth="1"/>
    <col min="6918" max="6918" width="9.140625" style="943"/>
    <col min="6919" max="6920" width="0" style="943" hidden="1" customWidth="1"/>
    <col min="6921" max="7168" width="9.140625" style="943"/>
    <col min="7169" max="7169" width="8.140625" style="943" customWidth="1"/>
    <col min="7170" max="7170" width="82" style="943" customWidth="1"/>
    <col min="7171" max="7173" width="19.140625" style="943" customWidth="1"/>
    <col min="7174" max="7174" width="9.140625" style="943"/>
    <col min="7175" max="7176" width="0" style="943" hidden="1" customWidth="1"/>
    <col min="7177" max="7424" width="9.140625" style="943"/>
    <col min="7425" max="7425" width="8.140625" style="943" customWidth="1"/>
    <col min="7426" max="7426" width="82" style="943" customWidth="1"/>
    <col min="7427" max="7429" width="19.140625" style="943" customWidth="1"/>
    <col min="7430" max="7430" width="9.140625" style="943"/>
    <col min="7431" max="7432" width="0" style="943" hidden="1" customWidth="1"/>
    <col min="7433" max="7680" width="9.140625" style="943"/>
    <col min="7681" max="7681" width="8.140625" style="943" customWidth="1"/>
    <col min="7682" max="7682" width="82" style="943" customWidth="1"/>
    <col min="7683" max="7685" width="19.140625" style="943" customWidth="1"/>
    <col min="7686" max="7686" width="9.140625" style="943"/>
    <col min="7687" max="7688" width="0" style="943" hidden="1" customWidth="1"/>
    <col min="7689" max="7936" width="9.140625" style="943"/>
    <col min="7937" max="7937" width="8.140625" style="943" customWidth="1"/>
    <col min="7938" max="7938" width="82" style="943" customWidth="1"/>
    <col min="7939" max="7941" width="19.140625" style="943" customWidth="1"/>
    <col min="7942" max="7942" width="9.140625" style="943"/>
    <col min="7943" max="7944" width="0" style="943" hidden="1" customWidth="1"/>
    <col min="7945" max="8192" width="9.140625" style="943"/>
    <col min="8193" max="8193" width="8.140625" style="943" customWidth="1"/>
    <col min="8194" max="8194" width="82" style="943" customWidth="1"/>
    <col min="8195" max="8197" width="19.140625" style="943" customWidth="1"/>
    <col min="8198" max="8198" width="9.140625" style="943"/>
    <col min="8199" max="8200" width="0" style="943" hidden="1" customWidth="1"/>
    <col min="8201" max="8448" width="9.140625" style="943"/>
    <col min="8449" max="8449" width="8.140625" style="943" customWidth="1"/>
    <col min="8450" max="8450" width="82" style="943" customWidth="1"/>
    <col min="8451" max="8453" width="19.140625" style="943" customWidth="1"/>
    <col min="8454" max="8454" width="9.140625" style="943"/>
    <col min="8455" max="8456" width="0" style="943" hidden="1" customWidth="1"/>
    <col min="8457" max="8704" width="9.140625" style="943"/>
    <col min="8705" max="8705" width="8.140625" style="943" customWidth="1"/>
    <col min="8706" max="8706" width="82" style="943" customWidth="1"/>
    <col min="8707" max="8709" width="19.140625" style="943" customWidth="1"/>
    <col min="8710" max="8710" width="9.140625" style="943"/>
    <col min="8711" max="8712" width="0" style="943" hidden="1" customWidth="1"/>
    <col min="8713" max="8960" width="9.140625" style="943"/>
    <col min="8961" max="8961" width="8.140625" style="943" customWidth="1"/>
    <col min="8962" max="8962" width="82" style="943" customWidth="1"/>
    <col min="8963" max="8965" width="19.140625" style="943" customWidth="1"/>
    <col min="8966" max="8966" width="9.140625" style="943"/>
    <col min="8967" max="8968" width="0" style="943" hidden="1" customWidth="1"/>
    <col min="8969" max="9216" width="9.140625" style="943"/>
    <col min="9217" max="9217" width="8.140625" style="943" customWidth="1"/>
    <col min="9218" max="9218" width="82" style="943" customWidth="1"/>
    <col min="9219" max="9221" width="19.140625" style="943" customWidth="1"/>
    <col min="9222" max="9222" width="9.140625" style="943"/>
    <col min="9223" max="9224" width="0" style="943" hidden="1" customWidth="1"/>
    <col min="9225" max="9472" width="9.140625" style="943"/>
    <col min="9473" max="9473" width="8.140625" style="943" customWidth="1"/>
    <col min="9474" max="9474" width="82" style="943" customWidth="1"/>
    <col min="9475" max="9477" width="19.140625" style="943" customWidth="1"/>
    <col min="9478" max="9478" width="9.140625" style="943"/>
    <col min="9479" max="9480" width="0" style="943" hidden="1" customWidth="1"/>
    <col min="9481" max="9728" width="9.140625" style="943"/>
    <col min="9729" max="9729" width="8.140625" style="943" customWidth="1"/>
    <col min="9730" max="9730" width="82" style="943" customWidth="1"/>
    <col min="9731" max="9733" width="19.140625" style="943" customWidth="1"/>
    <col min="9734" max="9734" width="9.140625" style="943"/>
    <col min="9735" max="9736" width="0" style="943" hidden="1" customWidth="1"/>
    <col min="9737" max="9984" width="9.140625" style="943"/>
    <col min="9985" max="9985" width="8.140625" style="943" customWidth="1"/>
    <col min="9986" max="9986" width="82" style="943" customWidth="1"/>
    <col min="9987" max="9989" width="19.140625" style="943" customWidth="1"/>
    <col min="9990" max="9990" width="9.140625" style="943"/>
    <col min="9991" max="9992" width="0" style="943" hidden="1" customWidth="1"/>
    <col min="9993" max="10240" width="9.140625" style="943"/>
    <col min="10241" max="10241" width="8.140625" style="943" customWidth="1"/>
    <col min="10242" max="10242" width="82" style="943" customWidth="1"/>
    <col min="10243" max="10245" width="19.140625" style="943" customWidth="1"/>
    <col min="10246" max="10246" width="9.140625" style="943"/>
    <col min="10247" max="10248" width="0" style="943" hidden="1" customWidth="1"/>
    <col min="10249" max="10496" width="9.140625" style="943"/>
    <col min="10497" max="10497" width="8.140625" style="943" customWidth="1"/>
    <col min="10498" max="10498" width="82" style="943" customWidth="1"/>
    <col min="10499" max="10501" width="19.140625" style="943" customWidth="1"/>
    <col min="10502" max="10502" width="9.140625" style="943"/>
    <col min="10503" max="10504" width="0" style="943" hidden="1" customWidth="1"/>
    <col min="10505" max="10752" width="9.140625" style="943"/>
    <col min="10753" max="10753" width="8.140625" style="943" customWidth="1"/>
    <col min="10754" max="10754" width="82" style="943" customWidth="1"/>
    <col min="10755" max="10757" width="19.140625" style="943" customWidth="1"/>
    <col min="10758" max="10758" width="9.140625" style="943"/>
    <col min="10759" max="10760" width="0" style="943" hidden="1" customWidth="1"/>
    <col min="10761" max="11008" width="9.140625" style="943"/>
    <col min="11009" max="11009" width="8.140625" style="943" customWidth="1"/>
    <col min="11010" max="11010" width="82" style="943" customWidth="1"/>
    <col min="11011" max="11013" width="19.140625" style="943" customWidth="1"/>
    <col min="11014" max="11014" width="9.140625" style="943"/>
    <col min="11015" max="11016" width="0" style="943" hidden="1" customWidth="1"/>
    <col min="11017" max="11264" width="9.140625" style="943"/>
    <col min="11265" max="11265" width="8.140625" style="943" customWidth="1"/>
    <col min="11266" max="11266" width="82" style="943" customWidth="1"/>
    <col min="11267" max="11269" width="19.140625" style="943" customWidth="1"/>
    <col min="11270" max="11270" width="9.140625" style="943"/>
    <col min="11271" max="11272" width="0" style="943" hidden="1" customWidth="1"/>
    <col min="11273" max="11520" width="9.140625" style="943"/>
    <col min="11521" max="11521" width="8.140625" style="943" customWidth="1"/>
    <col min="11522" max="11522" width="82" style="943" customWidth="1"/>
    <col min="11523" max="11525" width="19.140625" style="943" customWidth="1"/>
    <col min="11526" max="11526" width="9.140625" style="943"/>
    <col min="11527" max="11528" width="0" style="943" hidden="1" customWidth="1"/>
    <col min="11529" max="11776" width="9.140625" style="943"/>
    <col min="11777" max="11777" width="8.140625" style="943" customWidth="1"/>
    <col min="11778" max="11778" width="82" style="943" customWidth="1"/>
    <col min="11779" max="11781" width="19.140625" style="943" customWidth="1"/>
    <col min="11782" max="11782" width="9.140625" style="943"/>
    <col min="11783" max="11784" width="0" style="943" hidden="1" customWidth="1"/>
    <col min="11785" max="12032" width="9.140625" style="943"/>
    <col min="12033" max="12033" width="8.140625" style="943" customWidth="1"/>
    <col min="12034" max="12034" width="82" style="943" customWidth="1"/>
    <col min="12035" max="12037" width="19.140625" style="943" customWidth="1"/>
    <col min="12038" max="12038" width="9.140625" style="943"/>
    <col min="12039" max="12040" width="0" style="943" hidden="1" customWidth="1"/>
    <col min="12041" max="12288" width="9.140625" style="943"/>
    <col min="12289" max="12289" width="8.140625" style="943" customWidth="1"/>
    <col min="12290" max="12290" width="82" style="943" customWidth="1"/>
    <col min="12291" max="12293" width="19.140625" style="943" customWidth="1"/>
    <col min="12294" max="12294" width="9.140625" style="943"/>
    <col min="12295" max="12296" width="0" style="943" hidden="1" customWidth="1"/>
    <col min="12297" max="12544" width="9.140625" style="943"/>
    <col min="12545" max="12545" width="8.140625" style="943" customWidth="1"/>
    <col min="12546" max="12546" width="82" style="943" customWidth="1"/>
    <col min="12547" max="12549" width="19.140625" style="943" customWidth="1"/>
    <col min="12550" max="12550" width="9.140625" style="943"/>
    <col min="12551" max="12552" width="0" style="943" hidden="1" customWidth="1"/>
    <col min="12553" max="12800" width="9.140625" style="943"/>
    <col min="12801" max="12801" width="8.140625" style="943" customWidth="1"/>
    <col min="12802" max="12802" width="82" style="943" customWidth="1"/>
    <col min="12803" max="12805" width="19.140625" style="943" customWidth="1"/>
    <col min="12806" max="12806" width="9.140625" style="943"/>
    <col min="12807" max="12808" width="0" style="943" hidden="1" customWidth="1"/>
    <col min="12809" max="13056" width="9.140625" style="943"/>
    <col min="13057" max="13057" width="8.140625" style="943" customWidth="1"/>
    <col min="13058" max="13058" width="82" style="943" customWidth="1"/>
    <col min="13059" max="13061" width="19.140625" style="943" customWidth="1"/>
    <col min="13062" max="13062" width="9.140625" style="943"/>
    <col min="13063" max="13064" width="0" style="943" hidden="1" customWidth="1"/>
    <col min="13065" max="13312" width="9.140625" style="943"/>
    <col min="13313" max="13313" width="8.140625" style="943" customWidth="1"/>
    <col min="13314" max="13314" width="82" style="943" customWidth="1"/>
    <col min="13315" max="13317" width="19.140625" style="943" customWidth="1"/>
    <col min="13318" max="13318" width="9.140625" style="943"/>
    <col min="13319" max="13320" width="0" style="943" hidden="1" customWidth="1"/>
    <col min="13321" max="13568" width="9.140625" style="943"/>
    <col min="13569" max="13569" width="8.140625" style="943" customWidth="1"/>
    <col min="13570" max="13570" width="82" style="943" customWidth="1"/>
    <col min="13571" max="13573" width="19.140625" style="943" customWidth="1"/>
    <col min="13574" max="13574" width="9.140625" style="943"/>
    <col min="13575" max="13576" width="0" style="943" hidden="1" customWidth="1"/>
    <col min="13577" max="13824" width="9.140625" style="943"/>
    <col min="13825" max="13825" width="8.140625" style="943" customWidth="1"/>
    <col min="13826" max="13826" width="82" style="943" customWidth="1"/>
    <col min="13827" max="13829" width="19.140625" style="943" customWidth="1"/>
    <col min="13830" max="13830" width="9.140625" style="943"/>
    <col min="13831" max="13832" width="0" style="943" hidden="1" customWidth="1"/>
    <col min="13833" max="14080" width="9.140625" style="943"/>
    <col min="14081" max="14081" width="8.140625" style="943" customWidth="1"/>
    <col min="14082" max="14082" width="82" style="943" customWidth="1"/>
    <col min="14083" max="14085" width="19.140625" style="943" customWidth="1"/>
    <col min="14086" max="14086" width="9.140625" style="943"/>
    <col min="14087" max="14088" width="0" style="943" hidden="1" customWidth="1"/>
    <col min="14089" max="14336" width="9.140625" style="943"/>
    <col min="14337" max="14337" width="8.140625" style="943" customWidth="1"/>
    <col min="14338" max="14338" width="82" style="943" customWidth="1"/>
    <col min="14339" max="14341" width="19.140625" style="943" customWidth="1"/>
    <col min="14342" max="14342" width="9.140625" style="943"/>
    <col min="14343" max="14344" width="0" style="943" hidden="1" customWidth="1"/>
    <col min="14345" max="14592" width="9.140625" style="943"/>
    <col min="14593" max="14593" width="8.140625" style="943" customWidth="1"/>
    <col min="14594" max="14594" width="82" style="943" customWidth="1"/>
    <col min="14595" max="14597" width="19.140625" style="943" customWidth="1"/>
    <col min="14598" max="14598" width="9.140625" style="943"/>
    <col min="14599" max="14600" width="0" style="943" hidden="1" customWidth="1"/>
    <col min="14601" max="14848" width="9.140625" style="943"/>
    <col min="14849" max="14849" width="8.140625" style="943" customWidth="1"/>
    <col min="14850" max="14850" width="82" style="943" customWidth="1"/>
    <col min="14851" max="14853" width="19.140625" style="943" customWidth="1"/>
    <col min="14854" max="14854" width="9.140625" style="943"/>
    <col min="14855" max="14856" width="0" style="943" hidden="1" customWidth="1"/>
    <col min="14857" max="15104" width="9.140625" style="943"/>
    <col min="15105" max="15105" width="8.140625" style="943" customWidth="1"/>
    <col min="15106" max="15106" width="82" style="943" customWidth="1"/>
    <col min="15107" max="15109" width="19.140625" style="943" customWidth="1"/>
    <col min="15110" max="15110" width="9.140625" style="943"/>
    <col min="15111" max="15112" width="0" style="943" hidden="1" customWidth="1"/>
    <col min="15113" max="15360" width="9.140625" style="943"/>
    <col min="15361" max="15361" width="8.140625" style="943" customWidth="1"/>
    <col min="15362" max="15362" width="82" style="943" customWidth="1"/>
    <col min="15363" max="15365" width="19.140625" style="943" customWidth="1"/>
    <col min="15366" max="15366" width="9.140625" style="943"/>
    <col min="15367" max="15368" width="0" style="943" hidden="1" customWidth="1"/>
    <col min="15369" max="15616" width="9.140625" style="943"/>
    <col min="15617" max="15617" width="8.140625" style="943" customWidth="1"/>
    <col min="15618" max="15618" width="82" style="943" customWidth="1"/>
    <col min="15619" max="15621" width="19.140625" style="943" customWidth="1"/>
    <col min="15622" max="15622" width="9.140625" style="943"/>
    <col min="15623" max="15624" width="0" style="943" hidden="1" customWidth="1"/>
    <col min="15625" max="15872" width="9.140625" style="943"/>
    <col min="15873" max="15873" width="8.140625" style="943" customWidth="1"/>
    <col min="15874" max="15874" width="82" style="943" customWidth="1"/>
    <col min="15875" max="15877" width="19.140625" style="943" customWidth="1"/>
    <col min="15878" max="15878" width="9.140625" style="943"/>
    <col min="15879" max="15880" width="0" style="943" hidden="1" customWidth="1"/>
    <col min="15881" max="16128" width="9.140625" style="943"/>
    <col min="16129" max="16129" width="8.140625" style="943" customWidth="1"/>
    <col min="16130" max="16130" width="82" style="943" customWidth="1"/>
    <col min="16131" max="16133" width="19.140625" style="943" customWidth="1"/>
    <col min="16134" max="16134" width="9.140625" style="943"/>
    <col min="16135" max="16136" width="0" style="943" hidden="1" customWidth="1"/>
    <col min="16137" max="16384" width="9.140625" style="943"/>
  </cols>
  <sheetData>
    <row r="1" spans="1:5" ht="15.75">
      <c r="E1" s="192" t="s">
        <v>1509</v>
      </c>
    </row>
    <row r="2" spans="1:5" ht="15.75">
      <c r="A2" s="1550" t="s">
        <v>1510</v>
      </c>
      <c r="B2" s="1551"/>
      <c r="C2" s="1551"/>
      <c r="D2" s="1551"/>
      <c r="E2" s="1551"/>
    </row>
    <row r="3" spans="1:5" ht="12.75" thickBot="1">
      <c r="A3" s="1553"/>
      <c r="E3" s="242" t="s">
        <v>458</v>
      </c>
    </row>
    <row r="4" spans="1:5" s="1516" customFormat="1" ht="24">
      <c r="A4" s="1513" t="s">
        <v>1557</v>
      </c>
      <c r="B4" s="1514" t="s">
        <v>7</v>
      </c>
      <c r="C4" s="1514" t="s">
        <v>1558</v>
      </c>
      <c r="D4" s="1514" t="s">
        <v>1559</v>
      </c>
      <c r="E4" s="1515" t="s">
        <v>1560</v>
      </c>
    </row>
    <row r="5" spans="1:5" ht="12.75" thickBot="1">
      <c r="A5" s="1554">
        <v>1</v>
      </c>
      <c r="B5" s="1555">
        <v>2</v>
      </c>
      <c r="C5" s="1555">
        <v>3</v>
      </c>
      <c r="D5" s="1555">
        <v>4</v>
      </c>
      <c r="E5" s="1556">
        <v>5</v>
      </c>
    </row>
    <row r="6" spans="1:5">
      <c r="A6" s="1535" t="s">
        <v>1561</v>
      </c>
      <c r="B6" s="1536" t="s">
        <v>2324</v>
      </c>
      <c r="C6" s="1537">
        <v>1671</v>
      </c>
      <c r="D6" s="1537"/>
      <c r="E6" s="1538">
        <f>+C6+D6</f>
        <v>1671</v>
      </c>
    </row>
    <row r="7" spans="1:5">
      <c r="A7" s="1524" t="s">
        <v>1563</v>
      </c>
      <c r="B7" s="1525" t="s">
        <v>2325</v>
      </c>
      <c r="C7" s="1526">
        <v>6812598</v>
      </c>
      <c r="D7" s="1526"/>
      <c r="E7" s="1527">
        <f>+C7+D7</f>
        <v>6812598</v>
      </c>
    </row>
    <row r="8" spans="1:5">
      <c r="A8" s="1524" t="s">
        <v>1565</v>
      </c>
      <c r="B8" s="1525" t="s">
        <v>2326</v>
      </c>
      <c r="C8" s="1526">
        <v>64774</v>
      </c>
      <c r="D8" s="1526"/>
      <c r="E8" s="1527">
        <f>+C8+D8</f>
        <v>64774</v>
      </c>
    </row>
    <row r="9" spans="1:5" ht="12.75" thickBot="1">
      <c r="A9" s="1517" t="s">
        <v>1567</v>
      </c>
      <c r="B9" s="1528" t="s">
        <v>2327</v>
      </c>
      <c r="C9" s="1529">
        <v>1010853</v>
      </c>
      <c r="D9" s="1529"/>
      <c r="E9" s="1530">
        <f>+C9+D9</f>
        <v>1010853</v>
      </c>
    </row>
    <row r="10" spans="1:5" ht="12.75" thickBot="1">
      <c r="A10" s="1531" t="s">
        <v>1569</v>
      </c>
      <c r="B10" s="1532" t="s">
        <v>2328</v>
      </c>
      <c r="C10" s="1533">
        <f>SUM(C6:C9)</f>
        <v>7889896</v>
      </c>
      <c r="D10" s="1533">
        <f>SUM(D6:D9)</f>
        <v>0</v>
      </c>
      <c r="E10" s="1534">
        <f>SUM(E6:E9)</f>
        <v>7889896</v>
      </c>
    </row>
    <row r="11" spans="1:5">
      <c r="A11" s="1535" t="s">
        <v>1571</v>
      </c>
      <c r="B11" s="1536" t="s">
        <v>2329</v>
      </c>
      <c r="C11" s="1537">
        <v>5154</v>
      </c>
      <c r="D11" s="1537"/>
      <c r="E11" s="1538">
        <f>+C11+D11</f>
        <v>5154</v>
      </c>
    </row>
    <row r="12" spans="1:5" ht="12.75" thickBot="1">
      <c r="A12" s="1517" t="s">
        <v>1573</v>
      </c>
      <c r="B12" s="1528" t="s">
        <v>2330</v>
      </c>
      <c r="C12" s="1529"/>
      <c r="D12" s="1529"/>
      <c r="E12" s="1530">
        <f>+C12+D12</f>
        <v>0</v>
      </c>
    </row>
    <row r="13" spans="1:5" ht="12.75" thickBot="1">
      <c r="A13" s="1531" t="s">
        <v>1575</v>
      </c>
      <c r="B13" s="1532" t="s">
        <v>2331</v>
      </c>
      <c r="C13" s="1533">
        <f>SUM(C11:C12)</f>
        <v>5154</v>
      </c>
      <c r="D13" s="1533">
        <f>SUM(D11:D12)</f>
        <v>0</v>
      </c>
      <c r="E13" s="1534">
        <f>SUM(E11:E12)</f>
        <v>5154</v>
      </c>
    </row>
    <row r="14" spans="1:5">
      <c r="A14" s="1535" t="s">
        <v>1577</v>
      </c>
      <c r="B14" s="1536" t="s">
        <v>2332</v>
      </c>
      <c r="C14" s="1537"/>
      <c r="D14" s="1537"/>
      <c r="E14" s="1538">
        <f>+C14+D14</f>
        <v>0</v>
      </c>
    </row>
    <row r="15" spans="1:5">
      <c r="A15" s="1524" t="s">
        <v>1579</v>
      </c>
      <c r="B15" s="1525" t="s">
        <v>2333</v>
      </c>
      <c r="C15" s="1526">
        <v>1600</v>
      </c>
      <c r="D15" s="1526"/>
      <c r="E15" s="1527">
        <f>+C15+D15</f>
        <v>1600</v>
      </c>
    </row>
    <row r="16" spans="1:5" ht="12.75" thickBot="1">
      <c r="A16" s="1517" t="s">
        <v>1581</v>
      </c>
      <c r="B16" s="1528" t="s">
        <v>2334</v>
      </c>
      <c r="C16" s="1529">
        <v>2731855</v>
      </c>
      <c r="D16" s="1529"/>
      <c r="E16" s="1530">
        <f>+C16+D16</f>
        <v>2731855</v>
      </c>
    </row>
    <row r="17" spans="1:8" ht="12.75" thickBot="1">
      <c r="A17" s="1531" t="s">
        <v>1583</v>
      </c>
      <c r="B17" s="1532" t="s">
        <v>2335</v>
      </c>
      <c r="C17" s="1533">
        <f>SUM(C14:C16)</f>
        <v>2733455</v>
      </c>
      <c r="D17" s="1533">
        <f>SUM(D14:D16)</f>
        <v>0</v>
      </c>
      <c r="E17" s="1534">
        <f>SUM(E14:E16)</f>
        <v>2733455</v>
      </c>
    </row>
    <row r="18" spans="1:8">
      <c r="A18" s="1535" t="s">
        <v>1585</v>
      </c>
      <c r="B18" s="1536" t="s">
        <v>2336</v>
      </c>
      <c r="C18" s="1537">
        <v>189600</v>
      </c>
      <c r="D18" s="1537"/>
      <c r="E18" s="1538">
        <f>+C18+D18</f>
        <v>189600</v>
      </c>
    </row>
    <row r="19" spans="1:8">
      <c r="A19" s="1524" t="s">
        <v>1587</v>
      </c>
      <c r="B19" s="1525" t="s">
        <v>2337</v>
      </c>
      <c r="C19" s="1526">
        <v>15918</v>
      </c>
      <c r="D19" s="1526"/>
      <c r="E19" s="1527">
        <f>+C19+D19</f>
        <v>15918</v>
      </c>
    </row>
    <row r="20" spans="1:8" ht="12.75" thickBot="1">
      <c r="A20" s="1517" t="s">
        <v>1589</v>
      </c>
      <c r="B20" s="1528" t="s">
        <v>2338</v>
      </c>
      <c r="C20" s="1529">
        <v>700512</v>
      </c>
      <c r="D20" s="1529"/>
      <c r="E20" s="1530">
        <f>+C20+D20</f>
        <v>700512</v>
      </c>
    </row>
    <row r="21" spans="1:8" ht="12.75" thickBot="1">
      <c r="A21" s="1531" t="s">
        <v>1591</v>
      </c>
      <c r="B21" s="1532" t="s">
        <v>2339</v>
      </c>
      <c r="C21" s="1533">
        <f>SUM(C18:C20)</f>
        <v>906030</v>
      </c>
      <c r="D21" s="1533">
        <f>SUM(D18:D20)</f>
        <v>0</v>
      </c>
      <c r="E21" s="1534">
        <f>SUM(E18:E20)</f>
        <v>906030</v>
      </c>
    </row>
    <row r="22" spans="1:8" ht="12.75" thickBot="1">
      <c r="A22" s="1539" t="s">
        <v>1593</v>
      </c>
      <c r="B22" s="1540" t="s">
        <v>2340</v>
      </c>
      <c r="C22" s="1541">
        <v>15162</v>
      </c>
      <c r="D22" s="1541"/>
      <c r="E22" s="1542">
        <f>+C22+D22</f>
        <v>15162</v>
      </c>
    </row>
    <row r="23" spans="1:8" ht="12.75" thickBot="1">
      <c r="A23" s="1531" t="s">
        <v>1595</v>
      </c>
      <c r="B23" s="1532" t="s">
        <v>2341</v>
      </c>
      <c r="C23" s="1533">
        <v>158</v>
      </c>
      <c r="D23" s="1533"/>
      <c r="E23" s="1534">
        <f>+C23+D23</f>
        <v>158</v>
      </c>
    </row>
    <row r="24" spans="1:8" ht="12.75" thickBot="1">
      <c r="A24" s="1531" t="s">
        <v>1597</v>
      </c>
      <c r="B24" s="1532" t="s">
        <v>2342</v>
      </c>
      <c r="C24" s="1533">
        <f>+C10+C13+C17+C21+C22+C23</f>
        <v>11549855</v>
      </c>
      <c r="D24" s="1533">
        <f>+D10+D13+D17+D21+D22+D23</f>
        <v>0</v>
      </c>
      <c r="E24" s="1534">
        <f>+E10+E13+E17+E21+E22+E23</f>
        <v>11549855</v>
      </c>
    </row>
    <row r="25" spans="1:8">
      <c r="A25" s="1535" t="s">
        <v>1599</v>
      </c>
      <c r="B25" s="1536" t="s">
        <v>2343</v>
      </c>
      <c r="C25" s="1537">
        <v>6616577</v>
      </c>
      <c r="D25" s="1537"/>
      <c r="E25" s="1538">
        <f>+C25+D25</f>
        <v>6616577</v>
      </c>
    </row>
    <row r="26" spans="1:8">
      <c r="A26" s="1524" t="s">
        <v>1601</v>
      </c>
      <c r="B26" s="1525" t="s">
        <v>2344</v>
      </c>
      <c r="C26" s="1526">
        <v>-1608570</v>
      </c>
      <c r="D26" s="1526"/>
      <c r="E26" s="1527">
        <f>+C26+D26</f>
        <v>-1608570</v>
      </c>
    </row>
    <row r="27" spans="1:8">
      <c r="A27" s="1524" t="s">
        <v>1602</v>
      </c>
      <c r="B27" s="1525" t="s">
        <v>2345</v>
      </c>
      <c r="C27" s="1526"/>
      <c r="D27" s="1526"/>
      <c r="E27" s="1527">
        <f>+C27+D27</f>
        <v>0</v>
      </c>
    </row>
    <row r="28" spans="1:8" ht="12.75" thickBot="1">
      <c r="A28" s="1517" t="s">
        <v>1604</v>
      </c>
      <c r="B28" s="1528" t="s">
        <v>2346</v>
      </c>
      <c r="C28" s="1529">
        <v>184314</v>
      </c>
      <c r="D28" s="1529"/>
      <c r="E28" s="1530">
        <f>+C28+D28</f>
        <v>184314</v>
      </c>
      <c r="G28" s="118">
        <f>+'20.mell 2018K13'!E49</f>
        <v>184314</v>
      </c>
      <c r="H28" s="118">
        <f>+E28-G28</f>
        <v>0</v>
      </c>
    </row>
    <row r="29" spans="1:8" ht="12.75" thickBot="1">
      <c r="A29" s="1531" t="s">
        <v>1606</v>
      </c>
      <c r="B29" s="1532" t="s">
        <v>2347</v>
      </c>
      <c r="C29" s="1533">
        <f>SUM(C25:C28)</f>
        <v>5192321</v>
      </c>
      <c r="D29" s="1533">
        <f>SUM(D25:D28)</f>
        <v>0</v>
      </c>
      <c r="E29" s="1534">
        <f>SUM(E25:E28)</f>
        <v>5192321</v>
      </c>
    </row>
    <row r="30" spans="1:8">
      <c r="A30" s="1535" t="s">
        <v>1607</v>
      </c>
      <c r="B30" s="1536" t="s">
        <v>2348</v>
      </c>
      <c r="C30" s="1537">
        <v>116883</v>
      </c>
      <c r="D30" s="1537"/>
      <c r="E30" s="1538">
        <f>+C30+D30</f>
        <v>116883</v>
      </c>
    </row>
    <row r="31" spans="1:8">
      <c r="A31" s="1524" t="s">
        <v>1609</v>
      </c>
      <c r="B31" s="1525" t="s">
        <v>2349</v>
      </c>
      <c r="C31" s="1526">
        <f>106605+1</f>
        <v>106606</v>
      </c>
      <c r="D31" s="1526"/>
      <c r="E31" s="1527">
        <f>+C31+D31</f>
        <v>106606</v>
      </c>
    </row>
    <row r="32" spans="1:8" ht="12.75" thickBot="1">
      <c r="A32" s="1517" t="s">
        <v>1611</v>
      </c>
      <c r="B32" s="1528" t="s">
        <v>2350</v>
      </c>
      <c r="C32" s="1529">
        <v>94766</v>
      </c>
      <c r="D32" s="1529"/>
      <c r="E32" s="1530">
        <f>+C32+D32</f>
        <v>94766</v>
      </c>
    </row>
    <row r="33" spans="1:5" ht="12.75" thickBot="1">
      <c r="A33" s="1531" t="s">
        <v>1613</v>
      </c>
      <c r="B33" s="1532" t="s">
        <v>2351</v>
      </c>
      <c r="C33" s="1533">
        <f>SUM(C30:C32)</f>
        <v>318255</v>
      </c>
      <c r="D33" s="1533">
        <f>SUM(D30:D32)</f>
        <v>0</v>
      </c>
      <c r="E33" s="1534">
        <f>SUM(E30:E32)</f>
        <v>318255</v>
      </c>
    </row>
    <row r="34" spans="1:5" ht="12.75" thickBot="1">
      <c r="A34" s="1531" t="s">
        <v>1615</v>
      </c>
      <c r="B34" s="1532" t="s">
        <v>2352</v>
      </c>
      <c r="C34" s="1533">
        <v>0</v>
      </c>
      <c r="D34" s="1533">
        <v>0</v>
      </c>
      <c r="E34" s="1534">
        <f>+C34+D34</f>
        <v>0</v>
      </c>
    </row>
    <row r="35" spans="1:5" ht="12.75" thickBot="1">
      <c r="A35" s="1539" t="s">
        <v>1617</v>
      </c>
      <c r="B35" s="1540" t="s">
        <v>2353</v>
      </c>
      <c r="C35" s="1541">
        <v>6039279</v>
      </c>
      <c r="D35" s="1541"/>
      <c r="E35" s="1542">
        <f>+C35+D35</f>
        <v>6039279</v>
      </c>
    </row>
    <row r="36" spans="1:5" ht="12.75" thickBot="1">
      <c r="A36" s="1531" t="s">
        <v>1619</v>
      </c>
      <c r="B36" s="1532" t="s">
        <v>2354</v>
      </c>
      <c r="C36" s="1533">
        <f>+C29+C33+C34+C35</f>
        <v>11549855</v>
      </c>
      <c r="D36" s="1533">
        <f>+D29+D33+D34+D35</f>
        <v>0</v>
      </c>
      <c r="E36" s="1534">
        <f>+E29+E33+E34+E35</f>
        <v>11549855</v>
      </c>
    </row>
  </sheetData>
  <mergeCells count="1">
    <mergeCell ref="A2:E2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65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E49"/>
  <sheetViews>
    <sheetView zoomScaleNormal="100" workbookViewId="0">
      <pane ySplit="5" topLeftCell="A6" activePane="bottomLeft" state="frozen"/>
      <selection activeCell="C11" sqref="C11"/>
      <selection pane="bottomLeft" activeCell="A6" sqref="A6"/>
    </sheetView>
  </sheetViews>
  <sheetFormatPr defaultRowHeight="12"/>
  <cols>
    <col min="1" max="1" width="8.140625" style="943" customWidth="1"/>
    <col min="2" max="2" width="82" style="943" customWidth="1"/>
    <col min="3" max="5" width="19.140625" style="943" customWidth="1"/>
    <col min="6" max="256" width="9.140625" style="943"/>
    <col min="257" max="257" width="8.140625" style="943" customWidth="1"/>
    <col min="258" max="258" width="82" style="943" customWidth="1"/>
    <col min="259" max="261" width="19.140625" style="943" customWidth="1"/>
    <col min="262" max="512" width="9.140625" style="943"/>
    <col min="513" max="513" width="8.140625" style="943" customWidth="1"/>
    <col min="514" max="514" width="82" style="943" customWidth="1"/>
    <col min="515" max="517" width="19.140625" style="943" customWidth="1"/>
    <col min="518" max="768" width="9.140625" style="943"/>
    <col min="769" max="769" width="8.140625" style="943" customWidth="1"/>
    <col min="770" max="770" width="82" style="943" customWidth="1"/>
    <col min="771" max="773" width="19.140625" style="943" customWidth="1"/>
    <col min="774" max="1024" width="9.140625" style="943"/>
    <col min="1025" max="1025" width="8.140625" style="943" customWidth="1"/>
    <col min="1026" max="1026" width="82" style="943" customWidth="1"/>
    <col min="1027" max="1029" width="19.140625" style="943" customWidth="1"/>
    <col min="1030" max="1280" width="9.140625" style="943"/>
    <col min="1281" max="1281" width="8.140625" style="943" customWidth="1"/>
    <col min="1282" max="1282" width="82" style="943" customWidth="1"/>
    <col min="1283" max="1285" width="19.140625" style="943" customWidth="1"/>
    <col min="1286" max="1536" width="9.140625" style="943"/>
    <col min="1537" max="1537" width="8.140625" style="943" customWidth="1"/>
    <col min="1538" max="1538" width="82" style="943" customWidth="1"/>
    <col min="1539" max="1541" width="19.140625" style="943" customWidth="1"/>
    <col min="1542" max="1792" width="9.140625" style="943"/>
    <col min="1793" max="1793" width="8.140625" style="943" customWidth="1"/>
    <col min="1794" max="1794" width="82" style="943" customWidth="1"/>
    <col min="1795" max="1797" width="19.140625" style="943" customWidth="1"/>
    <col min="1798" max="2048" width="9.140625" style="943"/>
    <col min="2049" max="2049" width="8.140625" style="943" customWidth="1"/>
    <col min="2050" max="2050" width="82" style="943" customWidth="1"/>
    <col min="2051" max="2053" width="19.140625" style="943" customWidth="1"/>
    <col min="2054" max="2304" width="9.140625" style="943"/>
    <col min="2305" max="2305" width="8.140625" style="943" customWidth="1"/>
    <col min="2306" max="2306" width="82" style="943" customWidth="1"/>
    <col min="2307" max="2309" width="19.140625" style="943" customWidth="1"/>
    <col min="2310" max="2560" width="9.140625" style="943"/>
    <col min="2561" max="2561" width="8.140625" style="943" customWidth="1"/>
    <col min="2562" max="2562" width="82" style="943" customWidth="1"/>
    <col min="2563" max="2565" width="19.140625" style="943" customWidth="1"/>
    <col min="2566" max="2816" width="9.140625" style="943"/>
    <col min="2817" max="2817" width="8.140625" style="943" customWidth="1"/>
    <col min="2818" max="2818" width="82" style="943" customWidth="1"/>
    <col min="2819" max="2821" width="19.140625" style="943" customWidth="1"/>
    <col min="2822" max="3072" width="9.140625" style="943"/>
    <col min="3073" max="3073" width="8.140625" style="943" customWidth="1"/>
    <col min="3074" max="3074" width="82" style="943" customWidth="1"/>
    <col min="3075" max="3077" width="19.140625" style="943" customWidth="1"/>
    <col min="3078" max="3328" width="9.140625" style="943"/>
    <col min="3329" max="3329" width="8.140625" style="943" customWidth="1"/>
    <col min="3330" max="3330" width="82" style="943" customWidth="1"/>
    <col min="3331" max="3333" width="19.140625" style="943" customWidth="1"/>
    <col min="3334" max="3584" width="9.140625" style="943"/>
    <col min="3585" max="3585" width="8.140625" style="943" customWidth="1"/>
    <col min="3586" max="3586" width="82" style="943" customWidth="1"/>
    <col min="3587" max="3589" width="19.140625" style="943" customWidth="1"/>
    <col min="3590" max="3840" width="9.140625" style="943"/>
    <col min="3841" max="3841" width="8.140625" style="943" customWidth="1"/>
    <col min="3842" max="3842" width="82" style="943" customWidth="1"/>
    <col min="3843" max="3845" width="19.140625" style="943" customWidth="1"/>
    <col min="3846" max="4096" width="9.140625" style="943"/>
    <col min="4097" max="4097" width="8.140625" style="943" customWidth="1"/>
    <col min="4098" max="4098" width="82" style="943" customWidth="1"/>
    <col min="4099" max="4101" width="19.140625" style="943" customWidth="1"/>
    <col min="4102" max="4352" width="9.140625" style="943"/>
    <col min="4353" max="4353" width="8.140625" style="943" customWidth="1"/>
    <col min="4354" max="4354" width="82" style="943" customWidth="1"/>
    <col min="4355" max="4357" width="19.140625" style="943" customWidth="1"/>
    <col min="4358" max="4608" width="9.140625" style="943"/>
    <col min="4609" max="4609" width="8.140625" style="943" customWidth="1"/>
    <col min="4610" max="4610" width="82" style="943" customWidth="1"/>
    <col min="4611" max="4613" width="19.140625" style="943" customWidth="1"/>
    <col min="4614" max="4864" width="9.140625" style="943"/>
    <col min="4865" max="4865" width="8.140625" style="943" customWidth="1"/>
    <col min="4866" max="4866" width="82" style="943" customWidth="1"/>
    <col min="4867" max="4869" width="19.140625" style="943" customWidth="1"/>
    <col min="4870" max="5120" width="9.140625" style="943"/>
    <col min="5121" max="5121" width="8.140625" style="943" customWidth="1"/>
    <col min="5122" max="5122" width="82" style="943" customWidth="1"/>
    <col min="5123" max="5125" width="19.140625" style="943" customWidth="1"/>
    <col min="5126" max="5376" width="9.140625" style="943"/>
    <col min="5377" max="5377" width="8.140625" style="943" customWidth="1"/>
    <col min="5378" max="5378" width="82" style="943" customWidth="1"/>
    <col min="5379" max="5381" width="19.140625" style="943" customWidth="1"/>
    <col min="5382" max="5632" width="9.140625" style="943"/>
    <col min="5633" max="5633" width="8.140625" style="943" customWidth="1"/>
    <col min="5634" max="5634" width="82" style="943" customWidth="1"/>
    <col min="5635" max="5637" width="19.140625" style="943" customWidth="1"/>
    <col min="5638" max="5888" width="9.140625" style="943"/>
    <col min="5889" max="5889" width="8.140625" style="943" customWidth="1"/>
    <col min="5890" max="5890" width="82" style="943" customWidth="1"/>
    <col min="5891" max="5893" width="19.140625" style="943" customWidth="1"/>
    <col min="5894" max="6144" width="9.140625" style="943"/>
    <col min="6145" max="6145" width="8.140625" style="943" customWidth="1"/>
    <col min="6146" max="6146" width="82" style="943" customWidth="1"/>
    <col min="6147" max="6149" width="19.140625" style="943" customWidth="1"/>
    <col min="6150" max="6400" width="9.140625" style="943"/>
    <col min="6401" max="6401" width="8.140625" style="943" customWidth="1"/>
    <col min="6402" max="6402" width="82" style="943" customWidth="1"/>
    <col min="6403" max="6405" width="19.140625" style="943" customWidth="1"/>
    <col min="6406" max="6656" width="9.140625" style="943"/>
    <col min="6657" max="6657" width="8.140625" style="943" customWidth="1"/>
    <col min="6658" max="6658" width="82" style="943" customWidth="1"/>
    <col min="6659" max="6661" width="19.140625" style="943" customWidth="1"/>
    <col min="6662" max="6912" width="9.140625" style="943"/>
    <col min="6913" max="6913" width="8.140625" style="943" customWidth="1"/>
    <col min="6914" max="6914" width="82" style="943" customWidth="1"/>
    <col min="6915" max="6917" width="19.140625" style="943" customWidth="1"/>
    <col min="6918" max="7168" width="9.140625" style="943"/>
    <col min="7169" max="7169" width="8.140625" style="943" customWidth="1"/>
    <col min="7170" max="7170" width="82" style="943" customWidth="1"/>
    <col min="7171" max="7173" width="19.140625" style="943" customWidth="1"/>
    <col min="7174" max="7424" width="9.140625" style="943"/>
    <col min="7425" max="7425" width="8.140625" style="943" customWidth="1"/>
    <col min="7426" max="7426" width="82" style="943" customWidth="1"/>
    <col min="7427" max="7429" width="19.140625" style="943" customWidth="1"/>
    <col min="7430" max="7680" width="9.140625" style="943"/>
    <col min="7681" max="7681" width="8.140625" style="943" customWidth="1"/>
    <col min="7682" max="7682" width="82" style="943" customWidth="1"/>
    <col min="7683" max="7685" width="19.140625" style="943" customWidth="1"/>
    <col min="7686" max="7936" width="9.140625" style="943"/>
    <col min="7937" max="7937" width="8.140625" style="943" customWidth="1"/>
    <col min="7938" max="7938" width="82" style="943" customWidth="1"/>
    <col min="7939" max="7941" width="19.140625" style="943" customWidth="1"/>
    <col min="7942" max="8192" width="9.140625" style="943"/>
    <col min="8193" max="8193" width="8.140625" style="943" customWidth="1"/>
    <col min="8194" max="8194" width="82" style="943" customWidth="1"/>
    <col min="8195" max="8197" width="19.140625" style="943" customWidth="1"/>
    <col min="8198" max="8448" width="9.140625" style="943"/>
    <col min="8449" max="8449" width="8.140625" style="943" customWidth="1"/>
    <col min="8450" max="8450" width="82" style="943" customWidth="1"/>
    <col min="8451" max="8453" width="19.140625" style="943" customWidth="1"/>
    <col min="8454" max="8704" width="9.140625" style="943"/>
    <col min="8705" max="8705" width="8.140625" style="943" customWidth="1"/>
    <col min="8706" max="8706" width="82" style="943" customWidth="1"/>
    <col min="8707" max="8709" width="19.140625" style="943" customWidth="1"/>
    <col min="8710" max="8960" width="9.140625" style="943"/>
    <col min="8961" max="8961" width="8.140625" style="943" customWidth="1"/>
    <col min="8962" max="8962" width="82" style="943" customWidth="1"/>
    <col min="8963" max="8965" width="19.140625" style="943" customWidth="1"/>
    <col min="8966" max="9216" width="9.140625" style="943"/>
    <col min="9217" max="9217" width="8.140625" style="943" customWidth="1"/>
    <col min="9218" max="9218" width="82" style="943" customWidth="1"/>
    <col min="9219" max="9221" width="19.140625" style="943" customWidth="1"/>
    <col min="9222" max="9472" width="9.140625" style="943"/>
    <col min="9473" max="9473" width="8.140625" style="943" customWidth="1"/>
    <col min="9474" max="9474" width="82" style="943" customWidth="1"/>
    <col min="9475" max="9477" width="19.140625" style="943" customWidth="1"/>
    <col min="9478" max="9728" width="9.140625" style="943"/>
    <col min="9729" max="9729" width="8.140625" style="943" customWidth="1"/>
    <col min="9730" max="9730" width="82" style="943" customWidth="1"/>
    <col min="9731" max="9733" width="19.140625" style="943" customWidth="1"/>
    <col min="9734" max="9984" width="9.140625" style="943"/>
    <col min="9985" max="9985" width="8.140625" style="943" customWidth="1"/>
    <col min="9986" max="9986" width="82" style="943" customWidth="1"/>
    <col min="9987" max="9989" width="19.140625" style="943" customWidth="1"/>
    <col min="9990" max="10240" width="9.140625" style="943"/>
    <col min="10241" max="10241" width="8.140625" style="943" customWidth="1"/>
    <col min="10242" max="10242" width="82" style="943" customWidth="1"/>
    <col min="10243" max="10245" width="19.140625" style="943" customWidth="1"/>
    <col min="10246" max="10496" width="9.140625" style="943"/>
    <col min="10497" max="10497" width="8.140625" style="943" customWidth="1"/>
    <col min="10498" max="10498" width="82" style="943" customWidth="1"/>
    <col min="10499" max="10501" width="19.140625" style="943" customWidth="1"/>
    <col min="10502" max="10752" width="9.140625" style="943"/>
    <col min="10753" max="10753" width="8.140625" style="943" customWidth="1"/>
    <col min="10754" max="10754" width="82" style="943" customWidth="1"/>
    <col min="10755" max="10757" width="19.140625" style="943" customWidth="1"/>
    <col min="10758" max="11008" width="9.140625" style="943"/>
    <col min="11009" max="11009" width="8.140625" style="943" customWidth="1"/>
    <col min="11010" max="11010" width="82" style="943" customWidth="1"/>
    <col min="11011" max="11013" width="19.140625" style="943" customWidth="1"/>
    <col min="11014" max="11264" width="9.140625" style="943"/>
    <col min="11265" max="11265" width="8.140625" style="943" customWidth="1"/>
    <col min="11266" max="11266" width="82" style="943" customWidth="1"/>
    <col min="11267" max="11269" width="19.140625" style="943" customWidth="1"/>
    <col min="11270" max="11520" width="9.140625" style="943"/>
    <col min="11521" max="11521" width="8.140625" style="943" customWidth="1"/>
    <col min="11522" max="11522" width="82" style="943" customWidth="1"/>
    <col min="11523" max="11525" width="19.140625" style="943" customWidth="1"/>
    <col min="11526" max="11776" width="9.140625" style="943"/>
    <col min="11777" max="11777" width="8.140625" style="943" customWidth="1"/>
    <col min="11778" max="11778" width="82" style="943" customWidth="1"/>
    <col min="11779" max="11781" width="19.140625" style="943" customWidth="1"/>
    <col min="11782" max="12032" width="9.140625" style="943"/>
    <col min="12033" max="12033" width="8.140625" style="943" customWidth="1"/>
    <col min="12034" max="12034" width="82" style="943" customWidth="1"/>
    <col min="12035" max="12037" width="19.140625" style="943" customWidth="1"/>
    <col min="12038" max="12288" width="9.140625" style="943"/>
    <col min="12289" max="12289" width="8.140625" style="943" customWidth="1"/>
    <col min="12290" max="12290" width="82" style="943" customWidth="1"/>
    <col min="12291" max="12293" width="19.140625" style="943" customWidth="1"/>
    <col min="12294" max="12544" width="9.140625" style="943"/>
    <col min="12545" max="12545" width="8.140625" style="943" customWidth="1"/>
    <col min="12546" max="12546" width="82" style="943" customWidth="1"/>
    <col min="12547" max="12549" width="19.140625" style="943" customWidth="1"/>
    <col min="12550" max="12800" width="9.140625" style="943"/>
    <col min="12801" max="12801" width="8.140625" style="943" customWidth="1"/>
    <col min="12802" max="12802" width="82" style="943" customWidth="1"/>
    <col min="12803" max="12805" width="19.140625" style="943" customWidth="1"/>
    <col min="12806" max="13056" width="9.140625" style="943"/>
    <col min="13057" max="13057" width="8.140625" style="943" customWidth="1"/>
    <col min="13058" max="13058" width="82" style="943" customWidth="1"/>
    <col min="13059" max="13061" width="19.140625" style="943" customWidth="1"/>
    <col min="13062" max="13312" width="9.140625" style="943"/>
    <col min="13313" max="13313" width="8.140625" style="943" customWidth="1"/>
    <col min="13314" max="13314" width="82" style="943" customWidth="1"/>
    <col min="13315" max="13317" width="19.140625" style="943" customWidth="1"/>
    <col min="13318" max="13568" width="9.140625" style="943"/>
    <col min="13569" max="13569" width="8.140625" style="943" customWidth="1"/>
    <col min="13570" max="13570" width="82" style="943" customWidth="1"/>
    <col min="13571" max="13573" width="19.140625" style="943" customWidth="1"/>
    <col min="13574" max="13824" width="9.140625" style="943"/>
    <col min="13825" max="13825" width="8.140625" style="943" customWidth="1"/>
    <col min="13826" max="13826" width="82" style="943" customWidth="1"/>
    <col min="13827" max="13829" width="19.140625" style="943" customWidth="1"/>
    <col min="13830" max="14080" width="9.140625" style="943"/>
    <col min="14081" max="14081" width="8.140625" style="943" customWidth="1"/>
    <col min="14082" max="14082" width="82" style="943" customWidth="1"/>
    <col min="14083" max="14085" width="19.140625" style="943" customWidth="1"/>
    <col min="14086" max="14336" width="9.140625" style="943"/>
    <col min="14337" max="14337" width="8.140625" style="943" customWidth="1"/>
    <col min="14338" max="14338" width="82" style="943" customWidth="1"/>
    <col min="14339" max="14341" width="19.140625" style="943" customWidth="1"/>
    <col min="14342" max="14592" width="9.140625" style="943"/>
    <col min="14593" max="14593" width="8.140625" style="943" customWidth="1"/>
    <col min="14594" max="14594" width="82" style="943" customWidth="1"/>
    <col min="14595" max="14597" width="19.140625" style="943" customWidth="1"/>
    <col min="14598" max="14848" width="9.140625" style="943"/>
    <col min="14849" max="14849" width="8.140625" style="943" customWidth="1"/>
    <col min="14850" max="14850" width="82" style="943" customWidth="1"/>
    <col min="14851" max="14853" width="19.140625" style="943" customWidth="1"/>
    <col min="14854" max="15104" width="9.140625" style="943"/>
    <col min="15105" max="15105" width="8.140625" style="943" customWidth="1"/>
    <col min="15106" max="15106" width="82" style="943" customWidth="1"/>
    <col min="15107" max="15109" width="19.140625" style="943" customWidth="1"/>
    <col min="15110" max="15360" width="9.140625" style="943"/>
    <col min="15361" max="15361" width="8.140625" style="943" customWidth="1"/>
    <col min="15362" max="15362" width="82" style="943" customWidth="1"/>
    <col min="15363" max="15365" width="19.140625" style="943" customWidth="1"/>
    <col min="15366" max="15616" width="9.140625" style="943"/>
    <col min="15617" max="15617" width="8.140625" style="943" customWidth="1"/>
    <col min="15618" max="15618" width="82" style="943" customWidth="1"/>
    <col min="15619" max="15621" width="19.140625" style="943" customWidth="1"/>
    <col min="15622" max="15872" width="9.140625" style="943"/>
    <col min="15873" max="15873" width="8.140625" style="943" customWidth="1"/>
    <col min="15874" max="15874" width="82" style="943" customWidth="1"/>
    <col min="15875" max="15877" width="19.140625" style="943" customWidth="1"/>
    <col min="15878" max="16128" width="9.140625" style="943"/>
    <col min="16129" max="16129" width="8.140625" style="943" customWidth="1"/>
    <col min="16130" max="16130" width="82" style="943" customWidth="1"/>
    <col min="16131" max="16133" width="19.140625" style="943" customWidth="1"/>
    <col min="16134" max="16384" width="9.140625" style="943"/>
  </cols>
  <sheetData>
    <row r="1" spans="1:5" ht="15.75">
      <c r="E1" s="192" t="s">
        <v>1511</v>
      </c>
    </row>
    <row r="2" spans="1:5" s="938" customFormat="1" ht="15.75">
      <c r="A2" s="1550" t="s">
        <v>1512</v>
      </c>
      <c r="B2" s="1565"/>
      <c r="C2" s="1565"/>
      <c r="D2" s="1565"/>
      <c r="E2" s="1565"/>
    </row>
    <row r="3" spans="1:5" ht="12" customHeight="1" thickBot="1">
      <c r="A3" s="1553"/>
      <c r="B3" s="1566"/>
      <c r="C3" s="1566"/>
      <c r="D3" s="1566"/>
      <c r="E3" s="242" t="s">
        <v>458</v>
      </c>
    </row>
    <row r="4" spans="1:5" s="938" customFormat="1" ht="24">
      <c r="A4" s="1513" t="s">
        <v>1557</v>
      </c>
      <c r="B4" s="1514" t="s">
        <v>7</v>
      </c>
      <c r="C4" s="1514" t="s">
        <v>1558</v>
      </c>
      <c r="D4" s="1514" t="s">
        <v>1559</v>
      </c>
      <c r="E4" s="1515" t="s">
        <v>1560</v>
      </c>
    </row>
    <row r="5" spans="1:5" ht="12.75" thickBot="1">
      <c r="A5" s="1554">
        <v>1</v>
      </c>
      <c r="B5" s="1555">
        <v>2</v>
      </c>
      <c r="C5" s="1555">
        <v>3</v>
      </c>
      <c r="D5" s="1555">
        <v>4</v>
      </c>
      <c r="E5" s="1556">
        <v>5</v>
      </c>
    </row>
    <row r="6" spans="1:5">
      <c r="A6" s="1520" t="s">
        <v>1561</v>
      </c>
      <c r="B6" s="1521" t="s">
        <v>2355</v>
      </c>
      <c r="C6" s="1522">
        <v>463259</v>
      </c>
      <c r="D6" s="1522"/>
      <c r="E6" s="1523">
        <f>+C6+D6</f>
        <v>463259</v>
      </c>
    </row>
    <row r="7" spans="1:5">
      <c r="A7" s="1524" t="s">
        <v>1563</v>
      </c>
      <c r="B7" s="1525" t="s">
        <v>2356</v>
      </c>
      <c r="C7" s="1526">
        <v>93401</v>
      </c>
      <c r="D7" s="1526"/>
      <c r="E7" s="1527">
        <f>+C7+D7</f>
        <v>93401</v>
      </c>
    </row>
    <row r="8" spans="1:5" ht="12.75" thickBot="1">
      <c r="A8" s="1517" t="s">
        <v>1565</v>
      </c>
      <c r="B8" s="1528" t="s">
        <v>2357</v>
      </c>
      <c r="C8" s="1529">
        <v>220</v>
      </c>
      <c r="D8" s="1529"/>
      <c r="E8" s="1530">
        <f>+C8+D8</f>
        <v>220</v>
      </c>
    </row>
    <row r="9" spans="1:5" ht="12.75" thickBot="1">
      <c r="A9" s="1531" t="s">
        <v>1567</v>
      </c>
      <c r="B9" s="1532" t="s">
        <v>2358</v>
      </c>
      <c r="C9" s="1533">
        <f>SUM(C6:C8)</f>
        <v>556880</v>
      </c>
      <c r="D9" s="1533">
        <f>SUM(D6:D8)</f>
        <v>0</v>
      </c>
      <c r="E9" s="1534">
        <f>SUM(E6:E8)</f>
        <v>556880</v>
      </c>
    </row>
    <row r="10" spans="1:5">
      <c r="A10" s="1535" t="s">
        <v>1569</v>
      </c>
      <c r="B10" s="1536" t="s">
        <v>2359</v>
      </c>
      <c r="C10" s="1537">
        <v>2885</v>
      </c>
      <c r="D10" s="1537"/>
      <c r="E10" s="1538">
        <f>+C10+D10</f>
        <v>2885</v>
      </c>
    </row>
    <row r="11" spans="1:5" ht="12.75" thickBot="1">
      <c r="A11" s="1517" t="s">
        <v>1571</v>
      </c>
      <c r="B11" s="1528" t="s">
        <v>2360</v>
      </c>
      <c r="C11" s="1529">
        <v>13390</v>
      </c>
      <c r="D11" s="1529"/>
      <c r="E11" s="1530">
        <f>+C11+D11</f>
        <v>13390</v>
      </c>
    </row>
    <row r="12" spans="1:5" ht="12.75" thickBot="1">
      <c r="A12" s="1531" t="s">
        <v>1573</v>
      </c>
      <c r="B12" s="1532" t="s">
        <v>2361</v>
      </c>
      <c r="C12" s="1533">
        <f>SUM(C10:C11)</f>
        <v>16275</v>
      </c>
      <c r="D12" s="1533">
        <f>SUM(D10:D11)</f>
        <v>0</v>
      </c>
      <c r="E12" s="1534">
        <f>SUM(E10:E11)</f>
        <v>16275</v>
      </c>
    </row>
    <row r="13" spans="1:5">
      <c r="A13" s="1535" t="s">
        <v>1575</v>
      </c>
      <c r="B13" s="1536" t="s">
        <v>2362</v>
      </c>
      <c r="C13" s="1537">
        <v>1573290</v>
      </c>
      <c r="D13" s="1537">
        <v>-783595</v>
      </c>
      <c r="E13" s="1538">
        <f>+C13+D13</f>
        <v>789695</v>
      </c>
    </row>
    <row r="14" spans="1:5">
      <c r="A14" s="1524" t="s">
        <v>1577</v>
      </c>
      <c r="B14" s="1525" t="s">
        <v>2363</v>
      </c>
      <c r="C14" s="1526">
        <v>637649</v>
      </c>
      <c r="D14" s="1526"/>
      <c r="E14" s="1527">
        <f>+C14+D14</f>
        <v>637649</v>
      </c>
    </row>
    <row r="15" spans="1:5">
      <c r="A15" s="1524" t="s">
        <v>1579</v>
      </c>
      <c r="B15" s="1525" t="s">
        <v>2364</v>
      </c>
      <c r="C15" s="1526">
        <v>259929</v>
      </c>
      <c r="D15" s="1526"/>
      <c r="E15" s="1527">
        <f>+C15+D15</f>
        <v>259929</v>
      </c>
    </row>
    <row r="16" spans="1:5" ht="12.75" thickBot="1">
      <c r="A16" s="1517" t="s">
        <v>1581</v>
      </c>
      <c r="B16" s="1528" t="s">
        <v>2365</v>
      </c>
      <c r="C16" s="1529">
        <v>216360</v>
      </c>
      <c r="D16" s="1529"/>
      <c r="E16" s="1530">
        <f>+C16+D16</f>
        <v>216360</v>
      </c>
    </row>
    <row r="17" spans="1:5" ht="12.75" thickBot="1">
      <c r="A17" s="1531" t="s">
        <v>1583</v>
      </c>
      <c r="B17" s="1532" t="s">
        <v>2366</v>
      </c>
      <c r="C17" s="1533">
        <f>SUM(C13:C16)</f>
        <v>2687228</v>
      </c>
      <c r="D17" s="1533">
        <f>SUM(D13:D16)</f>
        <v>-783595</v>
      </c>
      <c r="E17" s="1534">
        <f>SUM(E13:E16)</f>
        <v>1903633</v>
      </c>
    </row>
    <row r="18" spans="1:5">
      <c r="A18" s="1535" t="s">
        <v>1585</v>
      </c>
      <c r="B18" s="1536" t="s">
        <v>2367</v>
      </c>
      <c r="C18" s="1537">
        <v>67944</v>
      </c>
      <c r="D18" s="1537"/>
      <c r="E18" s="1538">
        <f>+C18+D18</f>
        <v>67944</v>
      </c>
    </row>
    <row r="19" spans="1:5">
      <c r="A19" s="1524" t="s">
        <v>1587</v>
      </c>
      <c r="B19" s="1525" t="s">
        <v>2368</v>
      </c>
      <c r="C19" s="1526">
        <v>464699</v>
      </c>
      <c r="D19" s="1526"/>
      <c r="E19" s="1527">
        <f>+C19+D19</f>
        <v>464699</v>
      </c>
    </row>
    <row r="20" spans="1:5">
      <c r="A20" s="1524" t="s">
        <v>1589</v>
      </c>
      <c r="B20" s="1525" t="s">
        <v>2369</v>
      </c>
      <c r="C20" s="1526"/>
      <c r="D20" s="1526"/>
      <c r="E20" s="1527">
        <f>+C20+D20</f>
        <v>0</v>
      </c>
    </row>
    <row r="21" spans="1:5" ht="12.75" thickBot="1">
      <c r="A21" s="1517" t="s">
        <v>1591</v>
      </c>
      <c r="B21" s="1528" t="s">
        <v>2370</v>
      </c>
      <c r="C21" s="1529">
        <v>3427</v>
      </c>
      <c r="D21" s="1529"/>
      <c r="E21" s="1530">
        <f>+C21+D21</f>
        <v>3427</v>
      </c>
    </row>
    <row r="22" spans="1:5" ht="12.75" thickBot="1">
      <c r="A22" s="1531" t="s">
        <v>1593</v>
      </c>
      <c r="B22" s="1532" t="s">
        <v>2371</v>
      </c>
      <c r="C22" s="1533">
        <f>SUM(C18:C21)</f>
        <v>536070</v>
      </c>
      <c r="D22" s="1533">
        <f>SUM(D18:D21)</f>
        <v>0</v>
      </c>
      <c r="E22" s="1534">
        <f>SUM(E18:E21)</f>
        <v>536070</v>
      </c>
    </row>
    <row r="23" spans="1:5">
      <c r="A23" s="1535" t="s">
        <v>1595</v>
      </c>
      <c r="B23" s="1536" t="s">
        <v>2372</v>
      </c>
      <c r="C23" s="1537">
        <v>716089</v>
      </c>
      <c r="D23" s="1537"/>
      <c r="E23" s="1538">
        <f>+C23+D23</f>
        <v>716089</v>
      </c>
    </row>
    <row r="24" spans="1:5">
      <c r="A24" s="1524" t="s">
        <v>1597</v>
      </c>
      <c r="B24" s="1525" t="s">
        <v>2373</v>
      </c>
      <c r="C24" s="1526">
        <v>129250</v>
      </c>
      <c r="D24" s="1526"/>
      <c r="E24" s="1527">
        <f>+C24+D24</f>
        <v>129250</v>
      </c>
    </row>
    <row r="25" spans="1:5" ht="12.75" thickBot="1">
      <c r="A25" s="1517" t="s">
        <v>1599</v>
      </c>
      <c r="B25" s="1528" t="s">
        <v>2374</v>
      </c>
      <c r="C25" s="1529">
        <v>159428</v>
      </c>
      <c r="D25" s="1529"/>
      <c r="E25" s="1530">
        <f>+C25+D25</f>
        <v>159428</v>
      </c>
    </row>
    <row r="26" spans="1:5" ht="12.75" thickBot="1">
      <c r="A26" s="1531" t="s">
        <v>1601</v>
      </c>
      <c r="B26" s="1532" t="s">
        <v>2375</v>
      </c>
      <c r="C26" s="1533">
        <f>SUM(C23:C25)</f>
        <v>1004767</v>
      </c>
      <c r="D26" s="1533">
        <f>SUM(D23:D25)</f>
        <v>0</v>
      </c>
      <c r="E26" s="1534">
        <f>SUM(E23:E25)</f>
        <v>1004767</v>
      </c>
    </row>
    <row r="27" spans="1:5" ht="12.75" thickBot="1">
      <c r="A27" s="1531" t="s">
        <v>1602</v>
      </c>
      <c r="B27" s="1532" t="s">
        <v>2376</v>
      </c>
      <c r="C27" s="1533">
        <v>258978</v>
      </c>
      <c r="D27" s="1533"/>
      <c r="E27" s="1534">
        <f>+C27+D27</f>
        <v>258978</v>
      </c>
    </row>
    <row r="28" spans="1:5" ht="12.75" thickBot="1">
      <c r="A28" s="1539" t="s">
        <v>1604</v>
      </c>
      <c r="B28" s="1540" t="s">
        <v>2377</v>
      </c>
      <c r="C28" s="1541">
        <v>1307259</v>
      </c>
      <c r="D28" s="1541">
        <v>-783595</v>
      </c>
      <c r="E28" s="1542">
        <f>+C28+D28</f>
        <v>523664</v>
      </c>
    </row>
    <row r="29" spans="1:5" ht="12.75" thickBot="1">
      <c r="A29" s="1531" t="s">
        <v>1606</v>
      </c>
      <c r="B29" s="1532" t="s">
        <v>2378</v>
      </c>
      <c r="C29" s="1533">
        <f>+C9+C12+C17-C22-C26-C27-C28</f>
        <v>153309</v>
      </c>
      <c r="D29" s="1533">
        <f>+D9+D12+D17-D22-D26-D27-D28</f>
        <v>0</v>
      </c>
      <c r="E29" s="1534">
        <f>+E9+E12+E17-E22-E26-E27-E28</f>
        <v>153309</v>
      </c>
    </row>
    <row r="30" spans="1:5">
      <c r="A30" s="1535" t="s">
        <v>1607</v>
      </c>
      <c r="B30" s="1536" t="s">
        <v>2379</v>
      </c>
      <c r="C30" s="1537"/>
      <c r="D30" s="1537"/>
      <c r="E30" s="1538">
        <f t="shared" ref="E30:E36" si="0">+C30+D30</f>
        <v>0</v>
      </c>
    </row>
    <row r="31" spans="1:5">
      <c r="A31" s="1524" t="s">
        <v>1609</v>
      </c>
      <c r="B31" s="1525" t="s">
        <v>2380</v>
      </c>
      <c r="C31" s="1526"/>
      <c r="D31" s="1526"/>
      <c r="E31" s="1527">
        <f t="shared" si="0"/>
        <v>0</v>
      </c>
    </row>
    <row r="32" spans="1:5">
      <c r="A32" s="1524" t="s">
        <v>1611</v>
      </c>
      <c r="B32" s="1525" t="s">
        <v>2381</v>
      </c>
      <c r="C32" s="1526">
        <v>3880</v>
      </c>
      <c r="D32" s="1526"/>
      <c r="E32" s="1527">
        <f t="shared" si="0"/>
        <v>3880</v>
      </c>
    </row>
    <row r="33" spans="1:5">
      <c r="A33" s="1524" t="s">
        <v>1613</v>
      </c>
      <c r="B33" s="1525" t="s">
        <v>2382</v>
      </c>
      <c r="C33" s="1526">
        <v>1</v>
      </c>
      <c r="D33" s="1526"/>
      <c r="E33" s="1527">
        <f t="shared" si="0"/>
        <v>1</v>
      </c>
    </row>
    <row r="34" spans="1:5">
      <c r="A34" s="1524" t="s">
        <v>1615</v>
      </c>
      <c r="B34" s="1525" t="s">
        <v>2383</v>
      </c>
      <c r="C34" s="1526"/>
      <c r="D34" s="1526"/>
      <c r="E34" s="1527">
        <f t="shared" si="0"/>
        <v>0</v>
      </c>
    </row>
    <row r="35" spans="1:5" ht="24">
      <c r="A35" s="1524" t="s">
        <v>1617</v>
      </c>
      <c r="B35" s="1525" t="s">
        <v>2384</v>
      </c>
      <c r="C35" s="1526"/>
      <c r="D35" s="1526"/>
      <c r="E35" s="1527">
        <f t="shared" si="0"/>
        <v>0</v>
      </c>
    </row>
    <row r="36" spans="1:5" ht="24.75" thickBot="1">
      <c r="A36" s="1517" t="s">
        <v>1619</v>
      </c>
      <c r="B36" s="1528" t="s">
        <v>2385</v>
      </c>
      <c r="C36" s="1529"/>
      <c r="D36" s="1529"/>
      <c r="E36" s="1530">
        <f t="shared" si="0"/>
        <v>0</v>
      </c>
    </row>
    <row r="37" spans="1:5" ht="12.75" thickBot="1">
      <c r="A37" s="1531" t="s">
        <v>1621</v>
      </c>
      <c r="B37" s="1532" t="s">
        <v>2386</v>
      </c>
      <c r="C37" s="1533">
        <f>+C30+C31+C32+C33+C34</f>
        <v>3881</v>
      </c>
      <c r="D37" s="1533">
        <f>+D30+D31+D32+D33+D34</f>
        <v>0</v>
      </c>
      <c r="E37" s="1534">
        <f>+E30+E31+E32+E33+E34</f>
        <v>3881</v>
      </c>
    </row>
    <row r="38" spans="1:5">
      <c r="A38" s="1535" t="s">
        <v>1622</v>
      </c>
      <c r="B38" s="1536" t="s">
        <v>2387</v>
      </c>
      <c r="C38" s="1537"/>
      <c r="D38" s="1537"/>
      <c r="E38" s="1538">
        <f t="shared" ref="E38:E46" si="1">+C38+D38</f>
        <v>0</v>
      </c>
    </row>
    <row r="39" spans="1:5" ht="24">
      <c r="A39" s="1524" t="s">
        <v>1624</v>
      </c>
      <c r="B39" s="1525" t="s">
        <v>2388</v>
      </c>
      <c r="C39" s="1526"/>
      <c r="D39" s="1526"/>
      <c r="E39" s="1527">
        <f t="shared" si="1"/>
        <v>0</v>
      </c>
    </row>
    <row r="40" spans="1:5">
      <c r="A40" s="1524" t="s">
        <v>1626</v>
      </c>
      <c r="B40" s="1525" t="s">
        <v>2389</v>
      </c>
      <c r="C40" s="1526">
        <v>1823</v>
      </c>
      <c r="D40" s="1526"/>
      <c r="E40" s="1527">
        <f t="shared" si="1"/>
        <v>1823</v>
      </c>
    </row>
    <row r="41" spans="1:5">
      <c r="A41" s="1524" t="s">
        <v>1627</v>
      </c>
      <c r="B41" s="1525" t="s">
        <v>2675</v>
      </c>
      <c r="C41" s="1526">
        <v>-28947</v>
      </c>
      <c r="D41" s="1526"/>
      <c r="E41" s="1527">
        <f t="shared" si="1"/>
        <v>-28947</v>
      </c>
    </row>
    <row r="42" spans="1:5">
      <c r="A42" s="1524" t="s">
        <v>1629</v>
      </c>
      <c r="B42" s="1525" t="s">
        <v>2390</v>
      </c>
      <c r="C42" s="1526"/>
      <c r="D42" s="1526"/>
      <c r="E42" s="1527">
        <f t="shared" si="1"/>
        <v>0</v>
      </c>
    </row>
    <row r="43" spans="1:5">
      <c r="A43" s="1524" t="s">
        <v>1631</v>
      </c>
      <c r="B43" s="1525" t="s">
        <v>2391</v>
      </c>
      <c r="C43" s="1526"/>
      <c r="D43" s="1526"/>
      <c r="E43" s="1527">
        <f t="shared" si="1"/>
        <v>0</v>
      </c>
    </row>
    <row r="44" spans="1:5">
      <c r="A44" s="1524" t="s">
        <v>1632</v>
      </c>
      <c r="B44" s="1525" t="s">
        <v>2392</v>
      </c>
      <c r="C44" s="1526"/>
      <c r="D44" s="1526"/>
      <c r="E44" s="1527">
        <f t="shared" si="1"/>
        <v>0</v>
      </c>
    </row>
    <row r="45" spans="1:5" ht="24">
      <c r="A45" s="1524" t="s">
        <v>1634</v>
      </c>
      <c r="B45" s="1525" t="s">
        <v>2393</v>
      </c>
      <c r="C45" s="1526"/>
      <c r="D45" s="1526"/>
      <c r="E45" s="1527">
        <f t="shared" si="1"/>
        <v>0</v>
      </c>
    </row>
    <row r="46" spans="1:5" ht="24.75" thickBot="1">
      <c r="A46" s="1517" t="s">
        <v>1636</v>
      </c>
      <c r="B46" s="1528" t="s">
        <v>2394</v>
      </c>
      <c r="C46" s="1529"/>
      <c r="D46" s="1529"/>
      <c r="E46" s="1530">
        <f t="shared" si="1"/>
        <v>0</v>
      </c>
    </row>
    <row r="47" spans="1:5" ht="12.75" thickBot="1">
      <c r="A47" s="1531" t="s">
        <v>1637</v>
      </c>
      <c r="B47" s="1532" t="s">
        <v>2395</v>
      </c>
      <c r="C47" s="1533">
        <f>+C38+C39+C40+C41+C44</f>
        <v>-27124</v>
      </c>
      <c r="D47" s="1533">
        <f>+D38+D39+D40+D41+D44</f>
        <v>0</v>
      </c>
      <c r="E47" s="1534">
        <f>+E38+E39+E40+E41+E44</f>
        <v>-27124</v>
      </c>
    </row>
    <row r="48" spans="1:5" ht="12.75" thickBot="1">
      <c r="A48" s="1531" t="s">
        <v>1639</v>
      </c>
      <c r="B48" s="1532" t="s">
        <v>2396</v>
      </c>
      <c r="C48" s="1533">
        <f>+C37-C47</f>
        <v>31005</v>
      </c>
      <c r="D48" s="1533">
        <f>+D37-D47</f>
        <v>0</v>
      </c>
      <c r="E48" s="1534">
        <f>+E37-E47</f>
        <v>31005</v>
      </c>
    </row>
    <row r="49" spans="1:5" ht="12.75" thickBot="1">
      <c r="A49" s="1531" t="s">
        <v>1641</v>
      </c>
      <c r="B49" s="1532" t="s">
        <v>2676</v>
      </c>
      <c r="C49" s="1533">
        <f>+C29+C48</f>
        <v>184314</v>
      </c>
      <c r="D49" s="1533">
        <f>+D29+D48</f>
        <v>0</v>
      </c>
      <c r="E49" s="1534">
        <f>+E29+E48</f>
        <v>184314</v>
      </c>
    </row>
  </sheetData>
  <mergeCells count="1">
    <mergeCell ref="A2:E2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65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M93"/>
  <sheetViews>
    <sheetView zoomScaleNormal="100" workbookViewId="0"/>
  </sheetViews>
  <sheetFormatPr defaultRowHeight="12.75"/>
  <cols>
    <col min="1" max="1" width="48.7109375" style="1572" customWidth="1"/>
    <col min="2" max="2" width="11.42578125" style="1572" customWidth="1"/>
    <col min="3" max="3" width="14.140625" style="1572" customWidth="1"/>
    <col min="4" max="4" width="12.5703125" style="1572" customWidth="1"/>
    <col min="5" max="5" width="9.42578125" style="1572" bestFit="1" customWidth="1"/>
    <col min="6" max="6" width="13.85546875" style="1572" customWidth="1"/>
    <col min="7" max="7" width="10" style="1605" bestFit="1" customWidth="1"/>
    <col min="8" max="8" width="4.85546875" style="1635" customWidth="1"/>
    <col min="9" max="9" width="20" style="1575" customWidth="1"/>
    <col min="10" max="10" width="19.7109375" style="1572" bestFit="1" customWidth="1"/>
    <col min="11" max="11" width="9.140625" style="1572"/>
    <col min="12" max="13" width="9.140625" style="1572" hidden="1" customWidth="1"/>
    <col min="14" max="256" width="9.140625" style="1572"/>
    <col min="257" max="257" width="48.7109375" style="1572" customWidth="1"/>
    <col min="258" max="258" width="11.42578125" style="1572" customWidth="1"/>
    <col min="259" max="259" width="14.140625" style="1572" customWidth="1"/>
    <col min="260" max="260" width="12.5703125" style="1572" customWidth="1"/>
    <col min="261" max="261" width="9.42578125" style="1572" bestFit="1" customWidth="1"/>
    <col min="262" max="262" width="13.85546875" style="1572" customWidth="1"/>
    <col min="263" max="263" width="10" style="1572" bestFit="1" customWidth="1"/>
    <col min="264" max="264" width="4.85546875" style="1572" customWidth="1"/>
    <col min="265" max="265" width="20" style="1572" customWidth="1"/>
    <col min="266" max="266" width="19.7109375" style="1572" bestFit="1" customWidth="1"/>
    <col min="267" max="267" width="9.140625" style="1572"/>
    <col min="268" max="269" width="0" style="1572" hidden="1" customWidth="1"/>
    <col min="270" max="512" width="9.140625" style="1572"/>
    <col min="513" max="513" width="48.7109375" style="1572" customWidth="1"/>
    <col min="514" max="514" width="11.42578125" style="1572" customWidth="1"/>
    <col min="515" max="515" width="14.140625" style="1572" customWidth="1"/>
    <col min="516" max="516" width="12.5703125" style="1572" customWidth="1"/>
    <col min="517" max="517" width="9.42578125" style="1572" bestFit="1" customWidth="1"/>
    <col min="518" max="518" width="13.85546875" style="1572" customWidth="1"/>
    <col min="519" max="519" width="10" style="1572" bestFit="1" customWidth="1"/>
    <col min="520" max="520" width="4.85546875" style="1572" customWidth="1"/>
    <col min="521" max="521" width="20" style="1572" customWidth="1"/>
    <col min="522" max="522" width="19.7109375" style="1572" bestFit="1" customWidth="1"/>
    <col min="523" max="523" width="9.140625" style="1572"/>
    <col min="524" max="525" width="0" style="1572" hidden="1" customWidth="1"/>
    <col min="526" max="768" width="9.140625" style="1572"/>
    <col min="769" max="769" width="48.7109375" style="1572" customWidth="1"/>
    <col min="770" max="770" width="11.42578125" style="1572" customWidth="1"/>
    <col min="771" max="771" width="14.140625" style="1572" customWidth="1"/>
    <col min="772" max="772" width="12.5703125" style="1572" customWidth="1"/>
    <col min="773" max="773" width="9.42578125" style="1572" bestFit="1" customWidth="1"/>
    <col min="774" max="774" width="13.85546875" style="1572" customWidth="1"/>
    <col min="775" max="775" width="10" style="1572" bestFit="1" customWidth="1"/>
    <col min="776" max="776" width="4.85546875" style="1572" customWidth="1"/>
    <col min="777" max="777" width="20" style="1572" customWidth="1"/>
    <col min="778" max="778" width="19.7109375" style="1572" bestFit="1" customWidth="1"/>
    <col min="779" max="779" width="9.140625" style="1572"/>
    <col min="780" max="781" width="0" style="1572" hidden="1" customWidth="1"/>
    <col min="782" max="1024" width="9.140625" style="1572"/>
    <col min="1025" max="1025" width="48.7109375" style="1572" customWidth="1"/>
    <col min="1026" max="1026" width="11.42578125" style="1572" customWidth="1"/>
    <col min="1027" max="1027" width="14.140625" style="1572" customWidth="1"/>
    <col min="1028" max="1028" width="12.5703125" style="1572" customWidth="1"/>
    <col min="1029" max="1029" width="9.42578125" style="1572" bestFit="1" customWidth="1"/>
    <col min="1030" max="1030" width="13.85546875" style="1572" customWidth="1"/>
    <col min="1031" max="1031" width="10" style="1572" bestFit="1" customWidth="1"/>
    <col min="1032" max="1032" width="4.85546875" style="1572" customWidth="1"/>
    <col min="1033" max="1033" width="20" style="1572" customWidth="1"/>
    <col min="1034" max="1034" width="19.7109375" style="1572" bestFit="1" customWidth="1"/>
    <col min="1035" max="1035" width="9.140625" style="1572"/>
    <col min="1036" max="1037" width="0" style="1572" hidden="1" customWidth="1"/>
    <col min="1038" max="1280" width="9.140625" style="1572"/>
    <col min="1281" max="1281" width="48.7109375" style="1572" customWidth="1"/>
    <col min="1282" max="1282" width="11.42578125" style="1572" customWidth="1"/>
    <col min="1283" max="1283" width="14.140625" style="1572" customWidth="1"/>
    <col min="1284" max="1284" width="12.5703125" style="1572" customWidth="1"/>
    <col min="1285" max="1285" width="9.42578125" style="1572" bestFit="1" customWidth="1"/>
    <col min="1286" max="1286" width="13.85546875" style="1572" customWidth="1"/>
    <col min="1287" max="1287" width="10" style="1572" bestFit="1" customWidth="1"/>
    <col min="1288" max="1288" width="4.85546875" style="1572" customWidth="1"/>
    <col min="1289" max="1289" width="20" style="1572" customWidth="1"/>
    <col min="1290" max="1290" width="19.7109375" style="1572" bestFit="1" customWidth="1"/>
    <col min="1291" max="1291" width="9.140625" style="1572"/>
    <col min="1292" max="1293" width="0" style="1572" hidden="1" customWidth="1"/>
    <col min="1294" max="1536" width="9.140625" style="1572"/>
    <col min="1537" max="1537" width="48.7109375" style="1572" customWidth="1"/>
    <col min="1538" max="1538" width="11.42578125" style="1572" customWidth="1"/>
    <col min="1539" max="1539" width="14.140625" style="1572" customWidth="1"/>
    <col min="1540" max="1540" width="12.5703125" style="1572" customWidth="1"/>
    <col min="1541" max="1541" width="9.42578125" style="1572" bestFit="1" customWidth="1"/>
    <col min="1542" max="1542" width="13.85546875" style="1572" customWidth="1"/>
    <col min="1543" max="1543" width="10" style="1572" bestFit="1" customWidth="1"/>
    <col min="1544" max="1544" width="4.85546875" style="1572" customWidth="1"/>
    <col min="1545" max="1545" width="20" style="1572" customWidth="1"/>
    <col min="1546" max="1546" width="19.7109375" style="1572" bestFit="1" customWidth="1"/>
    <col min="1547" max="1547" width="9.140625" style="1572"/>
    <col min="1548" max="1549" width="0" style="1572" hidden="1" customWidth="1"/>
    <col min="1550" max="1792" width="9.140625" style="1572"/>
    <col min="1793" max="1793" width="48.7109375" style="1572" customWidth="1"/>
    <col min="1794" max="1794" width="11.42578125" style="1572" customWidth="1"/>
    <col min="1795" max="1795" width="14.140625" style="1572" customWidth="1"/>
    <col min="1796" max="1796" width="12.5703125" style="1572" customWidth="1"/>
    <col min="1797" max="1797" width="9.42578125" style="1572" bestFit="1" customWidth="1"/>
    <col min="1798" max="1798" width="13.85546875" style="1572" customWidth="1"/>
    <col min="1799" max="1799" width="10" style="1572" bestFit="1" customWidth="1"/>
    <col min="1800" max="1800" width="4.85546875" style="1572" customWidth="1"/>
    <col min="1801" max="1801" width="20" style="1572" customWidth="1"/>
    <col min="1802" max="1802" width="19.7109375" style="1572" bestFit="1" customWidth="1"/>
    <col min="1803" max="1803" width="9.140625" style="1572"/>
    <col min="1804" max="1805" width="0" style="1572" hidden="1" customWidth="1"/>
    <col min="1806" max="2048" width="9.140625" style="1572"/>
    <col min="2049" max="2049" width="48.7109375" style="1572" customWidth="1"/>
    <col min="2050" max="2050" width="11.42578125" style="1572" customWidth="1"/>
    <col min="2051" max="2051" width="14.140625" style="1572" customWidth="1"/>
    <col min="2052" max="2052" width="12.5703125" style="1572" customWidth="1"/>
    <col min="2053" max="2053" width="9.42578125" style="1572" bestFit="1" customWidth="1"/>
    <col min="2054" max="2054" width="13.85546875" style="1572" customWidth="1"/>
    <col min="2055" max="2055" width="10" style="1572" bestFit="1" customWidth="1"/>
    <col min="2056" max="2056" width="4.85546875" style="1572" customWidth="1"/>
    <col min="2057" max="2057" width="20" style="1572" customWidth="1"/>
    <col min="2058" max="2058" width="19.7109375" style="1572" bestFit="1" customWidth="1"/>
    <col min="2059" max="2059" width="9.140625" style="1572"/>
    <col min="2060" max="2061" width="0" style="1572" hidden="1" customWidth="1"/>
    <col min="2062" max="2304" width="9.140625" style="1572"/>
    <col min="2305" max="2305" width="48.7109375" style="1572" customWidth="1"/>
    <col min="2306" max="2306" width="11.42578125" style="1572" customWidth="1"/>
    <col min="2307" max="2307" width="14.140625" style="1572" customWidth="1"/>
    <col min="2308" max="2308" width="12.5703125" style="1572" customWidth="1"/>
    <col min="2309" max="2309" width="9.42578125" style="1572" bestFit="1" customWidth="1"/>
    <col min="2310" max="2310" width="13.85546875" style="1572" customWidth="1"/>
    <col min="2311" max="2311" width="10" style="1572" bestFit="1" customWidth="1"/>
    <col min="2312" max="2312" width="4.85546875" style="1572" customWidth="1"/>
    <col min="2313" max="2313" width="20" style="1572" customWidth="1"/>
    <col min="2314" max="2314" width="19.7109375" style="1572" bestFit="1" customWidth="1"/>
    <col min="2315" max="2315" width="9.140625" style="1572"/>
    <col min="2316" max="2317" width="0" style="1572" hidden="1" customWidth="1"/>
    <col min="2318" max="2560" width="9.140625" style="1572"/>
    <col min="2561" max="2561" width="48.7109375" style="1572" customWidth="1"/>
    <col min="2562" max="2562" width="11.42578125" style="1572" customWidth="1"/>
    <col min="2563" max="2563" width="14.140625" style="1572" customWidth="1"/>
    <col min="2564" max="2564" width="12.5703125" style="1572" customWidth="1"/>
    <col min="2565" max="2565" width="9.42578125" style="1572" bestFit="1" customWidth="1"/>
    <col min="2566" max="2566" width="13.85546875" style="1572" customWidth="1"/>
    <col min="2567" max="2567" width="10" style="1572" bestFit="1" customWidth="1"/>
    <col min="2568" max="2568" width="4.85546875" style="1572" customWidth="1"/>
    <col min="2569" max="2569" width="20" style="1572" customWidth="1"/>
    <col min="2570" max="2570" width="19.7109375" style="1572" bestFit="1" customWidth="1"/>
    <col min="2571" max="2571" width="9.140625" style="1572"/>
    <col min="2572" max="2573" width="0" style="1572" hidden="1" customWidth="1"/>
    <col min="2574" max="2816" width="9.140625" style="1572"/>
    <col min="2817" max="2817" width="48.7109375" style="1572" customWidth="1"/>
    <col min="2818" max="2818" width="11.42578125" style="1572" customWidth="1"/>
    <col min="2819" max="2819" width="14.140625" style="1572" customWidth="1"/>
    <col min="2820" max="2820" width="12.5703125" style="1572" customWidth="1"/>
    <col min="2821" max="2821" width="9.42578125" style="1572" bestFit="1" customWidth="1"/>
    <col min="2822" max="2822" width="13.85546875" style="1572" customWidth="1"/>
    <col min="2823" max="2823" width="10" style="1572" bestFit="1" customWidth="1"/>
    <col min="2824" max="2824" width="4.85546875" style="1572" customWidth="1"/>
    <col min="2825" max="2825" width="20" style="1572" customWidth="1"/>
    <col min="2826" max="2826" width="19.7109375" style="1572" bestFit="1" customWidth="1"/>
    <col min="2827" max="2827" width="9.140625" style="1572"/>
    <col min="2828" max="2829" width="0" style="1572" hidden="1" customWidth="1"/>
    <col min="2830" max="3072" width="9.140625" style="1572"/>
    <col min="3073" max="3073" width="48.7109375" style="1572" customWidth="1"/>
    <col min="3074" max="3074" width="11.42578125" style="1572" customWidth="1"/>
    <col min="3075" max="3075" width="14.140625" style="1572" customWidth="1"/>
    <col min="3076" max="3076" width="12.5703125" style="1572" customWidth="1"/>
    <col min="3077" max="3077" width="9.42578125" style="1572" bestFit="1" customWidth="1"/>
    <col min="3078" max="3078" width="13.85546875" style="1572" customWidth="1"/>
    <col min="3079" max="3079" width="10" style="1572" bestFit="1" customWidth="1"/>
    <col min="3080" max="3080" width="4.85546875" style="1572" customWidth="1"/>
    <col min="3081" max="3081" width="20" style="1572" customWidth="1"/>
    <col min="3082" max="3082" width="19.7109375" style="1572" bestFit="1" customWidth="1"/>
    <col min="3083" max="3083" width="9.140625" style="1572"/>
    <col min="3084" max="3085" width="0" style="1572" hidden="1" customWidth="1"/>
    <col min="3086" max="3328" width="9.140625" style="1572"/>
    <col min="3329" max="3329" width="48.7109375" style="1572" customWidth="1"/>
    <col min="3330" max="3330" width="11.42578125" style="1572" customWidth="1"/>
    <col min="3331" max="3331" width="14.140625" style="1572" customWidth="1"/>
    <col min="3332" max="3332" width="12.5703125" style="1572" customWidth="1"/>
    <col min="3333" max="3333" width="9.42578125" style="1572" bestFit="1" customWidth="1"/>
    <col min="3334" max="3334" width="13.85546875" style="1572" customWidth="1"/>
    <col min="3335" max="3335" width="10" style="1572" bestFit="1" customWidth="1"/>
    <col min="3336" max="3336" width="4.85546875" style="1572" customWidth="1"/>
    <col min="3337" max="3337" width="20" style="1572" customWidth="1"/>
    <col min="3338" max="3338" width="19.7109375" style="1572" bestFit="1" customWidth="1"/>
    <col min="3339" max="3339" width="9.140625" style="1572"/>
    <col min="3340" max="3341" width="0" style="1572" hidden="1" customWidth="1"/>
    <col min="3342" max="3584" width="9.140625" style="1572"/>
    <col min="3585" max="3585" width="48.7109375" style="1572" customWidth="1"/>
    <col min="3586" max="3586" width="11.42578125" style="1572" customWidth="1"/>
    <col min="3587" max="3587" width="14.140625" style="1572" customWidth="1"/>
    <col min="3588" max="3588" width="12.5703125" style="1572" customWidth="1"/>
    <col min="3589" max="3589" width="9.42578125" style="1572" bestFit="1" customWidth="1"/>
    <col min="3590" max="3590" width="13.85546875" style="1572" customWidth="1"/>
    <col min="3591" max="3591" width="10" style="1572" bestFit="1" customWidth="1"/>
    <col min="3592" max="3592" width="4.85546875" style="1572" customWidth="1"/>
    <col min="3593" max="3593" width="20" style="1572" customWidth="1"/>
    <col min="3594" max="3594" width="19.7109375" style="1572" bestFit="1" customWidth="1"/>
    <col min="3595" max="3595" width="9.140625" style="1572"/>
    <col min="3596" max="3597" width="0" style="1572" hidden="1" customWidth="1"/>
    <col min="3598" max="3840" width="9.140625" style="1572"/>
    <col min="3841" max="3841" width="48.7109375" style="1572" customWidth="1"/>
    <col min="3842" max="3842" width="11.42578125" style="1572" customWidth="1"/>
    <col min="3843" max="3843" width="14.140625" style="1572" customWidth="1"/>
    <col min="3844" max="3844" width="12.5703125" style="1572" customWidth="1"/>
    <col min="3845" max="3845" width="9.42578125" style="1572" bestFit="1" customWidth="1"/>
    <col min="3846" max="3846" width="13.85546875" style="1572" customWidth="1"/>
    <col min="3847" max="3847" width="10" style="1572" bestFit="1" customWidth="1"/>
    <col min="3848" max="3848" width="4.85546875" style="1572" customWidth="1"/>
    <col min="3849" max="3849" width="20" style="1572" customWidth="1"/>
    <col min="3850" max="3850" width="19.7109375" style="1572" bestFit="1" customWidth="1"/>
    <col min="3851" max="3851" width="9.140625" style="1572"/>
    <col min="3852" max="3853" width="0" style="1572" hidden="1" customWidth="1"/>
    <col min="3854" max="4096" width="9.140625" style="1572"/>
    <col min="4097" max="4097" width="48.7109375" style="1572" customWidth="1"/>
    <col min="4098" max="4098" width="11.42578125" style="1572" customWidth="1"/>
    <col min="4099" max="4099" width="14.140625" style="1572" customWidth="1"/>
    <col min="4100" max="4100" width="12.5703125" style="1572" customWidth="1"/>
    <col min="4101" max="4101" width="9.42578125" style="1572" bestFit="1" customWidth="1"/>
    <col min="4102" max="4102" width="13.85546875" style="1572" customWidth="1"/>
    <col min="4103" max="4103" width="10" style="1572" bestFit="1" customWidth="1"/>
    <col min="4104" max="4104" width="4.85546875" style="1572" customWidth="1"/>
    <col min="4105" max="4105" width="20" style="1572" customWidth="1"/>
    <col min="4106" max="4106" width="19.7109375" style="1572" bestFit="1" customWidth="1"/>
    <col min="4107" max="4107" width="9.140625" style="1572"/>
    <col min="4108" max="4109" width="0" style="1572" hidden="1" customWidth="1"/>
    <col min="4110" max="4352" width="9.140625" style="1572"/>
    <col min="4353" max="4353" width="48.7109375" style="1572" customWidth="1"/>
    <col min="4354" max="4354" width="11.42578125" style="1572" customWidth="1"/>
    <col min="4355" max="4355" width="14.140625" style="1572" customWidth="1"/>
    <col min="4356" max="4356" width="12.5703125" style="1572" customWidth="1"/>
    <col min="4357" max="4357" width="9.42578125" style="1572" bestFit="1" customWidth="1"/>
    <col min="4358" max="4358" width="13.85546875" style="1572" customWidth="1"/>
    <col min="4359" max="4359" width="10" style="1572" bestFit="1" customWidth="1"/>
    <col min="4360" max="4360" width="4.85546875" style="1572" customWidth="1"/>
    <col min="4361" max="4361" width="20" style="1572" customWidth="1"/>
    <col min="4362" max="4362" width="19.7109375" style="1572" bestFit="1" customWidth="1"/>
    <col min="4363" max="4363" width="9.140625" style="1572"/>
    <col min="4364" max="4365" width="0" style="1572" hidden="1" customWidth="1"/>
    <col min="4366" max="4608" width="9.140625" style="1572"/>
    <col min="4609" max="4609" width="48.7109375" style="1572" customWidth="1"/>
    <col min="4610" max="4610" width="11.42578125" style="1572" customWidth="1"/>
    <col min="4611" max="4611" width="14.140625" style="1572" customWidth="1"/>
    <col min="4612" max="4612" width="12.5703125" style="1572" customWidth="1"/>
    <col min="4613" max="4613" width="9.42578125" style="1572" bestFit="1" customWidth="1"/>
    <col min="4614" max="4614" width="13.85546875" style="1572" customWidth="1"/>
    <col min="4615" max="4615" width="10" style="1572" bestFit="1" customWidth="1"/>
    <col min="4616" max="4616" width="4.85546875" style="1572" customWidth="1"/>
    <col min="4617" max="4617" width="20" style="1572" customWidth="1"/>
    <col min="4618" max="4618" width="19.7109375" style="1572" bestFit="1" customWidth="1"/>
    <col min="4619" max="4619" width="9.140625" style="1572"/>
    <col min="4620" max="4621" width="0" style="1572" hidden="1" customWidth="1"/>
    <col min="4622" max="4864" width="9.140625" style="1572"/>
    <col min="4865" max="4865" width="48.7109375" style="1572" customWidth="1"/>
    <col min="4866" max="4866" width="11.42578125" style="1572" customWidth="1"/>
    <col min="4867" max="4867" width="14.140625" style="1572" customWidth="1"/>
    <col min="4868" max="4868" width="12.5703125" style="1572" customWidth="1"/>
    <col min="4869" max="4869" width="9.42578125" style="1572" bestFit="1" customWidth="1"/>
    <col min="4870" max="4870" width="13.85546875" style="1572" customWidth="1"/>
    <col min="4871" max="4871" width="10" style="1572" bestFit="1" customWidth="1"/>
    <col min="4872" max="4872" width="4.85546875" style="1572" customWidth="1"/>
    <col min="4873" max="4873" width="20" style="1572" customWidth="1"/>
    <col min="4874" max="4874" width="19.7109375" style="1572" bestFit="1" customWidth="1"/>
    <col min="4875" max="4875" width="9.140625" style="1572"/>
    <col min="4876" max="4877" width="0" style="1572" hidden="1" customWidth="1"/>
    <col min="4878" max="5120" width="9.140625" style="1572"/>
    <col min="5121" max="5121" width="48.7109375" style="1572" customWidth="1"/>
    <col min="5122" max="5122" width="11.42578125" style="1572" customWidth="1"/>
    <col min="5123" max="5123" width="14.140625" style="1572" customWidth="1"/>
    <col min="5124" max="5124" width="12.5703125" style="1572" customWidth="1"/>
    <col min="5125" max="5125" width="9.42578125" style="1572" bestFit="1" customWidth="1"/>
    <col min="5126" max="5126" width="13.85546875" style="1572" customWidth="1"/>
    <col min="5127" max="5127" width="10" style="1572" bestFit="1" customWidth="1"/>
    <col min="5128" max="5128" width="4.85546875" style="1572" customWidth="1"/>
    <col min="5129" max="5129" width="20" style="1572" customWidth="1"/>
    <col min="5130" max="5130" width="19.7109375" style="1572" bestFit="1" customWidth="1"/>
    <col min="5131" max="5131" width="9.140625" style="1572"/>
    <col min="5132" max="5133" width="0" style="1572" hidden="1" customWidth="1"/>
    <col min="5134" max="5376" width="9.140625" style="1572"/>
    <col min="5377" max="5377" width="48.7109375" style="1572" customWidth="1"/>
    <col min="5378" max="5378" width="11.42578125" style="1572" customWidth="1"/>
    <col min="5379" max="5379" width="14.140625" style="1572" customWidth="1"/>
    <col min="5380" max="5380" width="12.5703125" style="1572" customWidth="1"/>
    <col min="5381" max="5381" width="9.42578125" style="1572" bestFit="1" customWidth="1"/>
    <col min="5382" max="5382" width="13.85546875" style="1572" customWidth="1"/>
    <col min="5383" max="5383" width="10" style="1572" bestFit="1" customWidth="1"/>
    <col min="5384" max="5384" width="4.85546875" style="1572" customWidth="1"/>
    <col min="5385" max="5385" width="20" style="1572" customWidth="1"/>
    <col min="5386" max="5386" width="19.7109375" style="1572" bestFit="1" customWidth="1"/>
    <col min="5387" max="5387" width="9.140625" style="1572"/>
    <col min="5388" max="5389" width="0" style="1572" hidden="1" customWidth="1"/>
    <col min="5390" max="5632" width="9.140625" style="1572"/>
    <col min="5633" max="5633" width="48.7109375" style="1572" customWidth="1"/>
    <col min="5634" max="5634" width="11.42578125" style="1572" customWidth="1"/>
    <col min="5635" max="5635" width="14.140625" style="1572" customWidth="1"/>
    <col min="5636" max="5636" width="12.5703125" style="1572" customWidth="1"/>
    <col min="5637" max="5637" width="9.42578125" style="1572" bestFit="1" customWidth="1"/>
    <col min="5638" max="5638" width="13.85546875" style="1572" customWidth="1"/>
    <col min="5639" max="5639" width="10" style="1572" bestFit="1" customWidth="1"/>
    <col min="5640" max="5640" width="4.85546875" style="1572" customWidth="1"/>
    <col min="5641" max="5641" width="20" style="1572" customWidth="1"/>
    <col min="5642" max="5642" width="19.7109375" style="1572" bestFit="1" customWidth="1"/>
    <col min="5643" max="5643" width="9.140625" style="1572"/>
    <col min="5644" max="5645" width="0" style="1572" hidden="1" customWidth="1"/>
    <col min="5646" max="5888" width="9.140625" style="1572"/>
    <col min="5889" max="5889" width="48.7109375" style="1572" customWidth="1"/>
    <col min="5890" max="5890" width="11.42578125" style="1572" customWidth="1"/>
    <col min="5891" max="5891" width="14.140625" style="1572" customWidth="1"/>
    <col min="5892" max="5892" width="12.5703125" style="1572" customWidth="1"/>
    <col min="5893" max="5893" width="9.42578125" style="1572" bestFit="1" customWidth="1"/>
    <col min="5894" max="5894" width="13.85546875" style="1572" customWidth="1"/>
    <col min="5895" max="5895" width="10" style="1572" bestFit="1" customWidth="1"/>
    <col min="5896" max="5896" width="4.85546875" style="1572" customWidth="1"/>
    <col min="5897" max="5897" width="20" style="1572" customWidth="1"/>
    <col min="5898" max="5898" width="19.7109375" style="1572" bestFit="1" customWidth="1"/>
    <col min="5899" max="5899" width="9.140625" style="1572"/>
    <col min="5900" max="5901" width="0" style="1572" hidden="1" customWidth="1"/>
    <col min="5902" max="6144" width="9.140625" style="1572"/>
    <col min="6145" max="6145" width="48.7109375" style="1572" customWidth="1"/>
    <col min="6146" max="6146" width="11.42578125" style="1572" customWidth="1"/>
    <col min="6147" max="6147" width="14.140625" style="1572" customWidth="1"/>
    <col min="6148" max="6148" width="12.5703125" style="1572" customWidth="1"/>
    <col min="6149" max="6149" width="9.42578125" style="1572" bestFit="1" customWidth="1"/>
    <col min="6150" max="6150" width="13.85546875" style="1572" customWidth="1"/>
    <col min="6151" max="6151" width="10" style="1572" bestFit="1" customWidth="1"/>
    <col min="6152" max="6152" width="4.85546875" style="1572" customWidth="1"/>
    <col min="6153" max="6153" width="20" style="1572" customWidth="1"/>
    <col min="6154" max="6154" width="19.7109375" style="1572" bestFit="1" customWidth="1"/>
    <col min="6155" max="6155" width="9.140625" style="1572"/>
    <col min="6156" max="6157" width="0" style="1572" hidden="1" customWidth="1"/>
    <col min="6158" max="6400" width="9.140625" style="1572"/>
    <col min="6401" max="6401" width="48.7109375" style="1572" customWidth="1"/>
    <col min="6402" max="6402" width="11.42578125" style="1572" customWidth="1"/>
    <col min="6403" max="6403" width="14.140625" style="1572" customWidth="1"/>
    <col min="6404" max="6404" width="12.5703125" style="1572" customWidth="1"/>
    <col min="6405" max="6405" width="9.42578125" style="1572" bestFit="1" customWidth="1"/>
    <col min="6406" max="6406" width="13.85546875" style="1572" customWidth="1"/>
    <col min="6407" max="6407" width="10" style="1572" bestFit="1" customWidth="1"/>
    <col min="6408" max="6408" width="4.85546875" style="1572" customWidth="1"/>
    <col min="6409" max="6409" width="20" style="1572" customWidth="1"/>
    <col min="6410" max="6410" width="19.7109375" style="1572" bestFit="1" customWidth="1"/>
    <col min="6411" max="6411" width="9.140625" style="1572"/>
    <col min="6412" max="6413" width="0" style="1572" hidden="1" customWidth="1"/>
    <col min="6414" max="6656" width="9.140625" style="1572"/>
    <col min="6657" max="6657" width="48.7109375" style="1572" customWidth="1"/>
    <col min="6658" max="6658" width="11.42578125" style="1572" customWidth="1"/>
    <col min="6659" max="6659" width="14.140625" style="1572" customWidth="1"/>
    <col min="6660" max="6660" width="12.5703125" style="1572" customWidth="1"/>
    <col min="6661" max="6661" width="9.42578125" style="1572" bestFit="1" customWidth="1"/>
    <col min="6662" max="6662" width="13.85546875" style="1572" customWidth="1"/>
    <col min="6663" max="6663" width="10" style="1572" bestFit="1" customWidth="1"/>
    <col min="6664" max="6664" width="4.85546875" style="1572" customWidth="1"/>
    <col min="6665" max="6665" width="20" style="1572" customWidth="1"/>
    <col min="6666" max="6666" width="19.7109375" style="1572" bestFit="1" customWidth="1"/>
    <col min="6667" max="6667" width="9.140625" style="1572"/>
    <col min="6668" max="6669" width="0" style="1572" hidden="1" customWidth="1"/>
    <col min="6670" max="6912" width="9.140625" style="1572"/>
    <col min="6913" max="6913" width="48.7109375" style="1572" customWidth="1"/>
    <col min="6914" max="6914" width="11.42578125" style="1572" customWidth="1"/>
    <col min="6915" max="6915" width="14.140625" style="1572" customWidth="1"/>
    <col min="6916" max="6916" width="12.5703125" style="1572" customWidth="1"/>
    <col min="6917" max="6917" width="9.42578125" style="1572" bestFit="1" customWidth="1"/>
    <col min="6918" max="6918" width="13.85546875" style="1572" customWidth="1"/>
    <col min="6919" max="6919" width="10" style="1572" bestFit="1" customWidth="1"/>
    <col min="6920" max="6920" width="4.85546875" style="1572" customWidth="1"/>
    <col min="6921" max="6921" width="20" style="1572" customWidth="1"/>
    <col min="6922" max="6922" width="19.7109375" style="1572" bestFit="1" customWidth="1"/>
    <col min="6923" max="6923" width="9.140625" style="1572"/>
    <col min="6924" max="6925" width="0" style="1572" hidden="1" customWidth="1"/>
    <col min="6926" max="7168" width="9.140625" style="1572"/>
    <col min="7169" max="7169" width="48.7109375" style="1572" customWidth="1"/>
    <col min="7170" max="7170" width="11.42578125" style="1572" customWidth="1"/>
    <col min="7171" max="7171" width="14.140625" style="1572" customWidth="1"/>
    <col min="7172" max="7172" width="12.5703125" style="1572" customWidth="1"/>
    <col min="7173" max="7173" width="9.42578125" style="1572" bestFit="1" customWidth="1"/>
    <col min="7174" max="7174" width="13.85546875" style="1572" customWidth="1"/>
    <col min="7175" max="7175" width="10" style="1572" bestFit="1" customWidth="1"/>
    <col min="7176" max="7176" width="4.85546875" style="1572" customWidth="1"/>
    <col min="7177" max="7177" width="20" style="1572" customWidth="1"/>
    <col min="7178" max="7178" width="19.7109375" style="1572" bestFit="1" customWidth="1"/>
    <col min="7179" max="7179" width="9.140625" style="1572"/>
    <col min="7180" max="7181" width="0" style="1572" hidden="1" customWidth="1"/>
    <col min="7182" max="7424" width="9.140625" style="1572"/>
    <col min="7425" max="7425" width="48.7109375" style="1572" customWidth="1"/>
    <col min="7426" max="7426" width="11.42578125" style="1572" customWidth="1"/>
    <col min="7427" max="7427" width="14.140625" style="1572" customWidth="1"/>
    <col min="7428" max="7428" width="12.5703125" style="1572" customWidth="1"/>
    <col min="7429" max="7429" width="9.42578125" style="1572" bestFit="1" customWidth="1"/>
    <col min="7430" max="7430" width="13.85546875" style="1572" customWidth="1"/>
    <col min="7431" max="7431" width="10" style="1572" bestFit="1" customWidth="1"/>
    <col min="7432" max="7432" width="4.85546875" style="1572" customWidth="1"/>
    <col min="7433" max="7433" width="20" style="1572" customWidth="1"/>
    <col min="7434" max="7434" width="19.7109375" style="1572" bestFit="1" customWidth="1"/>
    <col min="7435" max="7435" width="9.140625" style="1572"/>
    <col min="7436" max="7437" width="0" style="1572" hidden="1" customWidth="1"/>
    <col min="7438" max="7680" width="9.140625" style="1572"/>
    <col min="7681" max="7681" width="48.7109375" style="1572" customWidth="1"/>
    <col min="7682" max="7682" width="11.42578125" style="1572" customWidth="1"/>
    <col min="7683" max="7683" width="14.140625" style="1572" customWidth="1"/>
    <col min="7684" max="7684" width="12.5703125" style="1572" customWidth="1"/>
    <col min="7685" max="7685" width="9.42578125" style="1572" bestFit="1" customWidth="1"/>
    <col min="7686" max="7686" width="13.85546875" style="1572" customWidth="1"/>
    <col min="7687" max="7687" width="10" style="1572" bestFit="1" customWidth="1"/>
    <col min="7688" max="7688" width="4.85546875" style="1572" customWidth="1"/>
    <col min="7689" max="7689" width="20" style="1572" customWidth="1"/>
    <col min="7690" max="7690" width="19.7109375" style="1572" bestFit="1" customWidth="1"/>
    <col min="7691" max="7691" width="9.140625" style="1572"/>
    <col min="7692" max="7693" width="0" style="1572" hidden="1" customWidth="1"/>
    <col min="7694" max="7936" width="9.140625" style="1572"/>
    <col min="7937" max="7937" width="48.7109375" style="1572" customWidth="1"/>
    <col min="7938" max="7938" width="11.42578125" style="1572" customWidth="1"/>
    <col min="7939" max="7939" width="14.140625" style="1572" customWidth="1"/>
    <col min="7940" max="7940" width="12.5703125" style="1572" customWidth="1"/>
    <col min="7941" max="7941" width="9.42578125" style="1572" bestFit="1" customWidth="1"/>
    <col min="7942" max="7942" width="13.85546875" style="1572" customWidth="1"/>
    <col min="7943" max="7943" width="10" style="1572" bestFit="1" customWidth="1"/>
    <col min="7944" max="7944" width="4.85546875" style="1572" customWidth="1"/>
    <col min="7945" max="7945" width="20" style="1572" customWidth="1"/>
    <col min="7946" max="7946" width="19.7109375" style="1572" bestFit="1" customWidth="1"/>
    <col min="7947" max="7947" width="9.140625" style="1572"/>
    <col min="7948" max="7949" width="0" style="1572" hidden="1" customWidth="1"/>
    <col min="7950" max="8192" width="9.140625" style="1572"/>
    <col min="8193" max="8193" width="48.7109375" style="1572" customWidth="1"/>
    <col min="8194" max="8194" width="11.42578125" style="1572" customWidth="1"/>
    <col min="8195" max="8195" width="14.140625" style="1572" customWidth="1"/>
    <col min="8196" max="8196" width="12.5703125" style="1572" customWidth="1"/>
    <col min="8197" max="8197" width="9.42578125" style="1572" bestFit="1" customWidth="1"/>
    <col min="8198" max="8198" width="13.85546875" style="1572" customWidth="1"/>
    <col min="8199" max="8199" width="10" style="1572" bestFit="1" customWidth="1"/>
    <col min="8200" max="8200" width="4.85546875" style="1572" customWidth="1"/>
    <col min="8201" max="8201" width="20" style="1572" customWidth="1"/>
    <col min="8202" max="8202" width="19.7109375" style="1572" bestFit="1" customWidth="1"/>
    <col min="8203" max="8203" width="9.140625" style="1572"/>
    <col min="8204" max="8205" width="0" style="1572" hidden="1" customWidth="1"/>
    <col min="8206" max="8448" width="9.140625" style="1572"/>
    <col min="8449" max="8449" width="48.7109375" style="1572" customWidth="1"/>
    <col min="8450" max="8450" width="11.42578125" style="1572" customWidth="1"/>
    <col min="8451" max="8451" width="14.140625" style="1572" customWidth="1"/>
    <col min="8452" max="8452" width="12.5703125" style="1572" customWidth="1"/>
    <col min="8453" max="8453" width="9.42578125" style="1572" bestFit="1" customWidth="1"/>
    <col min="8454" max="8454" width="13.85546875" style="1572" customWidth="1"/>
    <col min="8455" max="8455" width="10" style="1572" bestFit="1" customWidth="1"/>
    <col min="8456" max="8456" width="4.85546875" style="1572" customWidth="1"/>
    <col min="8457" max="8457" width="20" style="1572" customWidth="1"/>
    <col min="8458" max="8458" width="19.7109375" style="1572" bestFit="1" customWidth="1"/>
    <col min="8459" max="8459" width="9.140625" style="1572"/>
    <col min="8460" max="8461" width="0" style="1572" hidden="1" customWidth="1"/>
    <col min="8462" max="8704" width="9.140625" style="1572"/>
    <col min="8705" max="8705" width="48.7109375" style="1572" customWidth="1"/>
    <col min="8706" max="8706" width="11.42578125" style="1572" customWidth="1"/>
    <col min="8707" max="8707" width="14.140625" style="1572" customWidth="1"/>
    <col min="8708" max="8708" width="12.5703125" style="1572" customWidth="1"/>
    <col min="8709" max="8709" width="9.42578125" style="1572" bestFit="1" customWidth="1"/>
    <col min="8710" max="8710" width="13.85546875" style="1572" customWidth="1"/>
    <col min="8711" max="8711" width="10" style="1572" bestFit="1" customWidth="1"/>
    <col min="8712" max="8712" width="4.85546875" style="1572" customWidth="1"/>
    <col min="8713" max="8713" width="20" style="1572" customWidth="1"/>
    <col min="8714" max="8714" width="19.7109375" style="1572" bestFit="1" customWidth="1"/>
    <col min="8715" max="8715" width="9.140625" style="1572"/>
    <col min="8716" max="8717" width="0" style="1572" hidden="1" customWidth="1"/>
    <col min="8718" max="8960" width="9.140625" style="1572"/>
    <col min="8961" max="8961" width="48.7109375" style="1572" customWidth="1"/>
    <col min="8962" max="8962" width="11.42578125" style="1572" customWidth="1"/>
    <col min="8963" max="8963" width="14.140625" style="1572" customWidth="1"/>
    <col min="8964" max="8964" width="12.5703125" style="1572" customWidth="1"/>
    <col min="8965" max="8965" width="9.42578125" style="1572" bestFit="1" customWidth="1"/>
    <col min="8966" max="8966" width="13.85546875" style="1572" customWidth="1"/>
    <col min="8967" max="8967" width="10" style="1572" bestFit="1" customWidth="1"/>
    <col min="8968" max="8968" width="4.85546875" style="1572" customWidth="1"/>
    <col min="8969" max="8969" width="20" style="1572" customWidth="1"/>
    <col min="8970" max="8970" width="19.7109375" style="1572" bestFit="1" customWidth="1"/>
    <col min="8971" max="8971" width="9.140625" style="1572"/>
    <col min="8972" max="8973" width="0" style="1572" hidden="1" customWidth="1"/>
    <col min="8974" max="9216" width="9.140625" style="1572"/>
    <col min="9217" max="9217" width="48.7109375" style="1572" customWidth="1"/>
    <col min="9218" max="9218" width="11.42578125" style="1572" customWidth="1"/>
    <col min="9219" max="9219" width="14.140625" style="1572" customWidth="1"/>
    <col min="9220" max="9220" width="12.5703125" style="1572" customWidth="1"/>
    <col min="9221" max="9221" width="9.42578125" style="1572" bestFit="1" customWidth="1"/>
    <col min="9222" max="9222" width="13.85546875" style="1572" customWidth="1"/>
    <col min="9223" max="9223" width="10" style="1572" bestFit="1" customWidth="1"/>
    <col min="9224" max="9224" width="4.85546875" style="1572" customWidth="1"/>
    <col min="9225" max="9225" width="20" style="1572" customWidth="1"/>
    <col min="9226" max="9226" width="19.7109375" style="1572" bestFit="1" customWidth="1"/>
    <col min="9227" max="9227" width="9.140625" style="1572"/>
    <col min="9228" max="9229" width="0" style="1572" hidden="1" customWidth="1"/>
    <col min="9230" max="9472" width="9.140625" style="1572"/>
    <col min="9473" max="9473" width="48.7109375" style="1572" customWidth="1"/>
    <col min="9474" max="9474" width="11.42578125" style="1572" customWidth="1"/>
    <col min="9475" max="9475" width="14.140625" style="1572" customWidth="1"/>
    <col min="9476" max="9476" width="12.5703125" style="1572" customWidth="1"/>
    <col min="9477" max="9477" width="9.42578125" style="1572" bestFit="1" customWidth="1"/>
    <col min="9478" max="9478" width="13.85546875" style="1572" customWidth="1"/>
    <col min="9479" max="9479" width="10" style="1572" bestFit="1" customWidth="1"/>
    <col min="9480" max="9480" width="4.85546875" style="1572" customWidth="1"/>
    <col min="9481" max="9481" width="20" style="1572" customWidth="1"/>
    <col min="9482" max="9482" width="19.7109375" style="1572" bestFit="1" customWidth="1"/>
    <col min="9483" max="9483" width="9.140625" style="1572"/>
    <col min="9484" max="9485" width="0" style="1572" hidden="1" customWidth="1"/>
    <col min="9486" max="9728" width="9.140625" style="1572"/>
    <col min="9729" max="9729" width="48.7109375" style="1572" customWidth="1"/>
    <col min="9730" max="9730" width="11.42578125" style="1572" customWidth="1"/>
    <col min="9731" max="9731" width="14.140625" style="1572" customWidth="1"/>
    <col min="9732" max="9732" width="12.5703125" style="1572" customWidth="1"/>
    <col min="9733" max="9733" width="9.42578125" style="1572" bestFit="1" customWidth="1"/>
    <col min="9734" max="9734" width="13.85546875" style="1572" customWidth="1"/>
    <col min="9735" max="9735" width="10" style="1572" bestFit="1" customWidth="1"/>
    <col min="9736" max="9736" width="4.85546875" style="1572" customWidth="1"/>
    <col min="9737" max="9737" width="20" style="1572" customWidth="1"/>
    <col min="9738" max="9738" width="19.7109375" style="1572" bestFit="1" customWidth="1"/>
    <col min="9739" max="9739" width="9.140625" style="1572"/>
    <col min="9740" max="9741" width="0" style="1572" hidden="1" customWidth="1"/>
    <col min="9742" max="9984" width="9.140625" style="1572"/>
    <col min="9985" max="9985" width="48.7109375" style="1572" customWidth="1"/>
    <col min="9986" max="9986" width="11.42578125" style="1572" customWidth="1"/>
    <col min="9987" max="9987" width="14.140625" style="1572" customWidth="1"/>
    <col min="9988" max="9988" width="12.5703125" style="1572" customWidth="1"/>
    <col min="9989" max="9989" width="9.42578125" style="1572" bestFit="1" customWidth="1"/>
    <col min="9990" max="9990" width="13.85546875" style="1572" customWidth="1"/>
    <col min="9991" max="9991" width="10" style="1572" bestFit="1" customWidth="1"/>
    <col min="9992" max="9992" width="4.85546875" style="1572" customWidth="1"/>
    <col min="9993" max="9993" width="20" style="1572" customWidth="1"/>
    <col min="9994" max="9994" width="19.7109375" style="1572" bestFit="1" customWidth="1"/>
    <col min="9995" max="9995" width="9.140625" style="1572"/>
    <col min="9996" max="9997" width="0" style="1572" hidden="1" customWidth="1"/>
    <col min="9998" max="10240" width="9.140625" style="1572"/>
    <col min="10241" max="10241" width="48.7109375" style="1572" customWidth="1"/>
    <col min="10242" max="10242" width="11.42578125" style="1572" customWidth="1"/>
    <col min="10243" max="10243" width="14.140625" style="1572" customWidth="1"/>
    <col min="10244" max="10244" width="12.5703125" style="1572" customWidth="1"/>
    <col min="10245" max="10245" width="9.42578125" style="1572" bestFit="1" customWidth="1"/>
    <col min="10246" max="10246" width="13.85546875" style="1572" customWidth="1"/>
    <col min="10247" max="10247" width="10" style="1572" bestFit="1" customWidth="1"/>
    <col min="10248" max="10248" width="4.85546875" style="1572" customWidth="1"/>
    <col min="10249" max="10249" width="20" style="1572" customWidth="1"/>
    <col min="10250" max="10250" width="19.7109375" style="1572" bestFit="1" customWidth="1"/>
    <col min="10251" max="10251" width="9.140625" style="1572"/>
    <col min="10252" max="10253" width="0" style="1572" hidden="1" customWidth="1"/>
    <col min="10254" max="10496" width="9.140625" style="1572"/>
    <col min="10497" max="10497" width="48.7109375" style="1572" customWidth="1"/>
    <col min="10498" max="10498" width="11.42578125" style="1572" customWidth="1"/>
    <col min="10499" max="10499" width="14.140625" style="1572" customWidth="1"/>
    <col min="10500" max="10500" width="12.5703125" style="1572" customWidth="1"/>
    <col min="10501" max="10501" width="9.42578125" style="1572" bestFit="1" customWidth="1"/>
    <col min="10502" max="10502" width="13.85546875" style="1572" customWidth="1"/>
    <col min="10503" max="10503" width="10" style="1572" bestFit="1" customWidth="1"/>
    <col min="10504" max="10504" width="4.85546875" style="1572" customWidth="1"/>
    <col min="10505" max="10505" width="20" style="1572" customWidth="1"/>
    <col min="10506" max="10506" width="19.7109375" style="1572" bestFit="1" customWidth="1"/>
    <col min="10507" max="10507" width="9.140625" style="1572"/>
    <col min="10508" max="10509" width="0" style="1572" hidden="1" customWidth="1"/>
    <col min="10510" max="10752" width="9.140625" style="1572"/>
    <col min="10753" max="10753" width="48.7109375" style="1572" customWidth="1"/>
    <col min="10754" max="10754" width="11.42578125" style="1572" customWidth="1"/>
    <col min="10755" max="10755" width="14.140625" style="1572" customWidth="1"/>
    <col min="10756" max="10756" width="12.5703125" style="1572" customWidth="1"/>
    <col min="10757" max="10757" width="9.42578125" style="1572" bestFit="1" customWidth="1"/>
    <col min="10758" max="10758" width="13.85546875" style="1572" customWidth="1"/>
    <col min="10759" max="10759" width="10" style="1572" bestFit="1" customWidth="1"/>
    <col min="10760" max="10760" width="4.85546875" style="1572" customWidth="1"/>
    <col min="10761" max="10761" width="20" style="1572" customWidth="1"/>
    <col min="10762" max="10762" width="19.7109375" style="1572" bestFit="1" customWidth="1"/>
    <col min="10763" max="10763" width="9.140625" style="1572"/>
    <col min="10764" max="10765" width="0" style="1572" hidden="1" customWidth="1"/>
    <col min="10766" max="11008" width="9.140625" style="1572"/>
    <col min="11009" max="11009" width="48.7109375" style="1572" customWidth="1"/>
    <col min="11010" max="11010" width="11.42578125" style="1572" customWidth="1"/>
    <col min="11011" max="11011" width="14.140625" style="1572" customWidth="1"/>
    <col min="11012" max="11012" width="12.5703125" style="1572" customWidth="1"/>
    <col min="11013" max="11013" width="9.42578125" style="1572" bestFit="1" customWidth="1"/>
    <col min="11014" max="11014" width="13.85546875" style="1572" customWidth="1"/>
    <col min="11015" max="11015" width="10" style="1572" bestFit="1" customWidth="1"/>
    <col min="11016" max="11016" width="4.85546875" style="1572" customWidth="1"/>
    <col min="11017" max="11017" width="20" style="1572" customWidth="1"/>
    <col min="11018" max="11018" width="19.7109375" style="1572" bestFit="1" customWidth="1"/>
    <col min="11019" max="11019" width="9.140625" style="1572"/>
    <col min="11020" max="11021" width="0" style="1572" hidden="1" customWidth="1"/>
    <col min="11022" max="11264" width="9.140625" style="1572"/>
    <col min="11265" max="11265" width="48.7109375" style="1572" customWidth="1"/>
    <col min="11266" max="11266" width="11.42578125" style="1572" customWidth="1"/>
    <col min="11267" max="11267" width="14.140625" style="1572" customWidth="1"/>
    <col min="11268" max="11268" width="12.5703125" style="1572" customWidth="1"/>
    <col min="11269" max="11269" width="9.42578125" style="1572" bestFit="1" customWidth="1"/>
    <col min="11270" max="11270" width="13.85546875" style="1572" customWidth="1"/>
    <col min="11271" max="11271" width="10" style="1572" bestFit="1" customWidth="1"/>
    <col min="11272" max="11272" width="4.85546875" style="1572" customWidth="1"/>
    <col min="11273" max="11273" width="20" style="1572" customWidth="1"/>
    <col min="11274" max="11274" width="19.7109375" style="1572" bestFit="1" customWidth="1"/>
    <col min="11275" max="11275" width="9.140625" style="1572"/>
    <col min="11276" max="11277" width="0" style="1572" hidden="1" customWidth="1"/>
    <col min="11278" max="11520" width="9.140625" style="1572"/>
    <col min="11521" max="11521" width="48.7109375" style="1572" customWidth="1"/>
    <col min="11522" max="11522" width="11.42578125" style="1572" customWidth="1"/>
    <col min="11523" max="11523" width="14.140625" style="1572" customWidth="1"/>
    <col min="11524" max="11524" width="12.5703125" style="1572" customWidth="1"/>
    <col min="11525" max="11525" width="9.42578125" style="1572" bestFit="1" customWidth="1"/>
    <col min="11526" max="11526" width="13.85546875" style="1572" customWidth="1"/>
    <col min="11527" max="11527" width="10" style="1572" bestFit="1" customWidth="1"/>
    <col min="11528" max="11528" width="4.85546875" style="1572" customWidth="1"/>
    <col min="11529" max="11529" width="20" style="1572" customWidth="1"/>
    <col min="11530" max="11530" width="19.7109375" style="1572" bestFit="1" customWidth="1"/>
    <col min="11531" max="11531" width="9.140625" style="1572"/>
    <col min="11532" max="11533" width="0" style="1572" hidden="1" customWidth="1"/>
    <col min="11534" max="11776" width="9.140625" style="1572"/>
    <col min="11777" max="11777" width="48.7109375" style="1572" customWidth="1"/>
    <col min="11778" max="11778" width="11.42578125" style="1572" customWidth="1"/>
    <col min="11779" max="11779" width="14.140625" style="1572" customWidth="1"/>
    <col min="11780" max="11780" width="12.5703125" style="1572" customWidth="1"/>
    <col min="11781" max="11781" width="9.42578125" style="1572" bestFit="1" customWidth="1"/>
    <col min="11782" max="11782" width="13.85546875" style="1572" customWidth="1"/>
    <col min="11783" max="11783" width="10" style="1572" bestFit="1" customWidth="1"/>
    <col min="11784" max="11784" width="4.85546875" style="1572" customWidth="1"/>
    <col min="11785" max="11785" width="20" style="1572" customWidth="1"/>
    <col min="11786" max="11786" width="19.7109375" style="1572" bestFit="1" customWidth="1"/>
    <col min="11787" max="11787" width="9.140625" style="1572"/>
    <col min="11788" max="11789" width="0" style="1572" hidden="1" customWidth="1"/>
    <col min="11790" max="12032" width="9.140625" style="1572"/>
    <col min="12033" max="12033" width="48.7109375" style="1572" customWidth="1"/>
    <col min="12034" max="12034" width="11.42578125" style="1572" customWidth="1"/>
    <col min="12035" max="12035" width="14.140625" style="1572" customWidth="1"/>
    <col min="12036" max="12036" width="12.5703125" style="1572" customWidth="1"/>
    <col min="12037" max="12037" width="9.42578125" style="1572" bestFit="1" customWidth="1"/>
    <col min="12038" max="12038" width="13.85546875" style="1572" customWidth="1"/>
    <col min="12039" max="12039" width="10" style="1572" bestFit="1" customWidth="1"/>
    <col min="12040" max="12040" width="4.85546875" style="1572" customWidth="1"/>
    <col min="12041" max="12041" width="20" style="1572" customWidth="1"/>
    <col min="12042" max="12042" width="19.7109375" style="1572" bestFit="1" customWidth="1"/>
    <col min="12043" max="12043" width="9.140625" style="1572"/>
    <col min="12044" max="12045" width="0" style="1572" hidden="1" customWidth="1"/>
    <col min="12046" max="12288" width="9.140625" style="1572"/>
    <col min="12289" max="12289" width="48.7109375" style="1572" customWidth="1"/>
    <col min="12290" max="12290" width="11.42578125" style="1572" customWidth="1"/>
    <col min="12291" max="12291" width="14.140625" style="1572" customWidth="1"/>
    <col min="12292" max="12292" width="12.5703125" style="1572" customWidth="1"/>
    <col min="12293" max="12293" width="9.42578125" style="1572" bestFit="1" customWidth="1"/>
    <col min="12294" max="12294" width="13.85546875" style="1572" customWidth="1"/>
    <col min="12295" max="12295" width="10" style="1572" bestFit="1" customWidth="1"/>
    <col min="12296" max="12296" width="4.85546875" style="1572" customWidth="1"/>
    <col min="12297" max="12297" width="20" style="1572" customWidth="1"/>
    <col min="12298" max="12298" width="19.7109375" style="1572" bestFit="1" customWidth="1"/>
    <col min="12299" max="12299" width="9.140625" style="1572"/>
    <col min="12300" max="12301" width="0" style="1572" hidden="1" customWidth="1"/>
    <col min="12302" max="12544" width="9.140625" style="1572"/>
    <col min="12545" max="12545" width="48.7109375" style="1572" customWidth="1"/>
    <col min="12546" max="12546" width="11.42578125" style="1572" customWidth="1"/>
    <col min="12547" max="12547" width="14.140625" style="1572" customWidth="1"/>
    <col min="12548" max="12548" width="12.5703125" style="1572" customWidth="1"/>
    <col min="12549" max="12549" width="9.42578125" style="1572" bestFit="1" customWidth="1"/>
    <col min="12550" max="12550" width="13.85546875" style="1572" customWidth="1"/>
    <col min="12551" max="12551" width="10" style="1572" bestFit="1" customWidth="1"/>
    <col min="12552" max="12552" width="4.85546875" style="1572" customWidth="1"/>
    <col min="12553" max="12553" width="20" style="1572" customWidth="1"/>
    <col min="12554" max="12554" width="19.7109375" style="1572" bestFit="1" customWidth="1"/>
    <col min="12555" max="12555" width="9.140625" style="1572"/>
    <col min="12556" max="12557" width="0" style="1572" hidden="1" customWidth="1"/>
    <col min="12558" max="12800" width="9.140625" style="1572"/>
    <col min="12801" max="12801" width="48.7109375" style="1572" customWidth="1"/>
    <col min="12802" max="12802" width="11.42578125" style="1572" customWidth="1"/>
    <col min="12803" max="12803" width="14.140625" style="1572" customWidth="1"/>
    <col min="12804" max="12804" width="12.5703125" style="1572" customWidth="1"/>
    <col min="12805" max="12805" width="9.42578125" style="1572" bestFit="1" customWidth="1"/>
    <col min="12806" max="12806" width="13.85546875" style="1572" customWidth="1"/>
    <col min="12807" max="12807" width="10" style="1572" bestFit="1" customWidth="1"/>
    <col min="12808" max="12808" width="4.85546875" style="1572" customWidth="1"/>
    <col min="12809" max="12809" width="20" style="1572" customWidth="1"/>
    <col min="12810" max="12810" width="19.7109375" style="1572" bestFit="1" customWidth="1"/>
    <col min="12811" max="12811" width="9.140625" style="1572"/>
    <col min="12812" max="12813" width="0" style="1572" hidden="1" customWidth="1"/>
    <col min="12814" max="13056" width="9.140625" style="1572"/>
    <col min="13057" max="13057" width="48.7109375" style="1572" customWidth="1"/>
    <col min="13058" max="13058" width="11.42578125" style="1572" customWidth="1"/>
    <col min="13059" max="13059" width="14.140625" style="1572" customWidth="1"/>
    <col min="13060" max="13060" width="12.5703125" style="1572" customWidth="1"/>
    <col min="13061" max="13061" width="9.42578125" style="1572" bestFit="1" customWidth="1"/>
    <col min="13062" max="13062" width="13.85546875" style="1572" customWidth="1"/>
    <col min="13063" max="13063" width="10" style="1572" bestFit="1" customWidth="1"/>
    <col min="13064" max="13064" width="4.85546875" style="1572" customWidth="1"/>
    <col min="13065" max="13065" width="20" style="1572" customWidth="1"/>
    <col min="13066" max="13066" width="19.7109375" style="1572" bestFit="1" customWidth="1"/>
    <col min="13067" max="13067" width="9.140625" style="1572"/>
    <col min="13068" max="13069" width="0" style="1572" hidden="1" customWidth="1"/>
    <col min="13070" max="13312" width="9.140625" style="1572"/>
    <col min="13313" max="13313" width="48.7109375" style="1572" customWidth="1"/>
    <col min="13314" max="13314" width="11.42578125" style="1572" customWidth="1"/>
    <col min="13315" max="13315" width="14.140625" style="1572" customWidth="1"/>
    <col min="13316" max="13316" width="12.5703125" style="1572" customWidth="1"/>
    <col min="13317" max="13317" width="9.42578125" style="1572" bestFit="1" customWidth="1"/>
    <col min="13318" max="13318" width="13.85546875" style="1572" customWidth="1"/>
    <col min="13319" max="13319" width="10" style="1572" bestFit="1" customWidth="1"/>
    <col min="13320" max="13320" width="4.85546875" style="1572" customWidth="1"/>
    <col min="13321" max="13321" width="20" style="1572" customWidth="1"/>
    <col min="13322" max="13322" width="19.7109375" style="1572" bestFit="1" customWidth="1"/>
    <col min="13323" max="13323" width="9.140625" style="1572"/>
    <col min="13324" max="13325" width="0" style="1572" hidden="1" customWidth="1"/>
    <col min="13326" max="13568" width="9.140625" style="1572"/>
    <col min="13569" max="13569" width="48.7109375" style="1572" customWidth="1"/>
    <col min="13570" max="13570" width="11.42578125" style="1572" customWidth="1"/>
    <col min="13571" max="13571" width="14.140625" style="1572" customWidth="1"/>
    <col min="13572" max="13572" width="12.5703125" style="1572" customWidth="1"/>
    <col min="13573" max="13573" width="9.42578125" style="1572" bestFit="1" customWidth="1"/>
    <col min="13574" max="13574" width="13.85546875" style="1572" customWidth="1"/>
    <col min="13575" max="13575" width="10" style="1572" bestFit="1" customWidth="1"/>
    <col min="13576" max="13576" width="4.85546875" style="1572" customWidth="1"/>
    <col min="13577" max="13577" width="20" style="1572" customWidth="1"/>
    <col min="13578" max="13578" width="19.7109375" style="1572" bestFit="1" customWidth="1"/>
    <col min="13579" max="13579" width="9.140625" style="1572"/>
    <col min="13580" max="13581" width="0" style="1572" hidden="1" customWidth="1"/>
    <col min="13582" max="13824" width="9.140625" style="1572"/>
    <col min="13825" max="13825" width="48.7109375" style="1572" customWidth="1"/>
    <col min="13826" max="13826" width="11.42578125" style="1572" customWidth="1"/>
    <col min="13827" max="13827" width="14.140625" style="1572" customWidth="1"/>
    <col min="13828" max="13828" width="12.5703125" style="1572" customWidth="1"/>
    <col min="13829" max="13829" width="9.42578125" style="1572" bestFit="1" customWidth="1"/>
    <col min="13830" max="13830" width="13.85546875" style="1572" customWidth="1"/>
    <col min="13831" max="13831" width="10" style="1572" bestFit="1" customWidth="1"/>
    <col min="13832" max="13832" width="4.85546875" style="1572" customWidth="1"/>
    <col min="13833" max="13833" width="20" style="1572" customWidth="1"/>
    <col min="13834" max="13834" width="19.7109375" style="1572" bestFit="1" customWidth="1"/>
    <col min="13835" max="13835" width="9.140625" style="1572"/>
    <col min="13836" max="13837" width="0" style="1572" hidden="1" customWidth="1"/>
    <col min="13838" max="14080" width="9.140625" style="1572"/>
    <col min="14081" max="14081" width="48.7109375" style="1572" customWidth="1"/>
    <col min="14082" max="14082" width="11.42578125" style="1572" customWidth="1"/>
    <col min="14083" max="14083" width="14.140625" style="1572" customWidth="1"/>
    <col min="14084" max="14084" width="12.5703125" style="1572" customWidth="1"/>
    <col min="14085" max="14085" width="9.42578125" style="1572" bestFit="1" customWidth="1"/>
    <col min="14086" max="14086" width="13.85546875" style="1572" customWidth="1"/>
    <col min="14087" max="14087" width="10" style="1572" bestFit="1" customWidth="1"/>
    <col min="14088" max="14088" width="4.85546875" style="1572" customWidth="1"/>
    <col min="14089" max="14089" width="20" style="1572" customWidth="1"/>
    <col min="14090" max="14090" width="19.7109375" style="1572" bestFit="1" customWidth="1"/>
    <col min="14091" max="14091" width="9.140625" style="1572"/>
    <col min="14092" max="14093" width="0" style="1572" hidden="1" customWidth="1"/>
    <col min="14094" max="14336" width="9.140625" style="1572"/>
    <col min="14337" max="14337" width="48.7109375" style="1572" customWidth="1"/>
    <col min="14338" max="14338" width="11.42578125" style="1572" customWidth="1"/>
    <col min="14339" max="14339" width="14.140625" style="1572" customWidth="1"/>
    <col min="14340" max="14340" width="12.5703125" style="1572" customWidth="1"/>
    <col min="14341" max="14341" width="9.42578125" style="1572" bestFit="1" customWidth="1"/>
    <col min="14342" max="14342" width="13.85546875" style="1572" customWidth="1"/>
    <col min="14343" max="14343" width="10" style="1572" bestFit="1" customWidth="1"/>
    <col min="14344" max="14344" width="4.85546875" style="1572" customWidth="1"/>
    <col min="14345" max="14345" width="20" style="1572" customWidth="1"/>
    <col min="14346" max="14346" width="19.7109375" style="1572" bestFit="1" customWidth="1"/>
    <col min="14347" max="14347" width="9.140625" style="1572"/>
    <col min="14348" max="14349" width="0" style="1572" hidden="1" customWidth="1"/>
    <col min="14350" max="14592" width="9.140625" style="1572"/>
    <col min="14593" max="14593" width="48.7109375" style="1572" customWidth="1"/>
    <col min="14594" max="14594" width="11.42578125" style="1572" customWidth="1"/>
    <col min="14595" max="14595" width="14.140625" style="1572" customWidth="1"/>
    <col min="14596" max="14596" width="12.5703125" style="1572" customWidth="1"/>
    <col min="14597" max="14597" width="9.42578125" style="1572" bestFit="1" customWidth="1"/>
    <col min="14598" max="14598" width="13.85546875" style="1572" customWidth="1"/>
    <col min="14599" max="14599" width="10" style="1572" bestFit="1" customWidth="1"/>
    <col min="14600" max="14600" width="4.85546875" style="1572" customWidth="1"/>
    <col min="14601" max="14601" width="20" style="1572" customWidth="1"/>
    <col min="14602" max="14602" width="19.7109375" style="1572" bestFit="1" customWidth="1"/>
    <col min="14603" max="14603" width="9.140625" style="1572"/>
    <col min="14604" max="14605" width="0" style="1572" hidden="1" customWidth="1"/>
    <col min="14606" max="14848" width="9.140625" style="1572"/>
    <col min="14849" max="14849" width="48.7109375" style="1572" customWidth="1"/>
    <col min="14850" max="14850" width="11.42578125" style="1572" customWidth="1"/>
    <col min="14851" max="14851" width="14.140625" style="1572" customWidth="1"/>
    <col min="14852" max="14852" width="12.5703125" style="1572" customWidth="1"/>
    <col min="14853" max="14853" width="9.42578125" style="1572" bestFit="1" customWidth="1"/>
    <col min="14854" max="14854" width="13.85546875" style="1572" customWidth="1"/>
    <col min="14855" max="14855" width="10" style="1572" bestFit="1" customWidth="1"/>
    <col min="14856" max="14856" width="4.85546875" style="1572" customWidth="1"/>
    <col min="14857" max="14857" width="20" style="1572" customWidth="1"/>
    <col min="14858" max="14858" width="19.7109375" style="1572" bestFit="1" customWidth="1"/>
    <col min="14859" max="14859" width="9.140625" style="1572"/>
    <col min="14860" max="14861" width="0" style="1572" hidden="1" customWidth="1"/>
    <col min="14862" max="15104" width="9.140625" style="1572"/>
    <col min="15105" max="15105" width="48.7109375" style="1572" customWidth="1"/>
    <col min="15106" max="15106" width="11.42578125" style="1572" customWidth="1"/>
    <col min="15107" max="15107" width="14.140625" style="1572" customWidth="1"/>
    <col min="15108" max="15108" width="12.5703125" style="1572" customWidth="1"/>
    <col min="15109" max="15109" width="9.42578125" style="1572" bestFit="1" customWidth="1"/>
    <col min="15110" max="15110" width="13.85546875" style="1572" customWidth="1"/>
    <col min="15111" max="15111" width="10" style="1572" bestFit="1" customWidth="1"/>
    <col min="15112" max="15112" width="4.85546875" style="1572" customWidth="1"/>
    <col min="15113" max="15113" width="20" style="1572" customWidth="1"/>
    <col min="15114" max="15114" width="19.7109375" style="1572" bestFit="1" customWidth="1"/>
    <col min="15115" max="15115" width="9.140625" style="1572"/>
    <col min="15116" max="15117" width="0" style="1572" hidden="1" customWidth="1"/>
    <col min="15118" max="15360" width="9.140625" style="1572"/>
    <col min="15361" max="15361" width="48.7109375" style="1572" customWidth="1"/>
    <col min="15362" max="15362" width="11.42578125" style="1572" customWidth="1"/>
    <col min="15363" max="15363" width="14.140625" style="1572" customWidth="1"/>
    <col min="15364" max="15364" width="12.5703125" style="1572" customWidth="1"/>
    <col min="15365" max="15365" width="9.42578125" style="1572" bestFit="1" customWidth="1"/>
    <col min="15366" max="15366" width="13.85546875" style="1572" customWidth="1"/>
    <col min="15367" max="15367" width="10" style="1572" bestFit="1" customWidth="1"/>
    <col min="15368" max="15368" width="4.85546875" style="1572" customWidth="1"/>
    <col min="15369" max="15369" width="20" style="1572" customWidth="1"/>
    <col min="15370" max="15370" width="19.7109375" style="1572" bestFit="1" customWidth="1"/>
    <col min="15371" max="15371" width="9.140625" style="1572"/>
    <col min="15372" max="15373" width="0" style="1572" hidden="1" customWidth="1"/>
    <col min="15374" max="15616" width="9.140625" style="1572"/>
    <col min="15617" max="15617" width="48.7109375" style="1572" customWidth="1"/>
    <col min="15618" max="15618" width="11.42578125" style="1572" customWidth="1"/>
    <col min="15619" max="15619" width="14.140625" style="1572" customWidth="1"/>
    <col min="15620" max="15620" width="12.5703125" style="1572" customWidth="1"/>
    <col min="15621" max="15621" width="9.42578125" style="1572" bestFit="1" customWidth="1"/>
    <col min="15622" max="15622" width="13.85546875" style="1572" customWidth="1"/>
    <col min="15623" max="15623" width="10" style="1572" bestFit="1" customWidth="1"/>
    <col min="15624" max="15624" width="4.85546875" style="1572" customWidth="1"/>
    <col min="15625" max="15625" width="20" style="1572" customWidth="1"/>
    <col min="15626" max="15626" width="19.7109375" style="1572" bestFit="1" customWidth="1"/>
    <col min="15627" max="15627" width="9.140625" style="1572"/>
    <col min="15628" max="15629" width="0" style="1572" hidden="1" customWidth="1"/>
    <col min="15630" max="15872" width="9.140625" style="1572"/>
    <col min="15873" max="15873" width="48.7109375" style="1572" customWidth="1"/>
    <col min="15874" max="15874" width="11.42578125" style="1572" customWidth="1"/>
    <col min="15875" max="15875" width="14.140625" style="1572" customWidth="1"/>
    <col min="15876" max="15876" width="12.5703125" style="1572" customWidth="1"/>
    <col min="15877" max="15877" width="9.42578125" style="1572" bestFit="1" customWidth="1"/>
    <col min="15878" max="15878" width="13.85546875" style="1572" customWidth="1"/>
    <col min="15879" max="15879" width="10" style="1572" bestFit="1" customWidth="1"/>
    <col min="15880" max="15880" width="4.85546875" style="1572" customWidth="1"/>
    <col min="15881" max="15881" width="20" style="1572" customWidth="1"/>
    <col min="15882" max="15882" width="19.7109375" style="1572" bestFit="1" customWidth="1"/>
    <col min="15883" max="15883" width="9.140625" style="1572"/>
    <col min="15884" max="15885" width="0" style="1572" hidden="1" customWidth="1"/>
    <col min="15886" max="16128" width="9.140625" style="1572"/>
    <col min="16129" max="16129" width="48.7109375" style="1572" customWidth="1"/>
    <col min="16130" max="16130" width="11.42578125" style="1572" customWidth="1"/>
    <col min="16131" max="16131" width="14.140625" style="1572" customWidth="1"/>
    <col min="16132" max="16132" width="12.5703125" style="1572" customWidth="1"/>
    <col min="16133" max="16133" width="9.42578125" style="1572" bestFit="1" customWidth="1"/>
    <col min="16134" max="16134" width="13.85546875" style="1572" customWidth="1"/>
    <col min="16135" max="16135" width="10" style="1572" bestFit="1" customWidth="1"/>
    <col min="16136" max="16136" width="4.85546875" style="1572" customWidth="1"/>
    <col min="16137" max="16137" width="20" style="1572" customWidth="1"/>
    <col min="16138" max="16138" width="19.7109375" style="1572" bestFit="1" customWidth="1"/>
    <col min="16139" max="16139" width="9.140625" style="1572"/>
    <col min="16140" max="16141" width="0" style="1572" hidden="1" customWidth="1"/>
    <col min="16142" max="16384" width="9.140625" style="1572"/>
  </cols>
  <sheetData>
    <row r="1" spans="1:13" s="1567" customFormat="1" ht="15.75">
      <c r="G1" s="1568"/>
      <c r="I1" s="1569" t="s">
        <v>1513</v>
      </c>
      <c r="J1" s="1569"/>
    </row>
    <row r="2" spans="1:13" s="1567" customFormat="1" ht="15.75">
      <c r="A2" s="1570"/>
      <c r="B2" s="1570"/>
      <c r="C2" s="1570"/>
      <c r="D2" s="1570"/>
      <c r="E2" s="1570"/>
      <c r="F2" s="1570"/>
      <c r="G2" s="1570"/>
    </row>
    <row r="3" spans="1:13" s="1567" customFormat="1" ht="15.75">
      <c r="A3" s="1571" t="s">
        <v>2397</v>
      </c>
      <c r="B3" s="1571"/>
      <c r="C3" s="1571"/>
      <c r="D3" s="1571"/>
      <c r="E3" s="1571"/>
      <c r="F3" s="1571"/>
      <c r="G3" s="1571"/>
      <c r="H3" s="1571"/>
      <c r="I3" s="1571"/>
      <c r="J3" s="1571"/>
    </row>
    <row r="4" spans="1:13" s="1567" customFormat="1" ht="15.75">
      <c r="A4" s="1571" t="s">
        <v>2398</v>
      </c>
      <c r="B4" s="1571"/>
      <c r="C4" s="1571"/>
      <c r="D4" s="1571"/>
      <c r="E4" s="1571"/>
      <c r="F4" s="1571"/>
      <c r="G4" s="1571"/>
      <c r="H4" s="1571"/>
      <c r="I4" s="1571"/>
      <c r="J4" s="1571"/>
    </row>
    <row r="5" spans="1:13" s="1567" customFormat="1" ht="15.75">
      <c r="A5" s="1571" t="s">
        <v>2677</v>
      </c>
      <c r="B5" s="1571"/>
      <c r="C5" s="1571"/>
      <c r="D5" s="1571"/>
      <c r="E5" s="1571"/>
      <c r="F5" s="1571"/>
      <c r="G5" s="1571"/>
      <c r="H5" s="1571"/>
      <c r="I5" s="1571"/>
      <c r="J5" s="1571"/>
    </row>
    <row r="6" spans="1:13" ht="14.25" thickBot="1">
      <c r="G6" s="1573" t="s">
        <v>2399</v>
      </c>
      <c r="H6" s="1574"/>
      <c r="J6" s="1573" t="s">
        <v>2400</v>
      </c>
    </row>
    <row r="7" spans="1:13" ht="12" customHeight="1">
      <c r="A7" s="1576" t="s">
        <v>2401</v>
      </c>
      <c r="B7" s="1577" t="s">
        <v>2402</v>
      </c>
      <c r="C7" s="1578"/>
      <c r="D7" s="1578"/>
      <c r="E7" s="1579"/>
      <c r="F7" s="1580" t="s">
        <v>2403</v>
      </c>
      <c r="G7" s="1581" t="s">
        <v>18</v>
      </c>
      <c r="H7" s="1582"/>
      <c r="I7" s="1583" t="s">
        <v>2404</v>
      </c>
      <c r="J7" s="1583" t="s">
        <v>2405</v>
      </c>
    </row>
    <row r="8" spans="1:13" s="1591" customFormat="1" ht="51.75" thickBot="1">
      <c r="A8" s="1584"/>
      <c r="B8" s="1585" t="s">
        <v>2406</v>
      </c>
      <c r="C8" s="1586" t="s">
        <v>2407</v>
      </c>
      <c r="D8" s="1586" t="s">
        <v>2408</v>
      </c>
      <c r="E8" s="1587" t="s">
        <v>18</v>
      </c>
      <c r="F8" s="1588"/>
      <c r="G8" s="1589"/>
      <c r="H8" s="1582"/>
      <c r="I8" s="1590"/>
      <c r="J8" s="1590"/>
    </row>
    <row r="9" spans="1:13">
      <c r="A9" s="1592"/>
      <c r="B9" s="1593"/>
      <c r="C9" s="1594"/>
      <c r="D9" s="1594"/>
      <c r="E9" s="1595"/>
      <c r="F9" s="1596"/>
      <c r="G9" s="1597"/>
      <c r="H9" s="1598"/>
      <c r="I9" s="1599"/>
      <c r="J9" s="1599"/>
    </row>
    <row r="10" spans="1:13" s="1605" customFormat="1" ht="13.5">
      <c r="A10" s="1600" t="s">
        <v>2409</v>
      </c>
      <c r="B10" s="1601">
        <f t="shared" ref="B10:G10" si="0">+B11+B12+B18+B22</f>
        <v>2705420</v>
      </c>
      <c r="C10" s="1602">
        <f t="shared" si="0"/>
        <v>0</v>
      </c>
      <c r="D10" s="1602">
        <f t="shared" si="0"/>
        <v>4227501</v>
      </c>
      <c r="E10" s="1595">
        <f t="shared" si="0"/>
        <v>6932921</v>
      </c>
      <c r="F10" s="1603">
        <f t="shared" si="0"/>
        <v>956975</v>
      </c>
      <c r="G10" s="1597">
        <f t="shared" si="0"/>
        <v>7889896</v>
      </c>
      <c r="H10" s="1598"/>
      <c r="I10" s="1604">
        <f>+I11+I12+I18+I22</f>
        <v>497585</v>
      </c>
      <c r="J10" s="1604">
        <f>+J11+J12+J18+J22</f>
        <v>0</v>
      </c>
    </row>
    <row r="11" spans="1:13">
      <c r="A11" s="1592" t="s">
        <v>2410</v>
      </c>
      <c r="B11" s="1593"/>
      <c r="C11" s="1594"/>
      <c r="D11" s="1594">
        <v>1671</v>
      </c>
      <c r="E11" s="1595">
        <f>+B11+C11+D11</f>
        <v>1671</v>
      </c>
      <c r="F11" s="1596"/>
      <c r="G11" s="1597">
        <f>+E11+F11</f>
        <v>1671</v>
      </c>
      <c r="H11" s="1598"/>
      <c r="I11" s="1599">
        <v>116790</v>
      </c>
      <c r="J11" s="1599"/>
      <c r="L11" s="1572">
        <f>+'19.mell 2018K12'!E6</f>
        <v>1671</v>
      </c>
      <c r="M11" s="1572">
        <f>+L11-G11</f>
        <v>0</v>
      </c>
    </row>
    <row r="12" spans="1:13">
      <c r="A12" s="1592" t="s">
        <v>2411</v>
      </c>
      <c r="B12" s="1593">
        <f t="shared" ref="B12:G12" si="1">+B13+B14+B15+B16+B17</f>
        <v>2705420</v>
      </c>
      <c r="C12" s="1594">
        <f t="shared" si="1"/>
        <v>0</v>
      </c>
      <c r="D12" s="1594">
        <f t="shared" si="1"/>
        <v>3279756</v>
      </c>
      <c r="E12" s="1595">
        <f t="shared" si="1"/>
        <v>5985176</v>
      </c>
      <c r="F12" s="1596">
        <f t="shared" si="1"/>
        <v>827422</v>
      </c>
      <c r="G12" s="1597">
        <f t="shared" si="1"/>
        <v>6812598</v>
      </c>
      <c r="H12" s="1598"/>
      <c r="I12" s="1599">
        <f>+I13+I14+I15+I16+I17</f>
        <v>307702</v>
      </c>
      <c r="J12" s="1599">
        <f>+J13+J14+J15+J16+J17</f>
        <v>0</v>
      </c>
      <c r="L12" s="1572">
        <f>+'19.mell 2018K12'!E7</f>
        <v>6812598</v>
      </c>
      <c r="M12" s="1572">
        <f>+L12-G12</f>
        <v>0</v>
      </c>
    </row>
    <row r="13" spans="1:13">
      <c r="A13" s="1606" t="s">
        <v>2412</v>
      </c>
      <c r="B13" s="1607">
        <v>2705420</v>
      </c>
      <c r="C13" s="1608"/>
      <c r="D13" s="1609">
        <v>2641748</v>
      </c>
      <c r="E13" s="1595">
        <f>+B13+C13+D13</f>
        <v>5347168</v>
      </c>
      <c r="F13" s="1610">
        <v>827422</v>
      </c>
      <c r="G13" s="1597">
        <f>+E13+F13</f>
        <v>6174590</v>
      </c>
      <c r="H13" s="1598"/>
      <c r="I13" s="1599">
        <v>10063</v>
      </c>
      <c r="J13" s="1599"/>
    </row>
    <row r="14" spans="1:13">
      <c r="A14" s="1606" t="s">
        <v>2413</v>
      </c>
      <c r="B14" s="1593"/>
      <c r="C14" s="1594"/>
      <c r="D14" s="1594">
        <v>219992</v>
      </c>
      <c r="E14" s="1595">
        <f>+B14+C14+D14</f>
        <v>219992</v>
      </c>
      <c r="F14" s="1610"/>
      <c r="G14" s="1597">
        <f>+E14+F14</f>
        <v>219992</v>
      </c>
      <c r="H14" s="1598"/>
      <c r="I14" s="1599">
        <v>297639</v>
      </c>
      <c r="J14" s="1599"/>
    </row>
    <row r="15" spans="1:13">
      <c r="A15" s="1606" t="s">
        <v>2414</v>
      </c>
      <c r="B15" s="1593"/>
      <c r="C15" s="1594"/>
      <c r="D15" s="1594"/>
      <c r="E15" s="1595">
        <f>+B15+C15+D15</f>
        <v>0</v>
      </c>
      <c r="F15" s="1596"/>
      <c r="G15" s="1597">
        <f>+E15+F15</f>
        <v>0</v>
      </c>
      <c r="H15" s="1598"/>
      <c r="I15" s="1599"/>
      <c r="J15" s="1599"/>
    </row>
    <row r="16" spans="1:13">
      <c r="A16" s="1606" t="s">
        <v>2415</v>
      </c>
      <c r="B16" s="1593"/>
      <c r="C16" s="1594"/>
      <c r="D16" s="1594">
        <v>418016</v>
      </c>
      <c r="E16" s="1595">
        <f>+B16+C16+D16</f>
        <v>418016</v>
      </c>
      <c r="F16" s="1610"/>
      <c r="G16" s="1597">
        <f>+E16+F16</f>
        <v>418016</v>
      </c>
      <c r="H16" s="1598"/>
      <c r="I16" s="1599"/>
      <c r="J16" s="1599"/>
    </row>
    <row r="17" spans="1:13">
      <c r="A17" s="1606" t="s">
        <v>2416</v>
      </c>
      <c r="B17" s="1593"/>
      <c r="C17" s="1594"/>
      <c r="D17" s="1594"/>
      <c r="E17" s="1595">
        <f>+B17+C17+D17</f>
        <v>0</v>
      </c>
      <c r="F17" s="1596"/>
      <c r="G17" s="1597">
        <f>+E17+F17</f>
        <v>0</v>
      </c>
      <c r="H17" s="1598"/>
      <c r="I17" s="1599"/>
      <c r="J17" s="1599"/>
    </row>
    <row r="18" spans="1:13">
      <c r="A18" s="1592" t="s">
        <v>2417</v>
      </c>
      <c r="B18" s="1607">
        <f t="shared" ref="B18:F18" si="2">+B19+B20+B21</f>
        <v>0</v>
      </c>
      <c r="C18" s="1609">
        <f t="shared" si="2"/>
        <v>0</v>
      </c>
      <c r="D18" s="1609">
        <f t="shared" si="2"/>
        <v>0</v>
      </c>
      <c r="E18" s="1611">
        <f t="shared" si="2"/>
        <v>0</v>
      </c>
      <c r="F18" s="1610">
        <f t="shared" si="2"/>
        <v>64774</v>
      </c>
      <c r="G18" s="1597">
        <f t="shared" ref="B18:G18" si="3">+G19+G20+G21</f>
        <v>64774</v>
      </c>
      <c r="H18" s="1597"/>
      <c r="I18" s="1612">
        <f>+I19+I20+I21</f>
        <v>0</v>
      </c>
      <c r="J18" s="1612">
        <f>+J19+J20+J21</f>
        <v>0</v>
      </c>
      <c r="L18" s="1572">
        <f>+'19.mell 2018K12'!E8</f>
        <v>64774</v>
      </c>
      <c r="M18" s="1572">
        <f>+L18-G18</f>
        <v>0</v>
      </c>
    </row>
    <row r="19" spans="1:13">
      <c r="A19" s="1606" t="s">
        <v>2418</v>
      </c>
      <c r="B19" s="1607"/>
      <c r="C19" s="1609"/>
      <c r="D19" s="1609"/>
      <c r="E19" s="1595">
        <f>+B19+C19+D19</f>
        <v>0</v>
      </c>
      <c r="F19" s="1610">
        <v>64774</v>
      </c>
      <c r="G19" s="1597">
        <f>+E19+F19</f>
        <v>64774</v>
      </c>
      <c r="H19" s="1597"/>
      <c r="I19" s="1612"/>
      <c r="J19" s="1612"/>
    </row>
    <row r="20" spans="1:13">
      <c r="A20" s="1606" t="s">
        <v>2419</v>
      </c>
      <c r="B20" s="1607"/>
      <c r="C20" s="1609"/>
      <c r="D20" s="1609"/>
      <c r="E20" s="1595">
        <f>+B20+C20+D20</f>
        <v>0</v>
      </c>
      <c r="F20" s="1610"/>
      <c r="G20" s="1597">
        <f>+E20+F20</f>
        <v>0</v>
      </c>
      <c r="H20" s="1597"/>
      <c r="I20" s="1612"/>
      <c r="J20" s="1612"/>
    </row>
    <row r="21" spans="1:13">
      <c r="A21" s="1606" t="s">
        <v>2420</v>
      </c>
      <c r="B21" s="1607"/>
      <c r="C21" s="1609"/>
      <c r="D21" s="1609"/>
      <c r="E21" s="1595">
        <f>+B21+C21+D21</f>
        <v>0</v>
      </c>
      <c r="F21" s="1610"/>
      <c r="G21" s="1597">
        <f>+E21+F21</f>
        <v>0</v>
      </c>
      <c r="H21" s="1597"/>
      <c r="I21" s="1612"/>
      <c r="J21" s="1612"/>
    </row>
    <row r="22" spans="1:13">
      <c r="A22" s="1592" t="s">
        <v>2421</v>
      </c>
      <c r="B22" s="1607"/>
      <c r="C22" s="1609"/>
      <c r="D22" s="1609">
        <v>946074</v>
      </c>
      <c r="E22" s="1595">
        <f>+B22+C22+D22</f>
        <v>946074</v>
      </c>
      <c r="F22" s="1610">
        <v>64779</v>
      </c>
      <c r="G22" s="1597">
        <f>+E22+F22</f>
        <v>1010853</v>
      </c>
      <c r="H22" s="1597"/>
      <c r="I22" s="1612">
        <v>73093</v>
      </c>
      <c r="J22" s="1612"/>
      <c r="L22" s="1572">
        <f>+'19.mell 2018K12'!E9</f>
        <v>1010853</v>
      </c>
      <c r="M22" s="1572">
        <f>+L22-G22</f>
        <v>0</v>
      </c>
    </row>
    <row r="23" spans="1:13">
      <c r="A23" s="1613"/>
      <c r="B23" s="1607"/>
      <c r="C23" s="1609"/>
      <c r="D23" s="1609"/>
      <c r="E23" s="1611"/>
      <c r="F23" s="1610"/>
      <c r="G23" s="1597"/>
      <c r="H23" s="1597"/>
      <c r="I23" s="1612"/>
      <c r="J23" s="1612"/>
    </row>
    <row r="24" spans="1:13" s="1605" customFormat="1" ht="13.5">
      <c r="A24" s="1600" t="s">
        <v>2422</v>
      </c>
      <c r="B24" s="1614">
        <f t="shared" ref="B24:G24" si="4">+B25+B26</f>
        <v>0</v>
      </c>
      <c r="C24" s="1615">
        <f t="shared" si="4"/>
        <v>0</v>
      </c>
      <c r="D24" s="1615">
        <f t="shared" si="4"/>
        <v>0</v>
      </c>
      <c r="E24" s="1611">
        <f t="shared" si="4"/>
        <v>0</v>
      </c>
      <c r="F24" s="1616">
        <f t="shared" si="4"/>
        <v>5154</v>
      </c>
      <c r="G24" s="1597">
        <f t="shared" si="4"/>
        <v>5154</v>
      </c>
      <c r="H24" s="1597"/>
      <c r="I24" s="1617">
        <f>+I25+I26</f>
        <v>0</v>
      </c>
      <c r="J24" s="1617">
        <f>+J25+J26</f>
        <v>0</v>
      </c>
    </row>
    <row r="25" spans="1:13">
      <c r="A25" s="1618" t="s">
        <v>2423</v>
      </c>
      <c r="B25" s="1607"/>
      <c r="C25" s="1609"/>
      <c r="D25" s="1609"/>
      <c r="E25" s="1595">
        <f>+B25+C25+D25</f>
        <v>0</v>
      </c>
      <c r="F25" s="1610">
        <v>5154</v>
      </c>
      <c r="G25" s="1597">
        <f>+E25+F25</f>
        <v>5154</v>
      </c>
      <c r="H25" s="1597"/>
      <c r="I25" s="1612"/>
      <c r="J25" s="1612"/>
      <c r="L25" s="1572">
        <f>+'19.mell 2018K12'!E11</f>
        <v>5154</v>
      </c>
      <c r="M25" s="1572">
        <f>+L25-G25</f>
        <v>0</v>
      </c>
    </row>
    <row r="26" spans="1:13">
      <c r="A26" s="1618" t="s">
        <v>2424</v>
      </c>
      <c r="B26" s="1607"/>
      <c r="C26" s="1609"/>
      <c r="D26" s="1609"/>
      <c r="E26" s="1595">
        <f>+B26+C26+D26</f>
        <v>0</v>
      </c>
      <c r="F26" s="1610"/>
      <c r="G26" s="1597">
        <f>+E26+F26</f>
        <v>0</v>
      </c>
      <c r="H26" s="1597"/>
      <c r="I26" s="1612"/>
      <c r="J26" s="1612"/>
      <c r="L26" s="1572">
        <f>+'19.mell 2018K12'!E12</f>
        <v>0</v>
      </c>
      <c r="M26" s="1572">
        <f>+L26-G26</f>
        <v>0</v>
      </c>
    </row>
    <row r="27" spans="1:13">
      <c r="A27" s="1592"/>
      <c r="B27" s="1607"/>
      <c r="C27" s="1609"/>
      <c r="D27" s="1609"/>
      <c r="E27" s="1611"/>
      <c r="F27" s="1610"/>
      <c r="G27" s="1597"/>
      <c r="H27" s="1597"/>
      <c r="I27" s="1612"/>
      <c r="J27" s="1612"/>
    </row>
    <row r="28" spans="1:13" s="1605" customFormat="1" ht="13.5">
      <c r="A28" s="1600" t="s">
        <v>2425</v>
      </c>
      <c r="B28" s="1614">
        <f t="shared" ref="B28:G28" si="5">+B29+B30+B31+B32</f>
        <v>0</v>
      </c>
      <c r="C28" s="1615">
        <f t="shared" si="5"/>
        <v>0</v>
      </c>
      <c r="D28" s="1615">
        <f t="shared" si="5"/>
        <v>0</v>
      </c>
      <c r="E28" s="1611">
        <f t="shared" si="5"/>
        <v>0</v>
      </c>
      <c r="F28" s="1616">
        <f t="shared" si="5"/>
        <v>2733455</v>
      </c>
      <c r="G28" s="1597">
        <f t="shared" si="5"/>
        <v>2733455</v>
      </c>
      <c r="H28" s="1597"/>
      <c r="I28" s="1617">
        <f>+I29+I30+I31+I32</f>
        <v>0</v>
      </c>
      <c r="J28" s="1617">
        <f>+J29+J30+J31+J32</f>
        <v>0</v>
      </c>
    </row>
    <row r="29" spans="1:13">
      <c r="A29" s="1618" t="s">
        <v>2426</v>
      </c>
      <c r="B29" s="1607"/>
      <c r="C29" s="1609"/>
      <c r="D29" s="1609"/>
      <c r="E29" s="1595">
        <f>+B29+C29+D29</f>
        <v>0</v>
      </c>
      <c r="F29" s="1610"/>
      <c r="G29" s="1597">
        <f>+E29+F29</f>
        <v>0</v>
      </c>
      <c r="H29" s="1597"/>
      <c r="I29" s="1612"/>
      <c r="J29" s="1612"/>
      <c r="L29" s="1572">
        <f>+'19.mell 2018K12'!E14</f>
        <v>0</v>
      </c>
      <c r="M29" s="1572">
        <f>+L29-G29</f>
        <v>0</v>
      </c>
    </row>
    <row r="30" spans="1:13">
      <c r="A30" s="1618" t="s">
        <v>2427</v>
      </c>
      <c r="B30" s="1607"/>
      <c r="C30" s="1609"/>
      <c r="D30" s="1609"/>
      <c r="E30" s="1595">
        <f>+B30+C30+D30</f>
        <v>0</v>
      </c>
      <c r="F30" s="1610">
        <v>1600</v>
      </c>
      <c r="G30" s="1597">
        <f>+E30+F30</f>
        <v>1600</v>
      </c>
      <c r="H30" s="1597"/>
      <c r="I30" s="1612"/>
      <c r="J30" s="1612"/>
      <c r="L30" s="1572">
        <f>+'19.mell 2018K12'!E15</f>
        <v>1600</v>
      </c>
      <c r="M30" s="1572">
        <f>+L30-G30</f>
        <v>0</v>
      </c>
    </row>
    <row r="31" spans="1:13">
      <c r="A31" s="1618" t="s">
        <v>2428</v>
      </c>
      <c r="B31" s="1607"/>
      <c r="C31" s="1609"/>
      <c r="D31" s="1609"/>
      <c r="E31" s="1595">
        <f>+B31+C31+D31</f>
        <v>0</v>
      </c>
      <c r="F31" s="1610">
        <v>2731855</v>
      </c>
      <c r="G31" s="1597">
        <f>+E31+F31</f>
        <v>2731855</v>
      </c>
      <c r="H31" s="1597"/>
      <c r="I31" s="1612"/>
      <c r="J31" s="1612"/>
      <c r="L31" s="1572">
        <f>+'19.mell 2018K12'!E16</f>
        <v>2731855</v>
      </c>
      <c r="M31" s="1572">
        <f>+L31-F31-F32</f>
        <v>0</v>
      </c>
    </row>
    <row r="32" spans="1:13">
      <c r="A32" s="1618" t="s">
        <v>2429</v>
      </c>
      <c r="B32" s="1607"/>
      <c r="C32" s="1609"/>
      <c r="D32" s="1609"/>
      <c r="E32" s="1595">
        <f>+B32+C32+D32</f>
        <v>0</v>
      </c>
      <c r="F32" s="1610"/>
      <c r="G32" s="1597">
        <f>+E32+F32</f>
        <v>0</v>
      </c>
      <c r="H32" s="1597"/>
      <c r="I32" s="1612"/>
      <c r="J32" s="1612"/>
    </row>
    <row r="33" spans="1:13">
      <c r="A33" s="1618"/>
      <c r="B33" s="1607"/>
      <c r="C33" s="1609"/>
      <c r="D33" s="1609"/>
      <c r="E33" s="1611"/>
      <c r="F33" s="1610"/>
      <c r="G33" s="1597"/>
      <c r="H33" s="1597"/>
      <c r="I33" s="1612"/>
      <c r="J33" s="1612"/>
    </row>
    <row r="34" spans="1:13" s="1605" customFormat="1" ht="13.5">
      <c r="A34" s="1600" t="s">
        <v>2430</v>
      </c>
      <c r="B34" s="1614">
        <f t="shared" ref="B34:G34" si="6">+B35+B36+B37</f>
        <v>0</v>
      </c>
      <c r="C34" s="1615">
        <f t="shared" si="6"/>
        <v>0</v>
      </c>
      <c r="D34" s="1615">
        <f t="shared" si="6"/>
        <v>0</v>
      </c>
      <c r="E34" s="1611">
        <f t="shared" si="6"/>
        <v>0</v>
      </c>
      <c r="F34" s="1616">
        <f t="shared" si="6"/>
        <v>906030</v>
      </c>
      <c r="G34" s="1597">
        <f t="shared" si="6"/>
        <v>906030</v>
      </c>
      <c r="H34" s="1597"/>
      <c r="I34" s="1617">
        <f>+I35+I36+I37</f>
        <v>0</v>
      </c>
      <c r="J34" s="1617">
        <f>+J35+J36+J37</f>
        <v>0</v>
      </c>
    </row>
    <row r="35" spans="1:13">
      <c r="A35" s="1618" t="s">
        <v>2431</v>
      </c>
      <c r="B35" s="1607"/>
      <c r="C35" s="1609"/>
      <c r="D35" s="1609"/>
      <c r="E35" s="1595">
        <f>+B35+C35+D35</f>
        <v>0</v>
      </c>
      <c r="F35" s="1610">
        <v>189600</v>
      </c>
      <c r="G35" s="1597">
        <f>+E35+F35</f>
        <v>189600</v>
      </c>
      <c r="H35" s="1597"/>
      <c r="I35" s="1612"/>
      <c r="J35" s="1612"/>
      <c r="L35" s="1572">
        <f>+'19.mell 2018K12'!E18</f>
        <v>189600</v>
      </c>
      <c r="M35" s="1572">
        <f t="shared" ref="M35:M41" si="7">+L35-G35</f>
        <v>0</v>
      </c>
    </row>
    <row r="36" spans="1:13">
      <c r="A36" s="1618" t="s">
        <v>2432</v>
      </c>
      <c r="B36" s="1607"/>
      <c r="C36" s="1609"/>
      <c r="D36" s="1609"/>
      <c r="E36" s="1595">
        <f>+B36+C36+D36</f>
        <v>0</v>
      </c>
      <c r="F36" s="1610">
        <v>15918</v>
      </c>
      <c r="G36" s="1597">
        <f>+E36+F36</f>
        <v>15918</v>
      </c>
      <c r="H36" s="1597"/>
      <c r="I36" s="1612"/>
      <c r="J36" s="1612"/>
      <c r="L36" s="1572">
        <f>+'19.mell 2018K12'!E19</f>
        <v>15918</v>
      </c>
      <c r="M36" s="1572">
        <f t="shared" si="7"/>
        <v>0</v>
      </c>
    </row>
    <row r="37" spans="1:13">
      <c r="A37" s="1618" t="s">
        <v>2433</v>
      </c>
      <c r="B37" s="1607"/>
      <c r="C37" s="1609"/>
      <c r="D37" s="1609"/>
      <c r="E37" s="1595">
        <f>+B37+C37+D37</f>
        <v>0</v>
      </c>
      <c r="F37" s="1610">
        <v>700512</v>
      </c>
      <c r="G37" s="1597">
        <f>+E37+F37</f>
        <v>700512</v>
      </c>
      <c r="H37" s="1597"/>
      <c r="I37" s="1612"/>
      <c r="J37" s="1612"/>
      <c r="L37" s="1572">
        <f>+'19.mell 2018K12'!E20</f>
        <v>700512</v>
      </c>
      <c r="M37" s="1572">
        <f t="shared" si="7"/>
        <v>0</v>
      </c>
    </row>
    <row r="38" spans="1:13">
      <c r="A38" s="1618"/>
      <c r="B38" s="1607"/>
      <c r="C38" s="1609"/>
      <c r="D38" s="1609"/>
      <c r="E38" s="1611"/>
      <c r="F38" s="1610"/>
      <c r="G38" s="1597"/>
      <c r="H38" s="1597"/>
      <c r="I38" s="1612"/>
      <c r="J38" s="1612"/>
    </row>
    <row r="39" spans="1:13" s="1605" customFormat="1" ht="13.5">
      <c r="A39" s="1619" t="s">
        <v>2434</v>
      </c>
      <c r="B39" s="1614"/>
      <c r="C39" s="1615"/>
      <c r="D39" s="1615"/>
      <c r="E39" s="1595">
        <f>+B39+C39+D39</f>
        <v>0</v>
      </c>
      <c r="F39" s="1616">
        <v>15162</v>
      </c>
      <c r="G39" s="1597">
        <f>+E39+F39</f>
        <v>15162</v>
      </c>
      <c r="H39" s="1597"/>
      <c r="I39" s="1617"/>
      <c r="J39" s="1617"/>
      <c r="L39" s="1605">
        <f>+'19.mell 2018K12'!E22</f>
        <v>15162</v>
      </c>
      <c r="M39" s="1572">
        <f t="shared" si="7"/>
        <v>0</v>
      </c>
    </row>
    <row r="40" spans="1:13">
      <c r="A40" s="1620"/>
      <c r="B40" s="1607"/>
      <c r="C40" s="1609"/>
      <c r="D40" s="1609"/>
      <c r="E40" s="1621"/>
      <c r="F40" s="1610"/>
      <c r="G40" s="1622"/>
      <c r="H40" s="1622"/>
      <c r="I40" s="1612"/>
      <c r="J40" s="1612"/>
    </row>
    <row r="41" spans="1:13" s="1605" customFormat="1" ht="13.5">
      <c r="A41" s="1619" t="s">
        <v>2435</v>
      </c>
      <c r="B41" s="1614"/>
      <c r="C41" s="1615"/>
      <c r="D41" s="1615"/>
      <c r="E41" s="1595">
        <f>+B41+C41+D41</f>
        <v>0</v>
      </c>
      <c r="F41" s="1616">
        <v>158</v>
      </c>
      <c r="G41" s="1597">
        <f>+E41+F41</f>
        <v>158</v>
      </c>
      <c r="H41" s="1597"/>
      <c r="I41" s="1617"/>
      <c r="J41" s="1617"/>
      <c r="L41" s="1605">
        <f>+'19.mell 2018K12'!E23</f>
        <v>158</v>
      </c>
      <c r="M41" s="1572">
        <f t="shared" si="7"/>
        <v>0</v>
      </c>
    </row>
    <row r="42" spans="1:13" ht="13.5" thickBot="1">
      <c r="A42" s="1606"/>
      <c r="B42" s="1607"/>
      <c r="C42" s="1609"/>
      <c r="D42" s="1609"/>
      <c r="E42" s="1621"/>
      <c r="F42" s="1623"/>
      <c r="G42" s="1624"/>
      <c r="H42" s="1625"/>
      <c r="I42" s="1612"/>
      <c r="J42" s="1612"/>
    </row>
    <row r="43" spans="1:13" s="1605" customFormat="1" ht="14.25" thickBot="1">
      <c r="A43" s="1626" t="s">
        <v>2436</v>
      </c>
      <c r="B43" s="1627">
        <f t="shared" ref="B43:G43" si="8">+B10+B24+B28+B34+B39+B41</f>
        <v>2705420</v>
      </c>
      <c r="C43" s="1628">
        <f t="shared" si="8"/>
        <v>0</v>
      </c>
      <c r="D43" s="1628">
        <f t="shared" si="8"/>
        <v>4227501</v>
      </c>
      <c r="E43" s="1629">
        <f t="shared" si="8"/>
        <v>6932921</v>
      </c>
      <c r="F43" s="1630">
        <f t="shared" si="8"/>
        <v>4616934</v>
      </c>
      <c r="G43" s="1631">
        <f t="shared" si="8"/>
        <v>11549855</v>
      </c>
      <c r="H43" s="1598"/>
      <c r="I43" s="1632">
        <f>+I10+I24+I28+I34+I39+I41</f>
        <v>497585</v>
      </c>
      <c r="J43" s="1632">
        <f>+J10+J24+J28+J34+J39+J41</f>
        <v>0</v>
      </c>
    </row>
    <row r="44" spans="1:13">
      <c r="A44" s="1633"/>
      <c r="G44" s="1634" t="s">
        <v>2437</v>
      </c>
    </row>
    <row r="45" spans="1:13" ht="13.5" thickBot="1">
      <c r="A45" s="1633"/>
      <c r="G45" s="1634"/>
    </row>
    <row r="46" spans="1:13" ht="12.75" customHeight="1">
      <c r="A46" s="1636" t="s">
        <v>2438</v>
      </c>
      <c r="B46" s="1637" t="s">
        <v>2402</v>
      </c>
      <c r="C46" s="1638"/>
      <c r="D46" s="1638"/>
      <c r="E46" s="1639"/>
      <c r="F46" s="1580" t="s">
        <v>2403</v>
      </c>
      <c r="G46" s="1640" t="s">
        <v>18</v>
      </c>
      <c r="H46" s="1641"/>
    </row>
    <row r="47" spans="1:13" ht="51.75" thickBot="1">
      <c r="A47" s="1642"/>
      <c r="B47" s="1585" t="s">
        <v>2406</v>
      </c>
      <c r="C47" s="1586" t="s">
        <v>2407</v>
      </c>
      <c r="D47" s="1586" t="s">
        <v>2408</v>
      </c>
      <c r="E47" s="1587" t="s">
        <v>18</v>
      </c>
      <c r="F47" s="1588"/>
      <c r="G47" s="1643"/>
      <c r="H47" s="1641"/>
    </row>
    <row r="48" spans="1:13">
      <c r="A48" s="1600"/>
      <c r="B48" s="1614"/>
      <c r="C48" s="1615"/>
      <c r="D48" s="1615"/>
      <c r="E48" s="1611"/>
      <c r="F48" s="1616"/>
      <c r="G48" s="1597"/>
    </row>
    <row r="49" spans="1:13" s="1605" customFormat="1" ht="13.5">
      <c r="A49" s="1600" t="s">
        <v>2439</v>
      </c>
      <c r="B49" s="1644"/>
      <c r="C49" s="1645"/>
      <c r="D49" s="1645"/>
      <c r="E49" s="1646"/>
      <c r="F49" s="1647"/>
      <c r="G49" s="1597">
        <f>+G50+G51+G52+G53+G54+G55</f>
        <v>5192321</v>
      </c>
      <c r="H49" s="1635"/>
      <c r="I49" s="1648"/>
    </row>
    <row r="50" spans="1:13">
      <c r="A50" s="1618" t="s">
        <v>2440</v>
      </c>
      <c r="B50" s="1649"/>
      <c r="C50" s="1650"/>
      <c r="D50" s="1650"/>
      <c r="E50" s="1646"/>
      <c r="F50" s="1651"/>
      <c r="G50" s="1597">
        <v>6470309</v>
      </c>
      <c r="L50" s="1605">
        <f>+'19.mell 2018K12'!E25</f>
        <v>6616577</v>
      </c>
      <c r="M50" s="1605">
        <f>+L50-G50-G51-G52</f>
        <v>0</v>
      </c>
    </row>
    <row r="51" spans="1:13">
      <c r="A51" s="1618" t="s">
        <v>2441</v>
      </c>
      <c r="B51" s="1649"/>
      <c r="C51" s="1650"/>
      <c r="D51" s="1650"/>
      <c r="E51" s="1646"/>
      <c r="F51" s="1651"/>
      <c r="G51" s="1597">
        <v>-121173</v>
      </c>
    </row>
    <row r="52" spans="1:13">
      <c r="A52" s="1618" t="s">
        <v>2442</v>
      </c>
      <c r="B52" s="1649"/>
      <c r="C52" s="1650"/>
      <c r="D52" s="1650"/>
      <c r="E52" s="1646"/>
      <c r="F52" s="1651"/>
      <c r="G52" s="1597">
        <v>267441</v>
      </c>
    </row>
    <row r="53" spans="1:13">
      <c r="A53" s="1618" t="s">
        <v>2443</v>
      </c>
      <c r="B53" s="1649"/>
      <c r="C53" s="1650"/>
      <c r="D53" s="1650"/>
      <c r="E53" s="1646"/>
      <c r="F53" s="1651"/>
      <c r="G53" s="1597">
        <v>-1608570</v>
      </c>
      <c r="L53" s="1572">
        <f>+'19.mell 2018K12'!E26</f>
        <v>-1608570</v>
      </c>
      <c r="M53" s="1572">
        <f>+L53-G53</f>
        <v>0</v>
      </c>
    </row>
    <row r="54" spans="1:13">
      <c r="A54" s="1618" t="s">
        <v>2444</v>
      </c>
      <c r="B54" s="1649"/>
      <c r="C54" s="1650"/>
      <c r="D54" s="1650"/>
      <c r="E54" s="1646"/>
      <c r="F54" s="1651"/>
      <c r="G54" s="1597"/>
      <c r="L54" s="1572">
        <f>+'19.mell 2018K12'!E27</f>
        <v>0</v>
      </c>
      <c r="M54" s="1572">
        <f>+L54-G54</f>
        <v>0</v>
      </c>
    </row>
    <row r="55" spans="1:13">
      <c r="A55" s="1618" t="s">
        <v>2445</v>
      </c>
      <c r="B55" s="1649"/>
      <c r="C55" s="1650"/>
      <c r="D55" s="1650"/>
      <c r="E55" s="1646"/>
      <c r="F55" s="1651"/>
      <c r="G55" s="1597">
        <v>184314</v>
      </c>
      <c r="L55" s="1572">
        <f>+'19.mell 2018K12'!E28</f>
        <v>184314</v>
      </c>
      <c r="M55" s="1572">
        <f>+L55-G55</f>
        <v>0</v>
      </c>
    </row>
    <row r="56" spans="1:13">
      <c r="A56" s="1618"/>
      <c r="B56" s="1649"/>
      <c r="C56" s="1650"/>
      <c r="D56" s="1650"/>
      <c r="E56" s="1652"/>
      <c r="F56" s="1651"/>
      <c r="G56" s="1597"/>
    </row>
    <row r="57" spans="1:13" s="1605" customFormat="1" ht="13.5">
      <c r="A57" s="1600" t="s">
        <v>2446</v>
      </c>
      <c r="B57" s="1644"/>
      <c r="C57" s="1645"/>
      <c r="D57" s="1645"/>
      <c r="E57" s="1646"/>
      <c r="F57" s="1647"/>
      <c r="G57" s="1597">
        <f>+G58+G59+G60</f>
        <v>318255</v>
      </c>
      <c r="H57" s="1635"/>
      <c r="I57" s="1648"/>
    </row>
    <row r="58" spans="1:13">
      <c r="A58" s="1618" t="s">
        <v>2447</v>
      </c>
      <c r="B58" s="1649"/>
      <c r="C58" s="1650"/>
      <c r="D58" s="1650"/>
      <c r="E58" s="1646"/>
      <c r="F58" s="1651"/>
      <c r="G58" s="1597">
        <v>116883</v>
      </c>
      <c r="L58" s="1572">
        <f>+'19.mell 2018K12'!E30</f>
        <v>116883</v>
      </c>
      <c r="M58" s="1572">
        <f t="shared" ref="M58:M64" si="9">+L58-G58</f>
        <v>0</v>
      </c>
    </row>
    <row r="59" spans="1:13">
      <c r="A59" s="1618" t="s">
        <v>2448</v>
      </c>
      <c r="B59" s="1649"/>
      <c r="C59" s="1650"/>
      <c r="D59" s="1650"/>
      <c r="E59" s="1646"/>
      <c r="F59" s="1651"/>
      <c r="G59" s="1597">
        <v>106606</v>
      </c>
      <c r="L59" s="1572">
        <f>+'19.mell 2018K12'!E31</f>
        <v>106606</v>
      </c>
      <c r="M59" s="1572">
        <f t="shared" si="9"/>
        <v>0</v>
      </c>
    </row>
    <row r="60" spans="1:13">
      <c r="A60" s="1618" t="s">
        <v>2449</v>
      </c>
      <c r="B60" s="1649"/>
      <c r="C60" s="1650"/>
      <c r="D60" s="1650"/>
      <c r="E60" s="1646"/>
      <c r="F60" s="1651"/>
      <c r="G60" s="1597">
        <v>94766</v>
      </c>
      <c r="L60" s="1572">
        <f>+'19.mell 2018K12'!E32</f>
        <v>94766</v>
      </c>
      <c r="M60" s="1572">
        <f t="shared" si="9"/>
        <v>0</v>
      </c>
    </row>
    <row r="61" spans="1:13">
      <c r="A61" s="1618"/>
      <c r="B61" s="1649"/>
      <c r="C61" s="1650"/>
      <c r="D61" s="1650"/>
      <c r="E61" s="1652"/>
      <c r="F61" s="1651"/>
      <c r="G61" s="1597"/>
    </row>
    <row r="62" spans="1:13" s="1605" customFormat="1" ht="13.5">
      <c r="A62" s="1619" t="s">
        <v>2450</v>
      </c>
      <c r="B62" s="1644"/>
      <c r="C62" s="1645"/>
      <c r="D62" s="1645"/>
      <c r="E62" s="1646"/>
      <c r="F62" s="1647"/>
      <c r="G62" s="1597"/>
      <c r="H62" s="1635"/>
      <c r="I62" s="1648"/>
      <c r="L62" s="1605">
        <f>+'19.mell 2018K12'!E34</f>
        <v>0</v>
      </c>
      <c r="M62" s="1572">
        <f t="shared" si="9"/>
        <v>0</v>
      </c>
    </row>
    <row r="63" spans="1:13">
      <c r="A63" s="1619"/>
      <c r="B63" s="1649"/>
      <c r="C63" s="1650"/>
      <c r="D63" s="1650"/>
      <c r="E63" s="1652"/>
      <c r="F63" s="1651"/>
      <c r="G63" s="1597"/>
    </row>
    <row r="64" spans="1:13" s="1605" customFormat="1" ht="13.5">
      <c r="A64" s="1600" t="s">
        <v>2451</v>
      </c>
      <c r="B64" s="1644"/>
      <c r="C64" s="1645"/>
      <c r="D64" s="1645"/>
      <c r="E64" s="1646"/>
      <c r="F64" s="1647"/>
      <c r="G64" s="1597">
        <v>6039279</v>
      </c>
      <c r="H64" s="1635"/>
      <c r="I64" s="1648"/>
      <c r="L64" s="1605">
        <f>+'19.mell 2018K12'!E35</f>
        <v>6039279</v>
      </c>
      <c r="M64" s="1572">
        <f t="shared" si="9"/>
        <v>0</v>
      </c>
    </row>
    <row r="65" spans="1:9" ht="13.5" thickBot="1">
      <c r="A65" s="1592"/>
      <c r="B65" s="1607"/>
      <c r="C65" s="1609"/>
      <c r="D65" s="1609"/>
      <c r="E65" s="1621"/>
      <c r="F65" s="1610"/>
      <c r="G65" s="1597"/>
    </row>
    <row r="66" spans="1:9" s="1605" customFormat="1" ht="14.25" thickBot="1">
      <c r="A66" s="1626" t="s">
        <v>2452</v>
      </c>
      <c r="B66" s="1653">
        <f t="shared" ref="B66:G66" si="10">+B49+B57+B62+B64</f>
        <v>0</v>
      </c>
      <c r="C66" s="1654">
        <f t="shared" si="10"/>
        <v>0</v>
      </c>
      <c r="D66" s="1654">
        <f t="shared" si="10"/>
        <v>0</v>
      </c>
      <c r="E66" s="1655">
        <f t="shared" si="10"/>
        <v>0</v>
      </c>
      <c r="F66" s="1656">
        <f t="shared" si="10"/>
        <v>0</v>
      </c>
      <c r="G66" s="1631">
        <f t="shared" si="10"/>
        <v>11549855</v>
      </c>
      <c r="H66" s="1635"/>
      <c r="I66" s="1648"/>
    </row>
    <row r="68" spans="1:9" s="1605" customFormat="1" ht="13.5">
      <c r="A68" s="1648" t="s">
        <v>2453</v>
      </c>
      <c r="G68" s="1605">
        <f>+G69+G70</f>
        <v>3926</v>
      </c>
      <c r="H68" s="1648" t="s">
        <v>2454</v>
      </c>
      <c r="I68" s="1648"/>
    </row>
    <row r="69" spans="1:9">
      <c r="A69" s="1575" t="s">
        <v>2455</v>
      </c>
      <c r="G69" s="1572">
        <v>647</v>
      </c>
      <c r="H69" s="1575" t="s">
        <v>2454</v>
      </c>
    </row>
    <row r="70" spans="1:9">
      <c r="A70" s="1575" t="s">
        <v>2456</v>
      </c>
      <c r="G70" s="1572">
        <v>3279</v>
      </c>
      <c r="H70" s="1575" t="s">
        <v>2454</v>
      </c>
    </row>
    <row r="71" spans="1:9">
      <c r="A71" s="1575"/>
      <c r="G71" s="1572"/>
      <c r="H71" s="1575"/>
    </row>
    <row r="72" spans="1:9" s="1605" customFormat="1" ht="13.5">
      <c r="A72" s="1648" t="s">
        <v>2457</v>
      </c>
      <c r="G72" s="1605">
        <f>SUM(G73:G91)</f>
        <v>3414478</v>
      </c>
      <c r="H72" s="1648" t="s">
        <v>2454</v>
      </c>
      <c r="I72" s="1648"/>
    </row>
    <row r="73" spans="1:9">
      <c r="A73" s="1657" t="s">
        <v>2458</v>
      </c>
      <c r="B73" s="1657"/>
      <c r="C73" s="1657"/>
      <c r="D73" s="1657"/>
      <c r="E73" s="1657"/>
      <c r="F73" s="1657"/>
      <c r="G73" s="1572">
        <v>205000</v>
      </c>
      <c r="H73" s="1575" t="s">
        <v>2454</v>
      </c>
    </row>
    <row r="74" spans="1:9">
      <c r="A74" s="1657" t="s">
        <v>2459</v>
      </c>
      <c r="B74" s="1657"/>
      <c r="C74" s="1657"/>
      <c r="D74" s="1657"/>
      <c r="E74" s="1657"/>
      <c r="F74" s="1657"/>
      <c r="G74" s="1572">
        <v>177292</v>
      </c>
      <c r="H74" s="1575" t="s">
        <v>2454</v>
      </c>
    </row>
    <row r="75" spans="1:9" ht="28.5" customHeight="1">
      <c r="A75" s="1657" t="s">
        <v>2460</v>
      </c>
      <c r="B75" s="1657"/>
      <c r="C75" s="1657"/>
      <c r="D75" s="1657"/>
      <c r="E75" s="1657"/>
      <c r="F75" s="1657"/>
      <c r="G75" s="1572">
        <v>249619</v>
      </c>
      <c r="H75" s="1575" t="s">
        <v>2454</v>
      </c>
    </row>
    <row r="76" spans="1:9">
      <c r="A76" s="1657" t="s">
        <v>2461</v>
      </c>
      <c r="B76" s="1657"/>
      <c r="C76" s="1657"/>
      <c r="D76" s="1657"/>
      <c r="E76" s="1657"/>
      <c r="F76" s="1657"/>
      <c r="G76" s="1572">
        <v>126248</v>
      </c>
      <c r="H76" s="1575" t="s">
        <v>2454</v>
      </c>
    </row>
    <row r="77" spans="1:9">
      <c r="A77" s="1657" t="s">
        <v>2462</v>
      </c>
      <c r="B77" s="1657"/>
      <c r="C77" s="1657"/>
      <c r="D77" s="1657"/>
      <c r="E77" s="1657"/>
      <c r="F77" s="1657"/>
      <c r="G77" s="1572">
        <v>395770</v>
      </c>
      <c r="H77" s="1575" t="s">
        <v>2454</v>
      </c>
    </row>
    <row r="78" spans="1:9">
      <c r="A78" s="1875" t="s">
        <v>2690</v>
      </c>
      <c r="B78" s="1875"/>
      <c r="C78" s="1875"/>
      <c r="D78" s="1875"/>
      <c r="E78" s="1875"/>
      <c r="F78" s="1875"/>
      <c r="G78" s="1572">
        <v>114709</v>
      </c>
      <c r="H78" s="1575" t="s">
        <v>2454</v>
      </c>
    </row>
    <row r="79" spans="1:9">
      <c r="A79" s="1875" t="s">
        <v>2691</v>
      </c>
      <c r="B79" s="1875"/>
      <c r="C79" s="1875"/>
      <c r="D79" s="1875"/>
      <c r="E79" s="1875"/>
      <c r="F79" s="1875"/>
      <c r="G79" s="1572">
        <v>138388</v>
      </c>
      <c r="H79" s="1575" t="s">
        <v>2454</v>
      </c>
    </row>
    <row r="80" spans="1:9" s="1575" customFormat="1">
      <c r="A80" s="1575" t="s">
        <v>2692</v>
      </c>
      <c r="G80" s="1575">
        <v>130650</v>
      </c>
      <c r="H80" s="1575" t="s">
        <v>2454</v>
      </c>
    </row>
    <row r="81" spans="1:10" s="1648" customFormat="1" ht="13.5">
      <c r="A81" s="1575" t="s">
        <v>2694</v>
      </c>
      <c r="B81" s="1575"/>
      <c r="C81" s="1575"/>
      <c r="D81" s="1575"/>
      <c r="E81" s="1575"/>
      <c r="F81" s="1575"/>
      <c r="G81" s="1575">
        <v>59791</v>
      </c>
      <c r="H81" s="1575" t="s">
        <v>2454</v>
      </c>
    </row>
    <row r="82" spans="1:10">
      <c r="A82" s="1575" t="s">
        <v>2693</v>
      </c>
      <c r="B82" s="1575"/>
      <c r="C82" s="1575"/>
      <c r="D82" s="1575"/>
      <c r="E82" s="1575"/>
      <c r="F82" s="1575"/>
      <c r="G82" s="1575">
        <v>28284</v>
      </c>
      <c r="H82" s="1575" t="s">
        <v>2454</v>
      </c>
    </row>
    <row r="83" spans="1:10" ht="12.75" customHeight="1">
      <c r="A83" s="1575" t="s">
        <v>2695</v>
      </c>
      <c r="B83" s="1575"/>
      <c r="C83" s="1575"/>
      <c r="D83" s="1575"/>
      <c r="E83" s="1575"/>
      <c r="F83" s="1575"/>
      <c r="G83" s="1575">
        <v>16553</v>
      </c>
      <c r="H83" s="1575" t="s">
        <v>2454</v>
      </c>
    </row>
    <row r="84" spans="1:10" ht="13.5">
      <c r="A84" s="1575" t="s">
        <v>2696</v>
      </c>
      <c r="B84" s="1575"/>
      <c r="C84" s="1575"/>
      <c r="D84" s="1575"/>
      <c r="E84" s="1575"/>
      <c r="F84" s="1575"/>
      <c r="G84" s="1575">
        <v>34604</v>
      </c>
      <c r="H84" s="1575" t="s">
        <v>2454</v>
      </c>
      <c r="I84" s="1648"/>
      <c r="J84" s="1605"/>
    </row>
    <row r="85" spans="1:10">
      <c r="A85" s="1575" t="s">
        <v>2697</v>
      </c>
      <c r="B85" s="1575"/>
      <c r="C85" s="1575"/>
      <c r="D85" s="1575"/>
      <c r="E85" s="1575"/>
      <c r="F85" s="1575"/>
      <c r="G85" s="1575">
        <v>57085</v>
      </c>
      <c r="H85" s="1575" t="s">
        <v>2454</v>
      </c>
    </row>
    <row r="86" spans="1:10">
      <c r="A86" s="1575" t="s">
        <v>2698</v>
      </c>
      <c r="B86" s="1575"/>
      <c r="C86" s="1575"/>
      <c r="D86" s="1575"/>
      <c r="E86" s="1575"/>
      <c r="F86" s="1575"/>
      <c r="G86" s="1575">
        <v>195000</v>
      </c>
      <c r="H86" s="1575" t="s">
        <v>2454</v>
      </c>
      <c r="J86" s="1575"/>
    </row>
    <row r="87" spans="1:10" ht="13.5">
      <c r="A87" s="1575" t="s">
        <v>2699</v>
      </c>
      <c r="B87" s="1575"/>
      <c r="C87" s="1575"/>
      <c r="D87" s="1575"/>
      <c r="E87" s="1575"/>
      <c r="F87" s="1575"/>
      <c r="G87" s="1575">
        <v>69268</v>
      </c>
      <c r="H87" s="1575" t="s">
        <v>2454</v>
      </c>
      <c r="I87" s="1648"/>
      <c r="J87" s="1648"/>
    </row>
    <row r="88" spans="1:10">
      <c r="A88" s="1575" t="s">
        <v>2700</v>
      </c>
      <c r="B88" s="1575"/>
      <c r="C88" s="1575"/>
      <c r="D88" s="1575"/>
      <c r="E88" s="1575"/>
      <c r="F88" s="1575"/>
      <c r="G88" s="1575">
        <v>109516</v>
      </c>
      <c r="H88" s="1575" t="s">
        <v>2454</v>
      </c>
    </row>
    <row r="89" spans="1:10">
      <c r="A89" s="1575" t="s">
        <v>2701</v>
      </c>
      <c r="B89" s="1575"/>
      <c r="C89" s="1575"/>
      <c r="D89" s="1575"/>
      <c r="E89" s="1575"/>
      <c r="F89" s="1575"/>
      <c r="G89" s="1575">
        <v>438917</v>
      </c>
      <c r="H89" s="1575" t="s">
        <v>2454</v>
      </c>
    </row>
    <row r="90" spans="1:10">
      <c r="A90" s="1575" t="s">
        <v>2702</v>
      </c>
      <c r="B90" s="1575"/>
      <c r="C90" s="1575"/>
      <c r="D90" s="1575"/>
      <c r="E90" s="1575"/>
      <c r="F90" s="1575"/>
      <c r="G90" s="1575">
        <v>84548</v>
      </c>
      <c r="H90" s="1575" t="s">
        <v>2454</v>
      </c>
    </row>
    <row r="91" spans="1:10">
      <c r="A91" s="1575" t="s">
        <v>2703</v>
      </c>
      <c r="B91" s="1575"/>
      <c r="C91" s="1575"/>
      <c r="D91" s="1575"/>
      <c r="E91" s="1575"/>
      <c r="F91" s="1575"/>
      <c r="G91" s="1575">
        <v>783236</v>
      </c>
      <c r="H91" s="1575" t="s">
        <v>2454</v>
      </c>
    </row>
    <row r="92" spans="1:10" ht="13.5">
      <c r="A92" s="1575"/>
      <c r="B92" s="1575"/>
      <c r="C92" s="1575"/>
      <c r="D92" s="1575"/>
      <c r="E92" s="1575"/>
      <c r="F92" s="1575"/>
      <c r="G92" s="1648"/>
      <c r="H92" s="1575"/>
    </row>
    <row r="93" spans="1:10" ht="13.5">
      <c r="A93" s="1876" t="s">
        <v>2463</v>
      </c>
      <c r="B93" s="1648"/>
      <c r="C93" s="1648"/>
      <c r="D93" s="1648"/>
      <c r="E93" s="1648"/>
      <c r="F93" s="1648"/>
      <c r="G93" s="1605">
        <v>0</v>
      </c>
      <c r="H93" s="1648" t="s">
        <v>2454</v>
      </c>
    </row>
  </sheetData>
  <mergeCells count="19">
    <mergeCell ref="A75:F75"/>
    <mergeCell ref="A76:F76"/>
    <mergeCell ref="A77:F77"/>
    <mergeCell ref="A46:A47"/>
    <mergeCell ref="B46:E46"/>
    <mergeCell ref="F46:F47"/>
    <mergeCell ref="G46:G47"/>
    <mergeCell ref="A73:F73"/>
    <mergeCell ref="A74:F74"/>
    <mergeCell ref="I1:J1"/>
    <mergeCell ref="A3:J3"/>
    <mergeCell ref="A4:J4"/>
    <mergeCell ref="A5:J5"/>
    <mergeCell ref="A7:A8"/>
    <mergeCell ref="B7:E7"/>
    <mergeCell ref="F7:F8"/>
    <mergeCell ref="G7:G8"/>
    <mergeCell ref="I7:I8"/>
    <mergeCell ref="J7:J8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5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8">
    <tabColor rgb="FF00B0F0"/>
  </sheetPr>
  <dimension ref="A1:AE242"/>
  <sheetViews>
    <sheetView zoomScaleNormal="100" workbookViewId="0"/>
  </sheetViews>
  <sheetFormatPr defaultRowHeight="12"/>
  <cols>
    <col min="1" max="1" width="6.5703125" style="4" customWidth="1"/>
    <col min="2" max="2" width="109.5703125" style="4" bestFit="1" customWidth="1"/>
    <col min="3" max="5" width="9.28515625" style="4" customWidth="1"/>
    <col min="6" max="6" width="9.28515625" style="1415" customWidth="1"/>
    <col min="7" max="9" width="9.28515625" style="4" customWidth="1"/>
    <col min="10" max="10" width="9.140625" style="4"/>
    <col min="11" max="11" width="9.140625" style="4" hidden="1" customWidth="1"/>
    <col min="12" max="12" width="0" style="4" hidden="1" customWidth="1"/>
    <col min="13" max="16384" width="9.140625" style="4"/>
  </cols>
  <sheetData>
    <row r="1" spans="1:11" s="50" customFormat="1" ht="15.75">
      <c r="F1" s="1396"/>
      <c r="I1" s="51" t="s">
        <v>353</v>
      </c>
    </row>
    <row r="2" spans="1:11" s="50" customFormat="1" ht="15.75">
      <c r="F2" s="1396"/>
    </row>
    <row r="3" spans="1:11" s="52" customFormat="1" ht="15.75">
      <c r="A3" s="1216" t="s">
        <v>354</v>
      </c>
      <c r="B3" s="1216"/>
      <c r="C3" s="1216"/>
      <c r="D3" s="1216"/>
      <c r="E3" s="1216"/>
      <c r="F3" s="1216"/>
      <c r="G3" s="1216"/>
      <c r="H3" s="1216"/>
      <c r="I3" s="1216"/>
    </row>
    <row r="4" spans="1:11" s="52" customFormat="1" ht="15.75">
      <c r="A4" s="1216" t="s">
        <v>1324</v>
      </c>
      <c r="B4" s="1216"/>
      <c r="C4" s="1216"/>
      <c r="D4" s="1216"/>
      <c r="E4" s="1216"/>
      <c r="F4" s="1216"/>
      <c r="G4" s="1216"/>
      <c r="H4" s="1216"/>
      <c r="I4" s="1216"/>
    </row>
    <row r="5" spans="1:11" s="50" customFormat="1" ht="15.75">
      <c r="F5" s="1396"/>
    </row>
    <row r="6" spans="1:11" s="52" customFormat="1" ht="15.75">
      <c r="A6" s="1216" t="s">
        <v>48</v>
      </c>
      <c r="B6" s="1216"/>
      <c r="C6" s="1216"/>
      <c r="D6" s="1216"/>
      <c r="E6" s="1216"/>
      <c r="F6" s="1216"/>
      <c r="G6" s="1216"/>
      <c r="H6" s="1216"/>
      <c r="I6" s="1216"/>
    </row>
    <row r="7" spans="1:11" s="36" customFormat="1" ht="12.75" thickBot="1">
      <c r="A7" s="38" t="s">
        <v>280</v>
      </c>
      <c r="F7" s="1397"/>
      <c r="I7" s="37" t="s">
        <v>281</v>
      </c>
    </row>
    <row r="8" spans="1:11" s="8" customFormat="1" ht="54" customHeight="1" thickBot="1">
      <c r="A8" s="79" t="s">
        <v>17</v>
      </c>
      <c r="B8" s="93" t="s">
        <v>328</v>
      </c>
      <c r="C8" s="1046" t="s">
        <v>1474</v>
      </c>
      <c r="D8" s="1047" t="s">
        <v>1475</v>
      </c>
      <c r="E8" s="6" t="s">
        <v>1529</v>
      </c>
      <c r="F8" s="1398" t="s">
        <v>1527</v>
      </c>
      <c r="G8" s="5" t="s">
        <v>51</v>
      </c>
      <c r="H8" s="6" t="s">
        <v>52</v>
      </c>
      <c r="I8" s="7" t="s">
        <v>53</v>
      </c>
    </row>
    <row r="9" spans="1:11" s="3" customFormat="1" ht="12.75" thickBot="1">
      <c r="A9" s="83" t="s">
        <v>253</v>
      </c>
      <c r="B9" s="94" t="s">
        <v>254</v>
      </c>
      <c r="C9" s="1218" t="s">
        <v>255</v>
      </c>
      <c r="D9" s="1218"/>
      <c r="E9" s="1218"/>
      <c r="F9" s="1218"/>
      <c r="G9" s="1219"/>
      <c r="H9" s="1219"/>
      <c r="I9" s="1220"/>
    </row>
    <row r="10" spans="1:11" s="3" customFormat="1" ht="12.75" thickBot="1">
      <c r="A10" s="95" t="s">
        <v>4</v>
      </c>
      <c r="B10" s="63" t="s">
        <v>297</v>
      </c>
      <c r="C10" s="1048">
        <f>+C11+C25+C32+C44</f>
        <v>1306194</v>
      </c>
      <c r="D10" s="134">
        <f>+D11+D25+D32+D44</f>
        <v>2117020</v>
      </c>
      <c r="E10" s="134">
        <f>+E11+E25+E32+E44</f>
        <v>1937277</v>
      </c>
      <c r="F10" s="1399">
        <f t="shared" ref="F10:F73" si="0">IF(ISERROR(E10/D10),"-",E10/D10)</f>
        <v>0.91509622015852476</v>
      </c>
      <c r="G10" s="31">
        <f>+G11+G25+G32+G44</f>
        <v>1934212</v>
      </c>
      <c r="H10" s="32">
        <f>+H11+H25+H32+H44</f>
        <v>3065</v>
      </c>
      <c r="I10" s="33">
        <f>+I11+I25+I32+I44</f>
        <v>0</v>
      </c>
      <c r="K10" s="3">
        <f>+E10-G10-H10-I10</f>
        <v>0</v>
      </c>
    </row>
    <row r="11" spans="1:11" s="3" customFormat="1" ht="12.75" customHeight="1" thickBot="1">
      <c r="A11" s="83" t="s">
        <v>5</v>
      </c>
      <c r="B11" s="64" t="s">
        <v>298</v>
      </c>
      <c r="C11" s="1049">
        <f>+C12+C19+C20+C21+C22+C23</f>
        <v>903979</v>
      </c>
      <c r="D11" s="28">
        <f>+D12+D19+D20+D21+D22+D23</f>
        <v>1508798</v>
      </c>
      <c r="E11" s="28">
        <f>+E12+E19+E20+E21+E22+E23</f>
        <v>1508798</v>
      </c>
      <c r="F11" s="1400">
        <f t="shared" si="0"/>
        <v>1</v>
      </c>
      <c r="G11" s="27">
        <f>+G12+G19+G20+G21+G22+G23</f>
        <v>1508798</v>
      </c>
      <c r="H11" s="28">
        <f>+H12+H19+H20+H21+H22+H23</f>
        <v>0</v>
      </c>
      <c r="I11" s="29">
        <f>+I12+I19+I20+I21+I22+I23</f>
        <v>0</v>
      </c>
      <c r="K11" s="3">
        <f>+E11-G11-H11-I11</f>
        <v>0</v>
      </c>
    </row>
    <row r="12" spans="1:11" s="3" customFormat="1">
      <c r="A12" s="84" t="s">
        <v>54</v>
      </c>
      <c r="B12" s="65" t="s">
        <v>299</v>
      </c>
      <c r="C12" s="1051">
        <f>+C13+C14+C15+C16+C17+C18</f>
        <v>836999</v>
      </c>
      <c r="D12" s="9">
        <f>+D13+D14+D15+D16+D17+D18</f>
        <v>789695</v>
      </c>
      <c r="E12" s="9">
        <f>+E13+E14+E15+E16+E17+E18</f>
        <v>789695</v>
      </c>
      <c r="F12" s="1401">
        <f t="shared" si="0"/>
        <v>1</v>
      </c>
      <c r="G12" s="18">
        <f>+G13+G14+G15+G16+G17+G18</f>
        <v>789695</v>
      </c>
      <c r="H12" s="9">
        <f>+H13+H14+H15+H16+H17+H18</f>
        <v>0</v>
      </c>
      <c r="I12" s="14">
        <f>+I13+I14+I15+I16+I17+I18</f>
        <v>0</v>
      </c>
      <c r="K12" s="4">
        <f>+E12-G12-H12-I12</f>
        <v>0</v>
      </c>
    </row>
    <row r="13" spans="1:11" s="13" customFormat="1">
      <c r="A13" s="86" t="s">
        <v>190</v>
      </c>
      <c r="B13" s="66" t="s">
        <v>93</v>
      </c>
      <c r="C13" s="502">
        <v>231705</v>
      </c>
      <c r="D13" s="12">
        <v>231822</v>
      </c>
      <c r="E13" s="12">
        <v>231822</v>
      </c>
      <c r="F13" s="1402">
        <f t="shared" si="0"/>
        <v>1</v>
      </c>
      <c r="G13" s="19">
        <v>231822</v>
      </c>
      <c r="H13" s="12"/>
      <c r="I13" s="15"/>
      <c r="K13" s="13">
        <f>+E13-G13-H13-I13</f>
        <v>0</v>
      </c>
    </row>
    <row r="14" spans="1:11" s="13" customFormat="1">
      <c r="A14" s="86" t="s">
        <v>191</v>
      </c>
      <c r="B14" s="66" t="s">
        <v>94</v>
      </c>
      <c r="C14" s="502">
        <v>220632</v>
      </c>
      <c r="D14" s="12">
        <v>223149</v>
      </c>
      <c r="E14" s="12">
        <v>223149</v>
      </c>
      <c r="F14" s="1402">
        <f t="shared" si="0"/>
        <v>1</v>
      </c>
      <c r="G14" s="19">
        <v>223149</v>
      </c>
      <c r="H14" s="12"/>
      <c r="I14" s="15"/>
      <c r="K14" s="13">
        <f>+E14-G14-H14-I14</f>
        <v>0</v>
      </c>
    </row>
    <row r="15" spans="1:11" s="13" customFormat="1">
      <c r="A15" s="86" t="s">
        <v>192</v>
      </c>
      <c r="B15" s="66" t="s">
        <v>95</v>
      </c>
      <c r="C15" s="502">
        <v>244921</v>
      </c>
      <c r="D15" s="12">
        <v>254533</v>
      </c>
      <c r="E15" s="12">
        <v>254533</v>
      </c>
      <c r="F15" s="1402">
        <f t="shared" si="0"/>
        <v>1</v>
      </c>
      <c r="G15" s="19">
        <v>254533</v>
      </c>
      <c r="H15" s="12"/>
      <c r="I15" s="15"/>
      <c r="K15" s="13">
        <f>+E15-G15-H15-I15</f>
        <v>0</v>
      </c>
    </row>
    <row r="16" spans="1:11" s="13" customFormat="1">
      <c r="A16" s="86" t="s">
        <v>193</v>
      </c>
      <c r="B16" s="66" t="s">
        <v>96</v>
      </c>
      <c r="C16" s="502">
        <v>19805</v>
      </c>
      <c r="D16" s="12">
        <v>21839</v>
      </c>
      <c r="E16" s="12">
        <v>21839</v>
      </c>
      <c r="F16" s="1402">
        <f t="shared" si="0"/>
        <v>1</v>
      </c>
      <c r="G16" s="19">
        <v>21839</v>
      </c>
      <c r="H16" s="12"/>
      <c r="I16" s="15"/>
      <c r="K16" s="13">
        <f>+E16-G16-H16-I16</f>
        <v>0</v>
      </c>
    </row>
    <row r="17" spans="1:11" s="13" customFormat="1">
      <c r="A17" s="86" t="s">
        <v>194</v>
      </c>
      <c r="B17" s="66" t="s">
        <v>959</v>
      </c>
      <c r="C17" s="502">
        <v>119936</v>
      </c>
      <c r="D17" s="12">
        <v>58352</v>
      </c>
      <c r="E17" s="12">
        <v>58352</v>
      </c>
      <c r="F17" s="1403">
        <f t="shared" si="0"/>
        <v>1</v>
      </c>
      <c r="G17" s="19">
        <v>58352</v>
      </c>
      <c r="H17" s="12"/>
      <c r="I17" s="15"/>
      <c r="K17" s="13">
        <f>+E17-G17-H17-I17</f>
        <v>0</v>
      </c>
    </row>
    <row r="18" spans="1:11" s="13" customFormat="1">
      <c r="A18" s="86" t="s">
        <v>195</v>
      </c>
      <c r="B18" s="66" t="s">
        <v>960</v>
      </c>
      <c r="C18" s="502"/>
      <c r="D18" s="12"/>
      <c r="E18" s="12"/>
      <c r="F18" s="1403" t="str">
        <f t="shared" si="0"/>
        <v>-</v>
      </c>
      <c r="G18" s="19"/>
      <c r="H18" s="12"/>
      <c r="I18" s="15"/>
      <c r="K18" s="13">
        <f>+E18-G18-H18-I18</f>
        <v>0</v>
      </c>
    </row>
    <row r="19" spans="1:11">
      <c r="A19" s="85" t="s">
        <v>55</v>
      </c>
      <c r="B19" s="67" t="s">
        <v>97</v>
      </c>
      <c r="C19" s="501">
        <v>3488</v>
      </c>
      <c r="D19" s="11">
        <v>1543</v>
      </c>
      <c r="E19" s="11">
        <v>1543</v>
      </c>
      <c r="F19" s="1402">
        <f t="shared" si="0"/>
        <v>1</v>
      </c>
      <c r="G19" s="20">
        <v>1543</v>
      </c>
      <c r="H19" s="11"/>
      <c r="I19" s="16"/>
      <c r="K19" s="4">
        <f>+E19-G19-H19-I19</f>
        <v>0</v>
      </c>
    </row>
    <row r="20" spans="1:11">
      <c r="A20" s="85" t="s">
        <v>83</v>
      </c>
      <c r="B20" s="67" t="s">
        <v>98</v>
      </c>
      <c r="C20" s="501"/>
      <c r="D20" s="11"/>
      <c r="E20" s="11"/>
      <c r="F20" s="1402" t="str">
        <f t="shared" si="0"/>
        <v>-</v>
      </c>
      <c r="G20" s="20"/>
      <c r="H20" s="11"/>
      <c r="I20" s="16"/>
      <c r="K20" s="4">
        <f>+E20-G20-H20-I20</f>
        <v>0</v>
      </c>
    </row>
    <row r="21" spans="1:11">
      <c r="A21" s="85" t="s">
        <v>84</v>
      </c>
      <c r="B21" s="67" t="s">
        <v>99</v>
      </c>
      <c r="C21" s="501"/>
      <c r="D21" s="11"/>
      <c r="E21" s="11"/>
      <c r="F21" s="1402" t="str">
        <f t="shared" si="0"/>
        <v>-</v>
      </c>
      <c r="G21" s="20"/>
      <c r="H21" s="11"/>
      <c r="I21" s="16"/>
      <c r="K21" s="4">
        <f>+E21-G21-H21-I21</f>
        <v>0</v>
      </c>
    </row>
    <row r="22" spans="1:11">
      <c r="A22" s="85" t="s">
        <v>85</v>
      </c>
      <c r="B22" s="67" t="s">
        <v>100</v>
      </c>
      <c r="C22" s="501"/>
      <c r="D22" s="11"/>
      <c r="E22" s="11"/>
      <c r="F22" s="1402" t="str">
        <f t="shared" si="0"/>
        <v>-</v>
      </c>
      <c r="G22" s="20"/>
      <c r="H22" s="11"/>
      <c r="I22" s="16"/>
      <c r="K22" s="4">
        <f>+E22-G22-H22-I22</f>
        <v>0</v>
      </c>
    </row>
    <row r="23" spans="1:11">
      <c r="A23" s="78" t="s">
        <v>86</v>
      </c>
      <c r="B23" s="68" t="s">
        <v>101</v>
      </c>
      <c r="C23" s="500">
        <v>63492</v>
      </c>
      <c r="D23" s="22">
        <v>717560</v>
      </c>
      <c r="E23" s="22">
        <v>717560</v>
      </c>
      <c r="F23" s="1404">
        <f t="shared" si="0"/>
        <v>1</v>
      </c>
      <c r="G23" s="21">
        <v>717560</v>
      </c>
      <c r="H23" s="22"/>
      <c r="I23" s="23"/>
      <c r="K23" s="4">
        <f>+E23-G23-H23-I23</f>
        <v>0</v>
      </c>
    </row>
    <row r="24" spans="1:11" s="13" customFormat="1" ht="12.75" thickBot="1">
      <c r="A24" s="89" t="s">
        <v>332</v>
      </c>
      <c r="B24" s="818" t="s">
        <v>333</v>
      </c>
      <c r="C24" s="1050"/>
      <c r="D24" s="43">
        <v>484375</v>
      </c>
      <c r="E24" s="43">
        <v>484375</v>
      </c>
      <c r="F24" s="1404">
        <f t="shared" si="0"/>
        <v>1</v>
      </c>
      <c r="G24" s="45">
        <v>484375</v>
      </c>
      <c r="H24" s="43"/>
      <c r="I24" s="44"/>
      <c r="K24" s="13">
        <f>+E24-G24-H24-I24</f>
        <v>0</v>
      </c>
    </row>
    <row r="25" spans="1:11" s="3" customFormat="1" ht="12.75" customHeight="1" thickBot="1">
      <c r="A25" s="83" t="s">
        <v>6</v>
      </c>
      <c r="B25" s="64" t="s">
        <v>835</v>
      </c>
      <c r="C25" s="1049">
        <f>+C26+C27+C28+C29+C30+C31</f>
        <v>318710</v>
      </c>
      <c r="D25" s="28">
        <f>+D26+D27+D28+D29+D30+D31</f>
        <v>488325</v>
      </c>
      <c r="E25" s="28">
        <f>+E26+E27+E28+E29+E30+E31</f>
        <v>356668</v>
      </c>
      <c r="F25" s="1400">
        <f t="shared" si="0"/>
        <v>0.73039062100035834</v>
      </c>
      <c r="G25" s="27">
        <f>+G26+G27+G28+G29+G30+G31</f>
        <v>353603</v>
      </c>
      <c r="H25" s="28">
        <f>+H26+H27+H28+H29+H30+H31</f>
        <v>3065</v>
      </c>
      <c r="I25" s="29">
        <f>+I26+I27+I28+I29+I30+I31</f>
        <v>0</v>
      </c>
      <c r="K25" s="3">
        <f>+E25-G25-H25-I25</f>
        <v>0</v>
      </c>
    </row>
    <row r="26" spans="1:11" ht="12.75" customHeight="1">
      <c r="A26" s="84" t="s">
        <v>58</v>
      </c>
      <c r="B26" s="65" t="s">
        <v>102</v>
      </c>
      <c r="C26" s="1051">
        <v>60</v>
      </c>
      <c r="D26" s="10">
        <v>62</v>
      </c>
      <c r="E26" s="10">
        <v>62</v>
      </c>
      <c r="F26" s="1401">
        <f t="shared" si="0"/>
        <v>1</v>
      </c>
      <c r="G26" s="34">
        <v>62</v>
      </c>
      <c r="H26" s="10"/>
      <c r="I26" s="35"/>
      <c r="K26" s="4">
        <f>+E26-G26-H26-I26</f>
        <v>0</v>
      </c>
    </row>
    <row r="27" spans="1:11" ht="12.75" customHeight="1">
      <c r="A27" s="85" t="s">
        <v>59</v>
      </c>
      <c r="B27" s="67" t="s">
        <v>103</v>
      </c>
      <c r="C27" s="501"/>
      <c r="D27" s="11"/>
      <c r="E27" s="11"/>
      <c r="F27" s="1402" t="str">
        <f t="shared" si="0"/>
        <v>-</v>
      </c>
      <c r="G27" s="20"/>
      <c r="H27" s="11"/>
      <c r="I27" s="16"/>
      <c r="K27" s="4">
        <f>+E27-G27-H27-I27</f>
        <v>0</v>
      </c>
    </row>
    <row r="28" spans="1:11" ht="12.75" customHeight="1">
      <c r="A28" s="85" t="s">
        <v>60</v>
      </c>
      <c r="B28" s="67" t="s">
        <v>104</v>
      </c>
      <c r="C28" s="501"/>
      <c r="D28" s="11"/>
      <c r="E28" s="11"/>
      <c r="F28" s="1402" t="str">
        <f t="shared" si="0"/>
        <v>-</v>
      </c>
      <c r="G28" s="20"/>
      <c r="H28" s="11"/>
      <c r="I28" s="16"/>
      <c r="K28" s="4">
        <f>+E28-G28-H28-I28</f>
        <v>0</v>
      </c>
    </row>
    <row r="29" spans="1:11" ht="12.75" customHeight="1">
      <c r="A29" s="85" t="s">
        <v>180</v>
      </c>
      <c r="B29" s="67" t="s">
        <v>105</v>
      </c>
      <c r="C29" s="501">
        <v>58500</v>
      </c>
      <c r="D29" s="11">
        <v>63309</v>
      </c>
      <c r="E29" s="11">
        <v>60575</v>
      </c>
      <c r="F29" s="1402">
        <f t="shared" si="0"/>
        <v>0.95681498681072197</v>
      </c>
      <c r="G29" s="20">
        <v>60575</v>
      </c>
      <c r="H29" s="11"/>
      <c r="I29" s="16"/>
      <c r="K29" s="4">
        <f>+E29-G29-H29-I29</f>
        <v>0</v>
      </c>
    </row>
    <row r="30" spans="1:11" ht="12.75" customHeight="1">
      <c r="A30" s="78" t="s">
        <v>181</v>
      </c>
      <c r="B30" s="68" t="s">
        <v>106</v>
      </c>
      <c r="C30" s="500">
        <v>256650</v>
      </c>
      <c r="D30" s="22">
        <v>412278</v>
      </c>
      <c r="E30" s="22">
        <v>290084</v>
      </c>
      <c r="F30" s="1404">
        <f t="shared" si="0"/>
        <v>0.70361261090817362</v>
      </c>
      <c r="G30" s="21">
        <v>290084</v>
      </c>
      <c r="H30" s="22"/>
      <c r="I30" s="23"/>
      <c r="K30" s="4">
        <f>+E30-G30-H30-I30</f>
        <v>0</v>
      </c>
    </row>
    <row r="31" spans="1:11" ht="12.75" customHeight="1" thickBot="1">
      <c r="A31" s="78" t="s">
        <v>834</v>
      </c>
      <c r="B31" s="68" t="s">
        <v>836</v>
      </c>
      <c r="C31" s="500">
        <v>3500</v>
      </c>
      <c r="D31" s="22">
        <v>12676</v>
      </c>
      <c r="E31" s="22">
        <v>5947</v>
      </c>
      <c r="F31" s="1404">
        <f t="shared" si="0"/>
        <v>0.4691543073524771</v>
      </c>
      <c r="G31" s="21">
        <v>2882</v>
      </c>
      <c r="H31" s="22">
        <v>3065</v>
      </c>
      <c r="I31" s="23"/>
      <c r="K31" s="4">
        <f>+E31-G31-H31-I31</f>
        <v>0</v>
      </c>
    </row>
    <row r="32" spans="1:11" s="3" customFormat="1" ht="12.75" customHeight="1" thickBot="1">
      <c r="A32" s="83" t="s">
        <v>3</v>
      </c>
      <c r="B32" s="64" t="s">
        <v>1040</v>
      </c>
      <c r="C32" s="1049">
        <f>+C33+C34+C35+C36+C37+C38+C39+C40+C41+C42+C43</f>
        <v>81505</v>
      </c>
      <c r="D32" s="28">
        <f>+D33+D34+D35+D36+D37+D38+D39+D40+D41+D42+D43</f>
        <v>79515</v>
      </c>
      <c r="E32" s="28">
        <f>+E33+E34+E35+E36+E37+E38+E39+E40+E41+E42+E43</f>
        <v>68331</v>
      </c>
      <c r="F32" s="1400">
        <f t="shared" si="0"/>
        <v>0.8593472929635918</v>
      </c>
      <c r="G32" s="27">
        <f>+G33+G34+G35+G36+G37+G38+G39+G40+G41+G42+G43</f>
        <v>68331</v>
      </c>
      <c r="H32" s="28">
        <f>+H33+H34+H35+H36+H37+H38+H39+H40+H41+H42+H43</f>
        <v>0</v>
      </c>
      <c r="I32" s="29">
        <f>+I33+I34+I35+I36+I37+I38+I39+I40+I41+I42+I43</f>
        <v>0</v>
      </c>
      <c r="K32" s="3">
        <f>+E32-G32-H32-I32</f>
        <v>0</v>
      </c>
    </row>
    <row r="33" spans="1:11" ht="12.75" customHeight="1">
      <c r="A33" s="84" t="s">
        <v>61</v>
      </c>
      <c r="B33" s="65" t="s">
        <v>107</v>
      </c>
      <c r="C33" s="1051">
        <v>1181</v>
      </c>
      <c r="D33" s="10">
        <v>8969</v>
      </c>
      <c r="E33" s="10">
        <v>8714</v>
      </c>
      <c r="F33" s="1401">
        <f t="shared" si="0"/>
        <v>0.97156873675995092</v>
      </c>
      <c r="G33" s="34">
        <v>8714</v>
      </c>
      <c r="H33" s="10"/>
      <c r="I33" s="35"/>
      <c r="K33" s="4">
        <f>+E33-G33-H33-I33</f>
        <v>0</v>
      </c>
    </row>
    <row r="34" spans="1:11" ht="12.75" customHeight="1">
      <c r="A34" s="85" t="s">
        <v>62</v>
      </c>
      <c r="B34" s="67" t="s">
        <v>108</v>
      </c>
      <c r="C34" s="501">
        <v>25960</v>
      </c>
      <c r="D34" s="11">
        <v>27904</v>
      </c>
      <c r="E34" s="11">
        <v>27717</v>
      </c>
      <c r="F34" s="1402">
        <f t="shared" si="0"/>
        <v>0.99329845183486243</v>
      </c>
      <c r="G34" s="20">
        <v>27717</v>
      </c>
      <c r="H34" s="11"/>
      <c r="I34" s="16"/>
      <c r="K34" s="4">
        <f>+E34-G34-H34-I34</f>
        <v>0</v>
      </c>
    </row>
    <row r="35" spans="1:11" ht="12.75" customHeight="1">
      <c r="A35" s="85" t="s">
        <v>63</v>
      </c>
      <c r="B35" s="67" t="s">
        <v>109</v>
      </c>
      <c r="C35" s="501">
        <v>12598</v>
      </c>
      <c r="D35" s="11">
        <v>16758</v>
      </c>
      <c r="E35" s="11">
        <v>7678</v>
      </c>
      <c r="F35" s="1402">
        <f t="shared" si="0"/>
        <v>0.45816923260532283</v>
      </c>
      <c r="G35" s="20">
        <v>7678</v>
      </c>
      <c r="H35" s="11"/>
      <c r="I35" s="16"/>
      <c r="K35" s="4">
        <f>+E35-G35-H35-I35</f>
        <v>0</v>
      </c>
    </row>
    <row r="36" spans="1:11" ht="12.75" customHeight="1">
      <c r="A36" s="85" t="s">
        <v>64</v>
      </c>
      <c r="B36" s="67" t="s">
        <v>110</v>
      </c>
      <c r="C36" s="501">
        <v>236</v>
      </c>
      <c r="D36" s="11">
        <v>472</v>
      </c>
      <c r="E36" s="11">
        <v>236</v>
      </c>
      <c r="F36" s="1402">
        <f t="shared" si="0"/>
        <v>0.5</v>
      </c>
      <c r="G36" s="20">
        <v>236</v>
      </c>
      <c r="H36" s="11"/>
      <c r="I36" s="16"/>
      <c r="K36" s="4">
        <f>+E36-G36-H36-I36</f>
        <v>0</v>
      </c>
    </row>
    <row r="37" spans="1:11" ht="12.75" customHeight="1">
      <c r="A37" s="85" t="s">
        <v>65</v>
      </c>
      <c r="B37" s="67" t="s">
        <v>111</v>
      </c>
      <c r="C37" s="501"/>
      <c r="D37" s="11"/>
      <c r="E37" s="11"/>
      <c r="F37" s="1402" t="str">
        <f t="shared" si="0"/>
        <v>-</v>
      </c>
      <c r="G37" s="20"/>
      <c r="H37" s="11"/>
      <c r="I37" s="16"/>
      <c r="K37" s="4">
        <f>+E37-G37-H37-I37</f>
        <v>0</v>
      </c>
    </row>
    <row r="38" spans="1:11" ht="12.75" customHeight="1">
      <c r="A38" s="85" t="s">
        <v>222</v>
      </c>
      <c r="B38" s="67" t="s">
        <v>112</v>
      </c>
      <c r="C38" s="501">
        <v>10795</v>
      </c>
      <c r="D38" s="11">
        <v>11659</v>
      </c>
      <c r="E38" s="11">
        <v>10775</v>
      </c>
      <c r="F38" s="1402">
        <f t="shared" si="0"/>
        <v>0.92417874603310746</v>
      </c>
      <c r="G38" s="20">
        <v>10775</v>
      </c>
      <c r="H38" s="11"/>
      <c r="I38" s="16"/>
      <c r="K38" s="4">
        <f>+E38-G38-H38-I38</f>
        <v>0</v>
      </c>
    </row>
    <row r="39" spans="1:11" ht="12.75" customHeight="1">
      <c r="A39" s="85" t="s">
        <v>223</v>
      </c>
      <c r="B39" s="67" t="s">
        <v>113</v>
      </c>
      <c r="C39" s="501">
        <v>9437</v>
      </c>
      <c r="D39" s="11">
        <v>5414</v>
      </c>
      <c r="E39" s="11">
        <v>5414</v>
      </c>
      <c r="F39" s="1402">
        <f t="shared" si="0"/>
        <v>1</v>
      </c>
      <c r="G39" s="20">
        <v>5414</v>
      </c>
      <c r="H39" s="11"/>
      <c r="I39" s="16"/>
      <c r="K39" s="4">
        <f>+E39-G39-H39-I39</f>
        <v>0</v>
      </c>
    </row>
    <row r="40" spans="1:11" ht="12.75" customHeight="1">
      <c r="A40" s="85" t="s">
        <v>224</v>
      </c>
      <c r="B40" s="67" t="s">
        <v>1050</v>
      </c>
      <c r="C40" s="501"/>
      <c r="D40" s="11">
        <v>1</v>
      </c>
      <c r="E40" s="11">
        <v>1</v>
      </c>
      <c r="F40" s="1402">
        <f t="shared" si="0"/>
        <v>1</v>
      </c>
      <c r="G40" s="20">
        <v>1</v>
      </c>
      <c r="H40" s="11"/>
      <c r="I40" s="16"/>
      <c r="K40" s="4">
        <f>+E40-G40-H40-I40</f>
        <v>0</v>
      </c>
    </row>
    <row r="41" spans="1:11" ht="12.75" customHeight="1">
      <c r="A41" s="85" t="s">
        <v>225</v>
      </c>
      <c r="B41" s="67" t="s">
        <v>114</v>
      </c>
      <c r="C41" s="501"/>
      <c r="D41" s="11">
        <v>3880</v>
      </c>
      <c r="E41" s="11">
        <v>3880</v>
      </c>
      <c r="F41" s="1402">
        <f t="shared" si="0"/>
        <v>1</v>
      </c>
      <c r="G41" s="20">
        <v>3880</v>
      </c>
      <c r="H41" s="11"/>
      <c r="I41" s="16"/>
      <c r="K41" s="4">
        <f>+E41-G41-H41-I41</f>
        <v>0</v>
      </c>
    </row>
    <row r="42" spans="1:11" ht="12.75" customHeight="1">
      <c r="A42" s="78" t="s">
        <v>226</v>
      </c>
      <c r="B42" s="68" t="s">
        <v>962</v>
      </c>
      <c r="C42" s="501"/>
      <c r="D42" s="11">
        <v>786</v>
      </c>
      <c r="E42" s="11">
        <v>786</v>
      </c>
      <c r="F42" s="1402">
        <f t="shared" si="0"/>
        <v>1</v>
      </c>
      <c r="G42" s="20">
        <v>786</v>
      </c>
      <c r="H42" s="11"/>
      <c r="I42" s="16"/>
      <c r="K42" s="4">
        <f>+E42-G42-H42-I42</f>
        <v>0</v>
      </c>
    </row>
    <row r="43" spans="1:11" ht="12.75" customHeight="1" thickBot="1">
      <c r="A43" s="78" t="s">
        <v>961</v>
      </c>
      <c r="B43" s="68" t="s">
        <v>963</v>
      </c>
      <c r="C43" s="500">
        <v>21298</v>
      </c>
      <c r="D43" s="22">
        <v>3672</v>
      </c>
      <c r="E43" s="22">
        <v>3130</v>
      </c>
      <c r="F43" s="1404">
        <f t="shared" si="0"/>
        <v>0.85239651416122009</v>
      </c>
      <c r="G43" s="21">
        <v>3130</v>
      </c>
      <c r="H43" s="22"/>
      <c r="I43" s="23"/>
      <c r="K43" s="4">
        <f>+E43-G43-H43-I43</f>
        <v>0</v>
      </c>
    </row>
    <row r="44" spans="1:11" s="3" customFormat="1" ht="12.75" thickBot="1">
      <c r="A44" s="83" t="s">
        <v>16</v>
      </c>
      <c r="B44" s="64" t="s">
        <v>1041</v>
      </c>
      <c r="C44" s="1049">
        <f>+C45+C46+C47+C48+C49</f>
        <v>2000</v>
      </c>
      <c r="D44" s="28">
        <f>+D45+D46+D47+D48+D49</f>
        <v>40382</v>
      </c>
      <c r="E44" s="28">
        <f>+E45+E46+E47+E48+E49</f>
        <v>3480</v>
      </c>
      <c r="F44" s="1400">
        <f t="shared" si="0"/>
        <v>8.6177009558714282E-2</v>
      </c>
      <c r="G44" s="27">
        <f>+G45+G46+G47+G48+G49</f>
        <v>3480</v>
      </c>
      <c r="H44" s="28">
        <f>+H45+H46+H47+H48+H49</f>
        <v>0</v>
      </c>
      <c r="I44" s="29">
        <f>+I45+I46+I47+I48+I49</f>
        <v>0</v>
      </c>
      <c r="K44" s="3">
        <f>+E44-G44-H44-I44</f>
        <v>0</v>
      </c>
    </row>
    <row r="45" spans="1:11" ht="12.75" customHeight="1">
      <c r="A45" s="84" t="s">
        <v>227</v>
      </c>
      <c r="B45" s="65" t="s">
        <v>115</v>
      </c>
      <c r="C45" s="1051"/>
      <c r="D45" s="10"/>
      <c r="E45" s="10"/>
      <c r="F45" s="1401" t="str">
        <f t="shared" si="0"/>
        <v>-</v>
      </c>
      <c r="G45" s="34"/>
      <c r="H45" s="10"/>
      <c r="I45" s="35"/>
      <c r="K45" s="4">
        <f>+E45-G45-H45-I45</f>
        <v>0</v>
      </c>
    </row>
    <row r="46" spans="1:11" ht="12.75" customHeight="1">
      <c r="A46" s="84" t="s">
        <v>228</v>
      </c>
      <c r="B46" s="65" t="s">
        <v>964</v>
      </c>
      <c r="C46" s="501"/>
      <c r="D46" s="11"/>
      <c r="E46" s="11"/>
      <c r="F46" s="1401" t="str">
        <f t="shared" si="0"/>
        <v>-</v>
      </c>
      <c r="G46" s="20"/>
      <c r="H46" s="11"/>
      <c r="I46" s="16"/>
      <c r="K46" s="4">
        <f>+E46-G46-H46-I46</f>
        <v>0</v>
      </c>
    </row>
    <row r="47" spans="1:11" ht="12.75" customHeight="1">
      <c r="A47" s="84" t="s">
        <v>229</v>
      </c>
      <c r="B47" s="65" t="s">
        <v>965</v>
      </c>
      <c r="C47" s="500"/>
      <c r="D47" s="22"/>
      <c r="E47" s="22"/>
      <c r="F47" s="1401" t="str">
        <f t="shared" si="0"/>
        <v>-</v>
      </c>
      <c r="G47" s="21"/>
      <c r="H47" s="22"/>
      <c r="I47" s="23"/>
      <c r="K47" s="4">
        <f>+E47-G47-H47-I47</f>
        <v>0</v>
      </c>
    </row>
    <row r="48" spans="1:11" ht="12.75" customHeight="1">
      <c r="A48" s="85" t="s">
        <v>257</v>
      </c>
      <c r="B48" s="67" t="s">
        <v>966</v>
      </c>
      <c r="C48" s="501"/>
      <c r="D48" s="11">
        <v>39280</v>
      </c>
      <c r="E48" s="11">
        <v>3280</v>
      </c>
      <c r="F48" s="1402">
        <f t="shared" si="0"/>
        <v>8.3503054989816694E-2</v>
      </c>
      <c r="G48" s="20">
        <v>3280</v>
      </c>
      <c r="H48" s="11"/>
      <c r="I48" s="16"/>
      <c r="K48" s="4">
        <f>+E48-G48-H48-I48</f>
        <v>0</v>
      </c>
    </row>
    <row r="49" spans="1:11" ht="12.75" customHeight="1" thickBot="1">
      <c r="A49" s="78" t="s">
        <v>258</v>
      </c>
      <c r="B49" s="68" t="s">
        <v>967</v>
      </c>
      <c r="C49" s="500">
        <v>2000</v>
      </c>
      <c r="D49" s="22">
        <f>1101+1</f>
        <v>1102</v>
      </c>
      <c r="E49" s="22">
        <v>200</v>
      </c>
      <c r="F49" s="1404">
        <f t="shared" si="0"/>
        <v>0.18148820326678766</v>
      </c>
      <c r="G49" s="21">
        <v>200</v>
      </c>
      <c r="H49" s="22"/>
      <c r="I49" s="23"/>
      <c r="K49" s="4">
        <f>+E49-G49-H49-I49</f>
        <v>0</v>
      </c>
    </row>
    <row r="50" spans="1:11" s="3" customFormat="1" ht="12.75" thickBot="1">
      <c r="A50" s="83" t="s">
        <v>15</v>
      </c>
      <c r="B50" s="69" t="s">
        <v>300</v>
      </c>
      <c r="C50" s="1049">
        <f>+C51+C58+C64</f>
        <v>88682</v>
      </c>
      <c r="D50" s="28">
        <f>+D51+D58+D64</f>
        <v>1347880</v>
      </c>
      <c r="E50" s="28">
        <f>+E51+E58+E64</f>
        <v>1339437</v>
      </c>
      <c r="F50" s="1400">
        <f t="shared" si="0"/>
        <v>0.99373608926610679</v>
      </c>
      <c r="G50" s="27">
        <f>+G51+G58+G64</f>
        <v>1338548</v>
      </c>
      <c r="H50" s="28">
        <f>+H51+H58+H64</f>
        <v>889</v>
      </c>
      <c r="I50" s="29">
        <f>+I51+I58+I64</f>
        <v>0</v>
      </c>
      <c r="K50" s="3">
        <f>+E50-G50-H50-I50</f>
        <v>0</v>
      </c>
    </row>
    <row r="51" spans="1:11" s="3" customFormat="1" ht="12.75" customHeight="1" thickBot="1">
      <c r="A51" s="83" t="s">
        <v>14</v>
      </c>
      <c r="B51" s="64" t="s">
        <v>301</v>
      </c>
      <c r="C51" s="1049">
        <f>+C52+C53+C54+C55+C56</f>
        <v>71832</v>
      </c>
      <c r="D51" s="28">
        <f>+D52+D53+D54+D55+D56</f>
        <v>1331164</v>
      </c>
      <c r="E51" s="28">
        <f>+E52+E53+E54+E55+E56</f>
        <v>1331164</v>
      </c>
      <c r="F51" s="1400">
        <f t="shared" si="0"/>
        <v>1</v>
      </c>
      <c r="G51" s="27">
        <f>+G52+G53+G54+G55+G56</f>
        <v>1331164</v>
      </c>
      <c r="H51" s="28">
        <f>+H52+H53+H54+H55+H56</f>
        <v>0</v>
      </c>
      <c r="I51" s="29">
        <f>+I52+I53+I54+I55+I56</f>
        <v>0</v>
      </c>
      <c r="K51" s="3">
        <f>+E51-G51-H51-I51</f>
        <v>0</v>
      </c>
    </row>
    <row r="52" spans="1:11">
      <c r="A52" s="84" t="s">
        <v>185</v>
      </c>
      <c r="B52" s="113" t="s">
        <v>116</v>
      </c>
      <c r="C52" s="1051"/>
      <c r="D52" s="10">
        <v>22708</v>
      </c>
      <c r="E52" s="10">
        <v>22708</v>
      </c>
      <c r="F52" s="1401">
        <f t="shared" si="0"/>
        <v>1</v>
      </c>
      <c r="G52" s="34">
        <f>20000+2708</f>
        <v>22708</v>
      </c>
      <c r="H52" s="10"/>
      <c r="I52" s="35"/>
      <c r="K52" s="4">
        <f>+E52-G52-H52-I52</f>
        <v>0</v>
      </c>
    </row>
    <row r="53" spans="1:11">
      <c r="A53" s="85" t="s">
        <v>186</v>
      </c>
      <c r="B53" s="67" t="s">
        <v>117</v>
      </c>
      <c r="C53" s="501"/>
      <c r="D53" s="11"/>
      <c r="E53" s="11"/>
      <c r="F53" s="1402" t="str">
        <f t="shared" si="0"/>
        <v>-</v>
      </c>
      <c r="G53" s="20"/>
      <c r="H53" s="11"/>
      <c r="I53" s="16"/>
      <c r="K53" s="4">
        <f>+E53-G53-H53-I53</f>
        <v>0</v>
      </c>
    </row>
    <row r="54" spans="1:11">
      <c r="A54" s="85" t="s">
        <v>187</v>
      </c>
      <c r="B54" s="67" t="s">
        <v>118</v>
      </c>
      <c r="C54" s="501"/>
      <c r="D54" s="11"/>
      <c r="E54" s="11"/>
      <c r="F54" s="1402" t="str">
        <f t="shared" si="0"/>
        <v>-</v>
      </c>
      <c r="G54" s="20"/>
      <c r="H54" s="11"/>
      <c r="I54" s="16"/>
      <c r="K54" s="4">
        <f>+E54-G54-H54-I54</f>
        <v>0</v>
      </c>
    </row>
    <row r="55" spans="1:11">
      <c r="A55" s="85" t="s">
        <v>188</v>
      </c>
      <c r="B55" s="67" t="s">
        <v>119</v>
      </c>
      <c r="C55" s="501"/>
      <c r="D55" s="11"/>
      <c r="E55" s="11"/>
      <c r="F55" s="1402" t="str">
        <f t="shared" si="0"/>
        <v>-</v>
      </c>
      <c r="G55" s="20"/>
      <c r="H55" s="11"/>
      <c r="I55" s="16"/>
      <c r="K55" s="4">
        <f>+E55-G55-H55-I55</f>
        <v>0</v>
      </c>
    </row>
    <row r="56" spans="1:11">
      <c r="A56" s="78" t="s">
        <v>189</v>
      </c>
      <c r="B56" s="68" t="s">
        <v>120</v>
      </c>
      <c r="C56" s="500">
        <v>71832</v>
      </c>
      <c r="D56" s="22">
        <v>1308456</v>
      </c>
      <c r="E56" s="22">
        <v>1308456</v>
      </c>
      <c r="F56" s="1404">
        <f t="shared" si="0"/>
        <v>1</v>
      </c>
      <c r="G56" s="21">
        <v>1308456</v>
      </c>
      <c r="H56" s="22"/>
      <c r="I56" s="23"/>
      <c r="K56" s="4">
        <f>+E56-G56-H56-I56</f>
        <v>0</v>
      </c>
    </row>
    <row r="57" spans="1:11" s="13" customFormat="1" ht="12.75" thickBot="1">
      <c r="A57" s="89" t="s">
        <v>334</v>
      </c>
      <c r="B57" s="818" t="s">
        <v>338</v>
      </c>
      <c r="C57" s="1050">
        <v>55832</v>
      </c>
      <c r="D57" s="43">
        <v>1289663</v>
      </c>
      <c r="E57" s="43">
        <v>1289663</v>
      </c>
      <c r="F57" s="1404">
        <f t="shared" si="0"/>
        <v>1</v>
      </c>
      <c r="G57" s="45">
        <v>1289663</v>
      </c>
      <c r="H57" s="43"/>
      <c r="I57" s="44"/>
      <c r="K57" s="13">
        <f>+E57-G57-H57-I57</f>
        <v>0</v>
      </c>
    </row>
    <row r="58" spans="1:11" s="3" customFormat="1" ht="12.75" customHeight="1" thickBot="1">
      <c r="A58" s="83" t="s">
        <v>13</v>
      </c>
      <c r="B58" s="64" t="s">
        <v>302</v>
      </c>
      <c r="C58" s="1049">
        <f>+C59+C60+C61+C62+C63</f>
        <v>15350</v>
      </c>
      <c r="D58" s="28">
        <f>+D59+D60+D61+D62+D63</f>
        <v>6786</v>
      </c>
      <c r="E58" s="28">
        <f>+E59+E60+E61+E62+E63</f>
        <v>5264</v>
      </c>
      <c r="F58" s="1400">
        <f t="shared" si="0"/>
        <v>0.77571470674918952</v>
      </c>
      <c r="G58" s="27">
        <f>+G59+G60+G61+G62+G63</f>
        <v>5264</v>
      </c>
      <c r="H58" s="28">
        <f>+H59+H60+H61+H62+H63</f>
        <v>0</v>
      </c>
      <c r="I58" s="29">
        <f>+I59+I60+I61+I62+I63</f>
        <v>0</v>
      </c>
      <c r="K58" s="3">
        <f>+E58-G58-H58-I58</f>
        <v>0</v>
      </c>
    </row>
    <row r="59" spans="1:11" ht="12.75" customHeight="1">
      <c r="A59" s="84" t="s">
        <v>66</v>
      </c>
      <c r="B59" s="65" t="s">
        <v>121</v>
      </c>
      <c r="C59" s="1051"/>
      <c r="D59" s="10"/>
      <c r="E59" s="10"/>
      <c r="F59" s="1401" t="str">
        <f t="shared" si="0"/>
        <v>-</v>
      </c>
      <c r="G59" s="34"/>
      <c r="H59" s="10"/>
      <c r="I59" s="35"/>
      <c r="K59" s="4">
        <f>+E59-G59-H59-I59</f>
        <v>0</v>
      </c>
    </row>
    <row r="60" spans="1:11" ht="12.75" customHeight="1">
      <c r="A60" s="85" t="s">
        <v>67</v>
      </c>
      <c r="B60" s="67" t="s">
        <v>122</v>
      </c>
      <c r="C60" s="501">
        <v>15350</v>
      </c>
      <c r="D60" s="11">
        <f>6786+1-1</f>
        <v>6786</v>
      </c>
      <c r="E60" s="11">
        <v>5264</v>
      </c>
      <c r="F60" s="1402">
        <f t="shared" si="0"/>
        <v>0.77571470674918952</v>
      </c>
      <c r="G60" s="20">
        <v>5264</v>
      </c>
      <c r="H60" s="11"/>
      <c r="I60" s="16"/>
      <c r="K60" s="4">
        <f>+E60-G60-H60-I60</f>
        <v>0</v>
      </c>
    </row>
    <row r="61" spans="1:11" ht="12.75" customHeight="1">
      <c r="A61" s="85" t="s">
        <v>68</v>
      </c>
      <c r="B61" s="67" t="s">
        <v>123</v>
      </c>
      <c r="C61" s="501"/>
      <c r="D61" s="11">
        <v>0</v>
      </c>
      <c r="E61" s="11"/>
      <c r="F61" s="1402" t="str">
        <f t="shared" si="0"/>
        <v>-</v>
      </c>
      <c r="G61" s="20"/>
      <c r="H61" s="11"/>
      <c r="I61" s="16"/>
      <c r="K61" s="4">
        <f>+E61-G61-H61-I61</f>
        <v>0</v>
      </c>
    </row>
    <row r="62" spans="1:11" ht="12.75" customHeight="1">
      <c r="A62" s="85" t="s">
        <v>230</v>
      </c>
      <c r="B62" s="67" t="s">
        <v>124</v>
      </c>
      <c r="C62" s="501"/>
      <c r="D62" s="11">
        <v>0</v>
      </c>
      <c r="E62" s="11"/>
      <c r="F62" s="1402" t="str">
        <f t="shared" si="0"/>
        <v>-</v>
      </c>
      <c r="G62" s="20"/>
      <c r="H62" s="11"/>
      <c r="I62" s="16"/>
      <c r="K62" s="4">
        <f>+E62-G62-H62-I62</f>
        <v>0</v>
      </c>
    </row>
    <row r="63" spans="1:11" ht="12.75" customHeight="1" thickBot="1">
      <c r="A63" s="78" t="s">
        <v>231</v>
      </c>
      <c r="B63" s="68" t="s">
        <v>125</v>
      </c>
      <c r="C63" s="500"/>
      <c r="D63" s="22"/>
      <c r="E63" s="22"/>
      <c r="F63" s="1404" t="str">
        <f t="shared" si="0"/>
        <v>-</v>
      </c>
      <c r="G63" s="21"/>
      <c r="H63" s="22"/>
      <c r="I63" s="23"/>
      <c r="K63" s="4">
        <f>+E63-G63-H63-I63</f>
        <v>0</v>
      </c>
    </row>
    <row r="64" spans="1:11" s="3" customFormat="1" ht="12.75" thickBot="1">
      <c r="A64" s="83" t="s">
        <v>12</v>
      </c>
      <c r="B64" s="64" t="s">
        <v>971</v>
      </c>
      <c r="C64" s="1049">
        <f>+C65+C66+C67+C68+C69</f>
        <v>1500</v>
      </c>
      <c r="D64" s="28">
        <f>+D65+D66+D67+D68+D69</f>
        <v>9930</v>
      </c>
      <c r="E64" s="28">
        <f>+E65+E66+E67+E68+E69</f>
        <v>3009</v>
      </c>
      <c r="F64" s="1400">
        <f t="shared" si="0"/>
        <v>0.3030211480362538</v>
      </c>
      <c r="G64" s="27">
        <f>+G65+G66+G67+G68+G69</f>
        <v>2120</v>
      </c>
      <c r="H64" s="28">
        <f>+H65+H66+H67+H68+H69</f>
        <v>889</v>
      </c>
      <c r="I64" s="29">
        <f>+I65+I66+I67+I68+I69</f>
        <v>0</v>
      </c>
      <c r="K64" s="3">
        <f>+E64-G64-H64-I64</f>
        <v>0</v>
      </c>
    </row>
    <row r="65" spans="1:11">
      <c r="A65" s="84" t="s">
        <v>69</v>
      </c>
      <c r="B65" s="65" t="s">
        <v>126</v>
      </c>
      <c r="C65" s="1051"/>
      <c r="D65" s="10"/>
      <c r="E65" s="10"/>
      <c r="F65" s="1401" t="str">
        <f t="shared" si="0"/>
        <v>-</v>
      </c>
      <c r="G65" s="34"/>
      <c r="H65" s="10"/>
      <c r="I65" s="35"/>
      <c r="K65" s="4">
        <f>+E65-G65-H65-I65</f>
        <v>0</v>
      </c>
    </row>
    <row r="66" spans="1:11">
      <c r="A66" s="84" t="s">
        <v>70</v>
      </c>
      <c r="B66" s="65" t="s">
        <v>972</v>
      </c>
      <c r="C66" s="501"/>
      <c r="D66" s="11"/>
      <c r="E66" s="11"/>
      <c r="F66" s="1401" t="str">
        <f t="shared" si="0"/>
        <v>-</v>
      </c>
      <c r="G66" s="20"/>
      <c r="H66" s="11"/>
      <c r="I66" s="16"/>
      <c r="K66" s="4">
        <f>+E66-G66-H66-I66</f>
        <v>0</v>
      </c>
    </row>
    <row r="67" spans="1:11">
      <c r="A67" s="84" t="s">
        <v>71</v>
      </c>
      <c r="B67" s="65" t="s">
        <v>973</v>
      </c>
      <c r="C67" s="500"/>
      <c r="D67" s="22"/>
      <c r="E67" s="22"/>
      <c r="F67" s="1401" t="str">
        <f t="shared" si="0"/>
        <v>-</v>
      </c>
      <c r="G67" s="21"/>
      <c r="H67" s="22"/>
      <c r="I67" s="23"/>
      <c r="K67" s="4">
        <f>+E67-G67-H67-I67</f>
        <v>0</v>
      </c>
    </row>
    <row r="68" spans="1:11">
      <c r="A68" s="85" t="s">
        <v>72</v>
      </c>
      <c r="B68" s="67" t="s">
        <v>969</v>
      </c>
      <c r="C68" s="501"/>
      <c r="D68" s="11">
        <v>7894</v>
      </c>
      <c r="E68" s="11">
        <v>1009</v>
      </c>
      <c r="F68" s="1402">
        <f t="shared" si="0"/>
        <v>0.1278185964023309</v>
      </c>
      <c r="G68" s="20">
        <v>120</v>
      </c>
      <c r="H68" s="11">
        <v>889</v>
      </c>
      <c r="I68" s="16"/>
      <c r="K68" s="4">
        <f>+E68-G68-H68-I68</f>
        <v>0</v>
      </c>
    </row>
    <row r="69" spans="1:11" ht="12.75" thickBot="1">
      <c r="A69" s="78" t="s">
        <v>968</v>
      </c>
      <c r="B69" s="68" t="s">
        <v>970</v>
      </c>
      <c r="C69" s="500">
        <v>1500</v>
      </c>
      <c r="D69" s="22">
        <v>2036</v>
      </c>
      <c r="E69" s="22">
        <v>2000</v>
      </c>
      <c r="F69" s="1404">
        <f t="shared" si="0"/>
        <v>0.98231827111984282</v>
      </c>
      <c r="G69" s="21">
        <v>2000</v>
      </c>
      <c r="H69" s="22"/>
      <c r="I69" s="23"/>
      <c r="K69" s="4">
        <f>+E69-G69-H69-I69</f>
        <v>0</v>
      </c>
    </row>
    <row r="70" spans="1:11" s="3" customFormat="1" ht="12.75" thickBot="1">
      <c r="A70" s="83" t="s">
        <v>11</v>
      </c>
      <c r="B70" s="69" t="s">
        <v>303</v>
      </c>
      <c r="C70" s="1049">
        <f>+C10+C50</f>
        <v>1394876</v>
      </c>
      <c r="D70" s="28">
        <f>+D10+D50</f>
        <v>3464900</v>
      </c>
      <c r="E70" s="28">
        <f>+E10+E50</f>
        <v>3276714</v>
      </c>
      <c r="F70" s="1400">
        <f t="shared" si="0"/>
        <v>0.94568789864065339</v>
      </c>
      <c r="G70" s="27">
        <f>+G10+G50</f>
        <v>3272760</v>
      </c>
      <c r="H70" s="28">
        <f>+H10+H50</f>
        <v>3954</v>
      </c>
      <c r="I70" s="29">
        <f>+I10+I50</f>
        <v>0</v>
      </c>
      <c r="K70" s="3">
        <f>+E70-G70-H70-I70</f>
        <v>0</v>
      </c>
    </row>
    <row r="71" spans="1:11" s="3" customFormat="1" ht="12.75" thickBot="1">
      <c r="A71" s="83" t="s">
        <v>10</v>
      </c>
      <c r="B71" s="70" t="s">
        <v>304</v>
      </c>
      <c r="C71" s="1049">
        <f>+C72</f>
        <v>1832034</v>
      </c>
      <c r="D71" s="28">
        <f>+D72</f>
        <v>448017</v>
      </c>
      <c r="E71" s="28">
        <f>+E72</f>
        <v>448017</v>
      </c>
      <c r="F71" s="1400">
        <f t="shared" si="0"/>
        <v>1</v>
      </c>
      <c r="G71" s="27">
        <f>+G72</f>
        <v>448017</v>
      </c>
      <c r="H71" s="28">
        <f>+H72</f>
        <v>0</v>
      </c>
      <c r="I71" s="29">
        <f>+I72</f>
        <v>0</v>
      </c>
      <c r="K71" s="3">
        <f>+E71-G71-H71-I71</f>
        <v>0</v>
      </c>
    </row>
    <row r="72" spans="1:11" s="3" customFormat="1" ht="12.75" thickBot="1">
      <c r="A72" s="83" t="s">
        <v>9</v>
      </c>
      <c r="B72" s="64" t="s">
        <v>980</v>
      </c>
      <c r="C72" s="1049">
        <f>+C73+C83+C84+C85</f>
        <v>1832034</v>
      </c>
      <c r="D72" s="28">
        <f>+D73+D83+D84+D85</f>
        <v>448017</v>
      </c>
      <c r="E72" s="28">
        <f>+E73+E83+E84+E85</f>
        <v>448017</v>
      </c>
      <c r="F72" s="1400">
        <f t="shared" si="0"/>
        <v>1</v>
      </c>
      <c r="G72" s="27">
        <f>+G73+G83+G84+G85</f>
        <v>448017</v>
      </c>
      <c r="H72" s="28">
        <f>+H73+H83+H84+H85</f>
        <v>0</v>
      </c>
      <c r="I72" s="29">
        <f>+I73+I83+I84+I85</f>
        <v>0</v>
      </c>
      <c r="K72" s="3">
        <f>+E72-G72-H72-I72</f>
        <v>0</v>
      </c>
    </row>
    <row r="73" spans="1:11">
      <c r="A73" s="84" t="s">
        <v>73</v>
      </c>
      <c r="B73" s="65" t="s">
        <v>975</v>
      </c>
      <c r="C73" s="1051">
        <f>+C74+C75+C76+C77+C78+C79+C80+C81+C82</f>
        <v>1832034</v>
      </c>
      <c r="D73" s="10">
        <f>+D74+D75+D76+D77+D78+D79+D80+D81+D82</f>
        <v>448017</v>
      </c>
      <c r="E73" s="10">
        <f>+E74+E75+E76+E77+E78+E79+E80+E81+E82</f>
        <v>448017</v>
      </c>
      <c r="F73" s="1401">
        <f t="shared" si="0"/>
        <v>1</v>
      </c>
      <c r="G73" s="34">
        <f>+G74+G75+G76+G77+G78+G79+G80+G81+G82</f>
        <v>448017</v>
      </c>
      <c r="H73" s="10">
        <f>+H74+H75+H76+H77+H78+H79+H80+H81+H82</f>
        <v>0</v>
      </c>
      <c r="I73" s="35">
        <f>+I74+I75+I76+I77+I78+I79+I80+I81+I82</f>
        <v>0</v>
      </c>
      <c r="K73" s="4">
        <f>+E73-G73-H73-I73</f>
        <v>0</v>
      </c>
    </row>
    <row r="74" spans="1:11" s="13" customFormat="1">
      <c r="A74" s="86" t="s">
        <v>196</v>
      </c>
      <c r="B74" s="66" t="s">
        <v>974</v>
      </c>
      <c r="C74" s="502"/>
      <c r="D74" s="12">
        <v>85565</v>
      </c>
      <c r="E74" s="12">
        <v>85565</v>
      </c>
      <c r="F74" s="1402">
        <f t="shared" ref="F74:F102" si="1">IF(ISERROR(E74/D74),"-",E74/D74)</f>
        <v>1</v>
      </c>
      <c r="G74" s="19">
        <v>85565</v>
      </c>
      <c r="H74" s="12"/>
      <c r="I74" s="15"/>
      <c r="K74" s="13">
        <f>+E74-G74-H74-I74</f>
        <v>0</v>
      </c>
    </row>
    <row r="75" spans="1:11" s="13" customFormat="1">
      <c r="A75" s="86" t="s">
        <v>197</v>
      </c>
      <c r="B75" s="66" t="s">
        <v>247</v>
      </c>
      <c r="C75" s="502"/>
      <c r="D75" s="12"/>
      <c r="E75" s="12"/>
      <c r="F75" s="1402" t="str">
        <f t="shared" si="1"/>
        <v>-</v>
      </c>
      <c r="G75" s="19"/>
      <c r="H75" s="12"/>
      <c r="I75" s="15"/>
      <c r="K75" s="13">
        <f>+E75-G75-H75-I75</f>
        <v>0</v>
      </c>
    </row>
    <row r="76" spans="1:11" s="13" customFormat="1">
      <c r="A76" s="86" t="s">
        <v>198</v>
      </c>
      <c r="B76" s="66" t="s">
        <v>248</v>
      </c>
      <c r="C76" s="502">
        <v>1832034</v>
      </c>
      <c r="D76" s="12">
        <f>1832034-1494710-1544+1</f>
        <v>335781</v>
      </c>
      <c r="E76" s="12">
        <f>335780+1</f>
        <v>335781</v>
      </c>
      <c r="F76" s="1402">
        <f t="shared" si="1"/>
        <v>1</v>
      </c>
      <c r="G76" s="19">
        <v>335781</v>
      </c>
      <c r="H76" s="12"/>
      <c r="I76" s="15"/>
      <c r="K76" s="13">
        <f>+E76-G76-H76-I76</f>
        <v>0</v>
      </c>
    </row>
    <row r="77" spans="1:11" s="13" customFormat="1">
      <c r="A77" s="86" t="s">
        <v>199</v>
      </c>
      <c r="B77" s="66" t="s">
        <v>249</v>
      </c>
      <c r="C77" s="502"/>
      <c r="D77" s="12">
        <v>26671</v>
      </c>
      <c r="E77" s="12">
        <v>26671</v>
      </c>
      <c r="F77" s="1402">
        <f t="shared" si="1"/>
        <v>1</v>
      </c>
      <c r="G77" s="19">
        <v>26671</v>
      </c>
      <c r="H77" s="12"/>
      <c r="I77" s="15"/>
      <c r="K77" s="13">
        <f>+E77-G77-H77-I77</f>
        <v>0</v>
      </c>
    </row>
    <row r="78" spans="1:11" s="13" customFormat="1">
      <c r="A78" s="86" t="s">
        <v>200</v>
      </c>
      <c r="B78" s="66" t="s">
        <v>250</v>
      </c>
      <c r="C78" s="502"/>
      <c r="D78" s="12"/>
      <c r="E78" s="12"/>
      <c r="F78" s="1402" t="str">
        <f t="shared" si="1"/>
        <v>-</v>
      </c>
      <c r="G78" s="19"/>
      <c r="H78" s="12"/>
      <c r="I78" s="15"/>
      <c r="K78" s="13">
        <f>+E78-G78-H78-I78</f>
        <v>0</v>
      </c>
    </row>
    <row r="79" spans="1:11" s="117" customFormat="1">
      <c r="A79" s="108" t="s">
        <v>201</v>
      </c>
      <c r="B79" s="109" t="s">
        <v>251</v>
      </c>
      <c r="C79" s="876"/>
      <c r="D79" s="744"/>
      <c r="E79" s="744"/>
      <c r="F79" s="1403" t="str">
        <f t="shared" si="1"/>
        <v>-</v>
      </c>
      <c r="G79" s="743"/>
      <c r="H79" s="744"/>
      <c r="I79" s="745"/>
      <c r="K79" s="117">
        <f>+E79-G79-H79-I79</f>
        <v>0</v>
      </c>
    </row>
    <row r="80" spans="1:11" s="117" customFormat="1">
      <c r="A80" s="86" t="s">
        <v>204</v>
      </c>
      <c r="B80" s="66" t="s">
        <v>252</v>
      </c>
      <c r="C80" s="876"/>
      <c r="D80" s="744"/>
      <c r="E80" s="744"/>
      <c r="F80" s="1402" t="str">
        <f t="shared" si="1"/>
        <v>-</v>
      </c>
      <c r="G80" s="743"/>
      <c r="H80" s="744"/>
      <c r="I80" s="745"/>
      <c r="K80" s="117">
        <f>+E80-G80-H80-I80</f>
        <v>0</v>
      </c>
    </row>
    <row r="81" spans="1:11" s="117" customFormat="1">
      <c r="A81" s="86" t="s">
        <v>202</v>
      </c>
      <c r="B81" s="66" t="s">
        <v>245</v>
      </c>
      <c r="C81" s="876"/>
      <c r="D81" s="744"/>
      <c r="E81" s="744"/>
      <c r="F81" s="1402" t="str">
        <f t="shared" si="1"/>
        <v>-</v>
      </c>
      <c r="G81" s="743"/>
      <c r="H81" s="744"/>
      <c r="I81" s="745"/>
      <c r="K81" s="117">
        <f>+E81-G81-H81-I81</f>
        <v>0</v>
      </c>
    </row>
    <row r="82" spans="1:11" s="117" customFormat="1">
      <c r="A82" s="86" t="s">
        <v>976</v>
      </c>
      <c r="B82" s="66" t="s">
        <v>977</v>
      </c>
      <c r="C82" s="876"/>
      <c r="D82" s="744"/>
      <c r="E82" s="744"/>
      <c r="F82" s="1402" t="str">
        <f t="shared" si="1"/>
        <v>-</v>
      </c>
      <c r="G82" s="743"/>
      <c r="H82" s="744"/>
      <c r="I82" s="745"/>
      <c r="K82" s="117">
        <f>+E82-G82-H82-I82</f>
        <v>0</v>
      </c>
    </row>
    <row r="83" spans="1:11" s="118" customFormat="1">
      <c r="A83" s="85" t="s">
        <v>74</v>
      </c>
      <c r="B83" s="67" t="s">
        <v>243</v>
      </c>
      <c r="C83" s="1052"/>
      <c r="D83" s="988"/>
      <c r="E83" s="988"/>
      <c r="F83" s="1402" t="str">
        <f t="shared" si="1"/>
        <v>-</v>
      </c>
      <c r="G83" s="987"/>
      <c r="H83" s="988"/>
      <c r="I83" s="989"/>
      <c r="K83" s="118">
        <f>+E83-G83-H83-I83</f>
        <v>0</v>
      </c>
    </row>
    <row r="84" spans="1:11" s="118" customFormat="1">
      <c r="A84" s="78" t="s">
        <v>203</v>
      </c>
      <c r="B84" s="68" t="s">
        <v>244</v>
      </c>
      <c r="C84" s="1053"/>
      <c r="D84" s="991"/>
      <c r="E84" s="991"/>
      <c r="F84" s="1404" t="str">
        <f t="shared" si="1"/>
        <v>-</v>
      </c>
      <c r="G84" s="990"/>
      <c r="H84" s="991"/>
      <c r="I84" s="992"/>
      <c r="K84" s="118">
        <f>+E84-G84-H84-I84</f>
        <v>0</v>
      </c>
    </row>
    <row r="85" spans="1:11" s="118" customFormat="1" ht="12.75" thickBot="1">
      <c r="A85" s="78" t="s">
        <v>978</v>
      </c>
      <c r="B85" s="68" t="s">
        <v>979</v>
      </c>
      <c r="C85" s="1053"/>
      <c r="D85" s="991"/>
      <c r="E85" s="991"/>
      <c r="F85" s="1404" t="str">
        <f t="shared" si="1"/>
        <v>-</v>
      </c>
      <c r="G85" s="990"/>
      <c r="H85" s="991"/>
      <c r="I85" s="992"/>
      <c r="K85" s="118">
        <f>+E85-G85-H85-I85</f>
        <v>0</v>
      </c>
    </row>
    <row r="86" spans="1:11" s="119" customFormat="1" ht="12.75" thickBot="1">
      <c r="A86" s="83" t="s">
        <v>45</v>
      </c>
      <c r="B86" s="70" t="s">
        <v>305</v>
      </c>
      <c r="C86" s="1054">
        <f>+C87</f>
        <v>8000</v>
      </c>
      <c r="D86" s="111">
        <f>+D87</f>
        <v>1857788</v>
      </c>
      <c r="E86" s="111">
        <f>+E87</f>
        <v>1857788</v>
      </c>
      <c r="F86" s="1400">
        <f t="shared" si="1"/>
        <v>1</v>
      </c>
      <c r="G86" s="110">
        <f>+G87</f>
        <v>1857788</v>
      </c>
      <c r="H86" s="111">
        <f>+H87</f>
        <v>0</v>
      </c>
      <c r="I86" s="112">
        <f>+I87</f>
        <v>0</v>
      </c>
      <c r="K86" s="119">
        <f>+E86-G86-H86-I86</f>
        <v>0</v>
      </c>
    </row>
    <row r="87" spans="1:11" s="119" customFormat="1" ht="12.75" thickBot="1">
      <c r="A87" s="83" t="s">
        <v>44</v>
      </c>
      <c r="B87" s="64" t="s">
        <v>982</v>
      </c>
      <c r="C87" s="1054">
        <f>+C88+C98+C99+C100</f>
        <v>8000</v>
      </c>
      <c r="D87" s="111">
        <f>+D88+D98+D99+D100</f>
        <v>1857788</v>
      </c>
      <c r="E87" s="111">
        <f>+E88+E98+E99+E100</f>
        <v>1857788</v>
      </c>
      <c r="F87" s="1400">
        <f t="shared" si="1"/>
        <v>1</v>
      </c>
      <c r="G87" s="110">
        <f>+G88+G98+G99+G100</f>
        <v>1857788</v>
      </c>
      <c r="H87" s="111">
        <f>+H88+H98+H99+H100</f>
        <v>0</v>
      </c>
      <c r="I87" s="112">
        <f>+I88+I98+I99+I100</f>
        <v>0</v>
      </c>
      <c r="K87" s="119">
        <f>+E87-G87-H87-I87</f>
        <v>0</v>
      </c>
    </row>
    <row r="88" spans="1:11" s="118" customFormat="1">
      <c r="A88" s="84" t="s">
        <v>232</v>
      </c>
      <c r="B88" s="65" t="s">
        <v>1042</v>
      </c>
      <c r="C88" s="1055">
        <f>+C89+C90+C91+C92+C93+C94+C95+C96+C97</f>
        <v>8000</v>
      </c>
      <c r="D88" s="115">
        <f>+D89+D90+D91+D92+D93+D94+D95+D96+D97</f>
        <v>1857788</v>
      </c>
      <c r="E88" s="115">
        <f>+E89+E90+E91+E92+E93+E94+E95+E96+E97</f>
        <v>1857788</v>
      </c>
      <c r="F88" s="1401">
        <f t="shared" si="1"/>
        <v>1</v>
      </c>
      <c r="G88" s="114">
        <f>+G89+G90+G91+G92+G93+G94+G95+G96+G97</f>
        <v>1857788</v>
      </c>
      <c r="H88" s="115">
        <f>+H89+H90+H91+H92+H93+H94+H95+H96+H97</f>
        <v>0</v>
      </c>
      <c r="I88" s="116">
        <f>+I89+I90+I91+I92+I93+I94+I95+I96+I97</f>
        <v>0</v>
      </c>
      <c r="K88" s="118">
        <f>+E88-G88-H88-I88</f>
        <v>0</v>
      </c>
    </row>
    <row r="89" spans="1:11" s="117" customFormat="1">
      <c r="A89" s="86" t="s">
        <v>233</v>
      </c>
      <c r="B89" s="66" t="s">
        <v>974</v>
      </c>
      <c r="C89" s="876">
        <v>8000</v>
      </c>
      <c r="D89" s="744"/>
      <c r="E89" s="744"/>
      <c r="F89" s="1402" t="str">
        <f t="shared" si="1"/>
        <v>-</v>
      </c>
      <c r="G89" s="743"/>
      <c r="H89" s="744"/>
      <c r="I89" s="745"/>
      <c r="K89" s="117">
        <f>+E89-G89-H89-I89</f>
        <v>0</v>
      </c>
    </row>
    <row r="90" spans="1:11" s="117" customFormat="1">
      <c r="A90" s="86" t="s">
        <v>234</v>
      </c>
      <c r="B90" s="66" t="s">
        <v>247</v>
      </c>
      <c r="C90" s="876"/>
      <c r="D90" s="744"/>
      <c r="E90" s="744"/>
      <c r="F90" s="1402" t="str">
        <f t="shared" si="1"/>
        <v>-</v>
      </c>
      <c r="G90" s="743"/>
      <c r="H90" s="744"/>
      <c r="I90" s="745"/>
      <c r="K90" s="117">
        <f>+E90-G90-H90-I90</f>
        <v>0</v>
      </c>
    </row>
    <row r="91" spans="1:11" s="117" customFormat="1">
      <c r="A91" s="86" t="s">
        <v>235</v>
      </c>
      <c r="B91" s="66" t="s">
        <v>248</v>
      </c>
      <c r="C91" s="876"/>
      <c r="D91" s="744">
        <v>1857788</v>
      </c>
      <c r="E91" s="744">
        <v>1857788</v>
      </c>
      <c r="F91" s="1402">
        <f t="shared" si="1"/>
        <v>1</v>
      </c>
      <c r="G91" s="743">
        <f>0+1857788</f>
        <v>1857788</v>
      </c>
      <c r="H91" s="744"/>
      <c r="I91" s="745"/>
      <c r="K91" s="117">
        <f>+E91-G91-H91-I91</f>
        <v>0</v>
      </c>
    </row>
    <row r="92" spans="1:11" s="117" customFormat="1">
      <c r="A92" s="86" t="s">
        <v>236</v>
      </c>
      <c r="B92" s="66" t="s">
        <v>249</v>
      </c>
      <c r="C92" s="876"/>
      <c r="D92" s="744"/>
      <c r="E92" s="744"/>
      <c r="F92" s="1402" t="str">
        <f t="shared" si="1"/>
        <v>-</v>
      </c>
      <c r="G92" s="743"/>
      <c r="H92" s="744"/>
      <c r="I92" s="745"/>
      <c r="K92" s="117">
        <f>+E92-G92-H92-I92</f>
        <v>0</v>
      </c>
    </row>
    <row r="93" spans="1:11" s="117" customFormat="1">
      <c r="A93" s="86" t="s">
        <v>237</v>
      </c>
      <c r="B93" s="66" t="s">
        <v>250</v>
      </c>
      <c r="C93" s="876"/>
      <c r="D93" s="744"/>
      <c r="E93" s="744"/>
      <c r="F93" s="1402" t="str">
        <f t="shared" si="1"/>
        <v>-</v>
      </c>
      <c r="G93" s="743"/>
      <c r="H93" s="744"/>
      <c r="I93" s="745"/>
      <c r="K93" s="117">
        <f>+E93-G93-H93-I93</f>
        <v>0</v>
      </c>
    </row>
    <row r="94" spans="1:11" s="117" customFormat="1">
      <c r="A94" s="108" t="s">
        <v>238</v>
      </c>
      <c r="B94" s="109" t="s">
        <v>251</v>
      </c>
      <c r="C94" s="876"/>
      <c r="D94" s="744"/>
      <c r="E94" s="744"/>
      <c r="F94" s="1403" t="str">
        <f t="shared" si="1"/>
        <v>-</v>
      </c>
      <c r="G94" s="743"/>
      <c r="H94" s="744"/>
      <c r="I94" s="745"/>
      <c r="K94" s="117">
        <f>+E94-G94-H94-I94</f>
        <v>0</v>
      </c>
    </row>
    <row r="95" spans="1:11" s="13" customFormat="1">
      <c r="A95" s="86" t="s">
        <v>239</v>
      </c>
      <c r="B95" s="66" t="s">
        <v>252</v>
      </c>
      <c r="C95" s="502"/>
      <c r="D95" s="12"/>
      <c r="E95" s="12"/>
      <c r="F95" s="1402" t="str">
        <f t="shared" si="1"/>
        <v>-</v>
      </c>
      <c r="G95" s="19"/>
      <c r="H95" s="12"/>
      <c r="I95" s="15"/>
      <c r="K95" s="13">
        <f>+E95-G95-H95-I95</f>
        <v>0</v>
      </c>
    </row>
    <row r="96" spans="1:11" s="13" customFormat="1">
      <c r="A96" s="86" t="s">
        <v>240</v>
      </c>
      <c r="B96" s="66" t="s">
        <v>245</v>
      </c>
      <c r="C96" s="502"/>
      <c r="D96" s="12"/>
      <c r="E96" s="12"/>
      <c r="F96" s="1402" t="str">
        <f t="shared" si="1"/>
        <v>-</v>
      </c>
      <c r="G96" s="19"/>
      <c r="H96" s="12"/>
      <c r="I96" s="15"/>
      <c r="K96" s="13">
        <f>+E96-G96-H96-I96</f>
        <v>0</v>
      </c>
    </row>
    <row r="97" spans="1:11" s="13" customFormat="1">
      <c r="A97" s="86" t="s">
        <v>981</v>
      </c>
      <c r="B97" s="66" t="s">
        <v>977</v>
      </c>
      <c r="C97" s="502"/>
      <c r="D97" s="12"/>
      <c r="E97" s="12"/>
      <c r="F97" s="1402" t="str">
        <f t="shared" si="1"/>
        <v>-</v>
      </c>
      <c r="G97" s="19"/>
      <c r="H97" s="12"/>
      <c r="I97" s="15"/>
      <c r="K97" s="13">
        <f>+E97-G97-H97-I97</f>
        <v>0</v>
      </c>
    </row>
    <row r="98" spans="1:11">
      <c r="A98" s="85" t="s">
        <v>241</v>
      </c>
      <c r="B98" s="67" t="s">
        <v>243</v>
      </c>
      <c r="C98" s="501"/>
      <c r="D98" s="11"/>
      <c r="E98" s="11"/>
      <c r="F98" s="1402" t="str">
        <f t="shared" si="1"/>
        <v>-</v>
      </c>
      <c r="G98" s="20"/>
      <c r="H98" s="11"/>
      <c r="I98" s="16"/>
      <c r="K98" s="4">
        <f>+E98-G98-H98-I98</f>
        <v>0</v>
      </c>
    </row>
    <row r="99" spans="1:11">
      <c r="A99" s="78" t="s">
        <v>242</v>
      </c>
      <c r="B99" s="68" t="s">
        <v>244</v>
      </c>
      <c r="C99" s="500"/>
      <c r="D99" s="22"/>
      <c r="E99" s="22"/>
      <c r="F99" s="1404" t="str">
        <f t="shared" si="1"/>
        <v>-</v>
      </c>
      <c r="G99" s="21"/>
      <c r="H99" s="22"/>
      <c r="I99" s="23"/>
      <c r="K99" s="4">
        <f>+E99-G99-H99-I99</f>
        <v>0</v>
      </c>
    </row>
    <row r="100" spans="1:11" ht="12.75" thickBot="1">
      <c r="A100" s="78" t="s">
        <v>983</v>
      </c>
      <c r="B100" s="68" t="s">
        <v>979</v>
      </c>
      <c r="C100" s="500"/>
      <c r="D100" s="22"/>
      <c r="E100" s="22"/>
      <c r="F100" s="1404" t="str">
        <f t="shared" si="1"/>
        <v>-</v>
      </c>
      <c r="G100" s="21"/>
      <c r="H100" s="22"/>
      <c r="I100" s="23"/>
      <c r="K100" s="4">
        <f>+E100-G100-H100-I100</f>
        <v>0</v>
      </c>
    </row>
    <row r="101" spans="1:11" s="3" customFormat="1" ht="12.75" thickBot="1">
      <c r="A101" s="83" t="s">
        <v>43</v>
      </c>
      <c r="B101" s="69" t="s">
        <v>306</v>
      </c>
      <c r="C101" s="1049">
        <f>+C71+C86</f>
        <v>1840034</v>
      </c>
      <c r="D101" s="28">
        <f>+D71+D86</f>
        <v>2305805</v>
      </c>
      <c r="E101" s="28">
        <f>+E71+E86</f>
        <v>2305805</v>
      </c>
      <c r="F101" s="1400">
        <f t="shared" si="1"/>
        <v>1</v>
      </c>
      <c r="G101" s="27">
        <f>+G71+G86</f>
        <v>2305805</v>
      </c>
      <c r="H101" s="28">
        <f>+H71+H86</f>
        <v>0</v>
      </c>
      <c r="I101" s="29">
        <f>+I71+I86</f>
        <v>0</v>
      </c>
      <c r="K101" s="3">
        <f>+E101-G101-H101-I101</f>
        <v>0</v>
      </c>
    </row>
    <row r="102" spans="1:11" s="3" customFormat="1" ht="12.75" thickBot="1">
      <c r="A102" s="87" t="s">
        <v>40</v>
      </c>
      <c r="B102" s="71" t="s">
        <v>307</v>
      </c>
      <c r="C102" s="1056">
        <f>+C70+C101</f>
        <v>3234910</v>
      </c>
      <c r="D102" s="25">
        <f>+D70+D101</f>
        <v>5770705</v>
      </c>
      <c r="E102" s="25">
        <f>+E70+E101</f>
        <v>5582519</v>
      </c>
      <c r="F102" s="1406">
        <f t="shared" si="1"/>
        <v>0.96738942642190162</v>
      </c>
      <c r="G102" s="24">
        <f>+G70+G101</f>
        <v>5578565</v>
      </c>
      <c r="H102" s="25">
        <f>+H70+H101</f>
        <v>3954</v>
      </c>
      <c r="I102" s="26">
        <f>+I70+I101</f>
        <v>0</v>
      </c>
      <c r="K102" s="3">
        <f>+E102-G102-H102-I102</f>
        <v>0</v>
      </c>
    </row>
    <row r="103" spans="1:11" s="3" customFormat="1">
      <c r="A103" s="53"/>
      <c r="B103" s="30"/>
      <c r="C103" s="30"/>
      <c r="D103" s="30"/>
      <c r="E103" s="30"/>
      <c r="F103" s="1397"/>
      <c r="G103" s="30"/>
      <c r="H103" s="30"/>
      <c r="I103" s="30"/>
    </row>
    <row r="104" spans="1:11" s="3" customFormat="1">
      <c r="A104" s="53"/>
      <c r="B104" s="30"/>
      <c r="C104" s="30"/>
      <c r="D104" s="30"/>
      <c r="E104" s="30"/>
      <c r="F104" s="1407"/>
      <c r="G104" s="30"/>
      <c r="H104" s="30"/>
      <c r="I104" s="30"/>
    </row>
    <row r="105" spans="1:11" s="52" customFormat="1" ht="15.75">
      <c r="A105" s="1216" t="s">
        <v>80</v>
      </c>
      <c r="B105" s="1216"/>
      <c r="C105" s="1216"/>
      <c r="D105" s="1216"/>
      <c r="E105" s="1216"/>
      <c r="F105" s="1216"/>
      <c r="G105" s="1216"/>
      <c r="H105" s="1216"/>
      <c r="I105" s="1216"/>
    </row>
    <row r="106" spans="1:11" s="36" customFormat="1" ht="12.75" thickBot="1">
      <c r="A106" s="38" t="s">
        <v>279</v>
      </c>
      <c r="F106" s="1397"/>
      <c r="I106" s="37" t="s">
        <v>281</v>
      </c>
    </row>
    <row r="107" spans="1:11" s="3" customFormat="1" ht="48.75" thickBot="1">
      <c r="A107" s="79" t="s">
        <v>17</v>
      </c>
      <c r="B107" s="80" t="s">
        <v>329</v>
      </c>
      <c r="C107" s="412" t="s">
        <v>1474</v>
      </c>
      <c r="D107" s="1047" t="s">
        <v>1475</v>
      </c>
      <c r="E107" s="6" t="s">
        <v>1529</v>
      </c>
      <c r="F107" s="1398" t="s">
        <v>1527</v>
      </c>
      <c r="G107" s="5" t="s">
        <v>51</v>
      </c>
      <c r="H107" s="6" t="s">
        <v>52</v>
      </c>
      <c r="I107" s="7" t="s">
        <v>53</v>
      </c>
    </row>
    <row r="108" spans="1:11" s="3" customFormat="1" ht="12.75" thickBot="1">
      <c r="A108" s="81" t="s">
        <v>253</v>
      </c>
      <c r="B108" s="82" t="s">
        <v>254</v>
      </c>
      <c r="C108" s="1221" t="s">
        <v>255</v>
      </c>
      <c r="D108" s="1222"/>
      <c r="E108" s="1222"/>
      <c r="F108" s="1222"/>
      <c r="G108" s="1223"/>
      <c r="H108" s="1223"/>
      <c r="I108" s="1224"/>
    </row>
    <row r="109" spans="1:11" s="3" customFormat="1" ht="12.75" thickBot="1">
      <c r="A109" s="83" t="s">
        <v>4</v>
      </c>
      <c r="B109" s="69" t="s">
        <v>308</v>
      </c>
      <c r="C109" s="1049">
        <f>+C110+C114+C116+C123+C132</f>
        <v>730250</v>
      </c>
      <c r="D109" s="28">
        <f>+D110+D114+D116+D123+D132</f>
        <v>4141003</v>
      </c>
      <c r="E109" s="28">
        <f>+E110+E114+E116+E123+E132</f>
        <v>960233</v>
      </c>
      <c r="F109" s="1408">
        <f t="shared" ref="F109:F172" si="2">IF(ISERROR(E109/D109),"-",E109/D109)</f>
        <v>0.23188415946571397</v>
      </c>
      <c r="G109" s="27">
        <f>+G110+G114+G116+G123+G132</f>
        <v>960123</v>
      </c>
      <c r="H109" s="28">
        <f>+H110+H114+H116+H123+H132</f>
        <v>110</v>
      </c>
      <c r="I109" s="29">
        <f>+I110+I114+I116+I123+I132</f>
        <v>0</v>
      </c>
      <c r="K109" s="3">
        <f>+E109-G109-H109-I109</f>
        <v>0</v>
      </c>
    </row>
    <row r="110" spans="1:11" s="3" customFormat="1" ht="12.75" thickBot="1">
      <c r="A110" s="83" t="s">
        <v>5</v>
      </c>
      <c r="B110" s="64" t="s">
        <v>309</v>
      </c>
      <c r="C110" s="1049">
        <f>+C112+C113</f>
        <v>86232</v>
      </c>
      <c r="D110" s="28">
        <f>+D112+D113</f>
        <v>299152</v>
      </c>
      <c r="E110" s="28">
        <f>+E112+E113</f>
        <v>299152</v>
      </c>
      <c r="F110" s="1408">
        <f t="shared" si="2"/>
        <v>1</v>
      </c>
      <c r="G110" s="27">
        <f>+G112+G113</f>
        <v>299152</v>
      </c>
      <c r="H110" s="28">
        <f>+H112+H113</f>
        <v>0</v>
      </c>
      <c r="I110" s="29">
        <f>+I112+I113</f>
        <v>0</v>
      </c>
      <c r="K110" s="3">
        <f>+E110-G110-H110-I110</f>
        <v>0</v>
      </c>
    </row>
    <row r="111" spans="1:11" s="36" customFormat="1">
      <c r="A111" s="819" t="s">
        <v>349</v>
      </c>
      <c r="B111" s="820" t="s">
        <v>350</v>
      </c>
      <c r="C111" s="1058">
        <v>16807</v>
      </c>
      <c r="D111" s="97">
        <f>84145+69</f>
        <v>84214</v>
      </c>
      <c r="E111" s="97">
        <f>84145+69</f>
        <v>84214</v>
      </c>
      <c r="F111" s="1409">
        <f t="shared" si="2"/>
        <v>1</v>
      </c>
      <c r="G111" s="96">
        <v>84214</v>
      </c>
      <c r="H111" s="97"/>
      <c r="I111" s="98"/>
      <c r="K111" s="36">
        <f>+E111-G111-H111-I111</f>
        <v>0</v>
      </c>
    </row>
    <row r="112" spans="1:11">
      <c r="A112" s="84" t="s">
        <v>54</v>
      </c>
      <c r="B112" s="65" t="s">
        <v>127</v>
      </c>
      <c r="C112" s="1051">
        <v>35725</v>
      </c>
      <c r="D112" s="10">
        <v>213605</v>
      </c>
      <c r="E112" s="10">
        <v>213605</v>
      </c>
      <c r="F112" s="1410">
        <f t="shared" si="2"/>
        <v>1</v>
      </c>
      <c r="G112" s="34">
        <v>213605</v>
      </c>
      <c r="H112" s="10"/>
      <c r="I112" s="35"/>
      <c r="K112" s="4">
        <f>+E112-G112-H112-I112</f>
        <v>0</v>
      </c>
    </row>
    <row r="113" spans="1:11" ht="12.75" thickBot="1">
      <c r="A113" s="78" t="s">
        <v>55</v>
      </c>
      <c r="B113" s="68" t="s">
        <v>128</v>
      </c>
      <c r="C113" s="500">
        <v>50507</v>
      </c>
      <c r="D113" s="22">
        <v>85547</v>
      </c>
      <c r="E113" s="22">
        <v>85547</v>
      </c>
      <c r="F113" s="1411">
        <f t="shared" si="2"/>
        <v>1</v>
      </c>
      <c r="G113" s="21">
        <v>85547</v>
      </c>
      <c r="H113" s="22"/>
      <c r="I113" s="23"/>
      <c r="K113" s="4">
        <f>+E113-G113-H113-I113</f>
        <v>0</v>
      </c>
    </row>
    <row r="114" spans="1:11" s="3" customFormat="1" ht="12.75" thickBot="1">
      <c r="A114" s="83" t="s">
        <v>6</v>
      </c>
      <c r="B114" s="64" t="s">
        <v>256</v>
      </c>
      <c r="C114" s="1049">
        <v>14878</v>
      </c>
      <c r="D114" s="28">
        <v>40556</v>
      </c>
      <c r="E114" s="28">
        <v>40556</v>
      </c>
      <c r="F114" s="1408">
        <f t="shared" si="2"/>
        <v>1</v>
      </c>
      <c r="G114" s="27">
        <v>40556</v>
      </c>
      <c r="H114" s="28"/>
      <c r="I114" s="29"/>
      <c r="K114" s="3">
        <f>+E114-G114-H114-I114</f>
        <v>0</v>
      </c>
    </row>
    <row r="115" spans="1:11" s="36" customFormat="1" ht="12.75" thickBot="1">
      <c r="A115" s="819" t="s">
        <v>346</v>
      </c>
      <c r="B115" s="820" t="s">
        <v>347</v>
      </c>
      <c r="C115" s="1058">
        <v>4547</v>
      </c>
      <c r="D115" s="97">
        <v>14564</v>
      </c>
      <c r="E115" s="97">
        <v>14564</v>
      </c>
      <c r="F115" s="1409">
        <f t="shared" si="2"/>
        <v>1</v>
      </c>
      <c r="G115" s="96">
        <v>14564</v>
      </c>
      <c r="H115" s="97"/>
      <c r="I115" s="98"/>
      <c r="K115" s="36">
        <f>+E115-G115-H115-I115</f>
        <v>0</v>
      </c>
    </row>
    <row r="116" spans="1:11" s="3" customFormat="1" ht="12.75" thickBot="1">
      <c r="A116" s="83" t="s">
        <v>3</v>
      </c>
      <c r="B116" s="64" t="s">
        <v>343</v>
      </c>
      <c r="C116" s="1049">
        <f>+C118+C119+C120+C121+C122</f>
        <v>247257</v>
      </c>
      <c r="D116" s="28">
        <f>+D118+D119+D120+D121+D122</f>
        <v>537624</v>
      </c>
      <c r="E116" s="28">
        <f>+E118+E119+E120+E121+E122</f>
        <v>498888</v>
      </c>
      <c r="F116" s="1408">
        <f t="shared" si="2"/>
        <v>0.92794964510512923</v>
      </c>
      <c r="G116" s="27">
        <f>+G118+G119+G120+G121+G122</f>
        <v>498778</v>
      </c>
      <c r="H116" s="28">
        <f>+H118+H119+H120+H121+H122</f>
        <v>110</v>
      </c>
      <c r="I116" s="29">
        <f>+I118+I119+I120+I121+I122</f>
        <v>0</v>
      </c>
      <c r="K116" s="3">
        <f>+E116-G116-H116-I116</f>
        <v>0</v>
      </c>
    </row>
    <row r="117" spans="1:11" s="36" customFormat="1">
      <c r="A117" s="819" t="s">
        <v>341</v>
      </c>
      <c r="B117" s="820" t="s">
        <v>348</v>
      </c>
      <c r="C117" s="1058">
        <v>63554</v>
      </c>
      <c r="D117" s="97">
        <f>270532+2675+96</f>
        <v>273303</v>
      </c>
      <c r="E117" s="97">
        <v>270532</v>
      </c>
      <c r="F117" s="1409">
        <f t="shared" si="2"/>
        <v>0.98986106994800638</v>
      </c>
      <c r="G117" s="96">
        <v>270532</v>
      </c>
      <c r="H117" s="97"/>
      <c r="I117" s="98"/>
      <c r="K117" s="36">
        <f>+E117-G117-H117-I117</f>
        <v>0</v>
      </c>
    </row>
    <row r="118" spans="1:11">
      <c r="A118" s="84" t="s">
        <v>61</v>
      </c>
      <c r="B118" s="65" t="s">
        <v>129</v>
      </c>
      <c r="C118" s="1051">
        <v>5749</v>
      </c>
      <c r="D118" s="10">
        <f>40257+1</f>
        <v>40258</v>
      </c>
      <c r="E118" s="10">
        <f>38944+1</f>
        <v>38945</v>
      </c>
      <c r="F118" s="1410">
        <f t="shared" si="2"/>
        <v>0.96738536439962242</v>
      </c>
      <c r="G118" s="34">
        <v>38945</v>
      </c>
      <c r="H118" s="10"/>
      <c r="I118" s="35"/>
      <c r="K118" s="4">
        <f>+E118-G118-H118-I118</f>
        <v>0</v>
      </c>
    </row>
    <row r="119" spans="1:11">
      <c r="A119" s="85" t="s">
        <v>62</v>
      </c>
      <c r="B119" s="67" t="s">
        <v>130</v>
      </c>
      <c r="C119" s="501">
        <v>15692</v>
      </c>
      <c r="D119" s="11">
        <v>19858</v>
      </c>
      <c r="E119" s="11">
        <f>16251-1</f>
        <v>16250</v>
      </c>
      <c r="F119" s="1412">
        <f t="shared" si="2"/>
        <v>0.81831000100715079</v>
      </c>
      <c r="G119" s="20">
        <v>16250</v>
      </c>
      <c r="H119" s="11"/>
      <c r="I119" s="16"/>
      <c r="K119" s="4">
        <f>+E119-G119-H119-I119</f>
        <v>0</v>
      </c>
    </row>
    <row r="120" spans="1:11">
      <c r="A120" s="85" t="s">
        <v>63</v>
      </c>
      <c r="B120" s="67" t="s">
        <v>131</v>
      </c>
      <c r="C120" s="501">
        <v>158774</v>
      </c>
      <c r="D120" s="11">
        <v>360237</v>
      </c>
      <c r="E120" s="11">
        <f>334335+2</f>
        <v>334337</v>
      </c>
      <c r="F120" s="1412">
        <f t="shared" si="2"/>
        <v>0.92810288782107331</v>
      </c>
      <c r="G120" s="20">
        <v>334327</v>
      </c>
      <c r="H120" s="11">
        <v>10</v>
      </c>
      <c r="I120" s="16"/>
      <c r="K120" s="4">
        <f>+E120-G120-H120-I120</f>
        <v>0</v>
      </c>
    </row>
    <row r="121" spans="1:11">
      <c r="A121" s="85" t="s">
        <v>64</v>
      </c>
      <c r="B121" s="67" t="s">
        <v>132</v>
      </c>
      <c r="C121" s="501"/>
      <c r="D121" s="11">
        <v>3136</v>
      </c>
      <c r="E121" s="11">
        <v>2916</v>
      </c>
      <c r="F121" s="1412">
        <f t="shared" si="2"/>
        <v>0.92984693877551017</v>
      </c>
      <c r="G121" s="20">
        <v>2916</v>
      </c>
      <c r="H121" s="11"/>
      <c r="I121" s="16"/>
      <c r="K121" s="4">
        <f>+E121-G121-H121-I121</f>
        <v>0</v>
      </c>
    </row>
    <row r="122" spans="1:11" ht="12.75" thickBot="1">
      <c r="A122" s="78" t="s">
        <v>65</v>
      </c>
      <c r="B122" s="68" t="s">
        <v>133</v>
      </c>
      <c r="C122" s="500">
        <v>67042</v>
      </c>
      <c r="D122" s="22">
        <f>114136-1</f>
        <v>114135</v>
      </c>
      <c r="E122" s="22">
        <f>106442-2</f>
        <v>106440</v>
      </c>
      <c r="F122" s="1411">
        <f t="shared" si="2"/>
        <v>0.93257983966355629</v>
      </c>
      <c r="G122" s="21">
        <v>106340</v>
      </c>
      <c r="H122" s="22">
        <v>100</v>
      </c>
      <c r="I122" s="23"/>
      <c r="K122" s="4">
        <f>+E122-G122-H122-I122</f>
        <v>0</v>
      </c>
    </row>
    <row r="123" spans="1:11" s="3" customFormat="1" ht="12.75" thickBot="1">
      <c r="A123" s="83" t="s">
        <v>16</v>
      </c>
      <c r="B123" s="64" t="s">
        <v>310</v>
      </c>
      <c r="C123" s="1049">
        <f>+C124+C125+C126+C127+C128+C129+C130+C131</f>
        <v>51635</v>
      </c>
      <c r="D123" s="28">
        <f>+D124+D125+D126+D127+D128+D129+D130+D131</f>
        <v>56062</v>
      </c>
      <c r="E123" s="28">
        <f>+E124+E125+E126+E127+E128+E129+E130+E131</f>
        <v>54350</v>
      </c>
      <c r="F123" s="1408">
        <f t="shared" si="2"/>
        <v>0.96946238093539294</v>
      </c>
      <c r="G123" s="27">
        <f>+G124+G125+G126+G127+G128+G129+G130+G131</f>
        <v>54350</v>
      </c>
      <c r="H123" s="28">
        <f>+H124+H125+H126+H127+H128+H129+H130+H131</f>
        <v>0</v>
      </c>
      <c r="I123" s="29">
        <f>+I124+I125+I126+I127+I128+I129+I130+I131</f>
        <v>0</v>
      </c>
      <c r="K123" s="3">
        <f>+E123-G123-H123-I123</f>
        <v>0</v>
      </c>
    </row>
    <row r="124" spans="1:11">
      <c r="A124" s="84" t="s">
        <v>227</v>
      </c>
      <c r="B124" s="65" t="s">
        <v>134</v>
      </c>
      <c r="C124" s="1051"/>
      <c r="D124" s="10"/>
      <c r="E124" s="10"/>
      <c r="F124" s="1410" t="str">
        <f t="shared" si="2"/>
        <v>-</v>
      </c>
      <c r="G124" s="34"/>
      <c r="H124" s="10"/>
      <c r="I124" s="35"/>
      <c r="K124" s="4">
        <f>+E124-G124-H124-I124</f>
        <v>0</v>
      </c>
    </row>
    <row r="125" spans="1:11">
      <c r="A125" s="85" t="s">
        <v>228</v>
      </c>
      <c r="B125" s="67" t="s">
        <v>135</v>
      </c>
      <c r="C125" s="501"/>
      <c r="D125" s="11">
        <v>12775</v>
      </c>
      <c r="E125" s="11">
        <v>12775</v>
      </c>
      <c r="F125" s="1412">
        <f t="shared" si="2"/>
        <v>1</v>
      </c>
      <c r="G125" s="20">
        <v>12775</v>
      </c>
      <c r="H125" s="11"/>
      <c r="I125" s="16"/>
      <c r="K125" s="4">
        <f>+E125-G125-H125-I125</f>
        <v>0</v>
      </c>
    </row>
    <row r="126" spans="1:11">
      <c r="A126" s="85" t="s">
        <v>229</v>
      </c>
      <c r="B126" s="67" t="s">
        <v>136</v>
      </c>
      <c r="C126" s="501"/>
      <c r="D126" s="11"/>
      <c r="E126" s="11"/>
      <c r="F126" s="1412" t="str">
        <f t="shared" si="2"/>
        <v>-</v>
      </c>
      <c r="G126" s="20"/>
      <c r="H126" s="11"/>
      <c r="I126" s="16"/>
      <c r="K126" s="4">
        <f>+E126-G126-H126-I126</f>
        <v>0</v>
      </c>
    </row>
    <row r="127" spans="1:11">
      <c r="A127" s="85" t="s">
        <v>257</v>
      </c>
      <c r="B127" s="67" t="s">
        <v>137</v>
      </c>
      <c r="C127" s="501">
        <v>2300</v>
      </c>
      <c r="D127" s="11">
        <v>0</v>
      </c>
      <c r="E127" s="11"/>
      <c r="F127" s="1412" t="str">
        <f t="shared" si="2"/>
        <v>-</v>
      </c>
      <c r="G127" s="20"/>
      <c r="H127" s="11"/>
      <c r="I127" s="16"/>
      <c r="K127" s="4">
        <f>+E127-G127-H127-I127</f>
        <v>0</v>
      </c>
    </row>
    <row r="128" spans="1:11">
      <c r="A128" s="85" t="s">
        <v>258</v>
      </c>
      <c r="B128" s="67" t="s">
        <v>138</v>
      </c>
      <c r="C128" s="501"/>
      <c r="D128" s="11"/>
      <c r="E128" s="11"/>
      <c r="F128" s="1412" t="str">
        <f t="shared" si="2"/>
        <v>-</v>
      </c>
      <c r="G128" s="20"/>
      <c r="H128" s="11"/>
      <c r="I128" s="16"/>
      <c r="K128" s="4">
        <f>+E128-G128-H128-I128</f>
        <v>0</v>
      </c>
    </row>
    <row r="129" spans="1:11">
      <c r="A129" s="85" t="s">
        <v>259</v>
      </c>
      <c r="B129" s="67" t="s">
        <v>139</v>
      </c>
      <c r="C129" s="501">
        <v>18000</v>
      </c>
      <c r="D129" s="11">
        <v>0</v>
      </c>
      <c r="E129" s="11"/>
      <c r="F129" s="1412" t="str">
        <f t="shared" si="2"/>
        <v>-</v>
      </c>
      <c r="G129" s="20"/>
      <c r="H129" s="11"/>
      <c r="I129" s="16"/>
      <c r="K129" s="4">
        <f>+E129-G129-H129-I129</f>
        <v>0</v>
      </c>
    </row>
    <row r="130" spans="1:11">
      <c r="A130" s="85" t="s">
        <v>260</v>
      </c>
      <c r="B130" s="67" t="s">
        <v>140</v>
      </c>
      <c r="C130" s="501">
        <v>11935</v>
      </c>
      <c r="D130" s="11">
        <v>2300</v>
      </c>
      <c r="E130" s="11">
        <v>2300</v>
      </c>
      <c r="F130" s="1412">
        <f t="shared" si="2"/>
        <v>1</v>
      </c>
      <c r="G130" s="20">
        <v>2300</v>
      </c>
      <c r="H130" s="11"/>
      <c r="I130" s="16"/>
      <c r="K130" s="4">
        <f>+E130-G130-H130-I130</f>
        <v>0</v>
      </c>
    </row>
    <row r="131" spans="1:11" ht="12.75" thickBot="1">
      <c r="A131" s="78" t="s">
        <v>261</v>
      </c>
      <c r="B131" s="68" t="s">
        <v>141</v>
      </c>
      <c r="C131" s="500">
        <v>19400</v>
      </c>
      <c r="D131" s="22">
        <f>40986+1</f>
        <v>40987</v>
      </c>
      <c r="E131" s="22">
        <v>39275</v>
      </c>
      <c r="F131" s="1411">
        <f t="shared" si="2"/>
        <v>0.95823065850147604</v>
      </c>
      <c r="G131" s="21">
        <v>39275</v>
      </c>
      <c r="H131" s="22"/>
      <c r="I131" s="23"/>
      <c r="K131" s="4">
        <f>+E131-G131-H131-I131</f>
        <v>0</v>
      </c>
    </row>
    <row r="132" spans="1:11" s="3" customFormat="1" ht="12.75" thickBot="1">
      <c r="A132" s="83" t="s">
        <v>15</v>
      </c>
      <c r="B132" s="64" t="s">
        <v>987</v>
      </c>
      <c r="C132" s="1049">
        <f>+C133+C134+C135+C136+C137+C138+C144+C140+C141+C142+C143+C145+C146</f>
        <v>330248</v>
      </c>
      <c r="D132" s="28">
        <f>+D133+D134+D135+D136+D137+D138+D144+D140+D141+D142+D143+D145+D146</f>
        <v>3207609</v>
      </c>
      <c r="E132" s="28">
        <f>+E133+E134+E135+E136+E137+E138+E144+E140+E141+E142+E143+E145+E146</f>
        <v>67287</v>
      </c>
      <c r="F132" s="1408">
        <f t="shared" si="2"/>
        <v>2.0977307396256837E-2</v>
      </c>
      <c r="G132" s="27">
        <f>+G133+G134+G135+G136+G137+G138+G144+G140+G141+G142+G143+G145+G146</f>
        <v>67287</v>
      </c>
      <c r="H132" s="28">
        <f>+H133+H134+H135+H136+H137+H138+H144+H140+H141+H142+H143+H145+H146</f>
        <v>0</v>
      </c>
      <c r="I132" s="29">
        <f>+I133+I134+I135+I136+I137+I138+I144+I140+I141+I142+I143+I145+I146</f>
        <v>0</v>
      </c>
      <c r="K132" s="3">
        <f>+E132-G132-H132-I132</f>
        <v>0</v>
      </c>
    </row>
    <row r="133" spans="1:11">
      <c r="A133" s="84" t="s">
        <v>87</v>
      </c>
      <c r="B133" s="65" t="s">
        <v>142</v>
      </c>
      <c r="C133" s="1051"/>
      <c r="D133" s="10"/>
      <c r="E133" s="10"/>
      <c r="F133" s="1410" t="str">
        <f t="shared" si="2"/>
        <v>-</v>
      </c>
      <c r="G133" s="34"/>
      <c r="H133" s="10"/>
      <c r="I133" s="35"/>
      <c r="K133" s="4">
        <f>+E133-G133-H133-I133</f>
        <v>0</v>
      </c>
    </row>
    <row r="134" spans="1:11">
      <c r="A134" s="85" t="s">
        <v>88</v>
      </c>
      <c r="B134" s="67" t="s">
        <v>143</v>
      </c>
      <c r="C134" s="501">
        <v>2000</v>
      </c>
      <c r="D134" s="11">
        <v>3388</v>
      </c>
      <c r="E134" s="11">
        <v>3388</v>
      </c>
      <c r="F134" s="1412">
        <f t="shared" si="2"/>
        <v>1</v>
      </c>
      <c r="G134" s="20">
        <v>3388</v>
      </c>
      <c r="H134" s="11"/>
      <c r="I134" s="16"/>
      <c r="K134" s="4">
        <f>+E134-G134-H134-I134</f>
        <v>0</v>
      </c>
    </row>
    <row r="135" spans="1:11">
      <c r="A135" s="85" t="s">
        <v>182</v>
      </c>
      <c r="B135" s="67" t="s">
        <v>144</v>
      </c>
      <c r="C135" s="501"/>
      <c r="D135" s="11"/>
      <c r="E135" s="11"/>
      <c r="F135" s="1412" t="str">
        <f t="shared" si="2"/>
        <v>-</v>
      </c>
      <c r="G135" s="20"/>
      <c r="H135" s="11"/>
      <c r="I135" s="16"/>
      <c r="K135" s="4">
        <f>+E135-G135-H135-I135</f>
        <v>0</v>
      </c>
    </row>
    <row r="136" spans="1:11">
      <c r="A136" s="85" t="s">
        <v>183</v>
      </c>
      <c r="B136" s="67" t="s">
        <v>145</v>
      </c>
      <c r="C136" s="501"/>
      <c r="D136" s="11"/>
      <c r="E136" s="11"/>
      <c r="F136" s="1412" t="str">
        <f t="shared" si="2"/>
        <v>-</v>
      </c>
      <c r="G136" s="20"/>
      <c r="H136" s="11"/>
      <c r="I136" s="16"/>
      <c r="K136" s="4">
        <f>+E136-G136-H136-I136</f>
        <v>0</v>
      </c>
    </row>
    <row r="137" spans="1:11">
      <c r="A137" s="85" t="s">
        <v>184</v>
      </c>
      <c r="B137" s="67" t="s">
        <v>146</v>
      </c>
      <c r="C137" s="501"/>
      <c r="D137" s="11"/>
      <c r="E137" s="11"/>
      <c r="F137" s="1412" t="str">
        <f t="shared" si="2"/>
        <v>-</v>
      </c>
      <c r="G137" s="20"/>
      <c r="H137" s="11"/>
      <c r="I137" s="16"/>
      <c r="K137" s="4">
        <f>+E137-G137-H137-I137</f>
        <v>0</v>
      </c>
    </row>
    <row r="138" spans="1:11">
      <c r="A138" s="85" t="s">
        <v>262</v>
      </c>
      <c r="B138" s="67" t="s">
        <v>147</v>
      </c>
      <c r="C138" s="501">
        <v>9087</v>
      </c>
      <c r="D138" s="11">
        <v>17874</v>
      </c>
      <c r="E138" s="11">
        <v>10526</v>
      </c>
      <c r="F138" s="1412">
        <f t="shared" si="2"/>
        <v>0.58890007832606017</v>
      </c>
      <c r="G138" s="20">
        <v>10526</v>
      </c>
      <c r="H138" s="11"/>
      <c r="I138" s="16"/>
      <c r="K138" s="4">
        <f>+E138-G138-H138-I138</f>
        <v>0</v>
      </c>
    </row>
    <row r="139" spans="1:11" s="13" customFormat="1">
      <c r="A139" s="89" t="s">
        <v>336</v>
      </c>
      <c r="B139" s="818" t="s">
        <v>993</v>
      </c>
      <c r="C139" s="1050"/>
      <c r="D139" s="43">
        <v>2720</v>
      </c>
      <c r="E139" s="43">
        <v>2720</v>
      </c>
      <c r="F139" s="1411">
        <f t="shared" si="2"/>
        <v>1</v>
      </c>
      <c r="G139" s="45">
        <v>2720</v>
      </c>
      <c r="H139" s="43"/>
      <c r="I139" s="44"/>
      <c r="K139" s="13">
        <f>+E139-G139-H139-I139</f>
        <v>0</v>
      </c>
    </row>
    <row r="140" spans="1:11">
      <c r="A140" s="85" t="s">
        <v>263</v>
      </c>
      <c r="B140" s="67" t="s">
        <v>148</v>
      </c>
      <c r="C140" s="501"/>
      <c r="D140" s="11"/>
      <c r="E140" s="11"/>
      <c r="F140" s="1412" t="str">
        <f t="shared" si="2"/>
        <v>-</v>
      </c>
      <c r="G140" s="20"/>
      <c r="H140" s="11"/>
      <c r="I140" s="16"/>
      <c r="K140" s="4">
        <f>+E140-G140-H140-I140</f>
        <v>0</v>
      </c>
    </row>
    <row r="141" spans="1:11">
      <c r="A141" s="85" t="s">
        <v>264</v>
      </c>
      <c r="B141" s="67" t="s">
        <v>149</v>
      </c>
      <c r="C141" s="501"/>
      <c r="D141" s="11">
        <v>9401</v>
      </c>
      <c r="E141" s="11">
        <v>9401</v>
      </c>
      <c r="F141" s="1412">
        <f t="shared" si="2"/>
        <v>1</v>
      </c>
      <c r="G141" s="20">
        <f>0+6126+3275</f>
        <v>9401</v>
      </c>
      <c r="H141" s="11"/>
      <c r="I141" s="16"/>
      <c r="K141" s="4">
        <f>+E141-G141-H141-I141</f>
        <v>0</v>
      </c>
    </row>
    <row r="142" spans="1:11">
      <c r="A142" s="85" t="s">
        <v>265</v>
      </c>
      <c r="B142" s="67" t="s">
        <v>150</v>
      </c>
      <c r="C142" s="501"/>
      <c r="D142" s="11"/>
      <c r="E142" s="11"/>
      <c r="F142" s="1412" t="str">
        <f t="shared" si="2"/>
        <v>-</v>
      </c>
      <c r="G142" s="20"/>
      <c r="H142" s="11"/>
      <c r="I142" s="16"/>
      <c r="K142" s="4">
        <f>+E142-G142-H142-I142</f>
        <v>0</v>
      </c>
    </row>
    <row r="143" spans="1:11">
      <c r="A143" s="85" t="s">
        <v>266</v>
      </c>
      <c r="B143" s="67" t="s">
        <v>151</v>
      </c>
      <c r="C143" s="501"/>
      <c r="D143" s="11"/>
      <c r="E143" s="11"/>
      <c r="F143" s="1412" t="str">
        <f t="shared" si="2"/>
        <v>-</v>
      </c>
      <c r="G143" s="20"/>
      <c r="H143" s="11"/>
      <c r="I143" s="16"/>
      <c r="K143" s="4">
        <f>+E143-G143-H143-I143</f>
        <v>0</v>
      </c>
    </row>
    <row r="144" spans="1:11">
      <c r="A144" s="85" t="s">
        <v>267</v>
      </c>
      <c r="B144" s="67" t="s">
        <v>988</v>
      </c>
      <c r="C144" s="501"/>
      <c r="D144" s="11"/>
      <c r="E144" s="11"/>
      <c r="F144" s="1412" t="str">
        <f t="shared" si="2"/>
        <v>-</v>
      </c>
      <c r="G144" s="20"/>
      <c r="H144" s="11"/>
      <c r="I144" s="16"/>
      <c r="K144" s="4">
        <f>+E144-G144-H144-I144</f>
        <v>0</v>
      </c>
    </row>
    <row r="145" spans="1:11">
      <c r="A145" s="85" t="s">
        <v>268</v>
      </c>
      <c r="B145" s="67" t="s">
        <v>989</v>
      </c>
      <c r="C145" s="501">
        <v>47100</v>
      </c>
      <c r="D145" s="11">
        <v>44807</v>
      </c>
      <c r="E145" s="11">
        <v>43972</v>
      </c>
      <c r="F145" s="1412">
        <f t="shared" si="2"/>
        <v>0.98136451893677323</v>
      </c>
      <c r="G145" s="20">
        <v>43972</v>
      </c>
      <c r="H145" s="11"/>
      <c r="I145" s="16"/>
      <c r="K145" s="4">
        <f>+E145-G145-H145-I145</f>
        <v>0</v>
      </c>
    </row>
    <row r="146" spans="1:11">
      <c r="A146" s="78" t="s">
        <v>984</v>
      </c>
      <c r="B146" s="68" t="s">
        <v>990</v>
      </c>
      <c r="C146" s="500">
        <f>+C147+C148</f>
        <v>272061</v>
      </c>
      <c r="D146" s="22">
        <f>+D147+D148</f>
        <v>3132139</v>
      </c>
      <c r="E146" s="22">
        <f>+E147+E148</f>
        <v>0</v>
      </c>
      <c r="F146" s="1411">
        <f t="shared" si="2"/>
        <v>0</v>
      </c>
      <c r="G146" s="21">
        <f>+G147+G148</f>
        <v>0</v>
      </c>
      <c r="H146" s="22">
        <f>+H147+H148</f>
        <v>0</v>
      </c>
      <c r="I146" s="23">
        <f>+I147+I148</f>
        <v>0</v>
      </c>
      <c r="K146" s="4">
        <f>+E146-G146-H146-I146</f>
        <v>0</v>
      </c>
    </row>
    <row r="147" spans="1:11" s="13" customFormat="1">
      <c r="A147" s="89" t="s">
        <v>985</v>
      </c>
      <c r="B147" s="74" t="s">
        <v>991</v>
      </c>
      <c r="C147" s="1050">
        <v>5000</v>
      </c>
      <c r="D147" s="43">
        <v>3132139</v>
      </c>
      <c r="E147" s="43"/>
      <c r="F147" s="1411">
        <f t="shared" si="2"/>
        <v>0</v>
      </c>
      <c r="G147" s="45"/>
      <c r="H147" s="43"/>
      <c r="I147" s="44"/>
      <c r="K147" s="13">
        <f>+E147-G147-H147-I147</f>
        <v>0</v>
      </c>
    </row>
    <row r="148" spans="1:11" s="13" customFormat="1" ht="12.75" thickBot="1">
      <c r="A148" s="89" t="s">
        <v>986</v>
      </c>
      <c r="B148" s="74" t="s">
        <v>992</v>
      </c>
      <c r="C148" s="1050">
        <v>267061</v>
      </c>
      <c r="D148" s="43">
        <v>0</v>
      </c>
      <c r="E148" s="43"/>
      <c r="F148" s="1411" t="str">
        <f t="shared" si="2"/>
        <v>-</v>
      </c>
      <c r="G148" s="45"/>
      <c r="H148" s="43"/>
      <c r="I148" s="44"/>
      <c r="K148" s="13">
        <f>+E148-G148-H148-I148</f>
        <v>0</v>
      </c>
    </row>
    <row r="149" spans="1:11" s="3" customFormat="1" ht="12.75" thickBot="1">
      <c r="A149" s="83" t="s">
        <v>14</v>
      </c>
      <c r="B149" s="69" t="s">
        <v>311</v>
      </c>
      <c r="C149" s="1049">
        <f>+C150+C159+C165</f>
        <v>1707346</v>
      </c>
      <c r="D149" s="28">
        <f>+D150+D159+D165</f>
        <v>735196</v>
      </c>
      <c r="E149" s="28">
        <f>+E150+E159+E165</f>
        <v>681557</v>
      </c>
      <c r="F149" s="1408">
        <f t="shared" si="2"/>
        <v>0.92704122438098135</v>
      </c>
      <c r="G149" s="27">
        <f>+G150+G159+G165</f>
        <v>681557</v>
      </c>
      <c r="H149" s="28">
        <f>+H150+H159+H165</f>
        <v>0</v>
      </c>
      <c r="I149" s="29">
        <f>+I150+I159+I165</f>
        <v>0</v>
      </c>
      <c r="K149" s="3">
        <f>+E149-G149-H149-I149</f>
        <v>0</v>
      </c>
    </row>
    <row r="150" spans="1:11" s="3" customFormat="1" ht="12.75" thickBot="1">
      <c r="A150" s="83" t="s">
        <v>13</v>
      </c>
      <c r="B150" s="64" t="s">
        <v>312</v>
      </c>
      <c r="C150" s="1049">
        <f>+C152+C153+C154+C155+C156+C157+C158</f>
        <v>901473</v>
      </c>
      <c r="D150" s="28">
        <f>+D152+D153+D154+D155+D156+D157+D158</f>
        <v>505196</v>
      </c>
      <c r="E150" s="28">
        <f>+E152+E153+E154+E155+E156+E157+E158</f>
        <v>451557</v>
      </c>
      <c r="F150" s="1408">
        <f t="shared" si="2"/>
        <v>0.89382536678833557</v>
      </c>
      <c r="G150" s="27">
        <f>+G152+G153+G154+G155+G156+G157+G158</f>
        <v>451557</v>
      </c>
      <c r="H150" s="28">
        <f>+H152+H153+H154+H155+H156+H157+H158</f>
        <v>0</v>
      </c>
      <c r="I150" s="29">
        <f>+I152+I153+I154+I155+I156+I157+I158</f>
        <v>0</v>
      </c>
      <c r="K150" s="3">
        <f>+E150-G150-H150-I150</f>
        <v>0</v>
      </c>
    </row>
    <row r="151" spans="1:11" s="36" customFormat="1">
      <c r="A151" s="819" t="s">
        <v>994</v>
      </c>
      <c r="B151" s="820" t="s">
        <v>342</v>
      </c>
      <c r="C151" s="1058">
        <v>867373</v>
      </c>
      <c r="D151" s="97">
        <f>364143+282+6695</f>
        <v>371120</v>
      </c>
      <c r="E151" s="97">
        <v>364143</v>
      </c>
      <c r="F151" s="1409">
        <f t="shared" si="2"/>
        <v>0.98120015089458934</v>
      </c>
      <c r="G151" s="96">
        <v>364143</v>
      </c>
      <c r="H151" s="97"/>
      <c r="I151" s="98"/>
      <c r="K151" s="36">
        <f>+E151-G151-H151-I151</f>
        <v>0</v>
      </c>
    </row>
    <row r="152" spans="1:11">
      <c r="A152" s="84" t="s">
        <v>66</v>
      </c>
      <c r="B152" s="65" t="s">
        <v>152</v>
      </c>
      <c r="C152" s="1051">
        <v>5512</v>
      </c>
      <c r="D152" s="10">
        <v>0</v>
      </c>
      <c r="E152" s="10"/>
      <c r="F152" s="1410" t="str">
        <f t="shared" si="2"/>
        <v>-</v>
      </c>
      <c r="G152" s="34"/>
      <c r="H152" s="10"/>
      <c r="I152" s="35"/>
      <c r="K152" s="4">
        <f>+E152-G152-H152-I152</f>
        <v>0</v>
      </c>
    </row>
    <row r="153" spans="1:11">
      <c r="A153" s="85" t="s">
        <v>67</v>
      </c>
      <c r="B153" s="67" t="s">
        <v>153</v>
      </c>
      <c r="C153" s="501">
        <v>316079</v>
      </c>
      <c r="D153" s="11">
        <v>357934</v>
      </c>
      <c r="E153" s="11">
        <v>312152</v>
      </c>
      <c r="F153" s="1412">
        <f t="shared" si="2"/>
        <v>0.87209373795168943</v>
      </c>
      <c r="G153" s="20">
        <v>312152</v>
      </c>
      <c r="H153" s="11"/>
      <c r="I153" s="16"/>
      <c r="K153" s="4">
        <f>+E153-G153-H153-I153</f>
        <v>0</v>
      </c>
    </row>
    <row r="154" spans="1:11">
      <c r="A154" s="85" t="s">
        <v>68</v>
      </c>
      <c r="B154" s="67" t="s">
        <v>154</v>
      </c>
      <c r="C154" s="501"/>
      <c r="D154" s="11">
        <v>11519</v>
      </c>
      <c r="E154" s="11">
        <v>11519</v>
      </c>
      <c r="F154" s="1412">
        <f t="shared" si="2"/>
        <v>1</v>
      </c>
      <c r="G154" s="20">
        <v>11519</v>
      </c>
      <c r="H154" s="11"/>
      <c r="I154" s="16"/>
      <c r="K154" s="4">
        <f>+E154-G154-H154-I154</f>
        <v>0</v>
      </c>
    </row>
    <row r="155" spans="1:11">
      <c r="A155" s="85" t="s">
        <v>230</v>
      </c>
      <c r="B155" s="67" t="s">
        <v>155</v>
      </c>
      <c r="C155" s="501">
        <v>411850</v>
      </c>
      <c r="D155" s="11">
        <v>50507</v>
      </c>
      <c r="E155" s="11">
        <v>45013</v>
      </c>
      <c r="F155" s="1412">
        <f t="shared" si="2"/>
        <v>0.89122299879224665</v>
      </c>
      <c r="G155" s="20">
        <v>45013</v>
      </c>
      <c r="H155" s="11"/>
      <c r="I155" s="16"/>
      <c r="K155" s="4">
        <f>+E155-G155-H155-I155</f>
        <v>0</v>
      </c>
    </row>
    <row r="156" spans="1:11">
      <c r="A156" s="85" t="s">
        <v>231</v>
      </c>
      <c r="B156" s="67" t="s">
        <v>156</v>
      </c>
      <c r="C156" s="501"/>
      <c r="D156" s="11">
        <v>5000</v>
      </c>
      <c r="E156" s="11">
        <v>5000</v>
      </c>
      <c r="F156" s="1412">
        <f t="shared" si="2"/>
        <v>1</v>
      </c>
      <c r="G156" s="20">
        <v>5000</v>
      </c>
      <c r="H156" s="11"/>
      <c r="I156" s="16"/>
      <c r="K156" s="4">
        <f>+E156-G156-H156-I156</f>
        <v>0</v>
      </c>
    </row>
    <row r="157" spans="1:11">
      <c r="A157" s="85" t="s">
        <v>269</v>
      </c>
      <c r="B157" s="67" t="s">
        <v>157</v>
      </c>
      <c r="C157" s="501"/>
      <c r="D157" s="11"/>
      <c r="E157" s="11"/>
      <c r="F157" s="1412" t="str">
        <f t="shared" si="2"/>
        <v>-</v>
      </c>
      <c r="G157" s="20"/>
      <c r="H157" s="11"/>
      <c r="I157" s="16"/>
      <c r="K157" s="4">
        <f>+E157-G157-H157-I157</f>
        <v>0</v>
      </c>
    </row>
    <row r="158" spans="1:11" ht="12.75" thickBot="1">
      <c r="A158" s="78" t="s">
        <v>270</v>
      </c>
      <c r="B158" s="68" t="s">
        <v>158</v>
      </c>
      <c r="C158" s="500">
        <v>168032</v>
      </c>
      <c r="D158" s="22">
        <v>80236</v>
      </c>
      <c r="E158" s="22">
        <v>77873</v>
      </c>
      <c r="F158" s="1411">
        <f t="shared" si="2"/>
        <v>0.97054937933097363</v>
      </c>
      <c r="G158" s="21">
        <v>77873</v>
      </c>
      <c r="H158" s="22"/>
      <c r="I158" s="23"/>
      <c r="K158" s="4">
        <f>+E158-G158-H158-I158</f>
        <v>0</v>
      </c>
    </row>
    <row r="159" spans="1:11" s="3" customFormat="1" ht="12.75" thickBot="1">
      <c r="A159" s="83" t="s">
        <v>12</v>
      </c>
      <c r="B159" s="64" t="s">
        <v>313</v>
      </c>
      <c r="C159" s="1049">
        <f>+C161+C162+C163+C164</f>
        <v>805873</v>
      </c>
      <c r="D159" s="28">
        <f>+D161+D162+D163+D164</f>
        <v>228800</v>
      </c>
      <c r="E159" s="28">
        <f>+E161+E162+E163+E164</f>
        <v>228800</v>
      </c>
      <c r="F159" s="1408">
        <f t="shared" si="2"/>
        <v>1</v>
      </c>
      <c r="G159" s="27">
        <f>+G161+G162+G163+G164</f>
        <v>228800</v>
      </c>
      <c r="H159" s="28">
        <f>+H161+H162+H163+H164</f>
        <v>0</v>
      </c>
      <c r="I159" s="29">
        <f>+I161+I162+I163+I164</f>
        <v>0</v>
      </c>
      <c r="K159" s="3">
        <f>+E159-G159-H159-I159</f>
        <v>0</v>
      </c>
    </row>
    <row r="160" spans="1:11" s="36" customFormat="1">
      <c r="A160" s="819" t="s">
        <v>344</v>
      </c>
      <c r="B160" s="820" t="s">
        <v>345</v>
      </c>
      <c r="C160" s="1058">
        <v>792788</v>
      </c>
      <c r="D160" s="97">
        <v>212673</v>
      </c>
      <c r="E160" s="97">
        <v>212673</v>
      </c>
      <c r="F160" s="1409">
        <f t="shared" si="2"/>
        <v>1</v>
      </c>
      <c r="G160" s="96">
        <v>212673</v>
      </c>
      <c r="H160" s="97"/>
      <c r="I160" s="98"/>
      <c r="K160" s="36">
        <f>+E160-G160-H160-I160</f>
        <v>0</v>
      </c>
    </row>
    <row r="161" spans="1:11">
      <c r="A161" s="84" t="s">
        <v>69</v>
      </c>
      <c r="B161" s="65" t="s">
        <v>159</v>
      </c>
      <c r="C161" s="1051">
        <v>634545</v>
      </c>
      <c r="D161" s="10">
        <v>178158</v>
      </c>
      <c r="E161" s="10">
        <v>178158</v>
      </c>
      <c r="F161" s="1410">
        <f t="shared" si="2"/>
        <v>1</v>
      </c>
      <c r="G161" s="34">
        <v>178158</v>
      </c>
      <c r="H161" s="10"/>
      <c r="I161" s="35"/>
      <c r="K161" s="4">
        <f>+E161-G161-H161-I161</f>
        <v>0</v>
      </c>
    </row>
    <row r="162" spans="1:11">
      <c r="A162" s="85" t="s">
        <v>70</v>
      </c>
      <c r="B162" s="67" t="s">
        <v>160</v>
      </c>
      <c r="C162" s="501"/>
      <c r="D162" s="11"/>
      <c r="E162" s="11"/>
      <c r="F162" s="1412" t="str">
        <f t="shared" si="2"/>
        <v>-</v>
      </c>
      <c r="G162" s="20"/>
      <c r="H162" s="11"/>
      <c r="I162" s="16"/>
      <c r="K162" s="4">
        <f>+E162-G162-H162-I162</f>
        <v>0</v>
      </c>
    </row>
    <row r="163" spans="1:11">
      <c r="A163" s="85" t="s">
        <v>71</v>
      </c>
      <c r="B163" s="67" t="s">
        <v>161</v>
      </c>
      <c r="C163" s="501"/>
      <c r="D163" s="11">
        <v>2109</v>
      </c>
      <c r="E163" s="11">
        <v>2109</v>
      </c>
      <c r="F163" s="1412">
        <f t="shared" si="2"/>
        <v>1</v>
      </c>
      <c r="G163" s="20">
        <v>2109</v>
      </c>
      <c r="H163" s="11"/>
      <c r="I163" s="16"/>
      <c r="K163" s="4">
        <f>+E163-G163-H163-I163</f>
        <v>0</v>
      </c>
    </row>
    <row r="164" spans="1:11" ht="12.75" thickBot="1">
      <c r="A164" s="78" t="s">
        <v>72</v>
      </c>
      <c r="B164" s="68" t="s">
        <v>162</v>
      </c>
      <c r="C164" s="500">
        <v>171328</v>
      </c>
      <c r="D164" s="22">
        <v>48533</v>
      </c>
      <c r="E164" s="22">
        <v>48533</v>
      </c>
      <c r="F164" s="1411">
        <f t="shared" si="2"/>
        <v>1</v>
      </c>
      <c r="G164" s="21">
        <v>48533</v>
      </c>
      <c r="H164" s="22"/>
      <c r="I164" s="23"/>
      <c r="K164" s="4">
        <f>+E164-G164-H164-I164</f>
        <v>0</v>
      </c>
    </row>
    <row r="165" spans="1:11" s="3" customFormat="1" ht="12.75" thickBot="1">
      <c r="A165" s="83" t="s">
        <v>11</v>
      </c>
      <c r="B165" s="64" t="s">
        <v>996</v>
      </c>
      <c r="C165" s="1049">
        <f>+C166+C167+C168+C169+C171+C172+C173+C174+C175</f>
        <v>0</v>
      </c>
      <c r="D165" s="28">
        <f>+D166+D167+D168+D169+D171+D172+D173+D174+D175</f>
        <v>1200</v>
      </c>
      <c r="E165" s="28">
        <f>+E166+E167+E168+E169+E171+E172+E173+E174+E175</f>
        <v>1200</v>
      </c>
      <c r="F165" s="1408">
        <f t="shared" si="2"/>
        <v>1</v>
      </c>
      <c r="G165" s="27">
        <f>+G166+G167+G168+G169+G171+G172+G173+G174+G175</f>
        <v>1200</v>
      </c>
      <c r="H165" s="28">
        <f>+H166+H167+H168+H169+H171+H172+H173+H174+H175</f>
        <v>0</v>
      </c>
      <c r="I165" s="29">
        <f>+I166+I167+I168+I169+I171+I172+I173+I174+I175</f>
        <v>0</v>
      </c>
      <c r="K165" s="3">
        <f>+E165-G165-H165-I165</f>
        <v>0</v>
      </c>
    </row>
    <row r="166" spans="1:11">
      <c r="A166" s="84" t="s">
        <v>271</v>
      </c>
      <c r="B166" s="65" t="s">
        <v>163</v>
      </c>
      <c r="C166" s="1051"/>
      <c r="D166" s="10"/>
      <c r="E166" s="10"/>
      <c r="F166" s="1410" t="str">
        <f t="shared" si="2"/>
        <v>-</v>
      </c>
      <c r="G166" s="34"/>
      <c r="H166" s="10"/>
      <c r="I166" s="35"/>
      <c r="K166" s="4">
        <f>+E166-G166-H166-I166</f>
        <v>0</v>
      </c>
    </row>
    <row r="167" spans="1:11">
      <c r="A167" s="85" t="s">
        <v>272</v>
      </c>
      <c r="B167" s="67" t="s">
        <v>164</v>
      </c>
      <c r="C167" s="501"/>
      <c r="D167" s="11"/>
      <c r="E167" s="11"/>
      <c r="F167" s="1412" t="str">
        <f t="shared" si="2"/>
        <v>-</v>
      </c>
      <c r="G167" s="20"/>
      <c r="H167" s="11"/>
      <c r="I167" s="16"/>
      <c r="K167" s="4">
        <f>+E167-G167-H167-I167</f>
        <v>0</v>
      </c>
    </row>
    <row r="168" spans="1:11">
      <c r="A168" s="85" t="s">
        <v>273</v>
      </c>
      <c r="B168" s="67" t="s">
        <v>165</v>
      </c>
      <c r="C168" s="501"/>
      <c r="D168" s="11"/>
      <c r="E168" s="11"/>
      <c r="F168" s="1412" t="str">
        <f t="shared" si="2"/>
        <v>-</v>
      </c>
      <c r="G168" s="20"/>
      <c r="H168" s="11"/>
      <c r="I168" s="16"/>
      <c r="K168" s="4">
        <f>+E168-G168-H168-I168</f>
        <v>0</v>
      </c>
    </row>
    <row r="169" spans="1:11">
      <c r="A169" s="85" t="s">
        <v>274</v>
      </c>
      <c r="B169" s="67" t="s">
        <v>166</v>
      </c>
      <c r="C169" s="501"/>
      <c r="D169" s="11">
        <v>1200</v>
      </c>
      <c r="E169" s="11">
        <v>1200</v>
      </c>
      <c r="F169" s="1412">
        <f t="shared" si="2"/>
        <v>1</v>
      </c>
      <c r="G169" s="20">
        <v>1200</v>
      </c>
      <c r="H169" s="11"/>
      <c r="I169" s="16"/>
      <c r="K169" s="4">
        <f>+E169-G169-H169-I169</f>
        <v>0</v>
      </c>
    </row>
    <row r="170" spans="1:11" s="13" customFormat="1">
      <c r="A170" s="89" t="s">
        <v>339</v>
      </c>
      <c r="B170" s="818" t="s">
        <v>340</v>
      </c>
      <c r="C170" s="1050"/>
      <c r="D170" s="43"/>
      <c r="E170" s="43"/>
      <c r="F170" s="1411" t="str">
        <f t="shared" si="2"/>
        <v>-</v>
      </c>
      <c r="G170" s="45"/>
      <c r="H170" s="43"/>
      <c r="I170" s="44"/>
      <c r="K170" s="13">
        <f>+E170-G170-H170-I170</f>
        <v>0</v>
      </c>
    </row>
    <row r="171" spans="1:11">
      <c r="A171" s="85" t="s">
        <v>275</v>
      </c>
      <c r="B171" s="67" t="s">
        <v>167</v>
      </c>
      <c r="C171" s="501"/>
      <c r="D171" s="11"/>
      <c r="E171" s="11"/>
      <c r="F171" s="1412" t="str">
        <f t="shared" si="2"/>
        <v>-</v>
      </c>
      <c r="G171" s="20"/>
      <c r="H171" s="11"/>
      <c r="I171" s="16"/>
      <c r="K171" s="4">
        <f>+E171-G171-H171-I171</f>
        <v>0</v>
      </c>
    </row>
    <row r="172" spans="1:11">
      <c r="A172" s="85" t="s">
        <v>276</v>
      </c>
      <c r="B172" s="67" t="s">
        <v>168</v>
      </c>
      <c r="C172" s="501"/>
      <c r="D172" s="11">
        <v>0</v>
      </c>
      <c r="E172" s="11"/>
      <c r="F172" s="1412" t="str">
        <f t="shared" si="2"/>
        <v>-</v>
      </c>
      <c r="G172" s="20"/>
      <c r="H172" s="11"/>
      <c r="I172" s="16"/>
      <c r="K172" s="4">
        <f>+E172-G172-H172-I172</f>
        <v>0</v>
      </c>
    </row>
    <row r="173" spans="1:11">
      <c r="A173" s="85" t="s">
        <v>277</v>
      </c>
      <c r="B173" s="67" t="s">
        <v>169</v>
      </c>
      <c r="C173" s="501"/>
      <c r="D173" s="11"/>
      <c r="E173" s="11"/>
      <c r="F173" s="1412" t="str">
        <f t="shared" ref="F173:F208" si="3">IF(ISERROR(E173/D173),"-",E173/D173)</f>
        <v>-</v>
      </c>
      <c r="G173" s="20"/>
      <c r="H173" s="11"/>
      <c r="I173" s="16"/>
      <c r="K173" s="4">
        <f>+E173-G173-H173-I173</f>
        <v>0</v>
      </c>
    </row>
    <row r="174" spans="1:11">
      <c r="A174" s="85" t="s">
        <v>278</v>
      </c>
      <c r="B174" s="67" t="s">
        <v>997</v>
      </c>
      <c r="C174" s="501"/>
      <c r="D174" s="11"/>
      <c r="E174" s="11"/>
      <c r="F174" s="1412" t="str">
        <f t="shared" si="3"/>
        <v>-</v>
      </c>
      <c r="G174" s="20"/>
      <c r="H174" s="11"/>
      <c r="I174" s="16"/>
      <c r="K174" s="4">
        <f>+E174-G174-H174-I174</f>
        <v>0</v>
      </c>
    </row>
    <row r="175" spans="1:11" ht="12.75" thickBot="1">
      <c r="A175" s="78" t="s">
        <v>995</v>
      </c>
      <c r="B175" s="68" t="s">
        <v>998</v>
      </c>
      <c r="C175" s="500"/>
      <c r="D175" s="22"/>
      <c r="E175" s="22"/>
      <c r="F175" s="1411" t="str">
        <f t="shared" si="3"/>
        <v>-</v>
      </c>
      <c r="G175" s="21"/>
      <c r="H175" s="22"/>
      <c r="I175" s="23"/>
      <c r="K175" s="4">
        <f>+E175-G175-H175-I175</f>
        <v>0</v>
      </c>
    </row>
    <row r="176" spans="1:11" s="3" customFormat="1" ht="12.75" thickBot="1">
      <c r="A176" s="83" t="s">
        <v>10</v>
      </c>
      <c r="B176" s="69" t="s">
        <v>314</v>
      </c>
      <c r="C176" s="1049">
        <f>+C109+C149</f>
        <v>2437596</v>
      </c>
      <c r="D176" s="28">
        <f>+D109+D149</f>
        <v>4876199</v>
      </c>
      <c r="E176" s="28">
        <f>+E109+E149</f>
        <v>1641790</v>
      </c>
      <c r="F176" s="1408">
        <f t="shared" si="3"/>
        <v>0.33669462628576069</v>
      </c>
      <c r="G176" s="27">
        <f>+G109+G149</f>
        <v>1641680</v>
      </c>
      <c r="H176" s="28">
        <f>+H109+H149</f>
        <v>110</v>
      </c>
      <c r="I176" s="29">
        <f>+I109+I149</f>
        <v>0</v>
      </c>
      <c r="K176" s="3">
        <f>+E176-G176-H176-I176</f>
        <v>0</v>
      </c>
    </row>
    <row r="177" spans="1:12" s="3" customFormat="1" ht="12.75" thickBot="1">
      <c r="A177" s="83" t="s">
        <v>9</v>
      </c>
      <c r="B177" s="70" t="s">
        <v>315</v>
      </c>
      <c r="C177" s="1049">
        <f>+C178</f>
        <v>787782</v>
      </c>
      <c r="D177" s="28">
        <f>+D178</f>
        <v>871089</v>
      </c>
      <c r="E177" s="28">
        <f>+E178</f>
        <v>871132</v>
      </c>
      <c r="F177" s="1408">
        <f t="shared" si="3"/>
        <v>1.0000493634978744</v>
      </c>
      <c r="G177" s="27">
        <f>+G178</f>
        <v>855851</v>
      </c>
      <c r="H177" s="28">
        <f>+H178</f>
        <v>14772</v>
      </c>
      <c r="I177" s="29">
        <f>+I178</f>
        <v>509</v>
      </c>
      <c r="K177" s="3">
        <f>+E177-G177-H177-I177</f>
        <v>0</v>
      </c>
    </row>
    <row r="178" spans="1:12" s="3" customFormat="1" ht="12.75" thickBot="1">
      <c r="A178" s="83" t="s">
        <v>45</v>
      </c>
      <c r="B178" s="64" t="s">
        <v>1005</v>
      </c>
      <c r="C178" s="1049">
        <f>+C179+C189+C190+C191</f>
        <v>787782</v>
      </c>
      <c r="D178" s="28">
        <f>+D179+D189+D190+D191</f>
        <v>871089</v>
      </c>
      <c r="E178" s="28">
        <f>+E179+E189+E190+E191</f>
        <v>871132</v>
      </c>
      <c r="F178" s="1408">
        <f t="shared" si="3"/>
        <v>1.0000493634978744</v>
      </c>
      <c r="G178" s="27">
        <f>+G179+G189+G190+G191</f>
        <v>855851</v>
      </c>
      <c r="H178" s="28">
        <f>+H179+H189+H190+H191</f>
        <v>14772</v>
      </c>
      <c r="I178" s="29">
        <f>+I179+I189+I190+I191</f>
        <v>509</v>
      </c>
      <c r="K178" s="3">
        <f>+E178-G178-H178-I178</f>
        <v>0</v>
      </c>
    </row>
    <row r="179" spans="1:12">
      <c r="A179" s="84" t="s">
        <v>75</v>
      </c>
      <c r="B179" s="65" t="s">
        <v>1006</v>
      </c>
      <c r="C179" s="1051">
        <f>+C180+C181+C182+C183+C184+C185+C186+C187+C188</f>
        <v>787782</v>
      </c>
      <c r="D179" s="47">
        <f>+D180+D181+D182+D183+D184+D185+D186+D187+D188</f>
        <v>871089</v>
      </c>
      <c r="E179" s="47">
        <f>+E180+E181+E182+E183+E184+E185+E186+E187+E188</f>
        <v>871132</v>
      </c>
      <c r="F179" s="1410">
        <f t="shared" si="3"/>
        <v>1.0000493634978744</v>
      </c>
      <c r="G179" s="49">
        <f>+G180+G181+G182+G183+G184+G185+G186+G187+G188</f>
        <v>855851</v>
      </c>
      <c r="H179" s="47">
        <f>+H180+H181+H182+H183+H184+H185+H186+H187+H188</f>
        <v>14772</v>
      </c>
      <c r="I179" s="48">
        <f>+I180+I181+I182+I183+I184+I185+I186+I187+I188</f>
        <v>509</v>
      </c>
      <c r="K179" s="4">
        <f>+E179-G179-H179-I179</f>
        <v>0</v>
      </c>
    </row>
    <row r="180" spans="1:12" s="13" customFormat="1">
      <c r="A180" s="86" t="s">
        <v>205</v>
      </c>
      <c r="B180" s="66" t="s">
        <v>170</v>
      </c>
      <c r="C180" s="502"/>
      <c r="D180" s="12">
        <v>85565</v>
      </c>
      <c r="E180" s="12">
        <v>85565</v>
      </c>
      <c r="F180" s="1412">
        <f t="shared" si="3"/>
        <v>1</v>
      </c>
      <c r="G180" s="19">
        <v>85565</v>
      </c>
      <c r="H180" s="12"/>
      <c r="I180" s="15"/>
      <c r="K180" s="13">
        <f>+E180-G180-H180-I180</f>
        <v>0</v>
      </c>
    </row>
    <row r="181" spans="1:12" s="13" customFormat="1">
      <c r="A181" s="86" t="s">
        <v>206</v>
      </c>
      <c r="B181" s="66" t="s">
        <v>171</v>
      </c>
      <c r="C181" s="502"/>
      <c r="D181" s="12"/>
      <c r="E181" s="12"/>
      <c r="F181" s="1412" t="str">
        <f t="shared" si="3"/>
        <v>-</v>
      </c>
      <c r="G181" s="19"/>
      <c r="H181" s="12"/>
      <c r="I181" s="15"/>
      <c r="K181" s="13">
        <f>+E181-G181-H181-I181</f>
        <v>0</v>
      </c>
    </row>
    <row r="182" spans="1:12" s="13" customFormat="1">
      <c r="A182" s="86" t="s">
        <v>207</v>
      </c>
      <c r="B182" s="66" t="s">
        <v>172</v>
      </c>
      <c r="C182" s="502"/>
      <c r="D182" s="12"/>
      <c r="E182" s="12"/>
      <c r="F182" s="1412" t="str">
        <f t="shared" si="3"/>
        <v>-</v>
      </c>
      <c r="G182" s="19"/>
      <c r="H182" s="12"/>
      <c r="I182" s="15"/>
      <c r="K182" s="13">
        <f>+E182-G182-H182-I182</f>
        <v>0</v>
      </c>
    </row>
    <row r="183" spans="1:12" s="13" customFormat="1">
      <c r="A183" s="86" t="s">
        <v>208</v>
      </c>
      <c r="B183" s="66" t="s">
        <v>173</v>
      </c>
      <c r="C183" s="502">
        <v>25346</v>
      </c>
      <c r="D183" s="12">
        <v>25346</v>
      </c>
      <c r="E183" s="12">
        <v>25346</v>
      </c>
      <c r="F183" s="1412">
        <f t="shared" si="3"/>
        <v>1</v>
      </c>
      <c r="G183" s="19">
        <v>25346</v>
      </c>
      <c r="H183" s="12"/>
      <c r="I183" s="15"/>
      <c r="K183" s="13">
        <f>+E183-G183-H183-I183</f>
        <v>0</v>
      </c>
    </row>
    <row r="184" spans="1:12" s="117" customFormat="1">
      <c r="A184" s="108" t="s">
        <v>209</v>
      </c>
      <c r="B184" s="109" t="s">
        <v>174</v>
      </c>
      <c r="C184" s="876">
        <f>+'1.2.mell._HKÖH_Mérleg2018'!C79+'1.3.mell._HVÓBKI_Mérleg2018'!C79+'1.4.mell._HKK_Mérleg2018'!C79+'1.5._mell._MŐSZ_Mérleg2018'!C79+'1.6._mell._HVGYKCSSZ_Mérleg2018'!C79</f>
        <v>762436</v>
      </c>
      <c r="D184" s="744">
        <f>783595-D199</f>
        <v>760178</v>
      </c>
      <c r="E184" s="744">
        <f>+'1.2.mell._HKÖH_Mérleg2018'!E79+'1.3.mell._HVÓBKI_Mérleg2018'!E79+'1.4.mell._HKK_Mérleg2018'!E79+'1.5._mell._MŐSZ_Mérleg2018'!E79+'1.6._mell._HVGYKCSSZ_Mérleg2018'!E79</f>
        <v>760221</v>
      </c>
      <c r="F184" s="1418">
        <f t="shared" si="3"/>
        <v>1.0000565656990863</v>
      </c>
      <c r="G184" s="743">
        <f>+'1.2.mell._HKÖH_Mérleg2018'!G79+'1.3.mell._HVÓBKI_Mérleg2018'!G79+'1.4.mell._HKK_Mérleg2018'!G79+'1.5._mell._MŐSZ_Mérleg2018'!G79+'1.6._mell._HVGYKCSSZ_Mérleg2018'!G79</f>
        <v>744940</v>
      </c>
      <c r="H184" s="743">
        <f>+'1.2.mell._HKÖH_Mérleg2018'!H79+'1.3.mell._HVÓBKI_Mérleg2018'!H79+'1.4.mell._HKK_Mérleg2018'!H79+'1.5._mell._MŐSZ_Mérleg2018'!H79+'1.6._mell._HVGYKCSSZ_Mérleg2018'!H79</f>
        <v>14772</v>
      </c>
      <c r="I184" s="877">
        <f>+'1.2.mell._HKÖH_Mérleg2018'!I79+'1.3.mell._HVÓBKI_Mérleg2018'!I79+'1.4.mell._HKK_Mérleg2018'!I79+'1.5._mell._MŐSZ_Mérleg2018'!I79+'1.6._mell._HVGYKCSSZ_Mérleg2018'!I79</f>
        <v>509</v>
      </c>
      <c r="K184" s="117">
        <f>+E184-G184-H184-I184</f>
        <v>0</v>
      </c>
      <c r="L184" s="117">
        <f>783594+1</f>
        <v>783595</v>
      </c>
    </row>
    <row r="185" spans="1:12" s="13" customFormat="1">
      <c r="A185" s="86" t="s">
        <v>210</v>
      </c>
      <c r="B185" s="66" t="s">
        <v>179</v>
      </c>
      <c r="C185" s="502"/>
      <c r="D185" s="12"/>
      <c r="E185" s="12"/>
      <c r="F185" s="1412" t="str">
        <f t="shared" si="3"/>
        <v>-</v>
      </c>
      <c r="G185" s="19"/>
      <c r="H185" s="12"/>
      <c r="I185" s="15"/>
      <c r="K185" s="13">
        <f>+E185-G185-H185-I185</f>
        <v>0</v>
      </c>
    </row>
    <row r="186" spans="1:12" s="13" customFormat="1">
      <c r="A186" s="86" t="s">
        <v>211</v>
      </c>
      <c r="B186" s="66" t="s">
        <v>175</v>
      </c>
      <c r="C186" s="502"/>
      <c r="D186" s="12"/>
      <c r="E186" s="12"/>
      <c r="F186" s="1412" t="str">
        <f t="shared" si="3"/>
        <v>-</v>
      </c>
      <c r="G186" s="19"/>
      <c r="H186" s="12"/>
      <c r="I186" s="15"/>
      <c r="K186" s="13">
        <f>+E186-G186-H186-I186</f>
        <v>0</v>
      </c>
    </row>
    <row r="187" spans="1:12" s="13" customFormat="1">
      <c r="A187" s="86" t="s">
        <v>212</v>
      </c>
      <c r="B187" s="66" t="s">
        <v>176</v>
      </c>
      <c r="C187" s="502"/>
      <c r="D187" s="12"/>
      <c r="E187" s="12"/>
      <c r="F187" s="1412" t="str">
        <f t="shared" si="3"/>
        <v>-</v>
      </c>
      <c r="G187" s="19"/>
      <c r="H187" s="12"/>
      <c r="I187" s="15"/>
      <c r="K187" s="13">
        <f>+E187-G187-H187-I187</f>
        <v>0</v>
      </c>
    </row>
    <row r="188" spans="1:12" s="13" customFormat="1">
      <c r="A188" s="86" t="s">
        <v>999</v>
      </c>
      <c r="B188" s="66" t="s">
        <v>1001</v>
      </c>
      <c r="C188" s="502"/>
      <c r="D188" s="12"/>
      <c r="E188" s="12"/>
      <c r="F188" s="1412" t="str">
        <f t="shared" si="3"/>
        <v>-</v>
      </c>
      <c r="G188" s="19"/>
      <c r="H188" s="12"/>
      <c r="I188" s="15"/>
      <c r="K188" s="13">
        <f>+E188-G188-H188-I188</f>
        <v>0</v>
      </c>
    </row>
    <row r="189" spans="1:12">
      <c r="A189" s="85" t="s">
        <v>76</v>
      </c>
      <c r="B189" s="67" t="s">
        <v>177</v>
      </c>
      <c r="C189" s="501"/>
      <c r="D189" s="11"/>
      <c r="E189" s="11"/>
      <c r="F189" s="1412" t="str">
        <f t="shared" si="3"/>
        <v>-</v>
      </c>
      <c r="G189" s="20"/>
      <c r="H189" s="11"/>
      <c r="I189" s="16"/>
      <c r="K189" s="4">
        <f>+E189-G189-H189-I189</f>
        <v>0</v>
      </c>
    </row>
    <row r="190" spans="1:12">
      <c r="A190" s="78" t="s">
        <v>77</v>
      </c>
      <c r="B190" s="68" t="s">
        <v>178</v>
      </c>
      <c r="C190" s="500"/>
      <c r="D190" s="22"/>
      <c r="E190" s="22"/>
      <c r="F190" s="1411" t="str">
        <f t="shared" si="3"/>
        <v>-</v>
      </c>
      <c r="G190" s="21"/>
      <c r="H190" s="22"/>
      <c r="I190" s="23"/>
      <c r="K190" s="4">
        <f>+E190-G190-H190-I190</f>
        <v>0</v>
      </c>
    </row>
    <row r="191" spans="1:12" ht="12.75" thickBot="1">
      <c r="A191" s="78" t="s">
        <v>1004</v>
      </c>
      <c r="B191" s="68" t="s">
        <v>1002</v>
      </c>
      <c r="C191" s="500"/>
      <c r="D191" s="17"/>
      <c r="E191" s="17"/>
      <c r="F191" s="1411" t="str">
        <f t="shared" si="3"/>
        <v>-</v>
      </c>
      <c r="G191" s="40"/>
      <c r="H191" s="17"/>
      <c r="I191" s="39"/>
      <c r="K191" s="4">
        <f>+E191-G191-H191-I191</f>
        <v>0</v>
      </c>
    </row>
    <row r="192" spans="1:12" s="3" customFormat="1" ht="12.75" thickBot="1">
      <c r="A192" s="83" t="s">
        <v>44</v>
      </c>
      <c r="B192" s="69" t="s">
        <v>316</v>
      </c>
      <c r="C192" s="1049">
        <f>+C193</f>
        <v>9532</v>
      </c>
      <c r="D192" s="28">
        <f>+D193</f>
        <v>23417</v>
      </c>
      <c r="E192" s="28">
        <f>+E193</f>
        <v>23374</v>
      </c>
      <c r="F192" s="1408">
        <f t="shared" si="3"/>
        <v>0.99816372720673019</v>
      </c>
      <c r="G192" s="27">
        <f>+G193</f>
        <v>22952</v>
      </c>
      <c r="H192" s="28">
        <f>+H193</f>
        <v>422</v>
      </c>
      <c r="I192" s="29">
        <f>+I193</f>
        <v>0</v>
      </c>
      <c r="K192" s="3">
        <f>+E192-G192-H192-I192</f>
        <v>0</v>
      </c>
    </row>
    <row r="193" spans="1:11" s="3" customFormat="1" ht="12.75" thickBot="1">
      <c r="A193" s="83" t="s">
        <v>43</v>
      </c>
      <c r="B193" s="64" t="s">
        <v>1000</v>
      </c>
      <c r="C193" s="1049">
        <f>+C194+C204+C205+C206</f>
        <v>9532</v>
      </c>
      <c r="D193" s="28">
        <f>+D194+D204+D205+D206</f>
        <v>23417</v>
      </c>
      <c r="E193" s="28">
        <f>+E194+E204+E205+E206</f>
        <v>23374</v>
      </c>
      <c r="F193" s="1408">
        <f t="shared" si="3"/>
        <v>0.99816372720673019</v>
      </c>
      <c r="G193" s="27">
        <f>+G194+G204+G205+G206</f>
        <v>22952</v>
      </c>
      <c r="H193" s="28">
        <f>+H194+H204+H205+H206</f>
        <v>422</v>
      </c>
      <c r="I193" s="29">
        <f>+I194+I204+I205+I206</f>
        <v>0</v>
      </c>
      <c r="K193" s="3">
        <f>+E193-G193-H193-I193</f>
        <v>0</v>
      </c>
    </row>
    <row r="194" spans="1:11">
      <c r="A194" s="84" t="s">
        <v>78</v>
      </c>
      <c r="B194" s="65" t="s">
        <v>1043</v>
      </c>
      <c r="C194" s="1051">
        <f>+C195+C196+C197+C198+C199+C200+C201+C202+C203</f>
        <v>9532</v>
      </c>
      <c r="D194" s="47">
        <f>+D195+D196+D197+D198+D199+D200+D201+D202+D203</f>
        <v>23417</v>
      </c>
      <c r="E194" s="47">
        <f>+E195+E196+E197+E198+E199+E200+E201+E202+E203</f>
        <v>23374</v>
      </c>
      <c r="F194" s="1410">
        <f t="shared" si="3"/>
        <v>0.99816372720673019</v>
      </c>
      <c r="G194" s="49">
        <f>+G195+G196+G197+G198+G199+G200+G201+G202+G203</f>
        <v>22952</v>
      </c>
      <c r="H194" s="47">
        <f>+H195+H196+H197+H198+H199+H200+H201+H202+H203</f>
        <v>422</v>
      </c>
      <c r="I194" s="48">
        <f>+I195+I196+I197+I198+I199+I200+I201+I202+I203</f>
        <v>0</v>
      </c>
      <c r="K194" s="4">
        <f>+E194-G194-H194-I194</f>
        <v>0</v>
      </c>
    </row>
    <row r="195" spans="1:11" s="13" customFormat="1">
      <c r="A195" s="86" t="s">
        <v>213</v>
      </c>
      <c r="B195" s="66" t="s">
        <v>170</v>
      </c>
      <c r="C195" s="502"/>
      <c r="D195" s="12"/>
      <c r="E195" s="12"/>
      <c r="F195" s="1412" t="str">
        <f t="shared" si="3"/>
        <v>-</v>
      </c>
      <c r="G195" s="19"/>
      <c r="H195" s="12"/>
      <c r="I195" s="15"/>
      <c r="K195" s="13">
        <f>+E195-G195-H195-I195</f>
        <v>0</v>
      </c>
    </row>
    <row r="196" spans="1:11" s="13" customFormat="1">
      <c r="A196" s="86" t="s">
        <v>214</v>
      </c>
      <c r="B196" s="66" t="s">
        <v>171</v>
      </c>
      <c r="C196" s="502"/>
      <c r="D196" s="12"/>
      <c r="E196" s="12"/>
      <c r="F196" s="1412" t="str">
        <f t="shared" si="3"/>
        <v>-</v>
      </c>
      <c r="G196" s="19"/>
      <c r="H196" s="12"/>
      <c r="I196" s="15"/>
      <c r="K196" s="13">
        <f>+E196-G196-H196-I196</f>
        <v>0</v>
      </c>
    </row>
    <row r="197" spans="1:11" s="13" customFormat="1">
      <c r="A197" s="86" t="s">
        <v>215</v>
      </c>
      <c r="B197" s="66" t="s">
        <v>172</v>
      </c>
      <c r="C197" s="502"/>
      <c r="D197" s="12"/>
      <c r="E197" s="12"/>
      <c r="F197" s="1412" t="str">
        <f t="shared" si="3"/>
        <v>-</v>
      </c>
      <c r="G197" s="19"/>
      <c r="H197" s="12"/>
      <c r="I197" s="15"/>
      <c r="K197" s="13">
        <f>+E197-G197-H197-I197</f>
        <v>0</v>
      </c>
    </row>
    <row r="198" spans="1:11" s="13" customFormat="1">
      <c r="A198" s="86" t="s">
        <v>216</v>
      </c>
      <c r="B198" s="66" t="s">
        <v>173</v>
      </c>
      <c r="C198" s="502"/>
      <c r="D198" s="12"/>
      <c r="E198" s="12"/>
      <c r="F198" s="1412" t="str">
        <f t="shared" si="3"/>
        <v>-</v>
      </c>
      <c r="G198" s="19"/>
      <c r="H198" s="12"/>
      <c r="I198" s="15"/>
      <c r="K198" s="13">
        <f>+E198-G198-H198-I198</f>
        <v>0</v>
      </c>
    </row>
    <row r="199" spans="1:11" s="117" customFormat="1">
      <c r="A199" s="108" t="s">
        <v>217</v>
      </c>
      <c r="B199" s="109" t="s">
        <v>174</v>
      </c>
      <c r="C199" s="876">
        <f>+'1.2.mell._HKÖH_Mérleg2018'!C94+'1.3.mell._HVÓBKI_Mérleg2018'!C94+'1.4.mell._HKK_Mérleg2018'!C94+'1.5._mell._MŐSZ_Mérleg2018'!C94+'1.6._mell._HVGYKCSSZ_Mérleg2018'!C94</f>
        <v>9532</v>
      </c>
      <c r="D199" s="744">
        <f>+'1.2.mell._HKÖH_Mérleg2018'!D94+'1.3.mell._HVÓBKI_Mérleg2018'!D94+'1.4.mell._HKK_Mérleg2018'!D94+'1.5._mell._MŐSZ_Mérleg2018'!D94+'1.6._mell._HVGYKCSSZ_Mérleg2018'!D94</f>
        <v>23417</v>
      </c>
      <c r="E199" s="744">
        <f>+'1.2.mell._HKÖH_Mérleg2018'!E94+'1.3.mell._HVÓBKI_Mérleg2018'!E94+'1.4.mell._HKK_Mérleg2018'!E94+'1.5._mell._MŐSZ_Mérleg2018'!E94+'1.6._mell._HVGYKCSSZ_Mérleg2018'!E94</f>
        <v>23374</v>
      </c>
      <c r="F199" s="1418">
        <f t="shared" si="3"/>
        <v>0.99816372720673019</v>
      </c>
      <c r="G199" s="743">
        <f>+'1.2.mell._HKÖH_Mérleg2018'!G94+'1.3.mell._HVÓBKI_Mérleg2018'!G94+'1.4.mell._HKK_Mérleg2018'!G94+'1.5._mell._MŐSZ_Mérleg2018'!G94+'1.6._mell._HVGYKCSSZ_Mérleg2018'!G94</f>
        <v>22952</v>
      </c>
      <c r="H199" s="743">
        <f>+'1.2.mell._HKÖH_Mérleg2018'!H94+'1.3.mell._HVÓBKI_Mérleg2018'!H94+'1.4.mell._HKK_Mérleg2018'!H94+'1.5._mell._MŐSZ_Mérleg2018'!H94+'1.6._mell._HVGYKCSSZ_Mérleg2018'!H94</f>
        <v>422</v>
      </c>
      <c r="I199" s="877">
        <f>+'1.2.mell._HKÖH_Mérleg2018'!I94+'1.3.mell._HVÓBKI_Mérleg2018'!I94+'1.4.mell._HKK_Mérleg2018'!I94+'1.5._mell._MŐSZ_Mérleg2018'!I94+'1.6._mell._HVGYKCSSZ_Mérleg2018'!I94</f>
        <v>0</v>
      </c>
      <c r="K199" s="117">
        <f>+E199-G199-H199-I199</f>
        <v>0</v>
      </c>
    </row>
    <row r="200" spans="1:11" s="13" customFormat="1">
      <c r="A200" s="86" t="s">
        <v>218</v>
      </c>
      <c r="B200" s="66" t="s">
        <v>179</v>
      </c>
      <c r="C200" s="502"/>
      <c r="D200" s="12"/>
      <c r="E200" s="12"/>
      <c r="F200" s="1412" t="str">
        <f t="shared" si="3"/>
        <v>-</v>
      </c>
      <c r="G200" s="19"/>
      <c r="H200" s="12"/>
      <c r="I200" s="15"/>
      <c r="K200" s="13">
        <f>+E200-G200-H200-I200</f>
        <v>0</v>
      </c>
    </row>
    <row r="201" spans="1:11" s="13" customFormat="1">
      <c r="A201" s="86" t="s">
        <v>219</v>
      </c>
      <c r="B201" s="66" t="s">
        <v>175</v>
      </c>
      <c r="C201" s="502"/>
      <c r="D201" s="12"/>
      <c r="E201" s="12"/>
      <c r="F201" s="1412" t="str">
        <f t="shared" si="3"/>
        <v>-</v>
      </c>
      <c r="G201" s="19"/>
      <c r="H201" s="12"/>
      <c r="I201" s="15"/>
      <c r="K201" s="13">
        <f>+E201-G201-H201-I201</f>
        <v>0</v>
      </c>
    </row>
    <row r="202" spans="1:11" s="13" customFormat="1">
      <c r="A202" s="86" t="s">
        <v>220</v>
      </c>
      <c r="B202" s="66" t="s">
        <v>176</v>
      </c>
      <c r="C202" s="502"/>
      <c r="D202" s="12"/>
      <c r="E202" s="12"/>
      <c r="F202" s="1412" t="str">
        <f t="shared" si="3"/>
        <v>-</v>
      </c>
      <c r="G202" s="19"/>
      <c r="H202" s="12"/>
      <c r="I202" s="15"/>
      <c r="K202" s="13">
        <f>+E202-G202-H202-I202</f>
        <v>0</v>
      </c>
    </row>
    <row r="203" spans="1:11" s="13" customFormat="1">
      <c r="A203" s="86" t="s">
        <v>999</v>
      </c>
      <c r="B203" s="66" t="s">
        <v>1001</v>
      </c>
      <c r="C203" s="502"/>
      <c r="D203" s="12"/>
      <c r="E203" s="12"/>
      <c r="F203" s="1412" t="str">
        <f t="shared" si="3"/>
        <v>-</v>
      </c>
      <c r="G203" s="19"/>
      <c r="H203" s="12"/>
      <c r="I203" s="15"/>
      <c r="K203" s="13">
        <f>+E203-G203-H203-I203</f>
        <v>0</v>
      </c>
    </row>
    <row r="204" spans="1:11">
      <c r="A204" s="85" t="s">
        <v>79</v>
      </c>
      <c r="B204" s="67" t="s">
        <v>177</v>
      </c>
      <c r="C204" s="501"/>
      <c r="D204" s="11"/>
      <c r="E204" s="11"/>
      <c r="F204" s="1412" t="str">
        <f t="shared" si="3"/>
        <v>-</v>
      </c>
      <c r="G204" s="20"/>
      <c r="H204" s="11"/>
      <c r="I204" s="16"/>
      <c r="K204" s="4">
        <f>+E204-G204-H204-I204</f>
        <v>0</v>
      </c>
    </row>
    <row r="205" spans="1:11">
      <c r="A205" s="78" t="s">
        <v>221</v>
      </c>
      <c r="B205" s="68" t="s">
        <v>178</v>
      </c>
      <c r="C205" s="500"/>
      <c r="D205" s="22"/>
      <c r="E205" s="22"/>
      <c r="F205" s="1411" t="str">
        <f t="shared" si="3"/>
        <v>-</v>
      </c>
      <c r="G205" s="21"/>
      <c r="H205" s="22"/>
      <c r="I205" s="23"/>
      <c r="K205" s="4">
        <f>+E205-G205-H205-I205</f>
        <v>0</v>
      </c>
    </row>
    <row r="206" spans="1:11" ht="12.75" thickBot="1">
      <c r="A206" s="78" t="s">
        <v>1003</v>
      </c>
      <c r="B206" s="68" t="s">
        <v>1002</v>
      </c>
      <c r="C206" s="500"/>
      <c r="D206" s="17"/>
      <c r="E206" s="17"/>
      <c r="F206" s="1411" t="str">
        <f t="shared" si="3"/>
        <v>-</v>
      </c>
      <c r="G206" s="40"/>
      <c r="H206" s="17"/>
      <c r="I206" s="39"/>
      <c r="K206" s="4">
        <f>+E206-G206-H206-I206</f>
        <v>0</v>
      </c>
    </row>
    <row r="207" spans="1:11" s="3" customFormat="1" ht="12.75" thickBot="1">
      <c r="A207" s="83" t="s">
        <v>40</v>
      </c>
      <c r="B207" s="69" t="s">
        <v>317</v>
      </c>
      <c r="C207" s="1049">
        <f>+C177+C192</f>
        <v>797314</v>
      </c>
      <c r="D207" s="28">
        <f>+D177+D192</f>
        <v>894506</v>
      </c>
      <c r="E207" s="28">
        <f>+E177+E192</f>
        <v>894506</v>
      </c>
      <c r="F207" s="1408">
        <f t="shared" si="3"/>
        <v>1</v>
      </c>
      <c r="G207" s="27">
        <f>+G177+G192</f>
        <v>878803</v>
      </c>
      <c r="H207" s="28">
        <f>+H177+H192</f>
        <v>15194</v>
      </c>
      <c r="I207" s="29">
        <f>+I177+I192</f>
        <v>509</v>
      </c>
      <c r="K207" s="3">
        <f>+E207-G207-H207-I207</f>
        <v>0</v>
      </c>
    </row>
    <row r="208" spans="1:11" s="3" customFormat="1" ht="12.75" thickBot="1">
      <c r="A208" s="87" t="s">
        <v>39</v>
      </c>
      <c r="B208" s="71" t="s">
        <v>335</v>
      </c>
      <c r="C208" s="1056">
        <f>+C176+C207</f>
        <v>3234910</v>
      </c>
      <c r="D208" s="25">
        <f>+D176+D207</f>
        <v>5770705</v>
      </c>
      <c r="E208" s="25">
        <f>+E176+E207</f>
        <v>2536296</v>
      </c>
      <c r="F208" s="1414">
        <f t="shared" si="3"/>
        <v>0.43951232994928696</v>
      </c>
      <c r="G208" s="24">
        <f>+G176+G207</f>
        <v>2520483</v>
      </c>
      <c r="H208" s="25">
        <f>+H176+H207</f>
        <v>15304</v>
      </c>
      <c r="I208" s="26">
        <f>+I176+I207</f>
        <v>509</v>
      </c>
      <c r="K208" s="3">
        <f>+E208-G208-H208-I208</f>
        <v>0</v>
      </c>
    </row>
    <row r="211" spans="1:31" s="1" customFormat="1" ht="15.75">
      <c r="A211" s="1217" t="s">
        <v>89</v>
      </c>
      <c r="B211" s="1217"/>
      <c r="C211" s="1217"/>
      <c r="D211" s="1217"/>
      <c r="E211" s="1217"/>
      <c r="F211" s="1217"/>
      <c r="G211" s="1217"/>
      <c r="H211" s="1217"/>
      <c r="I211" s="1217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</row>
    <row r="212" spans="1:31" s="36" customFormat="1" ht="12.75" thickBot="1">
      <c r="A212" s="38" t="s">
        <v>282</v>
      </c>
      <c r="F212" s="1397"/>
      <c r="I212" s="37" t="s">
        <v>281</v>
      </c>
    </row>
    <row r="213" spans="1:31" s="3" customFormat="1" ht="12.75" thickBot="1">
      <c r="A213" s="83" t="s">
        <v>4</v>
      </c>
      <c r="B213" s="69" t="s">
        <v>318</v>
      </c>
      <c r="C213" s="1049">
        <f>+C214+C215</f>
        <v>-1042720</v>
      </c>
      <c r="D213" s="28">
        <f>+D214+D215</f>
        <v>-1411299</v>
      </c>
      <c r="E213" s="28">
        <f>+E214+E215</f>
        <v>1634924</v>
      </c>
      <c r="F213" s="1408">
        <f>IF(ISERROR(E213/D213),"-",E213/D213)</f>
        <v>-1.1584533114527822</v>
      </c>
      <c r="G213" s="27">
        <f>+G214+G215</f>
        <v>1631080</v>
      </c>
      <c r="H213" s="28">
        <f>+H214+H215</f>
        <v>3844</v>
      </c>
      <c r="I213" s="29">
        <f>+I214+I215</f>
        <v>0</v>
      </c>
      <c r="K213" s="3">
        <f>+E213-G213-H213-I213</f>
        <v>0</v>
      </c>
    </row>
    <row r="214" spans="1:31">
      <c r="A214" s="84" t="s">
        <v>81</v>
      </c>
      <c r="B214" s="72" t="s">
        <v>319</v>
      </c>
      <c r="C214" s="1051">
        <f>+C10-C109</f>
        <v>575944</v>
      </c>
      <c r="D214" s="10">
        <f>+D10-D109</f>
        <v>-2023983</v>
      </c>
      <c r="E214" s="10">
        <f>+E10-E109</f>
        <v>977044</v>
      </c>
      <c r="F214" s="1410">
        <f>IF(ISERROR(E214/D214),"-",E214/D214)</f>
        <v>-0.4827333035900005</v>
      </c>
      <c r="G214" s="34">
        <f>+G10-G109</f>
        <v>974089</v>
      </c>
      <c r="H214" s="10">
        <f>+H10-H109</f>
        <v>2955</v>
      </c>
      <c r="I214" s="35">
        <f>+I10-I109</f>
        <v>0</v>
      </c>
      <c r="K214" s="4">
        <f>+E214-G214-H214-I214</f>
        <v>0</v>
      </c>
    </row>
    <row r="215" spans="1:31" ht="12.75" thickBot="1">
      <c r="A215" s="88" t="s">
        <v>82</v>
      </c>
      <c r="B215" s="73" t="s">
        <v>320</v>
      </c>
      <c r="C215" s="503">
        <f>+C50-C149</f>
        <v>-1618664</v>
      </c>
      <c r="D215" s="17">
        <f>+D50-D149</f>
        <v>612684</v>
      </c>
      <c r="E215" s="17">
        <f>+E50-E149</f>
        <v>657880</v>
      </c>
      <c r="F215" s="1416">
        <f>IF(ISERROR(E215/D215),"-",E215/D215)</f>
        <v>1.0737672274777863</v>
      </c>
      <c r="G215" s="40">
        <f>+G50-G149</f>
        <v>656991</v>
      </c>
      <c r="H215" s="17">
        <f>+H50-H149</f>
        <v>889</v>
      </c>
      <c r="I215" s="39">
        <f>+I50-I149</f>
        <v>0</v>
      </c>
      <c r="K215" s="4">
        <f>+E215-G215-H215-I215</f>
        <v>0</v>
      </c>
    </row>
    <row r="218" spans="1:31" s="1" customFormat="1" ht="15.75">
      <c r="A218" s="1217" t="s">
        <v>90</v>
      </c>
      <c r="B218" s="1217"/>
      <c r="C218" s="1217"/>
      <c r="D218" s="1217"/>
      <c r="E218" s="1217"/>
      <c r="F218" s="1217"/>
      <c r="G218" s="1217"/>
      <c r="H218" s="1217"/>
      <c r="I218" s="1217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</row>
    <row r="219" spans="1:31" s="36" customFormat="1" ht="12.75" thickBot="1">
      <c r="A219" s="38" t="s">
        <v>283</v>
      </c>
      <c r="F219" s="1397"/>
      <c r="I219" s="37" t="s">
        <v>281</v>
      </c>
    </row>
    <row r="220" spans="1:31" s="3" customFormat="1" ht="12.75" thickBot="1">
      <c r="A220" s="83" t="s">
        <v>4</v>
      </c>
      <c r="B220" s="69" t="s">
        <v>321</v>
      </c>
      <c r="C220" s="1049">
        <f>+C221+C228</f>
        <v>1042720</v>
      </c>
      <c r="D220" s="28">
        <f>+D221+D228</f>
        <v>1411299</v>
      </c>
      <c r="E220" s="28">
        <f>+E221+E228</f>
        <v>1411299</v>
      </c>
      <c r="F220" s="1408">
        <f t="shared" ref="F220:F234" si="4">IF(ISERROR(E220/D220),"-",E220/D220)</f>
        <v>1</v>
      </c>
      <c r="G220" s="27">
        <f>+G221+G228</f>
        <v>1427002</v>
      </c>
      <c r="H220" s="28">
        <f>+H221+H228</f>
        <v>-15194</v>
      </c>
      <c r="I220" s="29">
        <f>+I221+I228</f>
        <v>-509</v>
      </c>
      <c r="K220" s="3">
        <f>+E220-G220-H220-I220</f>
        <v>0</v>
      </c>
    </row>
    <row r="221" spans="1:31" s="3" customFormat="1" ht="12.75" thickBot="1">
      <c r="A221" s="83" t="s">
        <v>5</v>
      </c>
      <c r="B221" s="64" t="s">
        <v>322</v>
      </c>
      <c r="C221" s="1049">
        <f>+C222-C225</f>
        <v>1044252</v>
      </c>
      <c r="D221" s="28">
        <f>+D222-D225</f>
        <v>-423072</v>
      </c>
      <c r="E221" s="28">
        <f>+E222-E225</f>
        <v>-423115</v>
      </c>
      <c r="F221" s="1408">
        <f t="shared" si="4"/>
        <v>1.0001016375463279</v>
      </c>
      <c r="G221" s="27">
        <f>+G222-G225</f>
        <v>-407834</v>
      </c>
      <c r="H221" s="28">
        <f>+H222-H225</f>
        <v>-14772</v>
      </c>
      <c r="I221" s="29">
        <f>+I222-I225</f>
        <v>-509</v>
      </c>
      <c r="K221" s="3">
        <f>+E221-G221-H221-I221</f>
        <v>0</v>
      </c>
    </row>
    <row r="222" spans="1:31">
      <c r="A222" s="84" t="s">
        <v>54</v>
      </c>
      <c r="B222" s="65" t="s">
        <v>323</v>
      </c>
      <c r="C222" s="1051">
        <f>+C223+C224</f>
        <v>1832034</v>
      </c>
      <c r="D222" s="10">
        <f>+D223+D224</f>
        <v>448017</v>
      </c>
      <c r="E222" s="10">
        <f>+E223+E224</f>
        <v>448017</v>
      </c>
      <c r="F222" s="1410">
        <f t="shared" si="4"/>
        <v>1</v>
      </c>
      <c r="G222" s="34">
        <f>+G223+G224</f>
        <v>448017</v>
      </c>
      <c r="H222" s="10">
        <f>+H223+H224</f>
        <v>0</v>
      </c>
      <c r="I222" s="35">
        <f>+I223+I224</f>
        <v>0</v>
      </c>
      <c r="K222" s="4">
        <f>+E222-G222-H222-I222</f>
        <v>0</v>
      </c>
    </row>
    <row r="223" spans="1:31" s="13" customFormat="1">
      <c r="A223" s="86" t="s">
        <v>190</v>
      </c>
      <c r="B223" s="66" t="s">
        <v>285</v>
      </c>
      <c r="C223" s="502">
        <f>+C76+C80</f>
        <v>1832034</v>
      </c>
      <c r="D223" s="12">
        <f>+D76+D80</f>
        <v>335781</v>
      </c>
      <c r="E223" s="12">
        <f>+E76+E80</f>
        <v>335781</v>
      </c>
      <c r="F223" s="1412">
        <f t="shared" si="4"/>
        <v>1</v>
      </c>
      <c r="G223" s="19">
        <f>+G76+G80</f>
        <v>335781</v>
      </c>
      <c r="H223" s="12">
        <f>+H76+H80</f>
        <v>0</v>
      </c>
      <c r="I223" s="15">
        <f>+I76+I80</f>
        <v>0</v>
      </c>
      <c r="K223" s="13">
        <f>+E223-G223-H223-I223</f>
        <v>0</v>
      </c>
    </row>
    <row r="224" spans="1:31" s="13" customFormat="1">
      <c r="A224" s="86" t="s">
        <v>191</v>
      </c>
      <c r="B224" s="66" t="s">
        <v>286</v>
      </c>
      <c r="C224" s="502">
        <f>+C74+C75+C77+C78+C79+C81</f>
        <v>0</v>
      </c>
      <c r="D224" s="12">
        <f>+D74+D75+D77+D78+D79+D81</f>
        <v>112236</v>
      </c>
      <c r="E224" s="12">
        <f>+E74+E75+E77+E78+E79+E81</f>
        <v>112236</v>
      </c>
      <c r="F224" s="1412">
        <f t="shared" si="4"/>
        <v>1</v>
      </c>
      <c r="G224" s="19">
        <f>+G74+G75+G77+G78+G79+G81</f>
        <v>112236</v>
      </c>
      <c r="H224" s="12">
        <f>+H74+H75+H77+H78+H79+H81</f>
        <v>0</v>
      </c>
      <c r="I224" s="15">
        <f>+I74+I75+I77+I78+I79+I81</f>
        <v>0</v>
      </c>
      <c r="K224" s="13">
        <f>+E224-G224-H224-I224</f>
        <v>0</v>
      </c>
    </row>
    <row r="225" spans="1:31">
      <c r="A225" s="85" t="s">
        <v>55</v>
      </c>
      <c r="B225" s="67" t="s">
        <v>324</v>
      </c>
      <c r="C225" s="501">
        <f>+C227</f>
        <v>787782</v>
      </c>
      <c r="D225" s="11">
        <f>+D227</f>
        <v>871089</v>
      </c>
      <c r="E225" s="11">
        <f>+E227</f>
        <v>871132</v>
      </c>
      <c r="F225" s="1412">
        <f t="shared" si="4"/>
        <v>1.0000493634978744</v>
      </c>
      <c r="G225" s="20">
        <f>+G227</f>
        <v>855851</v>
      </c>
      <c r="H225" s="11">
        <f>+H227</f>
        <v>14772</v>
      </c>
      <c r="I225" s="16">
        <f>+I227</f>
        <v>509</v>
      </c>
      <c r="K225" s="4">
        <f>+E225-G225-H225-I225</f>
        <v>0</v>
      </c>
    </row>
    <row r="226" spans="1:31" s="13" customFormat="1">
      <c r="A226" s="86" t="s">
        <v>56</v>
      </c>
      <c r="B226" s="66" t="s">
        <v>287</v>
      </c>
      <c r="C226" s="502">
        <f>+C185</f>
        <v>0</v>
      </c>
      <c r="D226" s="12">
        <f>+D185</f>
        <v>0</v>
      </c>
      <c r="E226" s="12">
        <f>+E185</f>
        <v>0</v>
      </c>
      <c r="F226" s="1412" t="str">
        <f t="shared" si="4"/>
        <v>-</v>
      </c>
      <c r="G226" s="19">
        <f>+G185</f>
        <v>0</v>
      </c>
      <c r="H226" s="12">
        <f>+H185</f>
        <v>0</v>
      </c>
      <c r="I226" s="15">
        <f>+I185</f>
        <v>0</v>
      </c>
      <c r="K226" s="13">
        <f>+E226-G226-H226-I226</f>
        <v>0</v>
      </c>
    </row>
    <row r="227" spans="1:31" s="13" customFormat="1" ht="12.75" thickBot="1">
      <c r="A227" s="89" t="s">
        <v>57</v>
      </c>
      <c r="B227" s="74" t="s">
        <v>288</v>
      </c>
      <c r="C227" s="1050">
        <f>+C180+C181+C182+C183+C184+C186+C187</f>
        <v>787782</v>
      </c>
      <c r="D227" s="43">
        <f>+D180+D181+D182+D183+D184+D186+D187</f>
        <v>871089</v>
      </c>
      <c r="E227" s="43">
        <f>+E180+E181+E182+E183+E184+E186+E187</f>
        <v>871132</v>
      </c>
      <c r="F227" s="1411">
        <f t="shared" si="4"/>
        <v>1.0000493634978744</v>
      </c>
      <c r="G227" s="45">
        <f>+G180+G181+G182+G183+G184+G186+G187</f>
        <v>855851</v>
      </c>
      <c r="H227" s="43">
        <f>+H180+H181+H182+H183+H184+H186+H187</f>
        <v>14772</v>
      </c>
      <c r="I227" s="44">
        <f>+I180+I181+I182+I183+I184+I186+I187</f>
        <v>509</v>
      </c>
      <c r="K227" s="13">
        <f>+E227-G227-H227-I227</f>
        <v>0</v>
      </c>
    </row>
    <row r="228" spans="1:31" s="3" customFormat="1" ht="12.75" thickBot="1">
      <c r="A228" s="83" t="s">
        <v>6</v>
      </c>
      <c r="B228" s="64" t="s">
        <v>325</v>
      </c>
      <c r="C228" s="1049">
        <f>+C229-C232</f>
        <v>-1532</v>
      </c>
      <c r="D228" s="28">
        <f>+D229-D232</f>
        <v>1834371</v>
      </c>
      <c r="E228" s="28">
        <f>+E229-E232</f>
        <v>1834414</v>
      </c>
      <c r="F228" s="1408">
        <f t="shared" si="4"/>
        <v>1.0000234412776914</v>
      </c>
      <c r="G228" s="27">
        <f>+G229-G232</f>
        <v>1834836</v>
      </c>
      <c r="H228" s="28">
        <f>+H229-H232</f>
        <v>-422</v>
      </c>
      <c r="I228" s="29">
        <f>+I229-I232</f>
        <v>0</v>
      </c>
      <c r="K228" s="3">
        <f>+E228-G228-H228-I228</f>
        <v>0</v>
      </c>
    </row>
    <row r="229" spans="1:31">
      <c r="A229" s="84" t="s">
        <v>58</v>
      </c>
      <c r="B229" s="65" t="s">
        <v>326</v>
      </c>
      <c r="C229" s="1051">
        <f>+C230+C231</f>
        <v>8000</v>
      </c>
      <c r="D229" s="10">
        <f>+D230+D231</f>
        <v>1857788</v>
      </c>
      <c r="E229" s="10">
        <f>+E230+E231</f>
        <v>1857788</v>
      </c>
      <c r="F229" s="1410">
        <f t="shared" si="4"/>
        <v>1</v>
      </c>
      <c r="G229" s="34">
        <f>+G230+G231</f>
        <v>1857788</v>
      </c>
      <c r="H229" s="10">
        <f>+H230+H231</f>
        <v>0</v>
      </c>
      <c r="I229" s="35">
        <f>+I230+I231</f>
        <v>0</v>
      </c>
      <c r="K229" s="4">
        <f>+E229-G229-H229-I229</f>
        <v>0</v>
      </c>
    </row>
    <row r="230" spans="1:31" s="13" customFormat="1">
      <c r="A230" s="86" t="s">
        <v>293</v>
      </c>
      <c r="B230" s="66" t="s">
        <v>291</v>
      </c>
      <c r="C230" s="502">
        <f>+C91+C95</f>
        <v>0</v>
      </c>
      <c r="D230" s="12">
        <f>+D91+D95</f>
        <v>1857788</v>
      </c>
      <c r="E230" s="12">
        <f>+E91+E95</f>
        <v>1857788</v>
      </c>
      <c r="F230" s="1412">
        <f t="shared" si="4"/>
        <v>1</v>
      </c>
      <c r="G230" s="19">
        <f>+G91+G95</f>
        <v>1857788</v>
      </c>
      <c r="H230" s="12">
        <f>+H91+H95</f>
        <v>0</v>
      </c>
      <c r="I230" s="15">
        <f>+I91+I95</f>
        <v>0</v>
      </c>
      <c r="K230" s="13">
        <f>+E230-G230-H230-I230</f>
        <v>0</v>
      </c>
    </row>
    <row r="231" spans="1:31" s="13" customFormat="1">
      <c r="A231" s="86" t="s">
        <v>294</v>
      </c>
      <c r="B231" s="66" t="s">
        <v>292</v>
      </c>
      <c r="C231" s="502">
        <f>+C89+C90+C92+C93+C94+C96</f>
        <v>8000</v>
      </c>
      <c r="D231" s="12">
        <f>+D89+D90+D92+D93+D94+D96</f>
        <v>0</v>
      </c>
      <c r="E231" s="12">
        <f>+E89+E90+E92+E93+E94+E96</f>
        <v>0</v>
      </c>
      <c r="F231" s="1412" t="str">
        <f t="shared" si="4"/>
        <v>-</v>
      </c>
      <c r="G231" s="19">
        <f>+G89+G90+G92+G93+G94+G96</f>
        <v>0</v>
      </c>
      <c r="H231" s="12">
        <f>+H89+H90+H92+H93+H94+H96</f>
        <v>0</v>
      </c>
      <c r="I231" s="15">
        <f>+I89+I90+I92+I93+I94+I96</f>
        <v>0</v>
      </c>
      <c r="K231" s="13">
        <f>+E231-G231-H231-I231</f>
        <v>0</v>
      </c>
    </row>
    <row r="232" spans="1:31">
      <c r="A232" s="85" t="s">
        <v>59</v>
      </c>
      <c r="B232" s="67" t="s">
        <v>327</v>
      </c>
      <c r="C232" s="501">
        <f>+C233+C234</f>
        <v>9532</v>
      </c>
      <c r="D232" s="11">
        <f>+D233+D234</f>
        <v>23417</v>
      </c>
      <c r="E232" s="11">
        <f>+E233+E234</f>
        <v>23374</v>
      </c>
      <c r="F232" s="1412">
        <f t="shared" si="4"/>
        <v>0.99816372720673019</v>
      </c>
      <c r="G232" s="20">
        <f>+G233+G234</f>
        <v>22952</v>
      </c>
      <c r="H232" s="11">
        <f>+H233+H234</f>
        <v>422</v>
      </c>
      <c r="I232" s="16">
        <f>+I233+I234</f>
        <v>0</v>
      </c>
      <c r="K232" s="4">
        <f>+E232-G232-H232-I232</f>
        <v>0</v>
      </c>
    </row>
    <row r="233" spans="1:31" s="13" customFormat="1">
      <c r="A233" s="86" t="s">
        <v>295</v>
      </c>
      <c r="B233" s="66" t="s">
        <v>289</v>
      </c>
      <c r="C233" s="502">
        <f>+C200</f>
        <v>0</v>
      </c>
      <c r="D233" s="12">
        <f>+D200</f>
        <v>0</v>
      </c>
      <c r="E233" s="12">
        <f>+E200</f>
        <v>0</v>
      </c>
      <c r="F233" s="1412" t="str">
        <f t="shared" si="4"/>
        <v>-</v>
      </c>
      <c r="G233" s="19">
        <f>+G200</f>
        <v>0</v>
      </c>
      <c r="H233" s="12">
        <f>+H200</f>
        <v>0</v>
      </c>
      <c r="I233" s="15">
        <f>+I200</f>
        <v>0</v>
      </c>
      <c r="K233" s="13">
        <f>+E233-G233-H233-I233</f>
        <v>0</v>
      </c>
    </row>
    <row r="234" spans="1:31" s="13" customFormat="1" ht="12.75" thickBot="1">
      <c r="A234" s="90" t="s">
        <v>296</v>
      </c>
      <c r="B234" s="75" t="s">
        <v>290</v>
      </c>
      <c r="C234" s="1059">
        <f>+C195+C196+C197+C198+C199+C201+C202</f>
        <v>9532</v>
      </c>
      <c r="D234" s="41">
        <f>+D195+D196+D197+D198+D199+D201+D202</f>
        <v>23417</v>
      </c>
      <c r="E234" s="41">
        <f>+E195+E196+E197+E198+E199+E201+E202</f>
        <v>23374</v>
      </c>
      <c r="F234" s="1416">
        <f t="shared" si="4"/>
        <v>0.99816372720673019</v>
      </c>
      <c r="G234" s="46">
        <f>+G195+G196+G197+G198+G199+G201+G202</f>
        <v>22952</v>
      </c>
      <c r="H234" s="41">
        <f>+H195+H196+H197+H198+H199+H201+H202</f>
        <v>422</v>
      </c>
      <c r="I234" s="42">
        <f>+I195+I196+I197+I198+I199+I201+I202</f>
        <v>0</v>
      </c>
      <c r="K234" s="13">
        <f>+E234-G234-H234-I234</f>
        <v>0</v>
      </c>
    </row>
    <row r="237" spans="1:31" s="1" customFormat="1" ht="15.75">
      <c r="A237" s="1217" t="s">
        <v>1323</v>
      </c>
      <c r="B237" s="1217"/>
      <c r="C237" s="1217"/>
      <c r="D237" s="1217"/>
      <c r="E237" s="1217"/>
      <c r="F237" s="1217"/>
      <c r="G237" s="1217"/>
      <c r="H237" s="1217"/>
      <c r="I237" s="1217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</row>
    <row r="238" spans="1:31" s="36" customFormat="1" ht="12.75" thickBot="1">
      <c r="A238" s="38" t="s">
        <v>284</v>
      </c>
      <c r="F238" s="1397"/>
      <c r="I238" s="37"/>
    </row>
    <row r="239" spans="1:31" s="3" customFormat="1">
      <c r="A239" s="91" t="s">
        <v>4</v>
      </c>
      <c r="B239" s="76" t="s">
        <v>91</v>
      </c>
      <c r="C239" s="1060">
        <f>+G239+H239+I239</f>
        <v>39</v>
      </c>
      <c r="D239" s="55">
        <v>53</v>
      </c>
      <c r="E239" s="55">
        <f>20+19</f>
        <v>39</v>
      </c>
      <c r="F239" s="1409">
        <f>IF(ISERROR(E239/D239),"-",E239/D239)</f>
        <v>0.73584905660377353</v>
      </c>
      <c r="G239" s="54">
        <v>39</v>
      </c>
      <c r="H239" s="55"/>
      <c r="I239" s="56"/>
      <c r="K239" s="3">
        <f>+E239-G239-H239-I239</f>
        <v>0</v>
      </c>
    </row>
    <row r="240" spans="1:31" s="13" customFormat="1">
      <c r="A240" s="89" t="s">
        <v>351</v>
      </c>
      <c r="B240" s="99" t="s">
        <v>352</v>
      </c>
      <c r="C240" s="1061"/>
      <c r="D240" s="101">
        <v>17</v>
      </c>
      <c r="E240" s="101">
        <v>17</v>
      </c>
      <c r="F240" s="1411">
        <f>IF(ISERROR(E240/D240),"-",E240/D240)</f>
        <v>1</v>
      </c>
      <c r="G240" s="100">
        <v>17</v>
      </c>
      <c r="H240" s="101"/>
      <c r="I240" s="102"/>
      <c r="K240" s="13">
        <f>+E240-G240-H240-I240</f>
        <v>0</v>
      </c>
    </row>
    <row r="241" spans="1:11" s="3" customFormat="1" ht="12.75" thickBot="1">
      <c r="A241" s="92" t="s">
        <v>5</v>
      </c>
      <c r="B241" s="77" t="s">
        <v>92</v>
      </c>
      <c r="C241" s="1062">
        <f>+G241+H241+I241</f>
        <v>164</v>
      </c>
      <c r="D241" s="58">
        <f>129+110</f>
        <v>239</v>
      </c>
      <c r="E241" s="58">
        <v>164</v>
      </c>
      <c r="F241" s="1417">
        <f>IF(ISERROR(E241/D241),"-",E241/D241)</f>
        <v>0.68619246861924688</v>
      </c>
      <c r="G241" s="57">
        <v>164</v>
      </c>
      <c r="H241" s="58"/>
      <c r="I241" s="59"/>
      <c r="K241" s="3">
        <f>+E241-G241-H241-I241</f>
        <v>0</v>
      </c>
    </row>
    <row r="242" spans="1:11" s="3" customFormat="1" ht="12.75" thickBot="1">
      <c r="A242" s="83" t="s">
        <v>6</v>
      </c>
      <c r="B242" s="69" t="s">
        <v>330</v>
      </c>
      <c r="C242" s="1063">
        <f>+C239+C241</f>
        <v>203</v>
      </c>
      <c r="D242" s="61">
        <f>+D239+D241</f>
        <v>292</v>
      </c>
      <c r="E242" s="61">
        <f>+E239+E241</f>
        <v>203</v>
      </c>
      <c r="F242" s="1408">
        <f>IF(ISERROR(E242/D242),"-",E242/D242)</f>
        <v>0.6952054794520548</v>
      </c>
      <c r="G242" s="60">
        <f>+G239+G241</f>
        <v>203</v>
      </c>
      <c r="H242" s="61">
        <f>+H239+H241</f>
        <v>0</v>
      </c>
      <c r="I242" s="62">
        <f>+I239+I241</f>
        <v>0</v>
      </c>
      <c r="K242" s="3">
        <f>+E242-G242-H242-I242</f>
        <v>0</v>
      </c>
    </row>
  </sheetData>
  <mergeCells count="9">
    <mergeCell ref="A211:I211"/>
    <mergeCell ref="A218:I218"/>
    <mergeCell ref="A237:I237"/>
    <mergeCell ref="A3:I3"/>
    <mergeCell ref="A4:I4"/>
    <mergeCell ref="A6:I6"/>
    <mergeCell ref="C9:I9"/>
    <mergeCell ref="A105:I105"/>
    <mergeCell ref="C108:I108"/>
  </mergeCells>
  <conditionalFormatting sqref="F26:F31 F89:F100 F74:F85 F65:F69 F59:F63 F52:F57 F45:F49 F33:F43 F13:F24 F195:F206 F180:F191 F166:F175 F151:F158 F147:F148 F133:F145 F124:F131 F117:F122 F111:F115 F160:F164">
    <cfRule type="cellIs" dxfId="15" priority="2" stopIfTrue="1" operator="equal">
      <formula>0</formula>
    </cfRule>
  </conditionalFormatting>
  <conditionalFormatting sqref="F74:F85 F65:F69 F59:F63 F52:F57 F45:F49 F33:F43 F13:F24 F195:F206 F180:F191 F166:F175 F160:F164 F151:F158 F147:F148 F133:F145 F124:F131 F117:F122 F111:F115 F26:F31 F89:F100">
    <cfRule type="cellIs" dxfId="14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44" fitToHeight="2" orientation="portrait" r:id="rId1"/>
  <headerFooter>
    <oddHeader>&amp;C 1.1. melléklet - &amp;P. oldal</oddHeader>
  </headerFooter>
  <rowBreaks count="1" manualBreakCount="1">
    <brk id="104" max="5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H17"/>
  <sheetViews>
    <sheetView zoomScaleNormal="100" workbookViewId="0"/>
  </sheetViews>
  <sheetFormatPr defaultRowHeight="16.5" customHeight="1"/>
  <cols>
    <col min="1" max="1" width="4.7109375" style="1659" customWidth="1"/>
    <col min="2" max="2" width="41.7109375" style="1659" customWidth="1"/>
    <col min="3" max="3" width="11.5703125" style="1659" customWidth="1"/>
    <col min="4" max="4" width="11" style="1659" customWidth="1"/>
    <col min="5" max="5" width="25.42578125" style="1659" bestFit="1" customWidth="1"/>
    <col min="6" max="6" width="11.140625" style="1659" customWidth="1"/>
    <col min="7" max="7" width="13.140625" style="1659" customWidth="1"/>
    <col min="8" max="8" width="14.140625" style="1659" customWidth="1"/>
    <col min="9" max="256" width="9.140625" style="1659"/>
    <col min="257" max="257" width="4.7109375" style="1659" customWidth="1"/>
    <col min="258" max="258" width="41.7109375" style="1659" customWidth="1"/>
    <col min="259" max="259" width="11.5703125" style="1659" customWidth="1"/>
    <col min="260" max="260" width="11" style="1659" customWidth="1"/>
    <col min="261" max="261" width="25.42578125" style="1659" bestFit="1" customWidth="1"/>
    <col min="262" max="262" width="11.140625" style="1659" customWidth="1"/>
    <col min="263" max="263" width="13.140625" style="1659" customWidth="1"/>
    <col min="264" max="264" width="14.140625" style="1659" customWidth="1"/>
    <col min="265" max="512" width="9.140625" style="1659"/>
    <col min="513" max="513" width="4.7109375" style="1659" customWidth="1"/>
    <col min="514" max="514" width="41.7109375" style="1659" customWidth="1"/>
    <col min="515" max="515" width="11.5703125" style="1659" customWidth="1"/>
    <col min="516" max="516" width="11" style="1659" customWidth="1"/>
    <col min="517" max="517" width="25.42578125" style="1659" bestFit="1" customWidth="1"/>
    <col min="518" max="518" width="11.140625" style="1659" customWidth="1"/>
    <col min="519" max="519" width="13.140625" style="1659" customWidth="1"/>
    <col min="520" max="520" width="14.140625" style="1659" customWidth="1"/>
    <col min="521" max="768" width="9.140625" style="1659"/>
    <col min="769" max="769" width="4.7109375" style="1659" customWidth="1"/>
    <col min="770" max="770" width="41.7109375" style="1659" customWidth="1"/>
    <col min="771" max="771" width="11.5703125" style="1659" customWidth="1"/>
    <col min="772" max="772" width="11" style="1659" customWidth="1"/>
    <col min="773" max="773" width="25.42578125" style="1659" bestFit="1" customWidth="1"/>
    <col min="774" max="774" width="11.140625" style="1659" customWidth="1"/>
    <col min="775" max="775" width="13.140625" style="1659" customWidth="1"/>
    <col min="776" max="776" width="14.140625" style="1659" customWidth="1"/>
    <col min="777" max="1024" width="9.140625" style="1659"/>
    <col min="1025" max="1025" width="4.7109375" style="1659" customWidth="1"/>
    <col min="1026" max="1026" width="41.7109375" style="1659" customWidth="1"/>
    <col min="1027" max="1027" width="11.5703125" style="1659" customWidth="1"/>
    <col min="1028" max="1028" width="11" style="1659" customWidth="1"/>
    <col min="1029" max="1029" width="25.42578125" style="1659" bestFit="1" customWidth="1"/>
    <col min="1030" max="1030" width="11.140625" style="1659" customWidth="1"/>
    <col min="1031" max="1031" width="13.140625" style="1659" customWidth="1"/>
    <col min="1032" max="1032" width="14.140625" style="1659" customWidth="1"/>
    <col min="1033" max="1280" width="9.140625" style="1659"/>
    <col min="1281" max="1281" width="4.7109375" style="1659" customWidth="1"/>
    <col min="1282" max="1282" width="41.7109375" style="1659" customWidth="1"/>
    <col min="1283" max="1283" width="11.5703125" style="1659" customWidth="1"/>
    <col min="1284" max="1284" width="11" style="1659" customWidth="1"/>
    <col min="1285" max="1285" width="25.42578125" style="1659" bestFit="1" customWidth="1"/>
    <col min="1286" max="1286" width="11.140625" style="1659" customWidth="1"/>
    <col min="1287" max="1287" width="13.140625" style="1659" customWidth="1"/>
    <col min="1288" max="1288" width="14.140625" style="1659" customWidth="1"/>
    <col min="1289" max="1536" width="9.140625" style="1659"/>
    <col min="1537" max="1537" width="4.7109375" style="1659" customWidth="1"/>
    <col min="1538" max="1538" width="41.7109375" style="1659" customWidth="1"/>
    <col min="1539" max="1539" width="11.5703125" style="1659" customWidth="1"/>
    <col min="1540" max="1540" width="11" style="1659" customWidth="1"/>
    <col min="1541" max="1541" width="25.42578125" style="1659" bestFit="1" customWidth="1"/>
    <col min="1542" max="1542" width="11.140625" style="1659" customWidth="1"/>
    <col min="1543" max="1543" width="13.140625" style="1659" customWidth="1"/>
    <col min="1544" max="1544" width="14.140625" style="1659" customWidth="1"/>
    <col min="1545" max="1792" width="9.140625" style="1659"/>
    <col min="1793" max="1793" width="4.7109375" style="1659" customWidth="1"/>
    <col min="1794" max="1794" width="41.7109375" style="1659" customWidth="1"/>
    <col min="1795" max="1795" width="11.5703125" style="1659" customWidth="1"/>
    <col min="1796" max="1796" width="11" style="1659" customWidth="1"/>
    <col min="1797" max="1797" width="25.42578125" style="1659" bestFit="1" customWidth="1"/>
    <col min="1798" max="1798" width="11.140625" style="1659" customWidth="1"/>
    <col min="1799" max="1799" width="13.140625" style="1659" customWidth="1"/>
    <col min="1800" max="1800" width="14.140625" style="1659" customWidth="1"/>
    <col min="1801" max="2048" width="9.140625" style="1659"/>
    <col min="2049" max="2049" width="4.7109375" style="1659" customWidth="1"/>
    <col min="2050" max="2050" width="41.7109375" style="1659" customWidth="1"/>
    <col min="2051" max="2051" width="11.5703125" style="1659" customWidth="1"/>
    <col min="2052" max="2052" width="11" style="1659" customWidth="1"/>
    <col min="2053" max="2053" width="25.42578125" style="1659" bestFit="1" customWidth="1"/>
    <col min="2054" max="2054" width="11.140625" style="1659" customWidth="1"/>
    <col min="2055" max="2055" width="13.140625" style="1659" customWidth="1"/>
    <col min="2056" max="2056" width="14.140625" style="1659" customWidth="1"/>
    <col min="2057" max="2304" width="9.140625" style="1659"/>
    <col min="2305" max="2305" width="4.7109375" style="1659" customWidth="1"/>
    <col min="2306" max="2306" width="41.7109375" style="1659" customWidth="1"/>
    <col min="2307" max="2307" width="11.5703125" style="1659" customWidth="1"/>
    <col min="2308" max="2308" width="11" style="1659" customWidth="1"/>
    <col min="2309" max="2309" width="25.42578125" style="1659" bestFit="1" customWidth="1"/>
    <col min="2310" max="2310" width="11.140625" style="1659" customWidth="1"/>
    <col min="2311" max="2311" width="13.140625" style="1659" customWidth="1"/>
    <col min="2312" max="2312" width="14.140625" style="1659" customWidth="1"/>
    <col min="2313" max="2560" width="9.140625" style="1659"/>
    <col min="2561" max="2561" width="4.7109375" style="1659" customWidth="1"/>
    <col min="2562" max="2562" width="41.7109375" style="1659" customWidth="1"/>
    <col min="2563" max="2563" width="11.5703125" style="1659" customWidth="1"/>
    <col min="2564" max="2564" width="11" style="1659" customWidth="1"/>
    <col min="2565" max="2565" width="25.42578125" style="1659" bestFit="1" customWidth="1"/>
    <col min="2566" max="2566" width="11.140625" style="1659" customWidth="1"/>
    <col min="2567" max="2567" width="13.140625" style="1659" customWidth="1"/>
    <col min="2568" max="2568" width="14.140625" style="1659" customWidth="1"/>
    <col min="2569" max="2816" width="9.140625" style="1659"/>
    <col min="2817" max="2817" width="4.7109375" style="1659" customWidth="1"/>
    <col min="2818" max="2818" width="41.7109375" style="1659" customWidth="1"/>
    <col min="2819" max="2819" width="11.5703125" style="1659" customWidth="1"/>
    <col min="2820" max="2820" width="11" style="1659" customWidth="1"/>
    <col min="2821" max="2821" width="25.42578125" style="1659" bestFit="1" customWidth="1"/>
    <col min="2822" max="2822" width="11.140625" style="1659" customWidth="1"/>
    <col min="2823" max="2823" width="13.140625" style="1659" customWidth="1"/>
    <col min="2824" max="2824" width="14.140625" style="1659" customWidth="1"/>
    <col min="2825" max="3072" width="9.140625" style="1659"/>
    <col min="3073" max="3073" width="4.7109375" style="1659" customWidth="1"/>
    <col min="3074" max="3074" width="41.7109375" style="1659" customWidth="1"/>
    <col min="3075" max="3075" width="11.5703125" style="1659" customWidth="1"/>
    <col min="3076" max="3076" width="11" style="1659" customWidth="1"/>
    <col min="3077" max="3077" width="25.42578125" style="1659" bestFit="1" customWidth="1"/>
    <col min="3078" max="3078" width="11.140625" style="1659" customWidth="1"/>
    <col min="3079" max="3079" width="13.140625" style="1659" customWidth="1"/>
    <col min="3080" max="3080" width="14.140625" style="1659" customWidth="1"/>
    <col min="3081" max="3328" width="9.140625" style="1659"/>
    <col min="3329" max="3329" width="4.7109375" style="1659" customWidth="1"/>
    <col min="3330" max="3330" width="41.7109375" style="1659" customWidth="1"/>
    <col min="3331" max="3331" width="11.5703125" style="1659" customWidth="1"/>
    <col min="3332" max="3332" width="11" style="1659" customWidth="1"/>
    <col min="3333" max="3333" width="25.42578125" style="1659" bestFit="1" customWidth="1"/>
    <col min="3334" max="3334" width="11.140625" style="1659" customWidth="1"/>
    <col min="3335" max="3335" width="13.140625" style="1659" customWidth="1"/>
    <col min="3336" max="3336" width="14.140625" style="1659" customWidth="1"/>
    <col min="3337" max="3584" width="9.140625" style="1659"/>
    <col min="3585" max="3585" width="4.7109375" style="1659" customWidth="1"/>
    <col min="3586" max="3586" width="41.7109375" style="1659" customWidth="1"/>
    <col min="3587" max="3587" width="11.5703125" style="1659" customWidth="1"/>
    <col min="3588" max="3588" width="11" style="1659" customWidth="1"/>
    <col min="3589" max="3589" width="25.42578125" style="1659" bestFit="1" customWidth="1"/>
    <col min="3590" max="3590" width="11.140625" style="1659" customWidth="1"/>
    <col min="3591" max="3591" width="13.140625" style="1659" customWidth="1"/>
    <col min="3592" max="3592" width="14.140625" style="1659" customWidth="1"/>
    <col min="3593" max="3840" width="9.140625" style="1659"/>
    <col min="3841" max="3841" width="4.7109375" style="1659" customWidth="1"/>
    <col min="3842" max="3842" width="41.7109375" style="1659" customWidth="1"/>
    <col min="3843" max="3843" width="11.5703125" style="1659" customWidth="1"/>
    <col min="3844" max="3844" width="11" style="1659" customWidth="1"/>
    <col min="3845" max="3845" width="25.42578125" style="1659" bestFit="1" customWidth="1"/>
    <col min="3846" max="3846" width="11.140625" style="1659" customWidth="1"/>
    <col min="3847" max="3847" width="13.140625" style="1659" customWidth="1"/>
    <col min="3848" max="3848" width="14.140625" style="1659" customWidth="1"/>
    <col min="3849" max="4096" width="9.140625" style="1659"/>
    <col min="4097" max="4097" width="4.7109375" style="1659" customWidth="1"/>
    <col min="4098" max="4098" width="41.7109375" style="1659" customWidth="1"/>
    <col min="4099" max="4099" width="11.5703125" style="1659" customWidth="1"/>
    <col min="4100" max="4100" width="11" style="1659" customWidth="1"/>
    <col min="4101" max="4101" width="25.42578125" style="1659" bestFit="1" customWidth="1"/>
    <col min="4102" max="4102" width="11.140625" style="1659" customWidth="1"/>
    <col min="4103" max="4103" width="13.140625" style="1659" customWidth="1"/>
    <col min="4104" max="4104" width="14.140625" style="1659" customWidth="1"/>
    <col min="4105" max="4352" width="9.140625" style="1659"/>
    <col min="4353" max="4353" width="4.7109375" style="1659" customWidth="1"/>
    <col min="4354" max="4354" width="41.7109375" style="1659" customWidth="1"/>
    <col min="4355" max="4355" width="11.5703125" style="1659" customWidth="1"/>
    <col min="4356" max="4356" width="11" style="1659" customWidth="1"/>
    <col min="4357" max="4357" width="25.42578125" style="1659" bestFit="1" customWidth="1"/>
    <col min="4358" max="4358" width="11.140625" style="1659" customWidth="1"/>
    <col min="4359" max="4359" width="13.140625" style="1659" customWidth="1"/>
    <col min="4360" max="4360" width="14.140625" style="1659" customWidth="1"/>
    <col min="4361" max="4608" width="9.140625" style="1659"/>
    <col min="4609" max="4609" width="4.7109375" style="1659" customWidth="1"/>
    <col min="4610" max="4610" width="41.7109375" style="1659" customWidth="1"/>
    <col min="4611" max="4611" width="11.5703125" style="1659" customWidth="1"/>
    <col min="4612" max="4612" width="11" style="1659" customWidth="1"/>
    <col min="4613" max="4613" width="25.42578125" style="1659" bestFit="1" customWidth="1"/>
    <col min="4614" max="4614" width="11.140625" style="1659" customWidth="1"/>
    <col min="4615" max="4615" width="13.140625" style="1659" customWidth="1"/>
    <col min="4616" max="4616" width="14.140625" style="1659" customWidth="1"/>
    <col min="4617" max="4864" width="9.140625" style="1659"/>
    <col min="4865" max="4865" width="4.7109375" style="1659" customWidth="1"/>
    <col min="4866" max="4866" width="41.7109375" style="1659" customWidth="1"/>
    <col min="4867" max="4867" width="11.5703125" style="1659" customWidth="1"/>
    <col min="4868" max="4868" width="11" style="1659" customWidth="1"/>
    <col min="4869" max="4869" width="25.42578125" style="1659" bestFit="1" customWidth="1"/>
    <col min="4870" max="4870" width="11.140625" style="1659" customWidth="1"/>
    <col min="4871" max="4871" width="13.140625" style="1659" customWidth="1"/>
    <col min="4872" max="4872" width="14.140625" style="1659" customWidth="1"/>
    <col min="4873" max="5120" width="9.140625" style="1659"/>
    <col min="5121" max="5121" width="4.7109375" style="1659" customWidth="1"/>
    <col min="5122" max="5122" width="41.7109375" style="1659" customWidth="1"/>
    <col min="5123" max="5123" width="11.5703125" style="1659" customWidth="1"/>
    <col min="5124" max="5124" width="11" style="1659" customWidth="1"/>
    <col min="5125" max="5125" width="25.42578125" style="1659" bestFit="1" customWidth="1"/>
    <col min="5126" max="5126" width="11.140625" style="1659" customWidth="1"/>
    <col min="5127" max="5127" width="13.140625" style="1659" customWidth="1"/>
    <col min="5128" max="5128" width="14.140625" style="1659" customWidth="1"/>
    <col min="5129" max="5376" width="9.140625" style="1659"/>
    <col min="5377" max="5377" width="4.7109375" style="1659" customWidth="1"/>
    <col min="5378" max="5378" width="41.7109375" style="1659" customWidth="1"/>
    <col min="5379" max="5379" width="11.5703125" style="1659" customWidth="1"/>
    <col min="5380" max="5380" width="11" style="1659" customWidth="1"/>
    <col min="5381" max="5381" width="25.42578125" style="1659" bestFit="1" customWidth="1"/>
    <col min="5382" max="5382" width="11.140625" style="1659" customWidth="1"/>
    <col min="5383" max="5383" width="13.140625" style="1659" customWidth="1"/>
    <col min="5384" max="5384" width="14.140625" style="1659" customWidth="1"/>
    <col min="5385" max="5632" width="9.140625" style="1659"/>
    <col min="5633" max="5633" width="4.7109375" style="1659" customWidth="1"/>
    <col min="5634" max="5634" width="41.7109375" style="1659" customWidth="1"/>
    <col min="5635" max="5635" width="11.5703125" style="1659" customWidth="1"/>
    <col min="5636" max="5636" width="11" style="1659" customWidth="1"/>
    <col min="5637" max="5637" width="25.42578125" style="1659" bestFit="1" customWidth="1"/>
    <col min="5638" max="5638" width="11.140625" style="1659" customWidth="1"/>
    <col min="5639" max="5639" width="13.140625" style="1659" customWidth="1"/>
    <col min="5640" max="5640" width="14.140625" style="1659" customWidth="1"/>
    <col min="5641" max="5888" width="9.140625" style="1659"/>
    <col min="5889" max="5889" width="4.7109375" style="1659" customWidth="1"/>
    <col min="5890" max="5890" width="41.7109375" style="1659" customWidth="1"/>
    <col min="5891" max="5891" width="11.5703125" style="1659" customWidth="1"/>
    <col min="5892" max="5892" width="11" style="1659" customWidth="1"/>
    <col min="5893" max="5893" width="25.42578125" style="1659" bestFit="1" customWidth="1"/>
    <col min="5894" max="5894" width="11.140625" style="1659" customWidth="1"/>
    <col min="5895" max="5895" width="13.140625" style="1659" customWidth="1"/>
    <col min="5896" max="5896" width="14.140625" style="1659" customWidth="1"/>
    <col min="5897" max="6144" width="9.140625" style="1659"/>
    <col min="6145" max="6145" width="4.7109375" style="1659" customWidth="1"/>
    <col min="6146" max="6146" width="41.7109375" style="1659" customWidth="1"/>
    <col min="6147" max="6147" width="11.5703125" style="1659" customWidth="1"/>
    <col min="6148" max="6148" width="11" style="1659" customWidth="1"/>
    <col min="6149" max="6149" width="25.42578125" style="1659" bestFit="1" customWidth="1"/>
    <col min="6150" max="6150" width="11.140625" style="1659" customWidth="1"/>
    <col min="6151" max="6151" width="13.140625" style="1659" customWidth="1"/>
    <col min="6152" max="6152" width="14.140625" style="1659" customWidth="1"/>
    <col min="6153" max="6400" width="9.140625" style="1659"/>
    <col min="6401" max="6401" width="4.7109375" style="1659" customWidth="1"/>
    <col min="6402" max="6402" width="41.7109375" style="1659" customWidth="1"/>
    <col min="6403" max="6403" width="11.5703125" style="1659" customWidth="1"/>
    <col min="6404" max="6404" width="11" style="1659" customWidth="1"/>
    <col min="6405" max="6405" width="25.42578125" style="1659" bestFit="1" customWidth="1"/>
    <col min="6406" max="6406" width="11.140625" style="1659" customWidth="1"/>
    <col min="6407" max="6407" width="13.140625" style="1659" customWidth="1"/>
    <col min="6408" max="6408" width="14.140625" style="1659" customWidth="1"/>
    <col min="6409" max="6656" width="9.140625" style="1659"/>
    <col min="6657" max="6657" width="4.7109375" style="1659" customWidth="1"/>
    <col min="6658" max="6658" width="41.7109375" style="1659" customWidth="1"/>
    <col min="6659" max="6659" width="11.5703125" style="1659" customWidth="1"/>
    <col min="6660" max="6660" width="11" style="1659" customWidth="1"/>
    <col min="6661" max="6661" width="25.42578125" style="1659" bestFit="1" customWidth="1"/>
    <col min="6662" max="6662" width="11.140625" style="1659" customWidth="1"/>
    <col min="6663" max="6663" width="13.140625" style="1659" customWidth="1"/>
    <col min="6664" max="6664" width="14.140625" style="1659" customWidth="1"/>
    <col min="6665" max="6912" width="9.140625" style="1659"/>
    <col min="6913" max="6913" width="4.7109375" style="1659" customWidth="1"/>
    <col min="6914" max="6914" width="41.7109375" style="1659" customWidth="1"/>
    <col min="6915" max="6915" width="11.5703125" style="1659" customWidth="1"/>
    <col min="6916" max="6916" width="11" style="1659" customWidth="1"/>
    <col min="6917" max="6917" width="25.42578125" style="1659" bestFit="1" customWidth="1"/>
    <col min="6918" max="6918" width="11.140625" style="1659" customWidth="1"/>
    <col min="6919" max="6919" width="13.140625" style="1659" customWidth="1"/>
    <col min="6920" max="6920" width="14.140625" style="1659" customWidth="1"/>
    <col min="6921" max="7168" width="9.140625" style="1659"/>
    <col min="7169" max="7169" width="4.7109375" style="1659" customWidth="1"/>
    <col min="7170" max="7170" width="41.7109375" style="1659" customWidth="1"/>
    <col min="7171" max="7171" width="11.5703125" style="1659" customWidth="1"/>
    <col min="7172" max="7172" width="11" style="1659" customWidth="1"/>
    <col min="7173" max="7173" width="25.42578125" style="1659" bestFit="1" customWidth="1"/>
    <col min="7174" max="7174" width="11.140625" style="1659" customWidth="1"/>
    <col min="7175" max="7175" width="13.140625" style="1659" customWidth="1"/>
    <col min="7176" max="7176" width="14.140625" style="1659" customWidth="1"/>
    <col min="7177" max="7424" width="9.140625" style="1659"/>
    <col min="7425" max="7425" width="4.7109375" style="1659" customWidth="1"/>
    <col min="7426" max="7426" width="41.7109375" style="1659" customWidth="1"/>
    <col min="7427" max="7427" width="11.5703125" style="1659" customWidth="1"/>
    <col min="7428" max="7428" width="11" style="1659" customWidth="1"/>
    <col min="7429" max="7429" width="25.42578125" style="1659" bestFit="1" customWidth="1"/>
    <col min="7430" max="7430" width="11.140625" style="1659" customWidth="1"/>
    <col min="7431" max="7431" width="13.140625" style="1659" customWidth="1"/>
    <col min="7432" max="7432" width="14.140625" style="1659" customWidth="1"/>
    <col min="7433" max="7680" width="9.140625" style="1659"/>
    <col min="7681" max="7681" width="4.7109375" style="1659" customWidth="1"/>
    <col min="7682" max="7682" width="41.7109375" style="1659" customWidth="1"/>
    <col min="7683" max="7683" width="11.5703125" style="1659" customWidth="1"/>
    <col min="7684" max="7684" width="11" style="1659" customWidth="1"/>
    <col min="7685" max="7685" width="25.42578125" style="1659" bestFit="1" customWidth="1"/>
    <col min="7686" max="7686" width="11.140625" style="1659" customWidth="1"/>
    <col min="7687" max="7687" width="13.140625" style="1659" customWidth="1"/>
    <col min="7688" max="7688" width="14.140625" style="1659" customWidth="1"/>
    <col min="7689" max="7936" width="9.140625" style="1659"/>
    <col min="7937" max="7937" width="4.7109375" style="1659" customWidth="1"/>
    <col min="7938" max="7938" width="41.7109375" style="1659" customWidth="1"/>
    <col min="7939" max="7939" width="11.5703125" style="1659" customWidth="1"/>
    <col min="7940" max="7940" width="11" style="1659" customWidth="1"/>
    <col min="7941" max="7941" width="25.42578125" style="1659" bestFit="1" customWidth="1"/>
    <col min="7942" max="7942" width="11.140625" style="1659" customWidth="1"/>
    <col min="7943" max="7943" width="13.140625" style="1659" customWidth="1"/>
    <col min="7944" max="7944" width="14.140625" style="1659" customWidth="1"/>
    <col min="7945" max="8192" width="9.140625" style="1659"/>
    <col min="8193" max="8193" width="4.7109375" style="1659" customWidth="1"/>
    <col min="8194" max="8194" width="41.7109375" style="1659" customWidth="1"/>
    <col min="8195" max="8195" width="11.5703125" style="1659" customWidth="1"/>
    <col min="8196" max="8196" width="11" style="1659" customWidth="1"/>
    <col min="8197" max="8197" width="25.42578125" style="1659" bestFit="1" customWidth="1"/>
    <col min="8198" max="8198" width="11.140625" style="1659" customWidth="1"/>
    <col min="8199" max="8199" width="13.140625" style="1659" customWidth="1"/>
    <col min="8200" max="8200" width="14.140625" style="1659" customWidth="1"/>
    <col min="8201" max="8448" width="9.140625" style="1659"/>
    <col min="8449" max="8449" width="4.7109375" style="1659" customWidth="1"/>
    <col min="8450" max="8450" width="41.7109375" style="1659" customWidth="1"/>
    <col min="8451" max="8451" width="11.5703125" style="1659" customWidth="1"/>
    <col min="8452" max="8452" width="11" style="1659" customWidth="1"/>
    <col min="8453" max="8453" width="25.42578125" style="1659" bestFit="1" customWidth="1"/>
    <col min="8454" max="8454" width="11.140625" style="1659" customWidth="1"/>
    <col min="8455" max="8455" width="13.140625" style="1659" customWidth="1"/>
    <col min="8456" max="8456" width="14.140625" style="1659" customWidth="1"/>
    <col min="8457" max="8704" width="9.140625" style="1659"/>
    <col min="8705" max="8705" width="4.7109375" style="1659" customWidth="1"/>
    <col min="8706" max="8706" width="41.7109375" style="1659" customWidth="1"/>
    <col min="8707" max="8707" width="11.5703125" style="1659" customWidth="1"/>
    <col min="8708" max="8708" width="11" style="1659" customWidth="1"/>
    <col min="8709" max="8709" width="25.42578125" style="1659" bestFit="1" customWidth="1"/>
    <col min="8710" max="8710" width="11.140625" style="1659" customWidth="1"/>
    <col min="8711" max="8711" width="13.140625" style="1659" customWidth="1"/>
    <col min="8712" max="8712" width="14.140625" style="1659" customWidth="1"/>
    <col min="8713" max="8960" width="9.140625" style="1659"/>
    <col min="8961" max="8961" width="4.7109375" style="1659" customWidth="1"/>
    <col min="8962" max="8962" width="41.7109375" style="1659" customWidth="1"/>
    <col min="8963" max="8963" width="11.5703125" style="1659" customWidth="1"/>
    <col min="8964" max="8964" width="11" style="1659" customWidth="1"/>
    <col min="8965" max="8965" width="25.42578125" style="1659" bestFit="1" customWidth="1"/>
    <col min="8966" max="8966" width="11.140625" style="1659" customWidth="1"/>
    <col min="8967" max="8967" width="13.140625" style="1659" customWidth="1"/>
    <col min="8968" max="8968" width="14.140625" style="1659" customWidth="1"/>
    <col min="8969" max="9216" width="9.140625" style="1659"/>
    <col min="9217" max="9217" width="4.7109375" style="1659" customWidth="1"/>
    <col min="9218" max="9218" width="41.7109375" style="1659" customWidth="1"/>
    <col min="9219" max="9219" width="11.5703125" style="1659" customWidth="1"/>
    <col min="9220" max="9220" width="11" style="1659" customWidth="1"/>
    <col min="9221" max="9221" width="25.42578125" style="1659" bestFit="1" customWidth="1"/>
    <col min="9222" max="9222" width="11.140625" style="1659" customWidth="1"/>
    <col min="9223" max="9223" width="13.140625" style="1659" customWidth="1"/>
    <col min="9224" max="9224" width="14.140625" style="1659" customWidth="1"/>
    <col min="9225" max="9472" width="9.140625" style="1659"/>
    <col min="9473" max="9473" width="4.7109375" style="1659" customWidth="1"/>
    <col min="9474" max="9474" width="41.7109375" style="1659" customWidth="1"/>
    <col min="9475" max="9475" width="11.5703125" style="1659" customWidth="1"/>
    <col min="9476" max="9476" width="11" style="1659" customWidth="1"/>
    <col min="9477" max="9477" width="25.42578125" style="1659" bestFit="1" customWidth="1"/>
    <col min="9478" max="9478" width="11.140625" style="1659" customWidth="1"/>
    <col min="9479" max="9479" width="13.140625" style="1659" customWidth="1"/>
    <col min="9480" max="9480" width="14.140625" style="1659" customWidth="1"/>
    <col min="9481" max="9728" width="9.140625" style="1659"/>
    <col min="9729" max="9729" width="4.7109375" style="1659" customWidth="1"/>
    <col min="9730" max="9730" width="41.7109375" style="1659" customWidth="1"/>
    <col min="9731" max="9731" width="11.5703125" style="1659" customWidth="1"/>
    <col min="9732" max="9732" width="11" style="1659" customWidth="1"/>
    <col min="9733" max="9733" width="25.42578125" style="1659" bestFit="1" customWidth="1"/>
    <col min="9734" max="9734" width="11.140625" style="1659" customWidth="1"/>
    <col min="9735" max="9735" width="13.140625" style="1659" customWidth="1"/>
    <col min="9736" max="9736" width="14.140625" style="1659" customWidth="1"/>
    <col min="9737" max="9984" width="9.140625" style="1659"/>
    <col min="9985" max="9985" width="4.7109375" style="1659" customWidth="1"/>
    <col min="9986" max="9986" width="41.7109375" style="1659" customWidth="1"/>
    <col min="9987" max="9987" width="11.5703125" style="1659" customWidth="1"/>
    <col min="9988" max="9988" width="11" style="1659" customWidth="1"/>
    <col min="9989" max="9989" width="25.42578125" style="1659" bestFit="1" customWidth="1"/>
    <col min="9990" max="9990" width="11.140625" style="1659" customWidth="1"/>
    <col min="9991" max="9991" width="13.140625" style="1659" customWidth="1"/>
    <col min="9992" max="9992" width="14.140625" style="1659" customWidth="1"/>
    <col min="9993" max="10240" width="9.140625" style="1659"/>
    <col min="10241" max="10241" width="4.7109375" style="1659" customWidth="1"/>
    <col min="10242" max="10242" width="41.7109375" style="1659" customWidth="1"/>
    <col min="10243" max="10243" width="11.5703125" style="1659" customWidth="1"/>
    <col min="10244" max="10244" width="11" style="1659" customWidth="1"/>
    <col min="10245" max="10245" width="25.42578125" style="1659" bestFit="1" customWidth="1"/>
    <col min="10246" max="10246" width="11.140625" style="1659" customWidth="1"/>
    <col min="10247" max="10247" width="13.140625" style="1659" customWidth="1"/>
    <col min="10248" max="10248" width="14.140625" style="1659" customWidth="1"/>
    <col min="10249" max="10496" width="9.140625" style="1659"/>
    <col min="10497" max="10497" width="4.7109375" style="1659" customWidth="1"/>
    <col min="10498" max="10498" width="41.7109375" style="1659" customWidth="1"/>
    <col min="10499" max="10499" width="11.5703125" style="1659" customWidth="1"/>
    <col min="10500" max="10500" width="11" style="1659" customWidth="1"/>
    <col min="10501" max="10501" width="25.42578125" style="1659" bestFit="1" customWidth="1"/>
    <col min="10502" max="10502" width="11.140625" style="1659" customWidth="1"/>
    <col min="10503" max="10503" width="13.140625" style="1659" customWidth="1"/>
    <col min="10504" max="10504" width="14.140625" style="1659" customWidth="1"/>
    <col min="10505" max="10752" width="9.140625" style="1659"/>
    <col min="10753" max="10753" width="4.7109375" style="1659" customWidth="1"/>
    <col min="10754" max="10754" width="41.7109375" style="1659" customWidth="1"/>
    <col min="10755" max="10755" width="11.5703125" style="1659" customWidth="1"/>
    <col min="10756" max="10756" width="11" style="1659" customWidth="1"/>
    <col min="10757" max="10757" width="25.42578125" style="1659" bestFit="1" customWidth="1"/>
    <col min="10758" max="10758" width="11.140625" style="1659" customWidth="1"/>
    <col min="10759" max="10759" width="13.140625" style="1659" customWidth="1"/>
    <col min="10760" max="10760" width="14.140625" style="1659" customWidth="1"/>
    <col min="10761" max="11008" width="9.140625" style="1659"/>
    <col min="11009" max="11009" width="4.7109375" style="1659" customWidth="1"/>
    <col min="11010" max="11010" width="41.7109375" style="1659" customWidth="1"/>
    <col min="11011" max="11011" width="11.5703125" style="1659" customWidth="1"/>
    <col min="11012" max="11012" width="11" style="1659" customWidth="1"/>
    <col min="11013" max="11013" width="25.42578125" style="1659" bestFit="1" customWidth="1"/>
    <col min="11014" max="11014" width="11.140625" style="1659" customWidth="1"/>
    <col min="11015" max="11015" width="13.140625" style="1659" customWidth="1"/>
    <col min="11016" max="11016" width="14.140625" style="1659" customWidth="1"/>
    <col min="11017" max="11264" width="9.140625" style="1659"/>
    <col min="11265" max="11265" width="4.7109375" style="1659" customWidth="1"/>
    <col min="11266" max="11266" width="41.7109375" style="1659" customWidth="1"/>
    <col min="11267" max="11267" width="11.5703125" style="1659" customWidth="1"/>
    <col min="11268" max="11268" width="11" style="1659" customWidth="1"/>
    <col min="11269" max="11269" width="25.42578125" style="1659" bestFit="1" customWidth="1"/>
    <col min="11270" max="11270" width="11.140625" style="1659" customWidth="1"/>
    <col min="11271" max="11271" width="13.140625" style="1659" customWidth="1"/>
    <col min="11272" max="11272" width="14.140625" style="1659" customWidth="1"/>
    <col min="11273" max="11520" width="9.140625" style="1659"/>
    <col min="11521" max="11521" width="4.7109375" style="1659" customWidth="1"/>
    <col min="11522" max="11522" width="41.7109375" style="1659" customWidth="1"/>
    <col min="11523" max="11523" width="11.5703125" style="1659" customWidth="1"/>
    <col min="11524" max="11524" width="11" style="1659" customWidth="1"/>
    <col min="11525" max="11525" width="25.42578125" style="1659" bestFit="1" customWidth="1"/>
    <col min="11526" max="11526" width="11.140625" style="1659" customWidth="1"/>
    <col min="11527" max="11527" width="13.140625" style="1659" customWidth="1"/>
    <col min="11528" max="11528" width="14.140625" style="1659" customWidth="1"/>
    <col min="11529" max="11776" width="9.140625" style="1659"/>
    <col min="11777" max="11777" width="4.7109375" style="1659" customWidth="1"/>
    <col min="11778" max="11778" width="41.7109375" style="1659" customWidth="1"/>
    <col min="11779" max="11779" width="11.5703125" style="1659" customWidth="1"/>
    <col min="11780" max="11780" width="11" style="1659" customWidth="1"/>
    <col min="11781" max="11781" width="25.42578125" style="1659" bestFit="1" customWidth="1"/>
    <col min="11782" max="11782" width="11.140625" style="1659" customWidth="1"/>
    <col min="11783" max="11783" width="13.140625" style="1659" customWidth="1"/>
    <col min="11784" max="11784" width="14.140625" style="1659" customWidth="1"/>
    <col min="11785" max="12032" width="9.140625" style="1659"/>
    <col min="12033" max="12033" width="4.7109375" style="1659" customWidth="1"/>
    <col min="12034" max="12034" width="41.7109375" style="1659" customWidth="1"/>
    <col min="12035" max="12035" width="11.5703125" style="1659" customWidth="1"/>
    <col min="12036" max="12036" width="11" style="1659" customWidth="1"/>
    <col min="12037" max="12037" width="25.42578125" style="1659" bestFit="1" customWidth="1"/>
    <col min="12038" max="12038" width="11.140625" style="1659" customWidth="1"/>
    <col min="12039" max="12039" width="13.140625" style="1659" customWidth="1"/>
    <col min="12040" max="12040" width="14.140625" style="1659" customWidth="1"/>
    <col min="12041" max="12288" width="9.140625" style="1659"/>
    <col min="12289" max="12289" width="4.7109375" style="1659" customWidth="1"/>
    <col min="12290" max="12290" width="41.7109375" style="1659" customWidth="1"/>
    <col min="12291" max="12291" width="11.5703125" style="1659" customWidth="1"/>
    <col min="12292" max="12292" width="11" style="1659" customWidth="1"/>
    <col min="12293" max="12293" width="25.42578125" style="1659" bestFit="1" customWidth="1"/>
    <col min="12294" max="12294" width="11.140625" style="1659" customWidth="1"/>
    <col min="12295" max="12295" width="13.140625" style="1659" customWidth="1"/>
    <col min="12296" max="12296" width="14.140625" style="1659" customWidth="1"/>
    <col min="12297" max="12544" width="9.140625" style="1659"/>
    <col min="12545" max="12545" width="4.7109375" style="1659" customWidth="1"/>
    <col min="12546" max="12546" width="41.7109375" style="1659" customWidth="1"/>
    <col min="12547" max="12547" width="11.5703125" style="1659" customWidth="1"/>
    <col min="12548" max="12548" width="11" style="1659" customWidth="1"/>
    <col min="12549" max="12549" width="25.42578125" style="1659" bestFit="1" customWidth="1"/>
    <col min="12550" max="12550" width="11.140625" style="1659" customWidth="1"/>
    <col min="12551" max="12551" width="13.140625" style="1659" customWidth="1"/>
    <col min="12552" max="12552" width="14.140625" style="1659" customWidth="1"/>
    <col min="12553" max="12800" width="9.140625" style="1659"/>
    <col min="12801" max="12801" width="4.7109375" style="1659" customWidth="1"/>
    <col min="12802" max="12802" width="41.7109375" style="1659" customWidth="1"/>
    <col min="12803" max="12803" width="11.5703125" style="1659" customWidth="1"/>
    <col min="12804" max="12804" width="11" style="1659" customWidth="1"/>
    <col min="12805" max="12805" width="25.42578125" style="1659" bestFit="1" customWidth="1"/>
    <col min="12806" max="12806" width="11.140625" style="1659" customWidth="1"/>
    <col min="12807" max="12807" width="13.140625" style="1659" customWidth="1"/>
    <col min="12808" max="12808" width="14.140625" style="1659" customWidth="1"/>
    <col min="12809" max="13056" width="9.140625" style="1659"/>
    <col min="13057" max="13057" width="4.7109375" style="1659" customWidth="1"/>
    <col min="13058" max="13058" width="41.7109375" style="1659" customWidth="1"/>
    <col min="13059" max="13059" width="11.5703125" style="1659" customWidth="1"/>
    <col min="13060" max="13060" width="11" style="1659" customWidth="1"/>
    <col min="13061" max="13061" width="25.42578125" style="1659" bestFit="1" customWidth="1"/>
    <col min="13062" max="13062" width="11.140625" style="1659" customWidth="1"/>
    <col min="13063" max="13063" width="13.140625" style="1659" customWidth="1"/>
    <col min="13064" max="13064" width="14.140625" style="1659" customWidth="1"/>
    <col min="13065" max="13312" width="9.140625" style="1659"/>
    <col min="13313" max="13313" width="4.7109375" style="1659" customWidth="1"/>
    <col min="13314" max="13314" width="41.7109375" style="1659" customWidth="1"/>
    <col min="13315" max="13315" width="11.5703125" style="1659" customWidth="1"/>
    <col min="13316" max="13316" width="11" style="1659" customWidth="1"/>
    <col min="13317" max="13317" width="25.42578125" style="1659" bestFit="1" customWidth="1"/>
    <col min="13318" max="13318" width="11.140625" style="1659" customWidth="1"/>
    <col min="13319" max="13319" width="13.140625" style="1659" customWidth="1"/>
    <col min="13320" max="13320" width="14.140625" style="1659" customWidth="1"/>
    <col min="13321" max="13568" width="9.140625" style="1659"/>
    <col min="13569" max="13569" width="4.7109375" style="1659" customWidth="1"/>
    <col min="13570" max="13570" width="41.7109375" style="1659" customWidth="1"/>
    <col min="13571" max="13571" width="11.5703125" style="1659" customWidth="1"/>
    <col min="13572" max="13572" width="11" style="1659" customWidth="1"/>
    <col min="13573" max="13573" width="25.42578125" style="1659" bestFit="1" customWidth="1"/>
    <col min="13574" max="13574" width="11.140625" style="1659" customWidth="1"/>
    <col min="13575" max="13575" width="13.140625" style="1659" customWidth="1"/>
    <col min="13576" max="13576" width="14.140625" style="1659" customWidth="1"/>
    <col min="13577" max="13824" width="9.140625" style="1659"/>
    <col min="13825" max="13825" width="4.7109375" style="1659" customWidth="1"/>
    <col min="13826" max="13826" width="41.7109375" style="1659" customWidth="1"/>
    <col min="13827" max="13827" width="11.5703125" style="1659" customWidth="1"/>
    <col min="13828" max="13828" width="11" style="1659" customWidth="1"/>
    <col min="13829" max="13829" width="25.42578125" style="1659" bestFit="1" customWidth="1"/>
    <col min="13830" max="13830" width="11.140625" style="1659" customWidth="1"/>
    <col min="13831" max="13831" width="13.140625" style="1659" customWidth="1"/>
    <col min="13832" max="13832" width="14.140625" style="1659" customWidth="1"/>
    <col min="13833" max="14080" width="9.140625" style="1659"/>
    <col min="14081" max="14081" width="4.7109375" style="1659" customWidth="1"/>
    <col min="14082" max="14082" width="41.7109375" style="1659" customWidth="1"/>
    <col min="14083" max="14083" width="11.5703125" style="1659" customWidth="1"/>
    <col min="14084" max="14084" width="11" style="1659" customWidth="1"/>
    <col min="14085" max="14085" width="25.42578125" style="1659" bestFit="1" customWidth="1"/>
    <col min="14086" max="14086" width="11.140625" style="1659" customWidth="1"/>
    <col min="14087" max="14087" width="13.140625" style="1659" customWidth="1"/>
    <col min="14088" max="14088" width="14.140625" style="1659" customWidth="1"/>
    <col min="14089" max="14336" width="9.140625" style="1659"/>
    <col min="14337" max="14337" width="4.7109375" style="1659" customWidth="1"/>
    <col min="14338" max="14338" width="41.7109375" style="1659" customWidth="1"/>
    <col min="14339" max="14339" width="11.5703125" style="1659" customWidth="1"/>
    <col min="14340" max="14340" width="11" style="1659" customWidth="1"/>
    <col min="14341" max="14341" width="25.42578125" style="1659" bestFit="1" customWidth="1"/>
    <col min="14342" max="14342" width="11.140625" style="1659" customWidth="1"/>
    <col min="14343" max="14343" width="13.140625" style="1659" customWidth="1"/>
    <col min="14344" max="14344" width="14.140625" style="1659" customWidth="1"/>
    <col min="14345" max="14592" width="9.140625" style="1659"/>
    <col min="14593" max="14593" width="4.7109375" style="1659" customWidth="1"/>
    <col min="14594" max="14594" width="41.7109375" style="1659" customWidth="1"/>
    <col min="14595" max="14595" width="11.5703125" style="1659" customWidth="1"/>
    <col min="14596" max="14596" width="11" style="1659" customWidth="1"/>
    <col min="14597" max="14597" width="25.42578125" style="1659" bestFit="1" customWidth="1"/>
    <col min="14598" max="14598" width="11.140625" style="1659" customWidth="1"/>
    <col min="14599" max="14599" width="13.140625" style="1659" customWidth="1"/>
    <col min="14600" max="14600" width="14.140625" style="1659" customWidth="1"/>
    <col min="14601" max="14848" width="9.140625" style="1659"/>
    <col min="14849" max="14849" width="4.7109375" style="1659" customWidth="1"/>
    <col min="14850" max="14850" width="41.7109375" style="1659" customWidth="1"/>
    <col min="14851" max="14851" width="11.5703125" style="1659" customWidth="1"/>
    <col min="14852" max="14852" width="11" style="1659" customWidth="1"/>
    <col min="14853" max="14853" width="25.42578125" style="1659" bestFit="1" customWidth="1"/>
    <col min="14854" max="14854" width="11.140625" style="1659" customWidth="1"/>
    <col min="14855" max="14855" width="13.140625" style="1659" customWidth="1"/>
    <col min="14856" max="14856" width="14.140625" style="1659" customWidth="1"/>
    <col min="14857" max="15104" width="9.140625" style="1659"/>
    <col min="15105" max="15105" width="4.7109375" style="1659" customWidth="1"/>
    <col min="15106" max="15106" width="41.7109375" style="1659" customWidth="1"/>
    <col min="15107" max="15107" width="11.5703125" style="1659" customWidth="1"/>
    <col min="15108" max="15108" width="11" style="1659" customWidth="1"/>
    <col min="15109" max="15109" width="25.42578125" style="1659" bestFit="1" customWidth="1"/>
    <col min="15110" max="15110" width="11.140625" style="1659" customWidth="1"/>
    <col min="15111" max="15111" width="13.140625" style="1659" customWidth="1"/>
    <col min="15112" max="15112" width="14.140625" style="1659" customWidth="1"/>
    <col min="15113" max="15360" width="9.140625" style="1659"/>
    <col min="15361" max="15361" width="4.7109375" style="1659" customWidth="1"/>
    <col min="15362" max="15362" width="41.7109375" style="1659" customWidth="1"/>
    <col min="15363" max="15363" width="11.5703125" style="1659" customWidth="1"/>
    <col min="15364" max="15364" width="11" style="1659" customWidth="1"/>
    <col min="15365" max="15365" width="25.42578125" style="1659" bestFit="1" customWidth="1"/>
    <col min="15366" max="15366" width="11.140625" style="1659" customWidth="1"/>
    <col min="15367" max="15367" width="13.140625" style="1659" customWidth="1"/>
    <col min="15368" max="15368" width="14.140625" style="1659" customWidth="1"/>
    <col min="15369" max="15616" width="9.140625" style="1659"/>
    <col min="15617" max="15617" width="4.7109375" style="1659" customWidth="1"/>
    <col min="15618" max="15618" width="41.7109375" style="1659" customWidth="1"/>
    <col min="15619" max="15619" width="11.5703125" style="1659" customWidth="1"/>
    <col min="15620" max="15620" width="11" style="1659" customWidth="1"/>
    <col min="15621" max="15621" width="25.42578125" style="1659" bestFit="1" customWidth="1"/>
    <col min="15622" max="15622" width="11.140625" style="1659" customWidth="1"/>
    <col min="15623" max="15623" width="13.140625" style="1659" customWidth="1"/>
    <col min="15624" max="15624" width="14.140625" style="1659" customWidth="1"/>
    <col min="15625" max="15872" width="9.140625" style="1659"/>
    <col min="15873" max="15873" width="4.7109375" style="1659" customWidth="1"/>
    <col min="15874" max="15874" width="41.7109375" style="1659" customWidth="1"/>
    <col min="15875" max="15875" width="11.5703125" style="1659" customWidth="1"/>
    <col min="15876" max="15876" width="11" style="1659" customWidth="1"/>
    <col min="15877" max="15877" width="25.42578125" style="1659" bestFit="1" customWidth="1"/>
    <col min="15878" max="15878" width="11.140625" style="1659" customWidth="1"/>
    <col min="15879" max="15879" width="13.140625" style="1659" customWidth="1"/>
    <col min="15880" max="15880" width="14.140625" style="1659" customWidth="1"/>
    <col min="15881" max="16128" width="9.140625" style="1659"/>
    <col min="16129" max="16129" width="4.7109375" style="1659" customWidth="1"/>
    <col min="16130" max="16130" width="41.7109375" style="1659" customWidth="1"/>
    <col min="16131" max="16131" width="11.5703125" style="1659" customWidth="1"/>
    <col min="16132" max="16132" width="11" style="1659" customWidth="1"/>
    <col min="16133" max="16133" width="25.42578125" style="1659" bestFit="1" customWidth="1"/>
    <col min="16134" max="16134" width="11.140625" style="1659" customWidth="1"/>
    <col min="16135" max="16135" width="13.140625" style="1659" customWidth="1"/>
    <col min="16136" max="16136" width="14.140625" style="1659" customWidth="1"/>
    <col min="16137" max="16384" width="9.140625" style="1659"/>
  </cols>
  <sheetData>
    <row r="1" spans="1:8" s="633" customFormat="1" ht="16.5" customHeight="1">
      <c r="A1" s="632"/>
      <c r="G1" s="1569" t="s">
        <v>1514</v>
      </c>
      <c r="H1" s="1569"/>
    </row>
    <row r="2" spans="1:8" s="633" customFormat="1" ht="16.5" customHeight="1">
      <c r="A2" s="632"/>
    </row>
    <row r="3" spans="1:8" s="633" customFormat="1" ht="33.75" customHeight="1">
      <c r="A3" s="1658" t="s">
        <v>1515</v>
      </c>
      <c r="B3" s="1658"/>
      <c r="C3" s="1658"/>
      <c r="D3" s="1658"/>
      <c r="E3" s="1658"/>
      <c r="F3" s="1658"/>
      <c r="G3" s="1658"/>
      <c r="H3" s="1658"/>
    </row>
    <row r="4" spans="1:8" s="633" customFormat="1" ht="16.5" customHeight="1">
      <c r="A4" s="1350" t="s">
        <v>2677</v>
      </c>
      <c r="B4" s="1350"/>
      <c r="C4" s="1350"/>
      <c r="D4" s="1350"/>
      <c r="E4" s="1350"/>
      <c r="F4" s="1350"/>
      <c r="G4" s="1350"/>
      <c r="H4" s="1350"/>
    </row>
    <row r="5" spans="1:8" ht="16.5" customHeight="1" thickBot="1">
      <c r="H5" s="1660" t="s">
        <v>458</v>
      </c>
    </row>
    <row r="6" spans="1:8" ht="84.75" customHeight="1" thickBot="1">
      <c r="A6" s="1661" t="s">
        <v>17</v>
      </c>
      <c r="B6" s="1662" t="s">
        <v>2467</v>
      </c>
      <c r="C6" s="1663" t="s">
        <v>2468</v>
      </c>
      <c r="D6" s="1664" t="s">
        <v>2684</v>
      </c>
      <c r="E6" s="1665" t="s">
        <v>2685</v>
      </c>
      <c r="F6" s="1663" t="s">
        <v>2686</v>
      </c>
      <c r="G6" s="1664" t="s">
        <v>2469</v>
      </c>
      <c r="H6" s="1666" t="s">
        <v>2687</v>
      </c>
    </row>
    <row r="7" spans="1:8" ht="16.5" customHeight="1">
      <c r="A7" s="1667" t="s">
        <v>4</v>
      </c>
      <c r="B7" s="1668" t="s">
        <v>2470</v>
      </c>
      <c r="C7" s="1669">
        <v>0</v>
      </c>
      <c r="D7" s="1670"/>
      <c r="E7" s="1671"/>
      <c r="F7" s="1672">
        <f t="shared" ref="F7:F13" si="0">+C7+D7</f>
        <v>0</v>
      </c>
      <c r="G7" s="1673">
        <v>1</v>
      </c>
      <c r="H7" s="1674"/>
    </row>
    <row r="8" spans="1:8" ht="12.75">
      <c r="A8" s="1675" t="s">
        <v>5</v>
      </c>
      <c r="B8" s="1676" t="s">
        <v>2471</v>
      </c>
      <c r="C8" s="1677">
        <v>11307</v>
      </c>
      <c r="D8" s="1678">
        <v>32359</v>
      </c>
      <c r="E8" s="1679" t="s">
        <v>2688</v>
      </c>
      <c r="F8" s="1672">
        <f t="shared" si="0"/>
        <v>43666</v>
      </c>
      <c r="G8" s="1673">
        <v>1</v>
      </c>
      <c r="H8" s="1680"/>
    </row>
    <row r="9" spans="1:8" ht="25.5">
      <c r="A9" s="1675" t="s">
        <v>6</v>
      </c>
      <c r="B9" s="1676" t="s">
        <v>2472</v>
      </c>
      <c r="C9" s="1677">
        <v>0</v>
      </c>
      <c r="D9" s="1678">
        <v>1588</v>
      </c>
      <c r="E9" s="1679" t="s">
        <v>2688</v>
      </c>
      <c r="F9" s="1672">
        <f t="shared" si="0"/>
        <v>1588</v>
      </c>
      <c r="G9" s="1673">
        <v>1</v>
      </c>
      <c r="H9" s="1680"/>
    </row>
    <row r="10" spans="1:8" ht="16.5" customHeight="1">
      <c r="A10" s="1675" t="s">
        <v>3</v>
      </c>
      <c r="B10" s="1676" t="s">
        <v>2473</v>
      </c>
      <c r="C10" s="1677">
        <v>0</v>
      </c>
      <c r="D10" s="1678"/>
      <c r="E10" s="1671" t="s">
        <v>2689</v>
      </c>
      <c r="F10" s="1672">
        <f t="shared" si="0"/>
        <v>0</v>
      </c>
      <c r="G10" s="1673">
        <v>0</v>
      </c>
      <c r="H10" s="1680"/>
    </row>
    <row r="11" spans="1:8" ht="16.5" customHeight="1">
      <c r="A11" s="1675" t="s">
        <v>16</v>
      </c>
      <c r="B11" s="1676" t="s">
        <v>2474</v>
      </c>
      <c r="C11" s="1677">
        <v>0</v>
      </c>
      <c r="D11" s="1678"/>
      <c r="E11" s="1671"/>
      <c r="F11" s="1672">
        <f t="shared" si="0"/>
        <v>0</v>
      </c>
      <c r="G11" s="1673">
        <f>25%-19.74%</f>
        <v>5.2600000000000008E-2</v>
      </c>
      <c r="H11" s="1680"/>
    </row>
    <row r="12" spans="1:8" ht="12.75">
      <c r="A12" s="1675" t="s">
        <v>15</v>
      </c>
      <c r="B12" s="1676" t="s">
        <v>2475</v>
      </c>
      <c r="C12" s="1677">
        <v>1190</v>
      </c>
      <c r="D12" s="1678"/>
      <c r="E12" s="1671"/>
      <c r="F12" s="1672">
        <f t="shared" si="0"/>
        <v>1190</v>
      </c>
      <c r="G12" s="1673">
        <v>9.7000000000000003E-2</v>
      </c>
      <c r="H12" s="1680"/>
    </row>
    <row r="13" spans="1:8" ht="13.5" thickBot="1">
      <c r="A13" s="1675" t="s">
        <v>14</v>
      </c>
      <c r="B13" s="1676" t="s">
        <v>2476</v>
      </c>
      <c r="C13" s="1677">
        <v>18330</v>
      </c>
      <c r="D13" s="1678"/>
      <c r="E13" s="1671"/>
      <c r="F13" s="1672">
        <f t="shared" si="0"/>
        <v>18330</v>
      </c>
      <c r="G13" s="1673">
        <f>5.46%-0.97%</f>
        <v>4.4900000000000002E-2</v>
      </c>
      <c r="H13" s="1680"/>
    </row>
    <row r="14" spans="1:8" s="659" customFormat="1" ht="16.5" customHeight="1" thickBot="1">
      <c r="A14" s="1681" t="s">
        <v>441</v>
      </c>
      <c r="B14" s="1682"/>
      <c r="C14" s="1683">
        <f>SUM(C7:C13)</f>
        <v>30827</v>
      </c>
      <c r="D14" s="1684">
        <f>SUM(D7:D13)</f>
        <v>33947</v>
      </c>
      <c r="E14" s="1685">
        <f>SUM(E7:E13)</f>
        <v>0</v>
      </c>
      <c r="F14" s="1683">
        <f>SUM(F7:F13)</f>
        <v>64774</v>
      </c>
      <c r="G14" s="1686" t="s">
        <v>19</v>
      </c>
      <c r="H14" s="1687">
        <f>SUM(H7:H13)</f>
        <v>0</v>
      </c>
    </row>
    <row r="16" spans="1:8" ht="16.5" hidden="1" customHeight="1">
      <c r="F16" s="1659">
        <f>+'21.mell Vagyonkim2018'!G19</f>
        <v>64774</v>
      </c>
    </row>
    <row r="17" spans="6:6" ht="16.5" hidden="1" customHeight="1">
      <c r="F17" s="1659">
        <f>+F16-F14</f>
        <v>0</v>
      </c>
    </row>
  </sheetData>
  <mergeCells count="4">
    <mergeCell ref="G1:H1"/>
    <mergeCell ref="A3:H3"/>
    <mergeCell ref="A4:H4"/>
    <mergeCell ref="A14:B14"/>
  </mergeCells>
  <printOptions horizontalCentered="1"/>
  <pageMargins left="0.39370078740157483" right="0.39370078740157483" top="0.39370078740157483" bottom="0.39370078740157483" header="0.19685039370078741" footer="0.19685039370078741"/>
  <pageSetup paperSize="9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CF41"/>
  <sheetViews>
    <sheetView topLeftCell="A4" zoomScaleNormal="100" workbookViewId="0">
      <pane xSplit="2" ySplit="6" topLeftCell="C10" activePane="bottomRight" state="frozen"/>
      <selection activeCell="C11" sqref="C11"/>
      <selection pane="topRight" activeCell="C11" sqref="C11"/>
      <selection pane="bottomLeft" activeCell="C11" sqref="C11"/>
      <selection pane="bottomRight" activeCell="C10" sqref="C10"/>
    </sheetView>
  </sheetViews>
  <sheetFormatPr defaultRowHeight="21" customHeight="1"/>
  <cols>
    <col min="1" max="1" width="4.7109375" style="1659" customWidth="1"/>
    <col min="2" max="2" width="41.7109375" style="1659" customWidth="1"/>
    <col min="3" max="3" width="11.140625" style="1659" customWidth="1"/>
    <col min="4" max="9" width="10.140625" style="1659" customWidth="1"/>
    <col min="10" max="10" width="11.5703125" style="1659" customWidth="1"/>
    <col min="11" max="11" width="10.85546875" style="1659" customWidth="1"/>
    <col min="12" max="12" width="9.140625" style="1659" customWidth="1"/>
    <col min="13" max="15" width="9.140625" style="1659" hidden="1" customWidth="1"/>
    <col min="16" max="16" width="11.85546875" style="1659" hidden="1" customWidth="1"/>
    <col min="17" max="17" width="10.85546875" style="1659" hidden="1" customWidth="1"/>
    <col min="18" max="18" width="9.5703125" style="1659" hidden="1" customWidth="1"/>
    <col min="19" max="20" width="9.140625" style="1659" hidden="1" customWidth="1"/>
    <col min="21" max="21" width="11.28515625" style="1659" hidden="1" customWidth="1"/>
    <col min="22" max="22" width="9.140625" style="1659" hidden="1" customWidth="1"/>
    <col min="23" max="23" width="11.5703125" style="1659" hidden="1" customWidth="1"/>
    <col min="24" max="24" width="14.42578125" style="1659" hidden="1" customWidth="1"/>
    <col min="25" max="25" width="9.140625" style="1659" hidden="1" customWidth="1"/>
    <col min="26" max="36" width="10.140625" style="1659" hidden="1" customWidth="1"/>
    <col min="37" max="39" width="9.140625" style="1659" hidden="1" customWidth="1"/>
    <col min="40" max="40" width="11.42578125" style="1659" hidden="1" customWidth="1"/>
    <col min="41" max="46" width="9.140625" style="1659" hidden="1" customWidth="1"/>
    <col min="47" max="47" width="15" style="1659" hidden="1" customWidth="1"/>
    <col min="48" max="84" width="9.140625" style="1659" hidden="1" customWidth="1"/>
    <col min="85" max="85" width="0" style="1659" hidden="1" customWidth="1"/>
    <col min="86" max="256" width="9.140625" style="1659"/>
    <col min="257" max="257" width="4.7109375" style="1659" customWidth="1"/>
    <col min="258" max="258" width="41.7109375" style="1659" customWidth="1"/>
    <col min="259" max="259" width="11.140625" style="1659" customWidth="1"/>
    <col min="260" max="265" width="10.140625" style="1659" customWidth="1"/>
    <col min="266" max="266" width="11.5703125" style="1659" customWidth="1"/>
    <col min="267" max="267" width="10.85546875" style="1659" customWidth="1"/>
    <col min="268" max="268" width="9.140625" style="1659" customWidth="1"/>
    <col min="269" max="328" width="0" style="1659" hidden="1" customWidth="1"/>
    <col min="329" max="329" width="9.140625" style="1659" customWidth="1"/>
    <col min="330" max="512" width="9.140625" style="1659"/>
    <col min="513" max="513" width="4.7109375" style="1659" customWidth="1"/>
    <col min="514" max="514" width="41.7109375" style="1659" customWidth="1"/>
    <col min="515" max="515" width="11.140625" style="1659" customWidth="1"/>
    <col min="516" max="521" width="10.140625" style="1659" customWidth="1"/>
    <col min="522" max="522" width="11.5703125" style="1659" customWidth="1"/>
    <col min="523" max="523" width="10.85546875" style="1659" customWidth="1"/>
    <col min="524" max="524" width="9.140625" style="1659" customWidth="1"/>
    <col min="525" max="584" width="0" style="1659" hidden="1" customWidth="1"/>
    <col min="585" max="585" width="9.140625" style="1659" customWidth="1"/>
    <col min="586" max="768" width="9.140625" style="1659"/>
    <col min="769" max="769" width="4.7109375" style="1659" customWidth="1"/>
    <col min="770" max="770" width="41.7109375" style="1659" customWidth="1"/>
    <col min="771" max="771" width="11.140625" style="1659" customWidth="1"/>
    <col min="772" max="777" width="10.140625" style="1659" customWidth="1"/>
    <col min="778" max="778" width="11.5703125" style="1659" customWidth="1"/>
    <col min="779" max="779" width="10.85546875" style="1659" customWidth="1"/>
    <col min="780" max="780" width="9.140625" style="1659" customWidth="1"/>
    <col min="781" max="840" width="0" style="1659" hidden="1" customWidth="1"/>
    <col min="841" max="841" width="9.140625" style="1659" customWidth="1"/>
    <col min="842" max="1024" width="9.140625" style="1659"/>
    <col min="1025" max="1025" width="4.7109375" style="1659" customWidth="1"/>
    <col min="1026" max="1026" width="41.7109375" style="1659" customWidth="1"/>
    <col min="1027" max="1027" width="11.140625" style="1659" customWidth="1"/>
    <col min="1028" max="1033" width="10.140625" style="1659" customWidth="1"/>
    <col min="1034" max="1034" width="11.5703125" style="1659" customWidth="1"/>
    <col min="1035" max="1035" width="10.85546875" style="1659" customWidth="1"/>
    <col min="1036" max="1036" width="9.140625" style="1659" customWidth="1"/>
    <col min="1037" max="1096" width="0" style="1659" hidden="1" customWidth="1"/>
    <col min="1097" max="1097" width="9.140625" style="1659" customWidth="1"/>
    <col min="1098" max="1280" width="9.140625" style="1659"/>
    <col min="1281" max="1281" width="4.7109375" style="1659" customWidth="1"/>
    <col min="1282" max="1282" width="41.7109375" style="1659" customWidth="1"/>
    <col min="1283" max="1283" width="11.140625" style="1659" customWidth="1"/>
    <col min="1284" max="1289" width="10.140625" style="1659" customWidth="1"/>
    <col min="1290" max="1290" width="11.5703125" style="1659" customWidth="1"/>
    <col min="1291" max="1291" width="10.85546875" style="1659" customWidth="1"/>
    <col min="1292" max="1292" width="9.140625" style="1659" customWidth="1"/>
    <col min="1293" max="1352" width="0" style="1659" hidden="1" customWidth="1"/>
    <col min="1353" max="1353" width="9.140625" style="1659" customWidth="1"/>
    <col min="1354" max="1536" width="9.140625" style="1659"/>
    <col min="1537" max="1537" width="4.7109375" style="1659" customWidth="1"/>
    <col min="1538" max="1538" width="41.7109375" style="1659" customWidth="1"/>
    <col min="1539" max="1539" width="11.140625" style="1659" customWidth="1"/>
    <col min="1540" max="1545" width="10.140625" style="1659" customWidth="1"/>
    <col min="1546" max="1546" width="11.5703125" style="1659" customWidth="1"/>
    <col min="1547" max="1547" width="10.85546875" style="1659" customWidth="1"/>
    <col min="1548" max="1548" width="9.140625" style="1659" customWidth="1"/>
    <col min="1549" max="1608" width="0" style="1659" hidden="1" customWidth="1"/>
    <col min="1609" max="1609" width="9.140625" style="1659" customWidth="1"/>
    <col min="1610" max="1792" width="9.140625" style="1659"/>
    <col min="1793" max="1793" width="4.7109375" style="1659" customWidth="1"/>
    <col min="1794" max="1794" width="41.7109375" style="1659" customWidth="1"/>
    <col min="1795" max="1795" width="11.140625" style="1659" customWidth="1"/>
    <col min="1796" max="1801" width="10.140625" style="1659" customWidth="1"/>
    <col min="1802" max="1802" width="11.5703125" style="1659" customWidth="1"/>
    <col min="1803" max="1803" width="10.85546875" style="1659" customWidth="1"/>
    <col min="1804" max="1804" width="9.140625" style="1659" customWidth="1"/>
    <col min="1805" max="1864" width="0" style="1659" hidden="1" customWidth="1"/>
    <col min="1865" max="1865" width="9.140625" style="1659" customWidth="1"/>
    <col min="1866" max="2048" width="9.140625" style="1659"/>
    <col min="2049" max="2049" width="4.7109375" style="1659" customWidth="1"/>
    <col min="2050" max="2050" width="41.7109375" style="1659" customWidth="1"/>
    <col min="2051" max="2051" width="11.140625" style="1659" customWidth="1"/>
    <col min="2052" max="2057" width="10.140625" style="1659" customWidth="1"/>
    <col min="2058" max="2058" width="11.5703125" style="1659" customWidth="1"/>
    <col min="2059" max="2059" width="10.85546875" style="1659" customWidth="1"/>
    <col min="2060" max="2060" width="9.140625" style="1659" customWidth="1"/>
    <col min="2061" max="2120" width="0" style="1659" hidden="1" customWidth="1"/>
    <col min="2121" max="2121" width="9.140625" style="1659" customWidth="1"/>
    <col min="2122" max="2304" width="9.140625" style="1659"/>
    <col min="2305" max="2305" width="4.7109375" style="1659" customWidth="1"/>
    <col min="2306" max="2306" width="41.7109375" style="1659" customWidth="1"/>
    <col min="2307" max="2307" width="11.140625" style="1659" customWidth="1"/>
    <col min="2308" max="2313" width="10.140625" style="1659" customWidth="1"/>
    <col min="2314" max="2314" width="11.5703125" style="1659" customWidth="1"/>
    <col min="2315" max="2315" width="10.85546875" style="1659" customWidth="1"/>
    <col min="2316" max="2316" width="9.140625" style="1659" customWidth="1"/>
    <col min="2317" max="2376" width="0" style="1659" hidden="1" customWidth="1"/>
    <col min="2377" max="2377" width="9.140625" style="1659" customWidth="1"/>
    <col min="2378" max="2560" width="9.140625" style="1659"/>
    <col min="2561" max="2561" width="4.7109375" style="1659" customWidth="1"/>
    <col min="2562" max="2562" width="41.7109375" style="1659" customWidth="1"/>
    <col min="2563" max="2563" width="11.140625" style="1659" customWidth="1"/>
    <col min="2564" max="2569" width="10.140625" style="1659" customWidth="1"/>
    <col min="2570" max="2570" width="11.5703125" style="1659" customWidth="1"/>
    <col min="2571" max="2571" width="10.85546875" style="1659" customWidth="1"/>
    <col min="2572" max="2572" width="9.140625" style="1659" customWidth="1"/>
    <col min="2573" max="2632" width="0" style="1659" hidden="1" customWidth="1"/>
    <col min="2633" max="2633" width="9.140625" style="1659" customWidth="1"/>
    <col min="2634" max="2816" width="9.140625" style="1659"/>
    <col min="2817" max="2817" width="4.7109375" style="1659" customWidth="1"/>
    <col min="2818" max="2818" width="41.7109375" style="1659" customWidth="1"/>
    <col min="2819" max="2819" width="11.140625" style="1659" customWidth="1"/>
    <col min="2820" max="2825" width="10.140625" style="1659" customWidth="1"/>
    <col min="2826" max="2826" width="11.5703125" style="1659" customWidth="1"/>
    <col min="2827" max="2827" width="10.85546875" style="1659" customWidth="1"/>
    <col min="2828" max="2828" width="9.140625" style="1659" customWidth="1"/>
    <col min="2829" max="2888" width="0" style="1659" hidden="1" customWidth="1"/>
    <col min="2889" max="2889" width="9.140625" style="1659" customWidth="1"/>
    <col min="2890" max="3072" width="9.140625" style="1659"/>
    <col min="3073" max="3073" width="4.7109375" style="1659" customWidth="1"/>
    <col min="3074" max="3074" width="41.7109375" style="1659" customWidth="1"/>
    <col min="3075" max="3075" width="11.140625" style="1659" customWidth="1"/>
    <col min="3076" max="3081" width="10.140625" style="1659" customWidth="1"/>
    <col min="3082" max="3082" width="11.5703125" style="1659" customWidth="1"/>
    <col min="3083" max="3083" width="10.85546875" style="1659" customWidth="1"/>
    <col min="3084" max="3084" width="9.140625" style="1659" customWidth="1"/>
    <col min="3085" max="3144" width="0" style="1659" hidden="1" customWidth="1"/>
    <col min="3145" max="3145" width="9.140625" style="1659" customWidth="1"/>
    <col min="3146" max="3328" width="9.140625" style="1659"/>
    <col min="3329" max="3329" width="4.7109375" style="1659" customWidth="1"/>
    <col min="3330" max="3330" width="41.7109375" style="1659" customWidth="1"/>
    <col min="3331" max="3331" width="11.140625" style="1659" customWidth="1"/>
    <col min="3332" max="3337" width="10.140625" style="1659" customWidth="1"/>
    <col min="3338" max="3338" width="11.5703125" style="1659" customWidth="1"/>
    <col min="3339" max="3339" width="10.85546875" style="1659" customWidth="1"/>
    <col min="3340" max="3340" width="9.140625" style="1659" customWidth="1"/>
    <col min="3341" max="3400" width="0" style="1659" hidden="1" customWidth="1"/>
    <col min="3401" max="3401" width="9.140625" style="1659" customWidth="1"/>
    <col min="3402" max="3584" width="9.140625" style="1659"/>
    <col min="3585" max="3585" width="4.7109375" style="1659" customWidth="1"/>
    <col min="3586" max="3586" width="41.7109375" style="1659" customWidth="1"/>
    <col min="3587" max="3587" width="11.140625" style="1659" customWidth="1"/>
    <col min="3588" max="3593" width="10.140625" style="1659" customWidth="1"/>
    <col min="3594" max="3594" width="11.5703125" style="1659" customWidth="1"/>
    <col min="3595" max="3595" width="10.85546875" style="1659" customWidth="1"/>
    <col min="3596" max="3596" width="9.140625" style="1659" customWidth="1"/>
    <col min="3597" max="3656" width="0" style="1659" hidden="1" customWidth="1"/>
    <col min="3657" max="3657" width="9.140625" style="1659" customWidth="1"/>
    <col min="3658" max="3840" width="9.140625" style="1659"/>
    <col min="3841" max="3841" width="4.7109375" style="1659" customWidth="1"/>
    <col min="3842" max="3842" width="41.7109375" style="1659" customWidth="1"/>
    <col min="3843" max="3843" width="11.140625" style="1659" customWidth="1"/>
    <col min="3844" max="3849" width="10.140625" style="1659" customWidth="1"/>
    <col min="3850" max="3850" width="11.5703125" style="1659" customWidth="1"/>
    <col min="3851" max="3851" width="10.85546875" style="1659" customWidth="1"/>
    <col min="3852" max="3852" width="9.140625" style="1659" customWidth="1"/>
    <col min="3853" max="3912" width="0" style="1659" hidden="1" customWidth="1"/>
    <col min="3913" max="3913" width="9.140625" style="1659" customWidth="1"/>
    <col min="3914" max="4096" width="9.140625" style="1659"/>
    <col min="4097" max="4097" width="4.7109375" style="1659" customWidth="1"/>
    <col min="4098" max="4098" width="41.7109375" style="1659" customWidth="1"/>
    <col min="4099" max="4099" width="11.140625" style="1659" customWidth="1"/>
    <col min="4100" max="4105" width="10.140625" style="1659" customWidth="1"/>
    <col min="4106" max="4106" width="11.5703125" style="1659" customWidth="1"/>
    <col min="4107" max="4107" width="10.85546875" style="1659" customWidth="1"/>
    <col min="4108" max="4108" width="9.140625" style="1659" customWidth="1"/>
    <col min="4109" max="4168" width="0" style="1659" hidden="1" customWidth="1"/>
    <col min="4169" max="4169" width="9.140625" style="1659" customWidth="1"/>
    <col min="4170" max="4352" width="9.140625" style="1659"/>
    <col min="4353" max="4353" width="4.7109375" style="1659" customWidth="1"/>
    <col min="4354" max="4354" width="41.7109375" style="1659" customWidth="1"/>
    <col min="4355" max="4355" width="11.140625" style="1659" customWidth="1"/>
    <col min="4356" max="4361" width="10.140625" style="1659" customWidth="1"/>
    <col min="4362" max="4362" width="11.5703125" style="1659" customWidth="1"/>
    <col min="4363" max="4363" width="10.85546875" style="1659" customWidth="1"/>
    <col min="4364" max="4364" width="9.140625" style="1659" customWidth="1"/>
    <col min="4365" max="4424" width="0" style="1659" hidden="1" customWidth="1"/>
    <col min="4425" max="4425" width="9.140625" style="1659" customWidth="1"/>
    <col min="4426" max="4608" width="9.140625" style="1659"/>
    <col min="4609" max="4609" width="4.7109375" style="1659" customWidth="1"/>
    <col min="4610" max="4610" width="41.7109375" style="1659" customWidth="1"/>
    <col min="4611" max="4611" width="11.140625" style="1659" customWidth="1"/>
    <col min="4612" max="4617" width="10.140625" style="1659" customWidth="1"/>
    <col min="4618" max="4618" width="11.5703125" style="1659" customWidth="1"/>
    <col min="4619" max="4619" width="10.85546875" style="1659" customWidth="1"/>
    <col min="4620" max="4620" width="9.140625" style="1659" customWidth="1"/>
    <col min="4621" max="4680" width="0" style="1659" hidden="1" customWidth="1"/>
    <col min="4681" max="4681" width="9.140625" style="1659" customWidth="1"/>
    <col min="4682" max="4864" width="9.140625" style="1659"/>
    <col min="4865" max="4865" width="4.7109375" style="1659" customWidth="1"/>
    <col min="4866" max="4866" width="41.7109375" style="1659" customWidth="1"/>
    <col min="4867" max="4867" width="11.140625" style="1659" customWidth="1"/>
    <col min="4868" max="4873" width="10.140625" style="1659" customWidth="1"/>
    <col min="4874" max="4874" width="11.5703125" style="1659" customWidth="1"/>
    <col min="4875" max="4875" width="10.85546875" style="1659" customWidth="1"/>
    <col min="4876" max="4876" width="9.140625" style="1659" customWidth="1"/>
    <col min="4877" max="4936" width="0" style="1659" hidden="1" customWidth="1"/>
    <col min="4937" max="4937" width="9.140625" style="1659" customWidth="1"/>
    <col min="4938" max="5120" width="9.140625" style="1659"/>
    <col min="5121" max="5121" width="4.7109375" style="1659" customWidth="1"/>
    <col min="5122" max="5122" width="41.7109375" style="1659" customWidth="1"/>
    <col min="5123" max="5123" width="11.140625" style="1659" customWidth="1"/>
    <col min="5124" max="5129" width="10.140625" style="1659" customWidth="1"/>
    <col min="5130" max="5130" width="11.5703125" style="1659" customWidth="1"/>
    <col min="5131" max="5131" width="10.85546875" style="1659" customWidth="1"/>
    <col min="5132" max="5132" width="9.140625" style="1659" customWidth="1"/>
    <col min="5133" max="5192" width="0" style="1659" hidden="1" customWidth="1"/>
    <col min="5193" max="5193" width="9.140625" style="1659" customWidth="1"/>
    <col min="5194" max="5376" width="9.140625" style="1659"/>
    <col min="5377" max="5377" width="4.7109375" style="1659" customWidth="1"/>
    <col min="5378" max="5378" width="41.7109375" style="1659" customWidth="1"/>
    <col min="5379" max="5379" width="11.140625" style="1659" customWidth="1"/>
    <col min="5380" max="5385" width="10.140625" style="1659" customWidth="1"/>
    <col min="5386" max="5386" width="11.5703125" style="1659" customWidth="1"/>
    <col min="5387" max="5387" width="10.85546875" style="1659" customWidth="1"/>
    <col min="5388" max="5388" width="9.140625" style="1659" customWidth="1"/>
    <col min="5389" max="5448" width="0" style="1659" hidden="1" customWidth="1"/>
    <col min="5449" max="5449" width="9.140625" style="1659" customWidth="1"/>
    <col min="5450" max="5632" width="9.140625" style="1659"/>
    <col min="5633" max="5633" width="4.7109375" style="1659" customWidth="1"/>
    <col min="5634" max="5634" width="41.7109375" style="1659" customWidth="1"/>
    <col min="5635" max="5635" width="11.140625" style="1659" customWidth="1"/>
    <col min="5636" max="5641" width="10.140625" style="1659" customWidth="1"/>
    <col min="5642" max="5642" width="11.5703125" style="1659" customWidth="1"/>
    <col min="5643" max="5643" width="10.85546875" style="1659" customWidth="1"/>
    <col min="5644" max="5644" width="9.140625" style="1659" customWidth="1"/>
    <col min="5645" max="5704" width="0" style="1659" hidden="1" customWidth="1"/>
    <col min="5705" max="5705" width="9.140625" style="1659" customWidth="1"/>
    <col min="5706" max="5888" width="9.140625" style="1659"/>
    <col min="5889" max="5889" width="4.7109375" style="1659" customWidth="1"/>
    <col min="5890" max="5890" width="41.7109375" style="1659" customWidth="1"/>
    <col min="5891" max="5891" width="11.140625" style="1659" customWidth="1"/>
    <col min="5892" max="5897" width="10.140625" style="1659" customWidth="1"/>
    <col min="5898" max="5898" width="11.5703125" style="1659" customWidth="1"/>
    <col min="5899" max="5899" width="10.85546875" style="1659" customWidth="1"/>
    <col min="5900" max="5900" width="9.140625" style="1659" customWidth="1"/>
    <col min="5901" max="5960" width="0" style="1659" hidden="1" customWidth="1"/>
    <col min="5961" max="5961" width="9.140625" style="1659" customWidth="1"/>
    <col min="5962" max="6144" width="9.140625" style="1659"/>
    <col min="6145" max="6145" width="4.7109375" style="1659" customWidth="1"/>
    <col min="6146" max="6146" width="41.7109375" style="1659" customWidth="1"/>
    <col min="6147" max="6147" width="11.140625" style="1659" customWidth="1"/>
    <col min="6148" max="6153" width="10.140625" style="1659" customWidth="1"/>
    <col min="6154" max="6154" width="11.5703125" style="1659" customWidth="1"/>
    <col min="6155" max="6155" width="10.85546875" style="1659" customWidth="1"/>
    <col min="6156" max="6156" width="9.140625" style="1659" customWidth="1"/>
    <col min="6157" max="6216" width="0" style="1659" hidden="1" customWidth="1"/>
    <col min="6217" max="6217" width="9.140625" style="1659" customWidth="1"/>
    <col min="6218" max="6400" width="9.140625" style="1659"/>
    <col min="6401" max="6401" width="4.7109375" style="1659" customWidth="1"/>
    <col min="6402" max="6402" width="41.7109375" style="1659" customWidth="1"/>
    <col min="6403" max="6403" width="11.140625" style="1659" customWidth="1"/>
    <col min="6404" max="6409" width="10.140625" style="1659" customWidth="1"/>
    <col min="6410" max="6410" width="11.5703125" style="1659" customWidth="1"/>
    <col min="6411" max="6411" width="10.85546875" style="1659" customWidth="1"/>
    <col min="6412" max="6412" width="9.140625" style="1659" customWidth="1"/>
    <col min="6413" max="6472" width="0" style="1659" hidden="1" customWidth="1"/>
    <col min="6473" max="6473" width="9.140625" style="1659" customWidth="1"/>
    <col min="6474" max="6656" width="9.140625" style="1659"/>
    <col min="6657" max="6657" width="4.7109375" style="1659" customWidth="1"/>
    <col min="6658" max="6658" width="41.7109375" style="1659" customWidth="1"/>
    <col min="6659" max="6659" width="11.140625" style="1659" customWidth="1"/>
    <col min="6660" max="6665" width="10.140625" style="1659" customWidth="1"/>
    <col min="6666" max="6666" width="11.5703125" style="1659" customWidth="1"/>
    <col min="6667" max="6667" width="10.85546875" style="1659" customWidth="1"/>
    <col min="6668" max="6668" width="9.140625" style="1659" customWidth="1"/>
    <col min="6669" max="6728" width="0" style="1659" hidden="1" customWidth="1"/>
    <col min="6729" max="6729" width="9.140625" style="1659" customWidth="1"/>
    <col min="6730" max="6912" width="9.140625" style="1659"/>
    <col min="6913" max="6913" width="4.7109375" style="1659" customWidth="1"/>
    <col min="6914" max="6914" width="41.7109375" style="1659" customWidth="1"/>
    <col min="6915" max="6915" width="11.140625" style="1659" customWidth="1"/>
    <col min="6916" max="6921" width="10.140625" style="1659" customWidth="1"/>
    <col min="6922" max="6922" width="11.5703125" style="1659" customWidth="1"/>
    <col min="6923" max="6923" width="10.85546875" style="1659" customWidth="1"/>
    <col min="6924" max="6924" width="9.140625" style="1659" customWidth="1"/>
    <col min="6925" max="6984" width="0" style="1659" hidden="1" customWidth="1"/>
    <col min="6985" max="6985" width="9.140625" style="1659" customWidth="1"/>
    <col min="6986" max="7168" width="9.140625" style="1659"/>
    <col min="7169" max="7169" width="4.7109375" style="1659" customWidth="1"/>
    <col min="7170" max="7170" width="41.7109375" style="1659" customWidth="1"/>
    <col min="7171" max="7171" width="11.140625" style="1659" customWidth="1"/>
    <col min="7172" max="7177" width="10.140625" style="1659" customWidth="1"/>
    <col min="7178" max="7178" width="11.5703125" style="1659" customWidth="1"/>
    <col min="7179" max="7179" width="10.85546875" style="1659" customWidth="1"/>
    <col min="7180" max="7180" width="9.140625" style="1659" customWidth="1"/>
    <col min="7181" max="7240" width="0" style="1659" hidden="1" customWidth="1"/>
    <col min="7241" max="7241" width="9.140625" style="1659" customWidth="1"/>
    <col min="7242" max="7424" width="9.140625" style="1659"/>
    <col min="7425" max="7425" width="4.7109375" style="1659" customWidth="1"/>
    <col min="7426" max="7426" width="41.7109375" style="1659" customWidth="1"/>
    <col min="7427" max="7427" width="11.140625" style="1659" customWidth="1"/>
    <col min="7428" max="7433" width="10.140625" style="1659" customWidth="1"/>
    <col min="7434" max="7434" width="11.5703125" style="1659" customWidth="1"/>
    <col min="7435" max="7435" width="10.85546875" style="1659" customWidth="1"/>
    <col min="7436" max="7436" width="9.140625" style="1659" customWidth="1"/>
    <col min="7437" max="7496" width="0" style="1659" hidden="1" customWidth="1"/>
    <col min="7497" max="7497" width="9.140625" style="1659" customWidth="1"/>
    <col min="7498" max="7680" width="9.140625" style="1659"/>
    <col min="7681" max="7681" width="4.7109375" style="1659" customWidth="1"/>
    <col min="7682" max="7682" width="41.7109375" style="1659" customWidth="1"/>
    <col min="7683" max="7683" width="11.140625" style="1659" customWidth="1"/>
    <col min="7684" max="7689" width="10.140625" style="1659" customWidth="1"/>
    <col min="7690" max="7690" width="11.5703125" style="1659" customWidth="1"/>
    <col min="7691" max="7691" width="10.85546875" style="1659" customWidth="1"/>
    <col min="7692" max="7692" width="9.140625" style="1659" customWidth="1"/>
    <col min="7693" max="7752" width="0" style="1659" hidden="1" customWidth="1"/>
    <col min="7753" max="7753" width="9.140625" style="1659" customWidth="1"/>
    <col min="7754" max="7936" width="9.140625" style="1659"/>
    <col min="7937" max="7937" width="4.7109375" style="1659" customWidth="1"/>
    <col min="7938" max="7938" width="41.7109375" style="1659" customWidth="1"/>
    <col min="7939" max="7939" width="11.140625" style="1659" customWidth="1"/>
    <col min="7940" max="7945" width="10.140625" style="1659" customWidth="1"/>
    <col min="7946" max="7946" width="11.5703125" style="1659" customWidth="1"/>
    <col min="7947" max="7947" width="10.85546875" style="1659" customWidth="1"/>
    <col min="7948" max="7948" width="9.140625" style="1659" customWidth="1"/>
    <col min="7949" max="8008" width="0" style="1659" hidden="1" customWidth="1"/>
    <col min="8009" max="8009" width="9.140625" style="1659" customWidth="1"/>
    <col min="8010" max="8192" width="9.140625" style="1659"/>
    <col min="8193" max="8193" width="4.7109375" style="1659" customWidth="1"/>
    <col min="8194" max="8194" width="41.7109375" style="1659" customWidth="1"/>
    <col min="8195" max="8195" width="11.140625" style="1659" customWidth="1"/>
    <col min="8196" max="8201" width="10.140625" style="1659" customWidth="1"/>
    <col min="8202" max="8202" width="11.5703125" style="1659" customWidth="1"/>
    <col min="8203" max="8203" width="10.85546875" style="1659" customWidth="1"/>
    <col min="8204" max="8204" width="9.140625" style="1659" customWidth="1"/>
    <col min="8205" max="8264" width="0" style="1659" hidden="1" customWidth="1"/>
    <col min="8265" max="8265" width="9.140625" style="1659" customWidth="1"/>
    <col min="8266" max="8448" width="9.140625" style="1659"/>
    <col min="8449" max="8449" width="4.7109375" style="1659" customWidth="1"/>
    <col min="8450" max="8450" width="41.7109375" style="1659" customWidth="1"/>
    <col min="8451" max="8451" width="11.140625" style="1659" customWidth="1"/>
    <col min="8452" max="8457" width="10.140625" style="1659" customWidth="1"/>
    <col min="8458" max="8458" width="11.5703125" style="1659" customWidth="1"/>
    <col min="8459" max="8459" width="10.85546875" style="1659" customWidth="1"/>
    <col min="8460" max="8460" width="9.140625" style="1659" customWidth="1"/>
    <col min="8461" max="8520" width="0" style="1659" hidden="1" customWidth="1"/>
    <col min="8521" max="8521" width="9.140625" style="1659" customWidth="1"/>
    <col min="8522" max="8704" width="9.140625" style="1659"/>
    <col min="8705" max="8705" width="4.7109375" style="1659" customWidth="1"/>
    <col min="8706" max="8706" width="41.7109375" style="1659" customWidth="1"/>
    <col min="8707" max="8707" width="11.140625" style="1659" customWidth="1"/>
    <col min="8708" max="8713" width="10.140625" style="1659" customWidth="1"/>
    <col min="8714" max="8714" width="11.5703125" style="1659" customWidth="1"/>
    <col min="8715" max="8715" width="10.85546875" style="1659" customWidth="1"/>
    <col min="8716" max="8716" width="9.140625" style="1659" customWidth="1"/>
    <col min="8717" max="8776" width="0" style="1659" hidden="1" customWidth="1"/>
    <col min="8777" max="8777" width="9.140625" style="1659" customWidth="1"/>
    <col min="8778" max="8960" width="9.140625" style="1659"/>
    <col min="8961" max="8961" width="4.7109375" style="1659" customWidth="1"/>
    <col min="8962" max="8962" width="41.7109375" style="1659" customWidth="1"/>
    <col min="8963" max="8963" width="11.140625" style="1659" customWidth="1"/>
    <col min="8964" max="8969" width="10.140625" style="1659" customWidth="1"/>
    <col min="8970" max="8970" width="11.5703125" style="1659" customWidth="1"/>
    <col min="8971" max="8971" width="10.85546875" style="1659" customWidth="1"/>
    <col min="8972" max="8972" width="9.140625" style="1659" customWidth="1"/>
    <col min="8973" max="9032" width="0" style="1659" hidden="1" customWidth="1"/>
    <col min="9033" max="9033" width="9.140625" style="1659" customWidth="1"/>
    <col min="9034" max="9216" width="9.140625" style="1659"/>
    <col min="9217" max="9217" width="4.7109375" style="1659" customWidth="1"/>
    <col min="9218" max="9218" width="41.7109375" style="1659" customWidth="1"/>
    <col min="9219" max="9219" width="11.140625" style="1659" customWidth="1"/>
    <col min="9220" max="9225" width="10.140625" style="1659" customWidth="1"/>
    <col min="9226" max="9226" width="11.5703125" style="1659" customWidth="1"/>
    <col min="9227" max="9227" width="10.85546875" style="1659" customWidth="1"/>
    <col min="9228" max="9228" width="9.140625" style="1659" customWidth="1"/>
    <col min="9229" max="9288" width="0" style="1659" hidden="1" customWidth="1"/>
    <col min="9289" max="9289" width="9.140625" style="1659" customWidth="1"/>
    <col min="9290" max="9472" width="9.140625" style="1659"/>
    <col min="9473" max="9473" width="4.7109375" style="1659" customWidth="1"/>
    <col min="9474" max="9474" width="41.7109375" style="1659" customWidth="1"/>
    <col min="9475" max="9475" width="11.140625" style="1659" customWidth="1"/>
    <col min="9476" max="9481" width="10.140625" style="1659" customWidth="1"/>
    <col min="9482" max="9482" width="11.5703125" style="1659" customWidth="1"/>
    <col min="9483" max="9483" width="10.85546875" style="1659" customWidth="1"/>
    <col min="9484" max="9484" width="9.140625" style="1659" customWidth="1"/>
    <col min="9485" max="9544" width="0" style="1659" hidden="1" customWidth="1"/>
    <col min="9545" max="9545" width="9.140625" style="1659" customWidth="1"/>
    <col min="9546" max="9728" width="9.140625" style="1659"/>
    <col min="9729" max="9729" width="4.7109375" style="1659" customWidth="1"/>
    <col min="9730" max="9730" width="41.7109375" style="1659" customWidth="1"/>
    <col min="9731" max="9731" width="11.140625" style="1659" customWidth="1"/>
    <col min="9732" max="9737" width="10.140625" style="1659" customWidth="1"/>
    <col min="9738" max="9738" width="11.5703125" style="1659" customWidth="1"/>
    <col min="9739" max="9739" width="10.85546875" style="1659" customWidth="1"/>
    <col min="9740" max="9740" width="9.140625" style="1659" customWidth="1"/>
    <col min="9741" max="9800" width="0" style="1659" hidden="1" customWidth="1"/>
    <col min="9801" max="9801" width="9.140625" style="1659" customWidth="1"/>
    <col min="9802" max="9984" width="9.140625" style="1659"/>
    <col min="9985" max="9985" width="4.7109375" style="1659" customWidth="1"/>
    <col min="9986" max="9986" width="41.7109375" style="1659" customWidth="1"/>
    <col min="9987" max="9987" width="11.140625" style="1659" customWidth="1"/>
    <col min="9988" max="9993" width="10.140625" style="1659" customWidth="1"/>
    <col min="9994" max="9994" width="11.5703125" style="1659" customWidth="1"/>
    <col min="9995" max="9995" width="10.85546875" style="1659" customWidth="1"/>
    <col min="9996" max="9996" width="9.140625" style="1659" customWidth="1"/>
    <col min="9997" max="10056" width="0" style="1659" hidden="1" customWidth="1"/>
    <col min="10057" max="10057" width="9.140625" style="1659" customWidth="1"/>
    <col min="10058" max="10240" width="9.140625" style="1659"/>
    <col min="10241" max="10241" width="4.7109375" style="1659" customWidth="1"/>
    <col min="10242" max="10242" width="41.7109375" style="1659" customWidth="1"/>
    <col min="10243" max="10243" width="11.140625" style="1659" customWidth="1"/>
    <col min="10244" max="10249" width="10.140625" style="1659" customWidth="1"/>
    <col min="10250" max="10250" width="11.5703125" style="1659" customWidth="1"/>
    <col min="10251" max="10251" width="10.85546875" style="1659" customWidth="1"/>
    <col min="10252" max="10252" width="9.140625" style="1659" customWidth="1"/>
    <col min="10253" max="10312" width="0" style="1659" hidden="1" customWidth="1"/>
    <col min="10313" max="10313" width="9.140625" style="1659" customWidth="1"/>
    <col min="10314" max="10496" width="9.140625" style="1659"/>
    <col min="10497" max="10497" width="4.7109375" style="1659" customWidth="1"/>
    <col min="10498" max="10498" width="41.7109375" style="1659" customWidth="1"/>
    <col min="10499" max="10499" width="11.140625" style="1659" customWidth="1"/>
    <col min="10500" max="10505" width="10.140625" style="1659" customWidth="1"/>
    <col min="10506" max="10506" width="11.5703125" style="1659" customWidth="1"/>
    <col min="10507" max="10507" width="10.85546875" style="1659" customWidth="1"/>
    <col min="10508" max="10508" width="9.140625" style="1659" customWidth="1"/>
    <col min="10509" max="10568" width="0" style="1659" hidden="1" customWidth="1"/>
    <col min="10569" max="10569" width="9.140625" style="1659" customWidth="1"/>
    <col min="10570" max="10752" width="9.140625" style="1659"/>
    <col min="10753" max="10753" width="4.7109375" style="1659" customWidth="1"/>
    <col min="10754" max="10754" width="41.7109375" style="1659" customWidth="1"/>
    <col min="10755" max="10755" width="11.140625" style="1659" customWidth="1"/>
    <col min="10756" max="10761" width="10.140625" style="1659" customWidth="1"/>
    <col min="10762" max="10762" width="11.5703125" style="1659" customWidth="1"/>
    <col min="10763" max="10763" width="10.85546875" style="1659" customWidth="1"/>
    <col min="10764" max="10764" width="9.140625" style="1659" customWidth="1"/>
    <col min="10765" max="10824" width="0" style="1659" hidden="1" customWidth="1"/>
    <col min="10825" max="10825" width="9.140625" style="1659" customWidth="1"/>
    <col min="10826" max="11008" width="9.140625" style="1659"/>
    <col min="11009" max="11009" width="4.7109375" style="1659" customWidth="1"/>
    <col min="11010" max="11010" width="41.7109375" style="1659" customWidth="1"/>
    <col min="11011" max="11011" width="11.140625" style="1659" customWidth="1"/>
    <col min="11012" max="11017" width="10.140625" style="1659" customWidth="1"/>
    <col min="11018" max="11018" width="11.5703125" style="1659" customWidth="1"/>
    <col min="11019" max="11019" width="10.85546875" style="1659" customWidth="1"/>
    <col min="11020" max="11020" width="9.140625" style="1659" customWidth="1"/>
    <col min="11021" max="11080" width="0" style="1659" hidden="1" customWidth="1"/>
    <col min="11081" max="11081" width="9.140625" style="1659" customWidth="1"/>
    <col min="11082" max="11264" width="9.140625" style="1659"/>
    <col min="11265" max="11265" width="4.7109375" style="1659" customWidth="1"/>
    <col min="11266" max="11266" width="41.7109375" style="1659" customWidth="1"/>
    <col min="11267" max="11267" width="11.140625" style="1659" customWidth="1"/>
    <col min="11268" max="11273" width="10.140625" style="1659" customWidth="1"/>
    <col min="11274" max="11274" width="11.5703125" style="1659" customWidth="1"/>
    <col min="11275" max="11275" width="10.85546875" style="1659" customWidth="1"/>
    <col min="11276" max="11276" width="9.140625" style="1659" customWidth="1"/>
    <col min="11277" max="11336" width="0" style="1659" hidden="1" customWidth="1"/>
    <col min="11337" max="11337" width="9.140625" style="1659" customWidth="1"/>
    <col min="11338" max="11520" width="9.140625" style="1659"/>
    <col min="11521" max="11521" width="4.7109375" style="1659" customWidth="1"/>
    <col min="11522" max="11522" width="41.7109375" style="1659" customWidth="1"/>
    <col min="11523" max="11523" width="11.140625" style="1659" customWidth="1"/>
    <col min="11524" max="11529" width="10.140625" style="1659" customWidth="1"/>
    <col min="11530" max="11530" width="11.5703125" style="1659" customWidth="1"/>
    <col min="11531" max="11531" width="10.85546875" style="1659" customWidth="1"/>
    <col min="11532" max="11532" width="9.140625" style="1659" customWidth="1"/>
    <col min="11533" max="11592" width="0" style="1659" hidden="1" customWidth="1"/>
    <col min="11593" max="11593" width="9.140625" style="1659" customWidth="1"/>
    <col min="11594" max="11776" width="9.140625" style="1659"/>
    <col min="11777" max="11777" width="4.7109375" style="1659" customWidth="1"/>
    <col min="11778" max="11778" width="41.7109375" style="1659" customWidth="1"/>
    <col min="11779" max="11779" width="11.140625" style="1659" customWidth="1"/>
    <col min="11780" max="11785" width="10.140625" style="1659" customWidth="1"/>
    <col min="11786" max="11786" width="11.5703125" style="1659" customWidth="1"/>
    <col min="11787" max="11787" width="10.85546875" style="1659" customWidth="1"/>
    <col min="11788" max="11788" width="9.140625" style="1659" customWidth="1"/>
    <col min="11789" max="11848" width="0" style="1659" hidden="1" customWidth="1"/>
    <col min="11849" max="11849" width="9.140625" style="1659" customWidth="1"/>
    <col min="11850" max="12032" width="9.140625" style="1659"/>
    <col min="12033" max="12033" width="4.7109375" style="1659" customWidth="1"/>
    <col min="12034" max="12034" width="41.7109375" style="1659" customWidth="1"/>
    <col min="12035" max="12035" width="11.140625" style="1659" customWidth="1"/>
    <col min="12036" max="12041" width="10.140625" style="1659" customWidth="1"/>
    <col min="12042" max="12042" width="11.5703125" style="1659" customWidth="1"/>
    <col min="12043" max="12043" width="10.85546875" style="1659" customWidth="1"/>
    <col min="12044" max="12044" width="9.140625" style="1659" customWidth="1"/>
    <col min="12045" max="12104" width="0" style="1659" hidden="1" customWidth="1"/>
    <col min="12105" max="12105" width="9.140625" style="1659" customWidth="1"/>
    <col min="12106" max="12288" width="9.140625" style="1659"/>
    <col min="12289" max="12289" width="4.7109375" style="1659" customWidth="1"/>
    <col min="12290" max="12290" width="41.7109375" style="1659" customWidth="1"/>
    <col min="12291" max="12291" width="11.140625" style="1659" customWidth="1"/>
    <col min="12292" max="12297" width="10.140625" style="1659" customWidth="1"/>
    <col min="12298" max="12298" width="11.5703125" style="1659" customWidth="1"/>
    <col min="12299" max="12299" width="10.85546875" style="1659" customWidth="1"/>
    <col min="12300" max="12300" width="9.140625" style="1659" customWidth="1"/>
    <col min="12301" max="12360" width="0" style="1659" hidden="1" customWidth="1"/>
    <col min="12361" max="12361" width="9.140625" style="1659" customWidth="1"/>
    <col min="12362" max="12544" width="9.140625" style="1659"/>
    <col min="12545" max="12545" width="4.7109375" style="1659" customWidth="1"/>
    <col min="12546" max="12546" width="41.7109375" style="1659" customWidth="1"/>
    <col min="12547" max="12547" width="11.140625" style="1659" customWidth="1"/>
    <col min="12548" max="12553" width="10.140625" style="1659" customWidth="1"/>
    <col min="12554" max="12554" width="11.5703125" style="1659" customWidth="1"/>
    <col min="12555" max="12555" width="10.85546875" style="1659" customWidth="1"/>
    <col min="12556" max="12556" width="9.140625" style="1659" customWidth="1"/>
    <col min="12557" max="12616" width="0" style="1659" hidden="1" customWidth="1"/>
    <col min="12617" max="12617" width="9.140625" style="1659" customWidth="1"/>
    <col min="12618" max="12800" width="9.140625" style="1659"/>
    <col min="12801" max="12801" width="4.7109375" style="1659" customWidth="1"/>
    <col min="12802" max="12802" width="41.7109375" style="1659" customWidth="1"/>
    <col min="12803" max="12803" width="11.140625" style="1659" customWidth="1"/>
    <col min="12804" max="12809" width="10.140625" style="1659" customWidth="1"/>
    <col min="12810" max="12810" width="11.5703125" style="1659" customWidth="1"/>
    <col min="12811" max="12811" width="10.85546875" style="1659" customWidth="1"/>
    <col min="12812" max="12812" width="9.140625" style="1659" customWidth="1"/>
    <col min="12813" max="12872" width="0" style="1659" hidden="1" customWidth="1"/>
    <col min="12873" max="12873" width="9.140625" style="1659" customWidth="1"/>
    <col min="12874" max="13056" width="9.140625" style="1659"/>
    <col min="13057" max="13057" width="4.7109375" style="1659" customWidth="1"/>
    <col min="13058" max="13058" width="41.7109375" style="1659" customWidth="1"/>
    <col min="13059" max="13059" width="11.140625" style="1659" customWidth="1"/>
    <col min="13060" max="13065" width="10.140625" style="1659" customWidth="1"/>
    <col min="13066" max="13066" width="11.5703125" style="1659" customWidth="1"/>
    <col min="13067" max="13067" width="10.85546875" style="1659" customWidth="1"/>
    <col min="13068" max="13068" width="9.140625" style="1659" customWidth="1"/>
    <col min="13069" max="13128" width="0" style="1659" hidden="1" customWidth="1"/>
    <col min="13129" max="13129" width="9.140625" style="1659" customWidth="1"/>
    <col min="13130" max="13312" width="9.140625" style="1659"/>
    <col min="13313" max="13313" width="4.7109375" style="1659" customWidth="1"/>
    <col min="13314" max="13314" width="41.7109375" style="1659" customWidth="1"/>
    <col min="13315" max="13315" width="11.140625" style="1659" customWidth="1"/>
    <col min="13316" max="13321" width="10.140625" style="1659" customWidth="1"/>
    <col min="13322" max="13322" width="11.5703125" style="1659" customWidth="1"/>
    <col min="13323" max="13323" width="10.85546875" style="1659" customWidth="1"/>
    <col min="13324" max="13324" width="9.140625" style="1659" customWidth="1"/>
    <col min="13325" max="13384" width="0" style="1659" hidden="1" customWidth="1"/>
    <col min="13385" max="13385" width="9.140625" style="1659" customWidth="1"/>
    <col min="13386" max="13568" width="9.140625" style="1659"/>
    <col min="13569" max="13569" width="4.7109375" style="1659" customWidth="1"/>
    <col min="13570" max="13570" width="41.7109375" style="1659" customWidth="1"/>
    <col min="13571" max="13571" width="11.140625" style="1659" customWidth="1"/>
    <col min="13572" max="13577" width="10.140625" style="1659" customWidth="1"/>
    <col min="13578" max="13578" width="11.5703125" style="1659" customWidth="1"/>
    <col min="13579" max="13579" width="10.85546875" style="1659" customWidth="1"/>
    <col min="13580" max="13580" width="9.140625" style="1659" customWidth="1"/>
    <col min="13581" max="13640" width="0" style="1659" hidden="1" customWidth="1"/>
    <col min="13641" max="13641" width="9.140625" style="1659" customWidth="1"/>
    <col min="13642" max="13824" width="9.140625" style="1659"/>
    <col min="13825" max="13825" width="4.7109375" style="1659" customWidth="1"/>
    <col min="13826" max="13826" width="41.7109375" style="1659" customWidth="1"/>
    <col min="13827" max="13827" width="11.140625" style="1659" customWidth="1"/>
    <col min="13828" max="13833" width="10.140625" style="1659" customWidth="1"/>
    <col min="13834" max="13834" width="11.5703125" style="1659" customWidth="1"/>
    <col min="13835" max="13835" width="10.85546875" style="1659" customWidth="1"/>
    <col min="13836" max="13836" width="9.140625" style="1659" customWidth="1"/>
    <col min="13837" max="13896" width="0" style="1659" hidden="1" customWidth="1"/>
    <col min="13897" max="13897" width="9.140625" style="1659" customWidth="1"/>
    <col min="13898" max="14080" width="9.140625" style="1659"/>
    <col min="14081" max="14081" width="4.7109375" style="1659" customWidth="1"/>
    <col min="14082" max="14082" width="41.7109375" style="1659" customWidth="1"/>
    <col min="14083" max="14083" width="11.140625" style="1659" customWidth="1"/>
    <col min="14084" max="14089" width="10.140625" style="1659" customWidth="1"/>
    <col min="14090" max="14090" width="11.5703125" style="1659" customWidth="1"/>
    <col min="14091" max="14091" width="10.85546875" style="1659" customWidth="1"/>
    <col min="14092" max="14092" width="9.140625" style="1659" customWidth="1"/>
    <col min="14093" max="14152" width="0" style="1659" hidden="1" customWidth="1"/>
    <col min="14153" max="14153" width="9.140625" style="1659" customWidth="1"/>
    <col min="14154" max="14336" width="9.140625" style="1659"/>
    <col min="14337" max="14337" width="4.7109375" style="1659" customWidth="1"/>
    <col min="14338" max="14338" width="41.7109375" style="1659" customWidth="1"/>
    <col min="14339" max="14339" width="11.140625" style="1659" customWidth="1"/>
    <col min="14340" max="14345" width="10.140625" style="1659" customWidth="1"/>
    <col min="14346" max="14346" width="11.5703125" style="1659" customWidth="1"/>
    <col min="14347" max="14347" width="10.85546875" style="1659" customWidth="1"/>
    <col min="14348" max="14348" width="9.140625" style="1659" customWidth="1"/>
    <col min="14349" max="14408" width="0" style="1659" hidden="1" customWidth="1"/>
    <col min="14409" max="14409" width="9.140625" style="1659" customWidth="1"/>
    <col min="14410" max="14592" width="9.140625" style="1659"/>
    <col min="14593" max="14593" width="4.7109375" style="1659" customWidth="1"/>
    <col min="14594" max="14594" width="41.7109375" style="1659" customWidth="1"/>
    <col min="14595" max="14595" width="11.140625" style="1659" customWidth="1"/>
    <col min="14596" max="14601" width="10.140625" style="1659" customWidth="1"/>
    <col min="14602" max="14602" width="11.5703125" style="1659" customWidth="1"/>
    <col min="14603" max="14603" width="10.85546875" style="1659" customWidth="1"/>
    <col min="14604" max="14604" width="9.140625" style="1659" customWidth="1"/>
    <col min="14605" max="14664" width="0" style="1659" hidden="1" customWidth="1"/>
    <col min="14665" max="14665" width="9.140625" style="1659" customWidth="1"/>
    <col min="14666" max="14848" width="9.140625" style="1659"/>
    <col min="14849" max="14849" width="4.7109375" style="1659" customWidth="1"/>
    <col min="14850" max="14850" width="41.7109375" style="1659" customWidth="1"/>
    <col min="14851" max="14851" width="11.140625" style="1659" customWidth="1"/>
    <col min="14852" max="14857" width="10.140625" style="1659" customWidth="1"/>
    <col min="14858" max="14858" width="11.5703125" style="1659" customWidth="1"/>
    <col min="14859" max="14859" width="10.85546875" style="1659" customWidth="1"/>
    <col min="14860" max="14860" width="9.140625" style="1659" customWidth="1"/>
    <col min="14861" max="14920" width="0" style="1659" hidden="1" customWidth="1"/>
    <col min="14921" max="14921" width="9.140625" style="1659" customWidth="1"/>
    <col min="14922" max="15104" width="9.140625" style="1659"/>
    <col min="15105" max="15105" width="4.7109375" style="1659" customWidth="1"/>
    <col min="15106" max="15106" width="41.7109375" style="1659" customWidth="1"/>
    <col min="15107" max="15107" width="11.140625" style="1659" customWidth="1"/>
    <col min="15108" max="15113" width="10.140625" style="1659" customWidth="1"/>
    <col min="15114" max="15114" width="11.5703125" style="1659" customWidth="1"/>
    <col min="15115" max="15115" width="10.85546875" style="1659" customWidth="1"/>
    <col min="15116" max="15116" width="9.140625" style="1659" customWidth="1"/>
    <col min="15117" max="15176" width="0" style="1659" hidden="1" customWidth="1"/>
    <col min="15177" max="15177" width="9.140625" style="1659" customWidth="1"/>
    <col min="15178" max="15360" width="9.140625" style="1659"/>
    <col min="15361" max="15361" width="4.7109375" style="1659" customWidth="1"/>
    <col min="15362" max="15362" width="41.7109375" style="1659" customWidth="1"/>
    <col min="15363" max="15363" width="11.140625" style="1659" customWidth="1"/>
    <col min="15364" max="15369" width="10.140625" style="1659" customWidth="1"/>
    <col min="15370" max="15370" width="11.5703125" style="1659" customWidth="1"/>
    <col min="15371" max="15371" width="10.85546875" style="1659" customWidth="1"/>
    <col min="15372" max="15372" width="9.140625" style="1659" customWidth="1"/>
    <col min="15373" max="15432" width="0" style="1659" hidden="1" customWidth="1"/>
    <col min="15433" max="15433" width="9.140625" style="1659" customWidth="1"/>
    <col min="15434" max="15616" width="9.140625" style="1659"/>
    <col min="15617" max="15617" width="4.7109375" style="1659" customWidth="1"/>
    <col min="15618" max="15618" width="41.7109375" style="1659" customWidth="1"/>
    <col min="15619" max="15619" width="11.140625" style="1659" customWidth="1"/>
    <col min="15620" max="15625" width="10.140625" style="1659" customWidth="1"/>
    <col min="15626" max="15626" width="11.5703125" style="1659" customWidth="1"/>
    <col min="15627" max="15627" width="10.85546875" style="1659" customWidth="1"/>
    <col min="15628" max="15628" width="9.140625" style="1659" customWidth="1"/>
    <col min="15629" max="15688" width="0" style="1659" hidden="1" customWidth="1"/>
    <col min="15689" max="15689" width="9.140625" style="1659" customWidth="1"/>
    <col min="15690" max="15872" width="9.140625" style="1659"/>
    <col min="15873" max="15873" width="4.7109375" style="1659" customWidth="1"/>
    <col min="15874" max="15874" width="41.7109375" style="1659" customWidth="1"/>
    <col min="15875" max="15875" width="11.140625" style="1659" customWidth="1"/>
    <col min="15876" max="15881" width="10.140625" style="1659" customWidth="1"/>
    <col min="15882" max="15882" width="11.5703125" style="1659" customWidth="1"/>
    <col min="15883" max="15883" width="10.85546875" style="1659" customWidth="1"/>
    <col min="15884" max="15884" width="9.140625" style="1659" customWidth="1"/>
    <col min="15885" max="15944" width="0" style="1659" hidden="1" customWidth="1"/>
    <col min="15945" max="15945" width="9.140625" style="1659" customWidth="1"/>
    <col min="15946" max="16128" width="9.140625" style="1659"/>
    <col min="16129" max="16129" width="4.7109375" style="1659" customWidth="1"/>
    <col min="16130" max="16130" width="41.7109375" style="1659" customWidth="1"/>
    <col min="16131" max="16131" width="11.140625" style="1659" customWidth="1"/>
    <col min="16132" max="16137" width="10.140625" style="1659" customWidth="1"/>
    <col min="16138" max="16138" width="11.5703125" style="1659" customWidth="1"/>
    <col min="16139" max="16139" width="10.85546875" style="1659" customWidth="1"/>
    <col min="16140" max="16140" width="9.140625" style="1659" customWidth="1"/>
    <col min="16141" max="16200" width="0" style="1659" hidden="1" customWidth="1"/>
    <col min="16201" max="16201" width="9.140625" style="1659" customWidth="1"/>
    <col min="16202" max="16384" width="9.140625" style="1659"/>
  </cols>
  <sheetData>
    <row r="1" spans="1:84" s="633" customFormat="1" ht="21" customHeight="1">
      <c r="A1" s="632"/>
      <c r="J1" s="1569" t="s">
        <v>1516</v>
      </c>
      <c r="K1" s="1569"/>
    </row>
    <row r="2" spans="1:84" s="633" customFormat="1" ht="21" customHeight="1">
      <c r="A2" s="632"/>
    </row>
    <row r="3" spans="1:84" s="633" customFormat="1" ht="21" customHeight="1">
      <c r="A3" s="1688" t="s">
        <v>1517</v>
      </c>
      <c r="B3" s="1688"/>
      <c r="C3" s="1688"/>
      <c r="D3" s="1688"/>
      <c r="E3" s="1688"/>
      <c r="F3" s="1688"/>
      <c r="G3" s="1688"/>
      <c r="H3" s="1688"/>
      <c r="I3" s="1688"/>
      <c r="J3" s="1688"/>
      <c r="K3" s="1688"/>
    </row>
    <row r="4" spans="1:84" s="633" customFormat="1" ht="21" customHeight="1">
      <c r="A4" s="1350" t="s">
        <v>2772</v>
      </c>
      <c r="B4" s="1350"/>
      <c r="C4" s="1350"/>
      <c r="D4" s="1350"/>
      <c r="E4" s="1350"/>
      <c r="F4" s="1350"/>
      <c r="G4" s="1350"/>
      <c r="H4" s="1350"/>
      <c r="I4" s="1350"/>
      <c r="J4" s="1350"/>
      <c r="K4" s="1350"/>
    </row>
    <row r="5" spans="1:84" ht="21" customHeight="1" thickBot="1">
      <c r="K5" s="1660" t="s">
        <v>458</v>
      </c>
      <c r="N5" s="1659" t="s">
        <v>2477</v>
      </c>
      <c r="Z5" s="1659" t="s">
        <v>2478</v>
      </c>
      <c r="AL5" s="1659" t="s">
        <v>2479</v>
      </c>
      <c r="AX5" s="1659" t="s">
        <v>886</v>
      </c>
      <c r="BJ5" s="1659" t="s">
        <v>2480</v>
      </c>
      <c r="BV5" s="1659" t="s">
        <v>2481</v>
      </c>
    </row>
    <row r="6" spans="1:84" ht="21" customHeight="1">
      <c r="A6" s="1689" t="s">
        <v>17</v>
      </c>
      <c r="B6" s="1690" t="s">
        <v>2482</v>
      </c>
      <c r="C6" s="1690" t="s">
        <v>2483</v>
      </c>
      <c r="D6" s="1691" t="s">
        <v>2484</v>
      </c>
      <c r="E6" s="1691"/>
      <c r="F6" s="1691"/>
      <c r="G6" s="1691"/>
      <c r="H6" s="1691"/>
      <c r="I6" s="1691"/>
      <c r="J6" s="1691"/>
      <c r="K6" s="1692" t="s">
        <v>2485</v>
      </c>
      <c r="N6" s="1689" t="s">
        <v>17</v>
      </c>
      <c r="O6" s="1690" t="s">
        <v>2482</v>
      </c>
      <c r="P6" s="1690" t="s">
        <v>2483</v>
      </c>
      <c r="Q6" s="1691" t="s">
        <v>2484</v>
      </c>
      <c r="R6" s="1691"/>
      <c r="S6" s="1691"/>
      <c r="T6" s="1691"/>
      <c r="U6" s="1691"/>
      <c r="V6" s="1691"/>
      <c r="W6" s="1691"/>
      <c r="X6" s="1692" t="s">
        <v>2485</v>
      </c>
      <c r="Z6" s="1689" t="s">
        <v>17</v>
      </c>
      <c r="AA6" s="1690" t="s">
        <v>2482</v>
      </c>
      <c r="AB6" s="1690" t="s">
        <v>2483</v>
      </c>
      <c r="AC6" s="1691" t="s">
        <v>2484</v>
      </c>
      <c r="AD6" s="1691"/>
      <c r="AE6" s="1691"/>
      <c r="AF6" s="1691"/>
      <c r="AG6" s="1691"/>
      <c r="AH6" s="1691"/>
      <c r="AI6" s="1691"/>
      <c r="AJ6" s="1692" t="s">
        <v>2485</v>
      </c>
      <c r="AL6" s="1689" t="s">
        <v>17</v>
      </c>
      <c r="AM6" s="1690" t="s">
        <v>2482</v>
      </c>
      <c r="AN6" s="1690" t="s">
        <v>2483</v>
      </c>
      <c r="AO6" s="1691" t="s">
        <v>2484</v>
      </c>
      <c r="AP6" s="1691"/>
      <c r="AQ6" s="1691"/>
      <c r="AR6" s="1691"/>
      <c r="AS6" s="1691"/>
      <c r="AT6" s="1691"/>
      <c r="AU6" s="1691"/>
      <c r="AV6" s="1692" t="s">
        <v>2485</v>
      </c>
      <c r="AX6" s="1689" t="s">
        <v>17</v>
      </c>
      <c r="AY6" s="1690" t="s">
        <v>2482</v>
      </c>
      <c r="AZ6" s="1690" t="s">
        <v>2483</v>
      </c>
      <c r="BA6" s="1691" t="s">
        <v>2484</v>
      </c>
      <c r="BB6" s="1691"/>
      <c r="BC6" s="1691"/>
      <c r="BD6" s="1691"/>
      <c r="BE6" s="1691"/>
      <c r="BF6" s="1691"/>
      <c r="BG6" s="1691"/>
      <c r="BH6" s="1692" t="s">
        <v>2485</v>
      </c>
      <c r="BJ6" s="1689" t="s">
        <v>17</v>
      </c>
      <c r="BK6" s="1690" t="s">
        <v>2482</v>
      </c>
      <c r="BL6" s="1690" t="s">
        <v>2483</v>
      </c>
      <c r="BM6" s="1691" t="s">
        <v>2484</v>
      </c>
      <c r="BN6" s="1691"/>
      <c r="BO6" s="1691"/>
      <c r="BP6" s="1691"/>
      <c r="BQ6" s="1691"/>
      <c r="BR6" s="1691"/>
      <c r="BS6" s="1691"/>
      <c r="BT6" s="1692" t="s">
        <v>2485</v>
      </c>
      <c r="BV6" s="1689" t="s">
        <v>17</v>
      </c>
      <c r="BW6" s="1690" t="s">
        <v>2482</v>
      </c>
      <c r="BX6" s="1690" t="s">
        <v>2483</v>
      </c>
      <c r="BY6" s="1691" t="s">
        <v>2484</v>
      </c>
      <c r="BZ6" s="1691"/>
      <c r="CA6" s="1691"/>
      <c r="CB6" s="1691"/>
      <c r="CC6" s="1691"/>
      <c r="CD6" s="1691"/>
      <c r="CE6" s="1691"/>
      <c r="CF6" s="1692" t="s">
        <v>2485</v>
      </c>
    </row>
    <row r="7" spans="1:84" s="643" customFormat="1" ht="41.25" customHeight="1" thickBot="1">
      <c r="A7" s="1693"/>
      <c r="B7" s="1694"/>
      <c r="C7" s="1694"/>
      <c r="D7" s="1695" t="s">
        <v>2486</v>
      </c>
      <c r="E7" s="1695" t="s">
        <v>2487</v>
      </c>
      <c r="F7" s="1695" t="s">
        <v>2488</v>
      </c>
      <c r="G7" s="1695" t="s">
        <v>2489</v>
      </c>
      <c r="H7" s="1695" t="s">
        <v>2490</v>
      </c>
      <c r="I7" s="1695" t="s">
        <v>2491</v>
      </c>
      <c r="J7" s="1695" t="s">
        <v>2492</v>
      </c>
      <c r="K7" s="1696"/>
      <c r="N7" s="1693"/>
      <c r="O7" s="1694"/>
      <c r="P7" s="1694"/>
      <c r="Q7" s="1695" t="s">
        <v>2486</v>
      </c>
      <c r="R7" s="1695" t="s">
        <v>2487</v>
      </c>
      <c r="S7" s="1695" t="s">
        <v>2488</v>
      </c>
      <c r="T7" s="1695" t="s">
        <v>2489</v>
      </c>
      <c r="U7" s="1695" t="s">
        <v>2490</v>
      </c>
      <c r="V7" s="1695" t="s">
        <v>2491</v>
      </c>
      <c r="W7" s="1695" t="s">
        <v>2492</v>
      </c>
      <c r="X7" s="1696"/>
      <c r="Z7" s="1693"/>
      <c r="AA7" s="1694"/>
      <c r="AB7" s="1694"/>
      <c r="AC7" s="1695" t="s">
        <v>2486</v>
      </c>
      <c r="AD7" s="1695" t="s">
        <v>2487</v>
      </c>
      <c r="AE7" s="1695" t="s">
        <v>2488</v>
      </c>
      <c r="AF7" s="1695" t="s">
        <v>2489</v>
      </c>
      <c r="AG7" s="1695" t="s">
        <v>2490</v>
      </c>
      <c r="AH7" s="1695" t="s">
        <v>2491</v>
      </c>
      <c r="AI7" s="1695" t="s">
        <v>2492</v>
      </c>
      <c r="AJ7" s="1696"/>
      <c r="AL7" s="1693"/>
      <c r="AM7" s="1694"/>
      <c r="AN7" s="1694"/>
      <c r="AO7" s="1695" t="s">
        <v>2486</v>
      </c>
      <c r="AP7" s="1695" t="s">
        <v>2487</v>
      </c>
      <c r="AQ7" s="1695" t="s">
        <v>2488</v>
      </c>
      <c r="AR7" s="1695" t="s">
        <v>2489</v>
      </c>
      <c r="AS7" s="1695" t="s">
        <v>2490</v>
      </c>
      <c r="AT7" s="1695" t="s">
        <v>2491</v>
      </c>
      <c r="AU7" s="1695" t="s">
        <v>2492</v>
      </c>
      <c r="AV7" s="1696"/>
      <c r="AX7" s="1693"/>
      <c r="AY7" s="1694"/>
      <c r="AZ7" s="1694"/>
      <c r="BA7" s="1695" t="s">
        <v>2486</v>
      </c>
      <c r="BB7" s="1695" t="s">
        <v>2487</v>
      </c>
      <c r="BC7" s="1695" t="s">
        <v>2488</v>
      </c>
      <c r="BD7" s="1695" t="s">
        <v>2489</v>
      </c>
      <c r="BE7" s="1695" t="s">
        <v>2490</v>
      </c>
      <c r="BF7" s="1695" t="s">
        <v>2491</v>
      </c>
      <c r="BG7" s="1695" t="s">
        <v>2492</v>
      </c>
      <c r="BH7" s="1696"/>
      <c r="BJ7" s="1693"/>
      <c r="BK7" s="1694"/>
      <c r="BL7" s="1694"/>
      <c r="BM7" s="1695" t="s">
        <v>2486</v>
      </c>
      <c r="BN7" s="1695" t="s">
        <v>2487</v>
      </c>
      <c r="BO7" s="1695" t="s">
        <v>2488</v>
      </c>
      <c r="BP7" s="1695" t="s">
        <v>2489</v>
      </c>
      <c r="BQ7" s="1695" t="s">
        <v>2490</v>
      </c>
      <c r="BR7" s="1695" t="s">
        <v>2491</v>
      </c>
      <c r="BS7" s="1695" t="s">
        <v>2492</v>
      </c>
      <c r="BT7" s="1696"/>
      <c r="BV7" s="1693"/>
      <c r="BW7" s="1694"/>
      <c r="BX7" s="1694"/>
      <c r="BY7" s="1695" t="s">
        <v>2486</v>
      </c>
      <c r="BZ7" s="1695" t="s">
        <v>2487</v>
      </c>
      <c r="CA7" s="1695" t="s">
        <v>2488</v>
      </c>
      <c r="CB7" s="1695" t="s">
        <v>2489</v>
      </c>
      <c r="CC7" s="1695" t="s">
        <v>2490</v>
      </c>
      <c r="CD7" s="1695" t="s">
        <v>2491</v>
      </c>
      <c r="CE7" s="1695" t="s">
        <v>2492</v>
      </c>
      <c r="CF7" s="1696"/>
    </row>
    <row r="8" spans="1:84" s="643" customFormat="1" ht="26.25" thickBot="1">
      <c r="A8" s="1661">
        <v>1</v>
      </c>
      <c r="B8" s="1697">
        <v>2</v>
      </c>
      <c r="C8" s="1697">
        <v>3</v>
      </c>
      <c r="D8" s="1697">
        <v>4</v>
      </c>
      <c r="E8" s="1697">
        <v>5</v>
      </c>
      <c r="F8" s="1697">
        <v>6</v>
      </c>
      <c r="G8" s="1697">
        <v>7</v>
      </c>
      <c r="H8" s="1697">
        <v>8</v>
      </c>
      <c r="I8" s="1697">
        <v>9</v>
      </c>
      <c r="J8" s="1697" t="s">
        <v>2493</v>
      </c>
      <c r="K8" s="1698" t="s">
        <v>2494</v>
      </c>
      <c r="N8" s="1661">
        <v>1</v>
      </c>
      <c r="O8" s="1697">
        <v>2</v>
      </c>
      <c r="P8" s="1697">
        <v>3</v>
      </c>
      <c r="Q8" s="1697">
        <v>4</v>
      </c>
      <c r="R8" s="1697">
        <v>5</v>
      </c>
      <c r="S8" s="1697">
        <v>6</v>
      </c>
      <c r="T8" s="1697">
        <v>7</v>
      </c>
      <c r="U8" s="1697">
        <v>8</v>
      </c>
      <c r="V8" s="1697">
        <v>9</v>
      </c>
      <c r="W8" s="1697" t="s">
        <v>2493</v>
      </c>
      <c r="X8" s="1698" t="s">
        <v>2494</v>
      </c>
      <c r="Z8" s="1661">
        <v>1</v>
      </c>
      <c r="AA8" s="1697">
        <v>2</v>
      </c>
      <c r="AB8" s="1697">
        <v>3</v>
      </c>
      <c r="AC8" s="1697">
        <v>4</v>
      </c>
      <c r="AD8" s="1697">
        <v>5</v>
      </c>
      <c r="AE8" s="1697">
        <v>6</v>
      </c>
      <c r="AF8" s="1697">
        <v>7</v>
      </c>
      <c r="AG8" s="1697">
        <v>8</v>
      </c>
      <c r="AH8" s="1697">
        <v>9</v>
      </c>
      <c r="AI8" s="1697" t="s">
        <v>2493</v>
      </c>
      <c r="AJ8" s="1698" t="s">
        <v>2494</v>
      </c>
      <c r="AL8" s="1661">
        <v>1</v>
      </c>
      <c r="AM8" s="1697">
        <v>2</v>
      </c>
      <c r="AN8" s="1697">
        <v>3</v>
      </c>
      <c r="AO8" s="1697">
        <v>4</v>
      </c>
      <c r="AP8" s="1697">
        <v>5</v>
      </c>
      <c r="AQ8" s="1697">
        <v>6</v>
      </c>
      <c r="AR8" s="1697">
        <v>7</v>
      </c>
      <c r="AS8" s="1697">
        <v>8</v>
      </c>
      <c r="AT8" s="1697">
        <v>9</v>
      </c>
      <c r="AU8" s="1697" t="s">
        <v>2493</v>
      </c>
      <c r="AV8" s="1698" t="s">
        <v>2494</v>
      </c>
      <c r="AX8" s="1661">
        <v>1</v>
      </c>
      <c r="AY8" s="1697">
        <v>2</v>
      </c>
      <c r="AZ8" s="1697">
        <v>3</v>
      </c>
      <c r="BA8" s="1697">
        <v>4</v>
      </c>
      <c r="BB8" s="1697">
        <v>5</v>
      </c>
      <c r="BC8" s="1697">
        <v>6</v>
      </c>
      <c r="BD8" s="1697">
        <v>7</v>
      </c>
      <c r="BE8" s="1697">
        <v>8</v>
      </c>
      <c r="BF8" s="1697">
        <v>9</v>
      </c>
      <c r="BG8" s="1697" t="s">
        <v>2493</v>
      </c>
      <c r="BH8" s="1698" t="s">
        <v>2494</v>
      </c>
      <c r="BJ8" s="1661">
        <v>1</v>
      </c>
      <c r="BK8" s="1697">
        <v>2</v>
      </c>
      <c r="BL8" s="1697">
        <v>3</v>
      </c>
      <c r="BM8" s="1697">
        <v>4</v>
      </c>
      <c r="BN8" s="1697">
        <v>5</v>
      </c>
      <c r="BO8" s="1697">
        <v>6</v>
      </c>
      <c r="BP8" s="1697">
        <v>7</v>
      </c>
      <c r="BQ8" s="1697">
        <v>8</v>
      </c>
      <c r="BR8" s="1697">
        <v>9</v>
      </c>
      <c r="BS8" s="1697" t="s">
        <v>2493</v>
      </c>
      <c r="BT8" s="1698" t="s">
        <v>2494</v>
      </c>
      <c r="BV8" s="1661">
        <v>1</v>
      </c>
      <c r="BW8" s="1697">
        <v>2</v>
      </c>
      <c r="BX8" s="1697">
        <v>3</v>
      </c>
      <c r="BY8" s="1697">
        <v>4</v>
      </c>
      <c r="BZ8" s="1697">
        <v>5</v>
      </c>
      <c r="CA8" s="1697">
        <v>6</v>
      </c>
      <c r="CB8" s="1697">
        <v>7</v>
      </c>
      <c r="CC8" s="1697">
        <v>8</v>
      </c>
      <c r="CD8" s="1697">
        <v>9</v>
      </c>
      <c r="CE8" s="1697" t="s">
        <v>2493</v>
      </c>
      <c r="CF8" s="1698" t="s">
        <v>2494</v>
      </c>
    </row>
    <row r="9" spans="1:84" s="643" customFormat="1" ht="21" customHeight="1">
      <c r="A9" s="1699" t="s">
        <v>2495</v>
      </c>
      <c r="B9" s="1700"/>
      <c r="C9" s="1700"/>
      <c r="D9" s="1700"/>
      <c r="E9" s="1700"/>
      <c r="F9" s="1700"/>
      <c r="G9" s="1700"/>
      <c r="H9" s="1700"/>
      <c r="I9" s="1700"/>
      <c r="J9" s="1700"/>
      <c r="K9" s="1701"/>
      <c r="N9" s="1699" t="s">
        <v>2495</v>
      </c>
      <c r="O9" s="1700"/>
      <c r="P9" s="1700"/>
      <c r="Q9" s="1700"/>
      <c r="R9" s="1700"/>
      <c r="S9" s="1700"/>
      <c r="T9" s="1700"/>
      <c r="U9" s="1700"/>
      <c r="V9" s="1700"/>
      <c r="W9" s="1700"/>
      <c r="X9" s="1701"/>
      <c r="Z9" s="1699" t="s">
        <v>2495</v>
      </c>
      <c r="AA9" s="1700"/>
      <c r="AB9" s="1700"/>
      <c r="AC9" s="1700"/>
      <c r="AD9" s="1700"/>
      <c r="AE9" s="1700"/>
      <c r="AF9" s="1700"/>
      <c r="AG9" s="1700"/>
      <c r="AH9" s="1700"/>
      <c r="AI9" s="1700"/>
      <c r="AJ9" s="1701"/>
      <c r="AL9" s="1699" t="s">
        <v>2495</v>
      </c>
      <c r="AM9" s="1700"/>
      <c r="AN9" s="1700"/>
      <c r="AO9" s="1700"/>
      <c r="AP9" s="1700"/>
      <c r="AQ9" s="1700"/>
      <c r="AR9" s="1700"/>
      <c r="AS9" s="1700"/>
      <c r="AT9" s="1700"/>
      <c r="AU9" s="1700"/>
      <c r="AV9" s="1701"/>
      <c r="AX9" s="1699" t="s">
        <v>2495</v>
      </c>
      <c r="AY9" s="1700"/>
      <c r="AZ9" s="1700"/>
      <c r="BA9" s="1700"/>
      <c r="BB9" s="1700"/>
      <c r="BC9" s="1700"/>
      <c r="BD9" s="1700"/>
      <c r="BE9" s="1700"/>
      <c r="BF9" s="1700"/>
      <c r="BG9" s="1700"/>
      <c r="BH9" s="1701"/>
      <c r="BJ9" s="1699" t="s">
        <v>2495</v>
      </c>
      <c r="BK9" s="1700"/>
      <c r="BL9" s="1700"/>
      <c r="BM9" s="1700"/>
      <c r="BN9" s="1700"/>
      <c r="BO9" s="1700"/>
      <c r="BP9" s="1700"/>
      <c r="BQ9" s="1700"/>
      <c r="BR9" s="1700"/>
      <c r="BS9" s="1700"/>
      <c r="BT9" s="1701"/>
      <c r="BV9" s="1699" t="s">
        <v>2495</v>
      </c>
      <c r="BW9" s="1700"/>
      <c r="BX9" s="1700"/>
      <c r="BY9" s="1700"/>
      <c r="BZ9" s="1700"/>
      <c r="CA9" s="1700"/>
      <c r="CB9" s="1700"/>
      <c r="CC9" s="1700"/>
      <c r="CD9" s="1700"/>
      <c r="CE9" s="1700"/>
      <c r="CF9" s="1701"/>
    </row>
    <row r="10" spans="1:84" ht="21" customHeight="1">
      <c r="A10" s="1667" t="s">
        <v>4</v>
      </c>
      <c r="B10" s="1702" t="s">
        <v>2496</v>
      </c>
      <c r="C10" s="1703">
        <f t="shared" ref="C10:J16" si="0">+ROUND(P10/1000,0)+ROUND(AB10/1000,0)+ROUND(AN10/1000,0)+ROUND(AZ10/1000,0)+ROUND(BL10/1000,0)+ROUND(BX10/1000,0)</f>
        <v>2172</v>
      </c>
      <c r="D10" s="1704">
        <f t="shared" si="0"/>
        <v>827</v>
      </c>
      <c r="E10" s="1704">
        <f t="shared" si="0"/>
        <v>0</v>
      </c>
      <c r="F10" s="1704">
        <f t="shared" si="0"/>
        <v>0</v>
      </c>
      <c r="G10" s="1704">
        <f t="shared" si="0"/>
        <v>0</v>
      </c>
      <c r="H10" s="1704">
        <f t="shared" si="0"/>
        <v>0</v>
      </c>
      <c r="I10" s="1704">
        <f t="shared" si="0"/>
        <v>0</v>
      </c>
      <c r="J10" s="1703">
        <f t="shared" si="0"/>
        <v>827</v>
      </c>
      <c r="K10" s="1705">
        <f>+C10+J10</f>
        <v>2999</v>
      </c>
      <c r="N10" s="1667" t="s">
        <v>4</v>
      </c>
      <c r="O10" s="1702" t="s">
        <v>2496</v>
      </c>
      <c r="P10" s="1703"/>
      <c r="Q10" s="1704"/>
      <c r="R10" s="1704"/>
      <c r="S10" s="1704"/>
      <c r="T10" s="1704"/>
      <c r="U10" s="1704"/>
      <c r="V10" s="1704"/>
      <c r="W10" s="1703">
        <f t="shared" ref="W10:W16" si="1">SUM(Q10:V10)</f>
        <v>0</v>
      </c>
      <c r="X10" s="1705">
        <f>+P10+W10</f>
        <v>0</v>
      </c>
      <c r="Z10" s="1667" t="s">
        <v>4</v>
      </c>
      <c r="AA10" s="1702" t="s">
        <v>2496</v>
      </c>
      <c r="AB10" s="1703">
        <v>1055000</v>
      </c>
      <c r="AC10" s="1704"/>
      <c r="AD10" s="1704"/>
      <c r="AE10" s="1704"/>
      <c r="AF10" s="1704"/>
      <c r="AG10" s="1704"/>
      <c r="AH10" s="1704"/>
      <c r="AI10" s="1703">
        <f t="shared" ref="AI10:AI16" si="2">SUM(AC10:AH10)</f>
        <v>0</v>
      </c>
      <c r="AJ10" s="1705">
        <f>+AB10+AI10</f>
        <v>1055000</v>
      </c>
      <c r="AL10" s="1667" t="s">
        <v>4</v>
      </c>
      <c r="AM10" s="1702" t="s">
        <v>2496</v>
      </c>
      <c r="AN10" s="1703">
        <v>1117000</v>
      </c>
      <c r="AO10" s="1704">
        <v>827000</v>
      </c>
      <c r="AP10" s="1704"/>
      <c r="AQ10" s="1704"/>
      <c r="AR10" s="1704"/>
      <c r="AS10" s="1704"/>
      <c r="AT10" s="1704"/>
      <c r="AU10" s="1703">
        <f t="shared" ref="AU10:AU16" si="3">SUM(AO10:AT10)</f>
        <v>827000</v>
      </c>
      <c r="AV10" s="1705">
        <f>+AN10+AU10</f>
        <v>1944000</v>
      </c>
      <c r="AX10" s="1667" t="s">
        <v>4</v>
      </c>
      <c r="AY10" s="1702" t="s">
        <v>2496</v>
      </c>
      <c r="AZ10" s="1703"/>
      <c r="BA10" s="1704"/>
      <c r="BB10" s="1704"/>
      <c r="BC10" s="1704"/>
      <c r="BD10" s="1704"/>
      <c r="BE10" s="1704"/>
      <c r="BF10" s="1704"/>
      <c r="BG10" s="1703">
        <f t="shared" ref="BG10:BG16" si="4">SUM(BA10:BF10)</f>
        <v>0</v>
      </c>
      <c r="BH10" s="1705">
        <f>+AZ10+BG10</f>
        <v>0</v>
      </c>
      <c r="BJ10" s="1667" t="s">
        <v>4</v>
      </c>
      <c r="BK10" s="1702" t="s">
        <v>2496</v>
      </c>
      <c r="BL10" s="1703"/>
      <c r="BM10" s="1704"/>
      <c r="BN10" s="1704"/>
      <c r="BO10" s="1704"/>
      <c r="BP10" s="1704"/>
      <c r="BQ10" s="1704"/>
      <c r="BR10" s="1704"/>
      <c r="BS10" s="1703">
        <f t="shared" ref="BS10:BS16" si="5">SUM(BM10:BR10)</f>
        <v>0</v>
      </c>
      <c r="BT10" s="1705">
        <f>+BL10+BS10</f>
        <v>0</v>
      </c>
      <c r="BV10" s="1667" t="s">
        <v>4</v>
      </c>
      <c r="BW10" s="1702" t="s">
        <v>2496</v>
      </c>
      <c r="BX10" s="1703"/>
      <c r="BY10" s="1704"/>
      <c r="BZ10" s="1704"/>
      <c r="CA10" s="1704"/>
      <c r="CB10" s="1704"/>
      <c r="CC10" s="1704"/>
      <c r="CD10" s="1704"/>
      <c r="CE10" s="1703">
        <f t="shared" ref="CE10:CE16" si="6">SUM(BY10:CD10)</f>
        <v>0</v>
      </c>
      <c r="CF10" s="1705">
        <f>+BX10+CE10</f>
        <v>0</v>
      </c>
    </row>
    <row r="11" spans="1:84" ht="21" customHeight="1">
      <c r="A11" s="1675" t="s">
        <v>5</v>
      </c>
      <c r="B11" s="1706" t="s">
        <v>852</v>
      </c>
      <c r="C11" s="1707">
        <f t="shared" si="0"/>
        <v>26671</v>
      </c>
      <c r="D11" s="1708">
        <f t="shared" si="0"/>
        <v>0</v>
      </c>
      <c r="E11" s="1708">
        <f t="shared" si="0"/>
        <v>0</v>
      </c>
      <c r="F11" s="1708">
        <f t="shared" si="0"/>
        <v>0</v>
      </c>
      <c r="G11" s="1708">
        <f t="shared" si="0"/>
        <v>0</v>
      </c>
      <c r="H11" s="1708">
        <f t="shared" si="0"/>
        <v>0</v>
      </c>
      <c r="I11" s="1708">
        <f t="shared" si="0"/>
        <v>0</v>
      </c>
      <c r="J11" s="1703">
        <f t="shared" si="0"/>
        <v>0</v>
      </c>
      <c r="K11" s="1709">
        <f t="shared" ref="K11:K16" si="7">+C11+J11</f>
        <v>26671</v>
      </c>
      <c r="N11" s="1675" t="s">
        <v>5</v>
      </c>
      <c r="O11" s="1706" t="s">
        <v>852</v>
      </c>
      <c r="P11" s="1707">
        <v>26671090</v>
      </c>
      <c r="Q11" s="1708"/>
      <c r="R11" s="1708"/>
      <c r="S11" s="1708"/>
      <c r="T11" s="1708"/>
      <c r="U11" s="1708"/>
      <c r="V11" s="1708"/>
      <c r="W11" s="1703">
        <f t="shared" si="1"/>
        <v>0</v>
      </c>
      <c r="X11" s="1709">
        <f t="shared" ref="X11:X16" si="8">+P11+W11</f>
        <v>26671090</v>
      </c>
      <c r="Z11" s="1675" t="s">
        <v>5</v>
      </c>
      <c r="AA11" s="1706" t="s">
        <v>852</v>
      </c>
      <c r="AB11" s="1707"/>
      <c r="AC11" s="1708"/>
      <c r="AD11" s="1708"/>
      <c r="AE11" s="1708"/>
      <c r="AF11" s="1708"/>
      <c r="AG11" s="1708"/>
      <c r="AH11" s="1708"/>
      <c r="AI11" s="1703">
        <f t="shared" si="2"/>
        <v>0</v>
      </c>
      <c r="AJ11" s="1709">
        <f t="shared" ref="AJ11:AJ16" si="9">+AB11+AI11</f>
        <v>0</v>
      </c>
      <c r="AL11" s="1675" t="s">
        <v>5</v>
      </c>
      <c r="AM11" s="1706" t="s">
        <v>852</v>
      </c>
      <c r="AN11" s="1707"/>
      <c r="AO11" s="1708"/>
      <c r="AP11" s="1708"/>
      <c r="AQ11" s="1708"/>
      <c r="AR11" s="1708"/>
      <c r="AS11" s="1708"/>
      <c r="AT11" s="1708"/>
      <c r="AU11" s="1703">
        <f t="shared" si="3"/>
        <v>0</v>
      </c>
      <c r="AV11" s="1709">
        <f t="shared" ref="AV11:AV16" si="10">+AN11+AU11</f>
        <v>0</v>
      </c>
      <c r="AX11" s="1675" t="s">
        <v>5</v>
      </c>
      <c r="AY11" s="1706" t="s">
        <v>852</v>
      </c>
      <c r="AZ11" s="1707"/>
      <c r="BA11" s="1708"/>
      <c r="BB11" s="1708"/>
      <c r="BC11" s="1708"/>
      <c r="BD11" s="1708"/>
      <c r="BE11" s="1708"/>
      <c r="BF11" s="1708"/>
      <c r="BG11" s="1703">
        <f t="shared" si="4"/>
        <v>0</v>
      </c>
      <c r="BH11" s="1709">
        <f t="shared" ref="BH11:BH16" si="11">+AZ11+BG11</f>
        <v>0</v>
      </c>
      <c r="BJ11" s="1675" t="s">
        <v>5</v>
      </c>
      <c r="BK11" s="1706" t="s">
        <v>852</v>
      </c>
      <c r="BL11" s="1707"/>
      <c r="BM11" s="1708"/>
      <c r="BN11" s="1708"/>
      <c r="BO11" s="1708"/>
      <c r="BP11" s="1708"/>
      <c r="BQ11" s="1708"/>
      <c r="BR11" s="1708"/>
      <c r="BS11" s="1703">
        <f t="shared" si="5"/>
        <v>0</v>
      </c>
      <c r="BT11" s="1709">
        <f t="shared" ref="BT11:BT16" si="12">+BL11+BS11</f>
        <v>0</v>
      </c>
      <c r="BV11" s="1675" t="s">
        <v>5</v>
      </c>
      <c r="BW11" s="1706" t="s">
        <v>852</v>
      </c>
      <c r="BX11" s="1707"/>
      <c r="BY11" s="1708"/>
      <c r="BZ11" s="1708"/>
      <c r="CA11" s="1708"/>
      <c r="CB11" s="1708"/>
      <c r="CC11" s="1708"/>
      <c r="CD11" s="1708"/>
      <c r="CE11" s="1703">
        <f t="shared" si="6"/>
        <v>0</v>
      </c>
      <c r="CF11" s="1709">
        <f t="shared" ref="CF11:CF16" si="13">+BX11+CE11</f>
        <v>0</v>
      </c>
    </row>
    <row r="12" spans="1:84" ht="21" customHeight="1">
      <c r="A12" s="1675" t="s">
        <v>6</v>
      </c>
      <c r="B12" s="1706" t="s">
        <v>853</v>
      </c>
      <c r="C12" s="1707">
        <f t="shared" si="0"/>
        <v>0</v>
      </c>
      <c r="D12" s="1708">
        <f t="shared" si="0"/>
        <v>0</v>
      </c>
      <c r="E12" s="1708">
        <f t="shared" si="0"/>
        <v>0</v>
      </c>
      <c r="F12" s="1708">
        <f t="shared" si="0"/>
        <v>0</v>
      </c>
      <c r="G12" s="1708">
        <f t="shared" si="0"/>
        <v>0</v>
      </c>
      <c r="H12" s="1708">
        <f t="shared" si="0"/>
        <v>0</v>
      </c>
      <c r="I12" s="1708">
        <f t="shared" si="0"/>
        <v>0</v>
      </c>
      <c r="J12" s="1703">
        <f t="shared" si="0"/>
        <v>0</v>
      </c>
      <c r="K12" s="1709">
        <f t="shared" si="7"/>
        <v>0</v>
      </c>
      <c r="N12" s="1675" t="s">
        <v>6</v>
      </c>
      <c r="O12" s="1706" t="s">
        <v>853</v>
      </c>
      <c r="P12" s="1707"/>
      <c r="Q12" s="1708"/>
      <c r="R12" s="1708"/>
      <c r="S12" s="1708"/>
      <c r="T12" s="1708"/>
      <c r="U12" s="1708"/>
      <c r="V12" s="1708"/>
      <c r="W12" s="1703">
        <f t="shared" si="1"/>
        <v>0</v>
      </c>
      <c r="X12" s="1709">
        <f t="shared" si="8"/>
        <v>0</v>
      </c>
      <c r="Z12" s="1675" t="s">
        <v>6</v>
      </c>
      <c r="AA12" s="1706" t="s">
        <v>853</v>
      </c>
      <c r="AB12" s="1707"/>
      <c r="AC12" s="1708"/>
      <c r="AD12" s="1708"/>
      <c r="AE12" s="1708"/>
      <c r="AF12" s="1708"/>
      <c r="AG12" s="1708"/>
      <c r="AH12" s="1708"/>
      <c r="AI12" s="1703">
        <f t="shared" si="2"/>
        <v>0</v>
      </c>
      <c r="AJ12" s="1709">
        <f t="shared" si="9"/>
        <v>0</v>
      </c>
      <c r="AL12" s="1675" t="s">
        <v>6</v>
      </c>
      <c r="AM12" s="1706" t="s">
        <v>853</v>
      </c>
      <c r="AN12" s="1707"/>
      <c r="AO12" s="1708"/>
      <c r="AP12" s="1708"/>
      <c r="AQ12" s="1708"/>
      <c r="AR12" s="1708"/>
      <c r="AS12" s="1708"/>
      <c r="AT12" s="1708"/>
      <c r="AU12" s="1703">
        <f t="shared" si="3"/>
        <v>0</v>
      </c>
      <c r="AV12" s="1709">
        <f t="shared" si="10"/>
        <v>0</v>
      </c>
      <c r="AX12" s="1675" t="s">
        <v>6</v>
      </c>
      <c r="AY12" s="1706" t="s">
        <v>853</v>
      </c>
      <c r="AZ12" s="1707"/>
      <c r="BA12" s="1708"/>
      <c r="BB12" s="1708"/>
      <c r="BC12" s="1708"/>
      <c r="BD12" s="1708"/>
      <c r="BE12" s="1708"/>
      <c r="BF12" s="1708"/>
      <c r="BG12" s="1703">
        <f t="shared" si="4"/>
        <v>0</v>
      </c>
      <c r="BH12" s="1709">
        <f t="shared" si="11"/>
        <v>0</v>
      </c>
      <c r="BJ12" s="1675" t="s">
        <v>6</v>
      </c>
      <c r="BK12" s="1706" t="s">
        <v>853</v>
      </c>
      <c r="BL12" s="1707"/>
      <c r="BM12" s="1708"/>
      <c r="BN12" s="1708"/>
      <c r="BO12" s="1708"/>
      <c r="BP12" s="1708"/>
      <c r="BQ12" s="1708"/>
      <c r="BR12" s="1708"/>
      <c r="BS12" s="1703">
        <f t="shared" si="5"/>
        <v>0</v>
      </c>
      <c r="BT12" s="1709">
        <f t="shared" si="12"/>
        <v>0</v>
      </c>
      <c r="BV12" s="1675" t="s">
        <v>6</v>
      </c>
      <c r="BW12" s="1706" t="s">
        <v>853</v>
      </c>
      <c r="BX12" s="1707"/>
      <c r="BY12" s="1708"/>
      <c r="BZ12" s="1708"/>
      <c r="CA12" s="1708"/>
      <c r="CB12" s="1708"/>
      <c r="CC12" s="1708"/>
      <c r="CD12" s="1708"/>
      <c r="CE12" s="1703">
        <f t="shared" si="6"/>
        <v>0</v>
      </c>
      <c r="CF12" s="1709">
        <f t="shared" si="13"/>
        <v>0</v>
      </c>
    </row>
    <row r="13" spans="1:84" ht="21" customHeight="1">
      <c r="A13" s="1675" t="s">
        <v>3</v>
      </c>
      <c r="B13" s="1706" t="s">
        <v>854</v>
      </c>
      <c r="C13" s="1707">
        <f t="shared" si="0"/>
        <v>0</v>
      </c>
      <c r="D13" s="1708">
        <f t="shared" si="0"/>
        <v>0</v>
      </c>
      <c r="E13" s="1708">
        <f t="shared" si="0"/>
        <v>0</v>
      </c>
      <c r="F13" s="1708">
        <f t="shared" si="0"/>
        <v>0</v>
      </c>
      <c r="G13" s="1708">
        <f t="shared" si="0"/>
        <v>0</v>
      </c>
      <c r="H13" s="1708">
        <f t="shared" si="0"/>
        <v>0</v>
      </c>
      <c r="I13" s="1708">
        <f t="shared" si="0"/>
        <v>0</v>
      </c>
      <c r="J13" s="1703">
        <f t="shared" si="0"/>
        <v>0</v>
      </c>
      <c r="K13" s="1709">
        <f t="shared" si="7"/>
        <v>0</v>
      </c>
      <c r="N13" s="1675" t="s">
        <v>3</v>
      </c>
      <c r="O13" s="1706" t="s">
        <v>854</v>
      </c>
      <c r="P13" s="1707"/>
      <c r="Q13" s="1708"/>
      <c r="R13" s="1708"/>
      <c r="S13" s="1708"/>
      <c r="T13" s="1708"/>
      <c r="U13" s="1708"/>
      <c r="V13" s="1708"/>
      <c r="W13" s="1703">
        <f t="shared" si="1"/>
        <v>0</v>
      </c>
      <c r="X13" s="1709">
        <f t="shared" si="8"/>
        <v>0</v>
      </c>
      <c r="Z13" s="1675" t="s">
        <v>3</v>
      </c>
      <c r="AA13" s="1706" t="s">
        <v>854</v>
      </c>
      <c r="AB13" s="1707"/>
      <c r="AC13" s="1708"/>
      <c r="AD13" s="1708"/>
      <c r="AE13" s="1708"/>
      <c r="AF13" s="1708"/>
      <c r="AG13" s="1708"/>
      <c r="AH13" s="1708"/>
      <c r="AI13" s="1703">
        <f t="shared" si="2"/>
        <v>0</v>
      </c>
      <c r="AJ13" s="1709">
        <f t="shared" si="9"/>
        <v>0</v>
      </c>
      <c r="AL13" s="1675" t="s">
        <v>3</v>
      </c>
      <c r="AM13" s="1706" t="s">
        <v>854</v>
      </c>
      <c r="AN13" s="1707"/>
      <c r="AO13" s="1708"/>
      <c r="AP13" s="1708"/>
      <c r="AQ13" s="1708"/>
      <c r="AR13" s="1708"/>
      <c r="AS13" s="1708"/>
      <c r="AT13" s="1708"/>
      <c r="AU13" s="1703">
        <f t="shared" si="3"/>
        <v>0</v>
      </c>
      <c r="AV13" s="1709">
        <f t="shared" si="10"/>
        <v>0</v>
      </c>
      <c r="AX13" s="1675" t="s">
        <v>3</v>
      </c>
      <c r="AY13" s="1706" t="s">
        <v>854</v>
      </c>
      <c r="AZ13" s="1707"/>
      <c r="BA13" s="1708"/>
      <c r="BB13" s="1708"/>
      <c r="BC13" s="1708"/>
      <c r="BD13" s="1708"/>
      <c r="BE13" s="1708"/>
      <c r="BF13" s="1708"/>
      <c r="BG13" s="1703">
        <f t="shared" si="4"/>
        <v>0</v>
      </c>
      <c r="BH13" s="1709">
        <f t="shared" si="11"/>
        <v>0</v>
      </c>
      <c r="BJ13" s="1675" t="s">
        <v>3</v>
      </c>
      <c r="BK13" s="1706" t="s">
        <v>854</v>
      </c>
      <c r="BL13" s="1707"/>
      <c r="BM13" s="1708"/>
      <c r="BN13" s="1708"/>
      <c r="BO13" s="1708"/>
      <c r="BP13" s="1708"/>
      <c r="BQ13" s="1708"/>
      <c r="BR13" s="1708"/>
      <c r="BS13" s="1703">
        <f t="shared" si="5"/>
        <v>0</v>
      </c>
      <c r="BT13" s="1709">
        <f t="shared" si="12"/>
        <v>0</v>
      </c>
      <c r="BV13" s="1675" t="s">
        <v>3</v>
      </c>
      <c r="BW13" s="1706" t="s">
        <v>854</v>
      </c>
      <c r="BX13" s="1707"/>
      <c r="BY13" s="1708"/>
      <c r="BZ13" s="1708"/>
      <c r="CA13" s="1708"/>
      <c r="CB13" s="1708"/>
      <c r="CC13" s="1708"/>
      <c r="CD13" s="1708"/>
      <c r="CE13" s="1703">
        <f t="shared" si="6"/>
        <v>0</v>
      </c>
      <c r="CF13" s="1709">
        <f t="shared" si="13"/>
        <v>0</v>
      </c>
    </row>
    <row r="14" spans="1:84" ht="24.75" customHeight="1">
      <c r="A14" s="1675" t="s">
        <v>16</v>
      </c>
      <c r="B14" s="1706" t="s">
        <v>855</v>
      </c>
      <c r="C14" s="1707">
        <f t="shared" si="0"/>
        <v>0</v>
      </c>
      <c r="D14" s="1708">
        <f t="shared" si="0"/>
        <v>0</v>
      </c>
      <c r="E14" s="1708">
        <f t="shared" si="0"/>
        <v>0</v>
      </c>
      <c r="F14" s="1708">
        <f t="shared" si="0"/>
        <v>0</v>
      </c>
      <c r="G14" s="1708">
        <f t="shared" si="0"/>
        <v>0</v>
      </c>
      <c r="H14" s="1708">
        <f t="shared" si="0"/>
        <v>0</v>
      </c>
      <c r="I14" s="1708">
        <f t="shared" si="0"/>
        <v>0</v>
      </c>
      <c r="J14" s="1703">
        <f t="shared" si="0"/>
        <v>0</v>
      </c>
      <c r="K14" s="1709">
        <f t="shared" si="7"/>
        <v>0</v>
      </c>
      <c r="N14" s="1675" t="s">
        <v>16</v>
      </c>
      <c r="O14" s="1706" t="s">
        <v>855</v>
      </c>
      <c r="P14" s="1707"/>
      <c r="Q14" s="1708"/>
      <c r="R14" s="1708"/>
      <c r="S14" s="1708"/>
      <c r="T14" s="1708"/>
      <c r="U14" s="1708"/>
      <c r="V14" s="1708"/>
      <c r="W14" s="1703">
        <f t="shared" si="1"/>
        <v>0</v>
      </c>
      <c r="X14" s="1709">
        <f t="shared" si="8"/>
        <v>0</v>
      </c>
      <c r="Z14" s="1675" t="s">
        <v>16</v>
      </c>
      <c r="AA14" s="1706" t="s">
        <v>855</v>
      </c>
      <c r="AB14" s="1707"/>
      <c r="AC14" s="1708"/>
      <c r="AD14" s="1708"/>
      <c r="AE14" s="1708"/>
      <c r="AF14" s="1708"/>
      <c r="AG14" s="1708"/>
      <c r="AH14" s="1708"/>
      <c r="AI14" s="1703">
        <f t="shared" si="2"/>
        <v>0</v>
      </c>
      <c r="AJ14" s="1709">
        <f t="shared" si="9"/>
        <v>0</v>
      </c>
      <c r="AL14" s="1675" t="s">
        <v>16</v>
      </c>
      <c r="AM14" s="1706" t="s">
        <v>855</v>
      </c>
      <c r="AN14" s="1707"/>
      <c r="AO14" s="1708"/>
      <c r="AP14" s="1708"/>
      <c r="AQ14" s="1708"/>
      <c r="AR14" s="1708"/>
      <c r="AS14" s="1708"/>
      <c r="AT14" s="1708"/>
      <c r="AU14" s="1703">
        <f t="shared" si="3"/>
        <v>0</v>
      </c>
      <c r="AV14" s="1709">
        <f t="shared" si="10"/>
        <v>0</v>
      </c>
      <c r="AX14" s="1675" t="s">
        <v>16</v>
      </c>
      <c r="AY14" s="1706" t="s">
        <v>855</v>
      </c>
      <c r="AZ14" s="1707"/>
      <c r="BA14" s="1708"/>
      <c r="BB14" s="1708"/>
      <c r="BC14" s="1708"/>
      <c r="BD14" s="1708"/>
      <c r="BE14" s="1708"/>
      <c r="BF14" s="1708"/>
      <c r="BG14" s="1703">
        <f t="shared" si="4"/>
        <v>0</v>
      </c>
      <c r="BH14" s="1709">
        <f t="shared" si="11"/>
        <v>0</v>
      </c>
      <c r="BJ14" s="1675" t="s">
        <v>16</v>
      </c>
      <c r="BK14" s="1706" t="s">
        <v>855</v>
      </c>
      <c r="BL14" s="1707"/>
      <c r="BM14" s="1708"/>
      <c r="BN14" s="1708"/>
      <c r="BO14" s="1708"/>
      <c r="BP14" s="1708"/>
      <c r="BQ14" s="1708"/>
      <c r="BR14" s="1708"/>
      <c r="BS14" s="1703">
        <f t="shared" si="5"/>
        <v>0</v>
      </c>
      <c r="BT14" s="1709">
        <f t="shared" si="12"/>
        <v>0</v>
      </c>
      <c r="BV14" s="1675" t="s">
        <v>16</v>
      </c>
      <c r="BW14" s="1706" t="s">
        <v>855</v>
      </c>
      <c r="BX14" s="1707"/>
      <c r="BY14" s="1708"/>
      <c r="BZ14" s="1708"/>
      <c r="CA14" s="1708"/>
      <c r="CB14" s="1708"/>
      <c r="CC14" s="1708"/>
      <c r="CD14" s="1708"/>
      <c r="CE14" s="1703">
        <f t="shared" si="6"/>
        <v>0</v>
      </c>
      <c r="CF14" s="1709">
        <f t="shared" si="13"/>
        <v>0</v>
      </c>
    </row>
    <row r="15" spans="1:84" ht="21" customHeight="1">
      <c r="A15" s="1710" t="s">
        <v>15</v>
      </c>
      <c r="B15" s="1711" t="s">
        <v>2497</v>
      </c>
      <c r="C15" s="1712">
        <f t="shared" si="0"/>
        <v>127989</v>
      </c>
      <c r="D15" s="1713">
        <f t="shared" si="0"/>
        <v>16831</v>
      </c>
      <c r="E15" s="1713">
        <f t="shared" si="0"/>
        <v>5628</v>
      </c>
      <c r="F15" s="1713">
        <f t="shared" si="0"/>
        <v>1922</v>
      </c>
      <c r="G15" s="1713">
        <f t="shared" si="0"/>
        <v>6077</v>
      </c>
      <c r="H15" s="1713">
        <f t="shared" si="0"/>
        <v>22703</v>
      </c>
      <c r="I15" s="1713">
        <f t="shared" si="0"/>
        <v>12669</v>
      </c>
      <c r="J15" s="1703">
        <f t="shared" si="0"/>
        <v>65831</v>
      </c>
      <c r="K15" s="1714">
        <f t="shared" si="7"/>
        <v>193820</v>
      </c>
      <c r="N15" s="1710" t="s">
        <v>15</v>
      </c>
      <c r="O15" s="1711" t="s">
        <v>2497</v>
      </c>
      <c r="P15" s="1712">
        <f>20383395+53820000+42525000+6695567+1018794</f>
        <v>124442756</v>
      </c>
      <c r="Q15" s="1713">
        <f>10998174+1666300+1457460+282302</f>
        <v>14404236</v>
      </c>
      <c r="R15" s="1713">
        <f>4488507+732240</f>
        <v>5220747</v>
      </c>
      <c r="S15" s="1713">
        <f>1154506+767240</f>
        <v>1921746</v>
      </c>
      <c r="T15" s="1713">
        <f>2952034+2196720</f>
        <v>5148754</v>
      </c>
      <c r="U15" s="1713">
        <f>17632451+45100+2229526</f>
        <v>19907077</v>
      </c>
      <c r="V15" s="1713">
        <f>491483+4136574</f>
        <v>4628057</v>
      </c>
      <c r="W15" s="1703">
        <f t="shared" si="1"/>
        <v>51230617</v>
      </c>
      <c r="X15" s="1714">
        <f t="shared" si="8"/>
        <v>175673373</v>
      </c>
      <c r="Z15" s="1710" t="s">
        <v>15</v>
      </c>
      <c r="AA15" s="1711" t="s">
        <v>2497</v>
      </c>
      <c r="AB15" s="1712">
        <v>845575</v>
      </c>
      <c r="AC15" s="1713">
        <f>1697036+42280</f>
        <v>1739316</v>
      </c>
      <c r="AD15" s="1713">
        <v>367702</v>
      </c>
      <c r="AE15" s="1713"/>
      <c r="AF15" s="1713"/>
      <c r="AG15" s="1713">
        <v>2384</v>
      </c>
      <c r="AH15" s="1713">
        <v>600194</v>
      </c>
      <c r="AI15" s="1703">
        <f t="shared" si="2"/>
        <v>2709596</v>
      </c>
      <c r="AJ15" s="1714">
        <f t="shared" si="9"/>
        <v>3555171</v>
      </c>
      <c r="AL15" s="1710" t="s">
        <v>15</v>
      </c>
      <c r="AM15" s="1711" t="s">
        <v>2497</v>
      </c>
      <c r="AN15" s="1712">
        <f>3697724-1117000</f>
        <v>2580724</v>
      </c>
      <c r="AO15" s="1713">
        <v>517289</v>
      </c>
      <c r="AP15" s="1713">
        <v>0</v>
      </c>
      <c r="AQ15" s="1713">
        <v>0</v>
      </c>
      <c r="AR15" s="1713">
        <v>922247</v>
      </c>
      <c r="AS15" s="1713">
        <v>2792734</v>
      </c>
      <c r="AT15" s="1713">
        <v>6146138</v>
      </c>
      <c r="AU15" s="1703">
        <f t="shared" si="3"/>
        <v>10378408</v>
      </c>
      <c r="AV15" s="1714">
        <f t="shared" si="10"/>
        <v>12959132</v>
      </c>
      <c r="AX15" s="1710" t="s">
        <v>15</v>
      </c>
      <c r="AY15" s="1711" t="s">
        <v>2497</v>
      </c>
      <c r="AZ15" s="1712">
        <f>93189</f>
        <v>93189</v>
      </c>
      <c r="BA15" s="1713">
        <f>157518-840</f>
        <v>156678</v>
      </c>
      <c r="BB15" s="1713">
        <v>39120</v>
      </c>
      <c r="BC15" s="1713">
        <v>0</v>
      </c>
      <c r="BD15" s="1713">
        <v>0</v>
      </c>
      <c r="BE15" s="1713">
        <v>1340</v>
      </c>
      <c r="BF15" s="1713">
        <v>1294511</v>
      </c>
      <c r="BG15" s="1703">
        <f t="shared" si="4"/>
        <v>1491649</v>
      </c>
      <c r="BH15" s="1714">
        <f t="shared" si="11"/>
        <v>1584838</v>
      </c>
      <c r="BJ15" s="1710" t="s">
        <v>15</v>
      </c>
      <c r="BK15" s="1711" t="s">
        <v>2497</v>
      </c>
      <c r="BL15" s="1712"/>
      <c r="BM15" s="1713"/>
      <c r="BN15" s="1713"/>
      <c r="BO15" s="1713"/>
      <c r="BP15" s="1713"/>
      <c r="BQ15" s="1713"/>
      <c r="BR15" s="1713"/>
      <c r="BS15" s="1703">
        <f t="shared" si="5"/>
        <v>0</v>
      </c>
      <c r="BT15" s="1714">
        <f t="shared" si="12"/>
        <v>0</v>
      </c>
      <c r="BV15" s="1710" t="s">
        <v>15</v>
      </c>
      <c r="BW15" s="1711" t="s">
        <v>2497</v>
      </c>
      <c r="BX15" s="1712">
        <v>26400</v>
      </c>
      <c r="BY15" s="1713">
        <v>13981</v>
      </c>
      <c r="BZ15" s="1713"/>
      <c r="CA15" s="1713"/>
      <c r="CB15" s="1713">
        <v>5561</v>
      </c>
      <c r="CC15" s="1713"/>
      <c r="CD15" s="1713"/>
      <c r="CE15" s="1703">
        <f t="shared" si="6"/>
        <v>19542</v>
      </c>
      <c r="CF15" s="1714">
        <f t="shared" si="13"/>
        <v>45942</v>
      </c>
    </row>
    <row r="16" spans="1:84" ht="21" customHeight="1" thickBot="1">
      <c r="A16" s="1715" t="s">
        <v>14</v>
      </c>
      <c r="B16" s="1716" t="s">
        <v>2498</v>
      </c>
      <c r="C16" s="1717">
        <f t="shared" si="0"/>
        <v>0</v>
      </c>
      <c r="D16" s="1718">
        <f t="shared" si="0"/>
        <v>0</v>
      </c>
      <c r="E16" s="1718">
        <f t="shared" si="0"/>
        <v>0</v>
      </c>
      <c r="F16" s="1718">
        <f t="shared" si="0"/>
        <v>0</v>
      </c>
      <c r="G16" s="1718">
        <f t="shared" si="0"/>
        <v>0</v>
      </c>
      <c r="H16" s="1718">
        <f t="shared" si="0"/>
        <v>0</v>
      </c>
      <c r="I16" s="1718">
        <f t="shared" si="0"/>
        <v>0</v>
      </c>
      <c r="J16" s="1703">
        <f t="shared" si="0"/>
        <v>0</v>
      </c>
      <c r="K16" s="1719">
        <f t="shared" si="7"/>
        <v>0</v>
      </c>
      <c r="N16" s="1715" t="s">
        <v>14</v>
      </c>
      <c r="O16" s="1716" t="s">
        <v>2498</v>
      </c>
      <c r="P16" s="1717"/>
      <c r="Q16" s="1718"/>
      <c r="R16" s="1718"/>
      <c r="S16" s="1718"/>
      <c r="T16" s="1718"/>
      <c r="U16" s="1718"/>
      <c r="V16" s="1718"/>
      <c r="W16" s="1703">
        <f t="shared" si="1"/>
        <v>0</v>
      </c>
      <c r="X16" s="1719">
        <f t="shared" si="8"/>
        <v>0</v>
      </c>
      <c r="Z16" s="1715" t="s">
        <v>14</v>
      </c>
      <c r="AA16" s="1716" t="s">
        <v>2498</v>
      </c>
      <c r="AB16" s="1717"/>
      <c r="AC16" s="1718"/>
      <c r="AD16" s="1718"/>
      <c r="AE16" s="1718"/>
      <c r="AF16" s="1718"/>
      <c r="AG16" s="1718"/>
      <c r="AH16" s="1718"/>
      <c r="AI16" s="1703">
        <f t="shared" si="2"/>
        <v>0</v>
      </c>
      <c r="AJ16" s="1719">
        <f t="shared" si="9"/>
        <v>0</v>
      </c>
      <c r="AL16" s="1715" t="s">
        <v>14</v>
      </c>
      <c r="AM16" s="1716" t="s">
        <v>2498</v>
      </c>
      <c r="AN16" s="1717"/>
      <c r="AO16" s="1718"/>
      <c r="AP16" s="1718"/>
      <c r="AQ16" s="1718"/>
      <c r="AR16" s="1718"/>
      <c r="AS16" s="1718"/>
      <c r="AT16" s="1718"/>
      <c r="AU16" s="1703">
        <f t="shared" si="3"/>
        <v>0</v>
      </c>
      <c r="AV16" s="1719">
        <f t="shared" si="10"/>
        <v>0</v>
      </c>
      <c r="AX16" s="1715" t="s">
        <v>14</v>
      </c>
      <c r="AY16" s="1716" t="s">
        <v>2498</v>
      </c>
      <c r="AZ16" s="1717"/>
      <c r="BA16" s="1718"/>
      <c r="BB16" s="1718"/>
      <c r="BC16" s="1718"/>
      <c r="BD16" s="1718"/>
      <c r="BE16" s="1718"/>
      <c r="BF16" s="1718"/>
      <c r="BG16" s="1703">
        <f t="shared" si="4"/>
        <v>0</v>
      </c>
      <c r="BH16" s="1719">
        <f t="shared" si="11"/>
        <v>0</v>
      </c>
      <c r="BJ16" s="1715" t="s">
        <v>14</v>
      </c>
      <c r="BK16" s="1716" t="s">
        <v>2498</v>
      </c>
      <c r="BL16" s="1717"/>
      <c r="BM16" s="1718"/>
      <c r="BN16" s="1718"/>
      <c r="BO16" s="1718"/>
      <c r="BP16" s="1718"/>
      <c r="BQ16" s="1718"/>
      <c r="BR16" s="1718"/>
      <c r="BS16" s="1703">
        <f t="shared" si="5"/>
        <v>0</v>
      </c>
      <c r="BT16" s="1719">
        <f t="shared" si="12"/>
        <v>0</v>
      </c>
      <c r="BV16" s="1715" t="s">
        <v>14</v>
      </c>
      <c r="BW16" s="1716" t="s">
        <v>2498</v>
      </c>
      <c r="BX16" s="1717"/>
      <c r="BY16" s="1718"/>
      <c r="BZ16" s="1718"/>
      <c r="CA16" s="1718"/>
      <c r="CB16" s="1718"/>
      <c r="CC16" s="1718"/>
      <c r="CD16" s="1718"/>
      <c r="CE16" s="1703">
        <f t="shared" si="6"/>
        <v>0</v>
      </c>
      <c r="CF16" s="1719">
        <f t="shared" si="13"/>
        <v>0</v>
      </c>
    </row>
    <row r="17" spans="1:84" s="659" customFormat="1" ht="21" customHeight="1" thickBot="1">
      <c r="A17" s="1681" t="s">
        <v>2499</v>
      </c>
      <c r="B17" s="1720"/>
      <c r="C17" s="1721">
        <f>SUM(C10:C16)</f>
        <v>156832</v>
      </c>
      <c r="D17" s="1721">
        <f t="shared" ref="D17:K17" si="14">SUM(D10:D16)</f>
        <v>17658</v>
      </c>
      <c r="E17" s="1721">
        <f t="shared" si="14"/>
        <v>5628</v>
      </c>
      <c r="F17" s="1721">
        <f t="shared" si="14"/>
        <v>1922</v>
      </c>
      <c r="G17" s="1721">
        <f t="shared" si="14"/>
        <v>6077</v>
      </c>
      <c r="H17" s="1721">
        <f t="shared" si="14"/>
        <v>22703</v>
      </c>
      <c r="I17" s="1721">
        <f t="shared" si="14"/>
        <v>12669</v>
      </c>
      <c r="J17" s="1721">
        <f t="shared" si="14"/>
        <v>66658</v>
      </c>
      <c r="K17" s="1722">
        <f t="shared" si="14"/>
        <v>223490</v>
      </c>
      <c r="N17" s="1681" t="s">
        <v>2499</v>
      </c>
      <c r="O17" s="1720"/>
      <c r="P17" s="1721">
        <f>SUM(P10:P16)</f>
        <v>151113846</v>
      </c>
      <c r="Q17" s="1721">
        <f t="shared" ref="Q17:X17" si="15">SUM(Q10:Q16)</f>
        <v>14404236</v>
      </c>
      <c r="R17" s="1721">
        <f t="shared" si="15"/>
        <v>5220747</v>
      </c>
      <c r="S17" s="1721">
        <f t="shared" si="15"/>
        <v>1921746</v>
      </c>
      <c r="T17" s="1721">
        <f t="shared" si="15"/>
        <v>5148754</v>
      </c>
      <c r="U17" s="1721">
        <f t="shared" si="15"/>
        <v>19907077</v>
      </c>
      <c r="V17" s="1721">
        <f t="shared" si="15"/>
        <v>4628057</v>
      </c>
      <c r="W17" s="1721">
        <f t="shared" si="15"/>
        <v>51230617</v>
      </c>
      <c r="X17" s="1722">
        <f t="shared" si="15"/>
        <v>202344463</v>
      </c>
      <c r="Z17" s="1681" t="s">
        <v>2499</v>
      </c>
      <c r="AA17" s="1720"/>
      <c r="AB17" s="1721">
        <f>SUM(AB10:AB16)</f>
        <v>1900575</v>
      </c>
      <c r="AC17" s="1721">
        <f t="shared" ref="AC17:AJ17" si="16">SUM(AC10:AC16)</f>
        <v>1739316</v>
      </c>
      <c r="AD17" s="1721">
        <f t="shared" si="16"/>
        <v>367702</v>
      </c>
      <c r="AE17" s="1721">
        <f t="shared" si="16"/>
        <v>0</v>
      </c>
      <c r="AF17" s="1721">
        <f t="shared" si="16"/>
        <v>0</v>
      </c>
      <c r="AG17" s="1721">
        <f t="shared" si="16"/>
        <v>2384</v>
      </c>
      <c r="AH17" s="1721">
        <f t="shared" si="16"/>
        <v>600194</v>
      </c>
      <c r="AI17" s="1721">
        <f t="shared" si="16"/>
        <v>2709596</v>
      </c>
      <c r="AJ17" s="1722">
        <f t="shared" si="16"/>
        <v>4610171</v>
      </c>
      <c r="AL17" s="1681" t="s">
        <v>2499</v>
      </c>
      <c r="AM17" s="1720"/>
      <c r="AN17" s="1721">
        <f>SUM(AN10:AN16)</f>
        <v>3697724</v>
      </c>
      <c r="AO17" s="1721">
        <f t="shared" ref="AO17:AV17" si="17">SUM(AO10:AO16)</f>
        <v>1344289</v>
      </c>
      <c r="AP17" s="1721">
        <f t="shared" si="17"/>
        <v>0</v>
      </c>
      <c r="AQ17" s="1721">
        <f t="shared" si="17"/>
        <v>0</v>
      </c>
      <c r="AR17" s="1721">
        <f t="shared" si="17"/>
        <v>922247</v>
      </c>
      <c r="AS17" s="1721">
        <f t="shared" si="17"/>
        <v>2792734</v>
      </c>
      <c r="AT17" s="1721">
        <f t="shared" si="17"/>
        <v>6146138</v>
      </c>
      <c r="AU17" s="1721">
        <f t="shared" si="17"/>
        <v>11205408</v>
      </c>
      <c r="AV17" s="1722">
        <f t="shared" si="17"/>
        <v>14903132</v>
      </c>
      <c r="AX17" s="1681" t="s">
        <v>2499</v>
      </c>
      <c r="AY17" s="1720"/>
      <c r="AZ17" s="1721">
        <f>SUM(AZ10:AZ16)</f>
        <v>93189</v>
      </c>
      <c r="BA17" s="1721">
        <f t="shared" ref="BA17:BH17" si="18">SUM(BA10:BA16)</f>
        <v>156678</v>
      </c>
      <c r="BB17" s="1721">
        <f t="shared" si="18"/>
        <v>39120</v>
      </c>
      <c r="BC17" s="1721">
        <f t="shared" si="18"/>
        <v>0</v>
      </c>
      <c r="BD17" s="1721">
        <f t="shared" si="18"/>
        <v>0</v>
      </c>
      <c r="BE17" s="1721">
        <f t="shared" si="18"/>
        <v>1340</v>
      </c>
      <c r="BF17" s="1721">
        <f t="shared" si="18"/>
        <v>1294511</v>
      </c>
      <c r="BG17" s="1721">
        <f t="shared" si="18"/>
        <v>1491649</v>
      </c>
      <c r="BH17" s="1722">
        <f t="shared" si="18"/>
        <v>1584838</v>
      </c>
      <c r="BJ17" s="1681" t="s">
        <v>2499</v>
      </c>
      <c r="BK17" s="1720"/>
      <c r="BL17" s="1721">
        <f>SUM(BL10:BL16)</f>
        <v>0</v>
      </c>
      <c r="BM17" s="1721">
        <f t="shared" ref="BM17:BT17" si="19">SUM(BM10:BM16)</f>
        <v>0</v>
      </c>
      <c r="BN17" s="1721">
        <f t="shared" si="19"/>
        <v>0</v>
      </c>
      <c r="BO17" s="1721">
        <f t="shared" si="19"/>
        <v>0</v>
      </c>
      <c r="BP17" s="1721">
        <f t="shared" si="19"/>
        <v>0</v>
      </c>
      <c r="BQ17" s="1721">
        <f t="shared" si="19"/>
        <v>0</v>
      </c>
      <c r="BR17" s="1721">
        <f t="shared" si="19"/>
        <v>0</v>
      </c>
      <c r="BS17" s="1721">
        <f t="shared" si="19"/>
        <v>0</v>
      </c>
      <c r="BT17" s="1722">
        <f t="shared" si="19"/>
        <v>0</v>
      </c>
      <c r="BV17" s="1681" t="s">
        <v>2499</v>
      </c>
      <c r="BW17" s="1720"/>
      <c r="BX17" s="1721">
        <f>SUM(BX10:BX16)</f>
        <v>26400</v>
      </c>
      <c r="BY17" s="1721">
        <f t="shared" ref="BY17:CF17" si="20">SUM(BY10:BY16)</f>
        <v>13981</v>
      </c>
      <c r="BZ17" s="1721">
        <f t="shared" si="20"/>
        <v>0</v>
      </c>
      <c r="CA17" s="1721">
        <f t="shared" si="20"/>
        <v>0</v>
      </c>
      <c r="CB17" s="1721">
        <f t="shared" si="20"/>
        <v>5561</v>
      </c>
      <c r="CC17" s="1721">
        <f t="shared" si="20"/>
        <v>0</v>
      </c>
      <c r="CD17" s="1721">
        <f t="shared" si="20"/>
        <v>0</v>
      </c>
      <c r="CE17" s="1721">
        <f t="shared" si="20"/>
        <v>19542</v>
      </c>
      <c r="CF17" s="1722">
        <f t="shared" si="20"/>
        <v>45942</v>
      </c>
    </row>
    <row r="18" spans="1:84" ht="21" customHeight="1">
      <c r="A18" s="1699" t="s">
        <v>2500</v>
      </c>
      <c r="B18" s="1700"/>
      <c r="C18" s="1700"/>
      <c r="D18" s="1700"/>
      <c r="E18" s="1700"/>
      <c r="F18" s="1700"/>
      <c r="G18" s="1700"/>
      <c r="H18" s="1700"/>
      <c r="I18" s="1700"/>
      <c r="J18" s="1700"/>
      <c r="K18" s="1701"/>
      <c r="N18" s="1699" t="s">
        <v>2500</v>
      </c>
      <c r="O18" s="1700"/>
      <c r="P18" s="1700"/>
      <c r="Q18" s="1700"/>
      <c r="R18" s="1700"/>
      <c r="S18" s="1700"/>
      <c r="T18" s="1700"/>
      <c r="U18" s="1700"/>
      <c r="V18" s="1700"/>
      <c r="W18" s="1700"/>
      <c r="X18" s="1701"/>
      <c r="Z18" s="1699" t="s">
        <v>2500</v>
      </c>
      <c r="AA18" s="1700"/>
      <c r="AB18" s="1700"/>
      <c r="AC18" s="1700"/>
      <c r="AD18" s="1700"/>
      <c r="AE18" s="1700"/>
      <c r="AF18" s="1700"/>
      <c r="AG18" s="1700"/>
      <c r="AH18" s="1700"/>
      <c r="AI18" s="1700"/>
      <c r="AJ18" s="1701"/>
      <c r="AL18" s="1699" t="s">
        <v>2500</v>
      </c>
      <c r="AM18" s="1700"/>
      <c r="AN18" s="1700"/>
      <c r="AO18" s="1700"/>
      <c r="AP18" s="1700"/>
      <c r="AQ18" s="1700"/>
      <c r="AR18" s="1700"/>
      <c r="AS18" s="1700"/>
      <c r="AT18" s="1700"/>
      <c r="AU18" s="1700"/>
      <c r="AV18" s="1701"/>
      <c r="AX18" s="1699" t="s">
        <v>2500</v>
      </c>
      <c r="AY18" s="1700"/>
      <c r="AZ18" s="1700"/>
      <c r="BA18" s="1700"/>
      <c r="BB18" s="1700"/>
      <c r="BC18" s="1700"/>
      <c r="BD18" s="1700"/>
      <c r="BE18" s="1700"/>
      <c r="BF18" s="1700"/>
      <c r="BG18" s="1700"/>
      <c r="BH18" s="1701"/>
      <c r="BJ18" s="1699" t="s">
        <v>2500</v>
      </c>
      <c r="BK18" s="1700"/>
      <c r="BL18" s="1700"/>
      <c r="BM18" s="1700"/>
      <c r="BN18" s="1700"/>
      <c r="BO18" s="1700"/>
      <c r="BP18" s="1700"/>
      <c r="BQ18" s="1700"/>
      <c r="BR18" s="1700"/>
      <c r="BS18" s="1700"/>
      <c r="BT18" s="1701"/>
      <c r="BV18" s="1699" t="s">
        <v>2500</v>
      </c>
      <c r="BW18" s="1700"/>
      <c r="BX18" s="1700"/>
      <c r="BY18" s="1700"/>
      <c r="BZ18" s="1700"/>
      <c r="CA18" s="1700"/>
      <c r="CB18" s="1700"/>
      <c r="CC18" s="1700"/>
      <c r="CD18" s="1700"/>
      <c r="CE18" s="1700"/>
      <c r="CF18" s="1701"/>
    </row>
    <row r="19" spans="1:84" ht="21" customHeight="1">
      <c r="A19" s="1667" t="s">
        <v>4</v>
      </c>
      <c r="B19" s="1702" t="s">
        <v>2501</v>
      </c>
      <c r="C19" s="1703">
        <f t="shared" ref="C19:I20" si="21">+ROUND(P19/1000,0)+ROUND(AB19/1000,0)+ROUND(AN19/1000,0)+ROUND(AZ19/1000,0)+ROUND(BL19/1000,0)+ROUND(BX19/1000,0)</f>
        <v>0</v>
      </c>
      <c r="D19" s="1704">
        <f t="shared" si="21"/>
        <v>0</v>
      </c>
      <c r="E19" s="1704">
        <f t="shared" si="21"/>
        <v>0</v>
      </c>
      <c r="F19" s="1704">
        <f t="shared" si="21"/>
        <v>0</v>
      </c>
      <c r="G19" s="1704">
        <f t="shared" si="21"/>
        <v>0</v>
      </c>
      <c r="H19" s="1704">
        <f t="shared" si="21"/>
        <v>0</v>
      </c>
      <c r="I19" s="1704">
        <f t="shared" si="21"/>
        <v>0</v>
      </c>
      <c r="J19" s="1703">
        <f>+W19+AI19+AU19+BG19+BS19</f>
        <v>0</v>
      </c>
      <c r="K19" s="1705">
        <f>+C19+J19</f>
        <v>0</v>
      </c>
      <c r="N19" s="1667" t="s">
        <v>4</v>
      </c>
      <c r="O19" s="1702" t="s">
        <v>2501</v>
      </c>
      <c r="P19" s="1703"/>
      <c r="Q19" s="1704"/>
      <c r="R19" s="1704"/>
      <c r="S19" s="1704"/>
      <c r="T19" s="1704"/>
      <c r="U19" s="1704"/>
      <c r="V19" s="1704"/>
      <c r="W19" s="1703">
        <f>SUM(Q19:V19)</f>
        <v>0</v>
      </c>
      <c r="X19" s="1705">
        <f>+P19+W19</f>
        <v>0</v>
      </c>
      <c r="Z19" s="1667" t="s">
        <v>4</v>
      </c>
      <c r="AA19" s="1702" t="s">
        <v>2501</v>
      </c>
      <c r="AB19" s="1703"/>
      <c r="AC19" s="1704"/>
      <c r="AD19" s="1704"/>
      <c r="AE19" s="1704"/>
      <c r="AF19" s="1704"/>
      <c r="AG19" s="1704"/>
      <c r="AH19" s="1704"/>
      <c r="AI19" s="1703">
        <f>SUM(AC19:AH19)</f>
        <v>0</v>
      </c>
      <c r="AJ19" s="1705">
        <f>+AB19+AI19</f>
        <v>0</v>
      </c>
      <c r="AL19" s="1667" t="s">
        <v>4</v>
      </c>
      <c r="AM19" s="1702" t="s">
        <v>2501</v>
      </c>
      <c r="AN19" s="1703"/>
      <c r="AO19" s="1704"/>
      <c r="AP19" s="1704"/>
      <c r="AQ19" s="1704"/>
      <c r="AR19" s="1704"/>
      <c r="AS19" s="1704"/>
      <c r="AT19" s="1704"/>
      <c r="AU19" s="1703">
        <f>SUM(AO19:AT19)</f>
        <v>0</v>
      </c>
      <c r="AV19" s="1705">
        <f>+AN19+AU19</f>
        <v>0</v>
      </c>
      <c r="AX19" s="1667" t="s">
        <v>4</v>
      </c>
      <c r="AY19" s="1702" t="s">
        <v>2501</v>
      </c>
      <c r="AZ19" s="1703"/>
      <c r="BA19" s="1704"/>
      <c r="BB19" s="1704"/>
      <c r="BC19" s="1704"/>
      <c r="BD19" s="1704"/>
      <c r="BE19" s="1704"/>
      <c r="BF19" s="1704"/>
      <c r="BG19" s="1703">
        <f>SUM(BA19:BF19)</f>
        <v>0</v>
      </c>
      <c r="BH19" s="1705">
        <f>+AZ19+BG19</f>
        <v>0</v>
      </c>
      <c r="BJ19" s="1667" t="s">
        <v>4</v>
      </c>
      <c r="BK19" s="1702" t="s">
        <v>2501</v>
      </c>
      <c r="BL19" s="1703"/>
      <c r="BM19" s="1704"/>
      <c r="BN19" s="1704"/>
      <c r="BO19" s="1704"/>
      <c r="BP19" s="1704"/>
      <c r="BQ19" s="1704"/>
      <c r="BR19" s="1704"/>
      <c r="BS19" s="1703">
        <f>SUM(BM19:BR19)</f>
        <v>0</v>
      </c>
      <c r="BT19" s="1705">
        <f>+BL19+BS19</f>
        <v>0</v>
      </c>
      <c r="BV19" s="1667" t="s">
        <v>4</v>
      </c>
      <c r="BW19" s="1702" t="s">
        <v>2501</v>
      </c>
      <c r="BX19" s="1703"/>
      <c r="BY19" s="1704"/>
      <c r="BZ19" s="1704"/>
      <c r="CA19" s="1704"/>
      <c r="CB19" s="1704"/>
      <c r="CC19" s="1704"/>
      <c r="CD19" s="1704"/>
      <c r="CE19" s="1703">
        <f>SUM(BY19:CD19)</f>
        <v>0</v>
      </c>
      <c r="CF19" s="1705">
        <f>+BX19+CE19</f>
        <v>0</v>
      </c>
    </row>
    <row r="20" spans="1:84" ht="21" customHeight="1" thickBot="1">
      <c r="A20" s="1710" t="s">
        <v>5</v>
      </c>
      <c r="B20" s="1711" t="s">
        <v>2502</v>
      </c>
      <c r="C20" s="1712">
        <f t="shared" si="21"/>
        <v>0</v>
      </c>
      <c r="D20" s="1713">
        <f t="shared" si="21"/>
        <v>0</v>
      </c>
      <c r="E20" s="1713">
        <f t="shared" si="21"/>
        <v>0</v>
      </c>
      <c r="F20" s="1713">
        <f t="shared" si="21"/>
        <v>0</v>
      </c>
      <c r="G20" s="1713">
        <f t="shared" si="21"/>
        <v>0</v>
      </c>
      <c r="H20" s="1713">
        <f t="shared" si="21"/>
        <v>0</v>
      </c>
      <c r="I20" s="1713">
        <f t="shared" si="21"/>
        <v>0</v>
      </c>
      <c r="J20" s="1703">
        <f>+W20+AI20+AU20+BG20+BS20</f>
        <v>0</v>
      </c>
      <c r="K20" s="1714">
        <f>+C20+J20</f>
        <v>0</v>
      </c>
      <c r="N20" s="1710" t="s">
        <v>5</v>
      </c>
      <c r="O20" s="1711" t="s">
        <v>2502</v>
      </c>
      <c r="P20" s="1712"/>
      <c r="Q20" s="1713"/>
      <c r="R20" s="1713"/>
      <c r="S20" s="1713"/>
      <c r="T20" s="1713"/>
      <c r="U20" s="1713"/>
      <c r="V20" s="1713"/>
      <c r="W20" s="1703">
        <f>SUM(Q20:V20)</f>
        <v>0</v>
      </c>
      <c r="X20" s="1714">
        <f>+P20+W20</f>
        <v>0</v>
      </c>
      <c r="Z20" s="1710" t="s">
        <v>5</v>
      </c>
      <c r="AA20" s="1711" t="s">
        <v>2502</v>
      </c>
      <c r="AB20" s="1712"/>
      <c r="AC20" s="1713"/>
      <c r="AD20" s="1713"/>
      <c r="AE20" s="1713"/>
      <c r="AF20" s="1713"/>
      <c r="AG20" s="1713"/>
      <c r="AH20" s="1713"/>
      <c r="AI20" s="1703">
        <f>SUM(AC20:AH20)</f>
        <v>0</v>
      </c>
      <c r="AJ20" s="1714">
        <f>+AB20+AI20</f>
        <v>0</v>
      </c>
      <c r="AL20" s="1710" t="s">
        <v>5</v>
      </c>
      <c r="AM20" s="1711" t="s">
        <v>2502</v>
      </c>
      <c r="AN20" s="1712"/>
      <c r="AO20" s="1713"/>
      <c r="AP20" s="1713"/>
      <c r="AQ20" s="1713"/>
      <c r="AR20" s="1713"/>
      <c r="AS20" s="1713"/>
      <c r="AT20" s="1713"/>
      <c r="AU20" s="1703">
        <f>SUM(AO20:AT20)</f>
        <v>0</v>
      </c>
      <c r="AV20" s="1714">
        <f>+AN20+AU20</f>
        <v>0</v>
      </c>
      <c r="AX20" s="1710" t="s">
        <v>5</v>
      </c>
      <c r="AY20" s="1711" t="s">
        <v>2502</v>
      </c>
      <c r="AZ20" s="1712"/>
      <c r="BA20" s="1713"/>
      <c r="BB20" s="1713"/>
      <c r="BC20" s="1713"/>
      <c r="BD20" s="1713"/>
      <c r="BE20" s="1713"/>
      <c r="BF20" s="1713"/>
      <c r="BG20" s="1703">
        <f>SUM(BA20:BF20)</f>
        <v>0</v>
      </c>
      <c r="BH20" s="1714">
        <f>+AZ20+BG20</f>
        <v>0</v>
      </c>
      <c r="BJ20" s="1710" t="s">
        <v>5</v>
      </c>
      <c r="BK20" s="1711" t="s">
        <v>2502</v>
      </c>
      <c r="BL20" s="1712"/>
      <c r="BM20" s="1713"/>
      <c r="BN20" s="1713"/>
      <c r="BO20" s="1713"/>
      <c r="BP20" s="1713"/>
      <c r="BQ20" s="1713"/>
      <c r="BR20" s="1713"/>
      <c r="BS20" s="1703">
        <f>SUM(BM20:BR20)</f>
        <v>0</v>
      </c>
      <c r="BT20" s="1714">
        <f>+BL20+BS20</f>
        <v>0</v>
      </c>
      <c r="BV20" s="1710" t="s">
        <v>5</v>
      </c>
      <c r="BW20" s="1711" t="s">
        <v>2502</v>
      </c>
      <c r="BX20" s="1712"/>
      <c r="BY20" s="1713"/>
      <c r="BZ20" s="1713"/>
      <c r="CA20" s="1713"/>
      <c r="CB20" s="1713"/>
      <c r="CC20" s="1713"/>
      <c r="CD20" s="1713"/>
      <c r="CE20" s="1703">
        <f>SUM(BY20:CD20)</f>
        <v>0</v>
      </c>
      <c r="CF20" s="1714">
        <f>+BX20+CE20</f>
        <v>0</v>
      </c>
    </row>
    <row r="21" spans="1:84" ht="21" customHeight="1" thickBot="1">
      <c r="A21" s="1681" t="s">
        <v>2503</v>
      </c>
      <c r="B21" s="1720"/>
      <c r="C21" s="1721">
        <f>SUM(C19:C20)</f>
        <v>0</v>
      </c>
      <c r="D21" s="1721">
        <f t="shared" ref="D21:K21" si="22">SUM(D19:D20)</f>
        <v>0</v>
      </c>
      <c r="E21" s="1721">
        <f t="shared" si="22"/>
        <v>0</v>
      </c>
      <c r="F21" s="1721">
        <f t="shared" si="22"/>
        <v>0</v>
      </c>
      <c r="G21" s="1721">
        <f t="shared" si="22"/>
        <v>0</v>
      </c>
      <c r="H21" s="1721">
        <f t="shared" si="22"/>
        <v>0</v>
      </c>
      <c r="I21" s="1721">
        <f t="shared" si="22"/>
        <v>0</v>
      </c>
      <c r="J21" s="1721">
        <f t="shared" si="22"/>
        <v>0</v>
      </c>
      <c r="K21" s="1722">
        <f t="shared" si="22"/>
        <v>0</v>
      </c>
      <c r="N21" s="1681" t="s">
        <v>2503</v>
      </c>
      <c r="O21" s="1720"/>
      <c r="P21" s="1721">
        <f>SUM(P19:P20)</f>
        <v>0</v>
      </c>
      <c r="Q21" s="1721">
        <f t="shared" ref="Q21:X21" si="23">SUM(Q19:Q20)</f>
        <v>0</v>
      </c>
      <c r="R21" s="1721">
        <f t="shared" si="23"/>
        <v>0</v>
      </c>
      <c r="S21" s="1721">
        <f t="shared" si="23"/>
        <v>0</v>
      </c>
      <c r="T21" s="1721">
        <f t="shared" si="23"/>
        <v>0</v>
      </c>
      <c r="U21" s="1721">
        <f t="shared" si="23"/>
        <v>0</v>
      </c>
      <c r="V21" s="1721">
        <f t="shared" si="23"/>
        <v>0</v>
      </c>
      <c r="W21" s="1721">
        <f t="shared" si="23"/>
        <v>0</v>
      </c>
      <c r="X21" s="1722">
        <f t="shared" si="23"/>
        <v>0</v>
      </c>
      <c r="Z21" s="1681" t="s">
        <v>2503</v>
      </c>
      <c r="AA21" s="1720"/>
      <c r="AB21" s="1721">
        <f>SUM(AB19:AB20)</f>
        <v>0</v>
      </c>
      <c r="AC21" s="1721">
        <f t="shared" ref="AC21:AJ21" si="24">SUM(AC19:AC20)</f>
        <v>0</v>
      </c>
      <c r="AD21" s="1721">
        <f t="shared" si="24"/>
        <v>0</v>
      </c>
      <c r="AE21" s="1721">
        <f t="shared" si="24"/>
        <v>0</v>
      </c>
      <c r="AF21" s="1721">
        <f t="shared" si="24"/>
        <v>0</v>
      </c>
      <c r="AG21" s="1721">
        <f t="shared" si="24"/>
        <v>0</v>
      </c>
      <c r="AH21" s="1721">
        <f t="shared" si="24"/>
        <v>0</v>
      </c>
      <c r="AI21" s="1721">
        <f t="shared" si="24"/>
        <v>0</v>
      </c>
      <c r="AJ21" s="1722">
        <f t="shared" si="24"/>
        <v>0</v>
      </c>
      <c r="AL21" s="1681" t="s">
        <v>2503</v>
      </c>
      <c r="AM21" s="1720"/>
      <c r="AN21" s="1721">
        <f>SUM(AN19:AN20)</f>
        <v>0</v>
      </c>
      <c r="AO21" s="1721">
        <f t="shared" ref="AO21:AV21" si="25">SUM(AO19:AO20)</f>
        <v>0</v>
      </c>
      <c r="AP21" s="1721">
        <f t="shared" si="25"/>
        <v>0</v>
      </c>
      <c r="AQ21" s="1721">
        <f t="shared" si="25"/>
        <v>0</v>
      </c>
      <c r="AR21" s="1721">
        <f t="shared" si="25"/>
        <v>0</v>
      </c>
      <c r="AS21" s="1721">
        <f t="shared" si="25"/>
        <v>0</v>
      </c>
      <c r="AT21" s="1721">
        <f t="shared" si="25"/>
        <v>0</v>
      </c>
      <c r="AU21" s="1721">
        <f t="shared" si="25"/>
        <v>0</v>
      </c>
      <c r="AV21" s="1722">
        <f t="shared" si="25"/>
        <v>0</v>
      </c>
      <c r="AX21" s="1681" t="s">
        <v>2503</v>
      </c>
      <c r="AY21" s="1720"/>
      <c r="AZ21" s="1721">
        <f>SUM(AZ19:AZ20)</f>
        <v>0</v>
      </c>
      <c r="BA21" s="1721">
        <f t="shared" ref="BA21:BH21" si="26">SUM(BA19:BA20)</f>
        <v>0</v>
      </c>
      <c r="BB21" s="1721">
        <f t="shared" si="26"/>
        <v>0</v>
      </c>
      <c r="BC21" s="1721">
        <f t="shared" si="26"/>
        <v>0</v>
      </c>
      <c r="BD21" s="1721">
        <f t="shared" si="26"/>
        <v>0</v>
      </c>
      <c r="BE21" s="1721">
        <f t="shared" si="26"/>
        <v>0</v>
      </c>
      <c r="BF21" s="1721">
        <f t="shared" si="26"/>
        <v>0</v>
      </c>
      <c r="BG21" s="1721">
        <f t="shared" si="26"/>
        <v>0</v>
      </c>
      <c r="BH21" s="1722">
        <f t="shared" si="26"/>
        <v>0</v>
      </c>
      <c r="BJ21" s="1681" t="s">
        <v>2503</v>
      </c>
      <c r="BK21" s="1720"/>
      <c r="BL21" s="1721">
        <f>SUM(BL19:BL20)</f>
        <v>0</v>
      </c>
      <c r="BM21" s="1721">
        <f t="shared" ref="BM21:BT21" si="27">SUM(BM19:BM20)</f>
        <v>0</v>
      </c>
      <c r="BN21" s="1721">
        <f t="shared" si="27"/>
        <v>0</v>
      </c>
      <c r="BO21" s="1721">
        <f t="shared" si="27"/>
        <v>0</v>
      </c>
      <c r="BP21" s="1721">
        <f t="shared" si="27"/>
        <v>0</v>
      </c>
      <c r="BQ21" s="1721">
        <f t="shared" si="27"/>
        <v>0</v>
      </c>
      <c r="BR21" s="1721">
        <f t="shared" si="27"/>
        <v>0</v>
      </c>
      <c r="BS21" s="1721">
        <f t="shared" si="27"/>
        <v>0</v>
      </c>
      <c r="BT21" s="1722">
        <f t="shared" si="27"/>
        <v>0</v>
      </c>
      <c r="BV21" s="1681" t="s">
        <v>2503</v>
      </c>
      <c r="BW21" s="1720"/>
      <c r="BX21" s="1721">
        <f>SUM(BX19:BX20)</f>
        <v>0</v>
      </c>
      <c r="BY21" s="1721">
        <f t="shared" ref="BY21:CF21" si="28">SUM(BY19:BY20)</f>
        <v>0</v>
      </c>
      <c r="BZ21" s="1721">
        <f t="shared" si="28"/>
        <v>0</v>
      </c>
      <c r="CA21" s="1721">
        <f t="shared" si="28"/>
        <v>0</v>
      </c>
      <c r="CB21" s="1721">
        <f t="shared" si="28"/>
        <v>0</v>
      </c>
      <c r="CC21" s="1721">
        <f t="shared" si="28"/>
        <v>0</v>
      </c>
      <c r="CD21" s="1721">
        <f t="shared" si="28"/>
        <v>0</v>
      </c>
      <c r="CE21" s="1721">
        <f t="shared" si="28"/>
        <v>0</v>
      </c>
      <c r="CF21" s="1722">
        <f t="shared" si="28"/>
        <v>0</v>
      </c>
    </row>
    <row r="22" spans="1:84" ht="21" customHeight="1" thickBot="1">
      <c r="A22" s="1681" t="s">
        <v>2504</v>
      </c>
      <c r="B22" s="1720"/>
      <c r="C22" s="1721">
        <f>+C17+C21</f>
        <v>156832</v>
      </c>
      <c r="D22" s="1721">
        <f t="shared" ref="D22:K22" si="29">+D17+D21</f>
        <v>17658</v>
      </c>
      <c r="E22" s="1721">
        <f t="shared" si="29"/>
        <v>5628</v>
      </c>
      <c r="F22" s="1721">
        <f t="shared" si="29"/>
        <v>1922</v>
      </c>
      <c r="G22" s="1721">
        <f t="shared" si="29"/>
        <v>6077</v>
      </c>
      <c r="H22" s="1721">
        <f t="shared" si="29"/>
        <v>22703</v>
      </c>
      <c r="I22" s="1721">
        <f t="shared" si="29"/>
        <v>12669</v>
      </c>
      <c r="J22" s="1721">
        <f t="shared" si="29"/>
        <v>66658</v>
      </c>
      <c r="K22" s="1722">
        <f t="shared" si="29"/>
        <v>223490</v>
      </c>
      <c r="N22" s="1681" t="s">
        <v>2504</v>
      </c>
      <c r="O22" s="1720"/>
      <c r="P22" s="1721">
        <f>+P17+P21</f>
        <v>151113846</v>
      </c>
      <c r="Q22" s="1721">
        <f t="shared" ref="Q22:X22" si="30">+Q17+Q21</f>
        <v>14404236</v>
      </c>
      <c r="R22" s="1721">
        <f t="shared" si="30"/>
        <v>5220747</v>
      </c>
      <c r="S22" s="1721">
        <f t="shared" si="30"/>
        <v>1921746</v>
      </c>
      <c r="T22" s="1721">
        <f t="shared" si="30"/>
        <v>5148754</v>
      </c>
      <c r="U22" s="1721">
        <f t="shared" si="30"/>
        <v>19907077</v>
      </c>
      <c r="V22" s="1721">
        <f t="shared" si="30"/>
        <v>4628057</v>
      </c>
      <c r="W22" s="1721">
        <f t="shared" si="30"/>
        <v>51230617</v>
      </c>
      <c r="X22" s="1722">
        <f t="shared" si="30"/>
        <v>202344463</v>
      </c>
      <c r="Z22" s="1681" t="s">
        <v>2504</v>
      </c>
      <c r="AA22" s="1720"/>
      <c r="AB22" s="1721">
        <f>+AB17+AB21</f>
        <v>1900575</v>
      </c>
      <c r="AC22" s="1721">
        <f t="shared" ref="AC22:AJ22" si="31">+AC17+AC21</f>
        <v>1739316</v>
      </c>
      <c r="AD22" s="1721">
        <f t="shared" si="31"/>
        <v>367702</v>
      </c>
      <c r="AE22" s="1721">
        <f t="shared" si="31"/>
        <v>0</v>
      </c>
      <c r="AF22" s="1721">
        <f t="shared" si="31"/>
        <v>0</v>
      </c>
      <c r="AG22" s="1721">
        <f t="shared" si="31"/>
        <v>2384</v>
      </c>
      <c r="AH22" s="1721">
        <f t="shared" si="31"/>
        <v>600194</v>
      </c>
      <c r="AI22" s="1721">
        <f t="shared" si="31"/>
        <v>2709596</v>
      </c>
      <c r="AJ22" s="1722">
        <f t="shared" si="31"/>
        <v>4610171</v>
      </c>
      <c r="AL22" s="1681" t="s">
        <v>2504</v>
      </c>
      <c r="AM22" s="1720"/>
      <c r="AN22" s="1721">
        <f>+AN17+AN21</f>
        <v>3697724</v>
      </c>
      <c r="AO22" s="1721">
        <f t="shared" ref="AO22:AV22" si="32">+AO17+AO21</f>
        <v>1344289</v>
      </c>
      <c r="AP22" s="1721">
        <f t="shared" si="32"/>
        <v>0</v>
      </c>
      <c r="AQ22" s="1721">
        <f t="shared" si="32"/>
        <v>0</v>
      </c>
      <c r="AR22" s="1721">
        <f t="shared" si="32"/>
        <v>922247</v>
      </c>
      <c r="AS22" s="1721">
        <f t="shared" si="32"/>
        <v>2792734</v>
      </c>
      <c r="AT22" s="1721">
        <f t="shared" si="32"/>
        <v>6146138</v>
      </c>
      <c r="AU22" s="1721">
        <f t="shared" si="32"/>
        <v>11205408</v>
      </c>
      <c r="AV22" s="1722">
        <f t="shared" si="32"/>
        <v>14903132</v>
      </c>
      <c r="AX22" s="1681" t="s">
        <v>2504</v>
      </c>
      <c r="AY22" s="1720"/>
      <c r="AZ22" s="1721">
        <f>+AZ17+AZ21</f>
        <v>93189</v>
      </c>
      <c r="BA22" s="1721">
        <f t="shared" ref="BA22:BH22" si="33">+BA17+BA21</f>
        <v>156678</v>
      </c>
      <c r="BB22" s="1721">
        <f t="shared" si="33"/>
        <v>39120</v>
      </c>
      <c r="BC22" s="1721">
        <f t="shared" si="33"/>
        <v>0</v>
      </c>
      <c r="BD22" s="1721">
        <f t="shared" si="33"/>
        <v>0</v>
      </c>
      <c r="BE22" s="1721">
        <f t="shared" si="33"/>
        <v>1340</v>
      </c>
      <c r="BF22" s="1721">
        <f t="shared" si="33"/>
        <v>1294511</v>
      </c>
      <c r="BG22" s="1721">
        <f t="shared" si="33"/>
        <v>1491649</v>
      </c>
      <c r="BH22" s="1722">
        <f t="shared" si="33"/>
        <v>1584838</v>
      </c>
      <c r="BJ22" s="1681" t="s">
        <v>2504</v>
      </c>
      <c r="BK22" s="1720"/>
      <c r="BL22" s="1721">
        <f>+BL17+BL21</f>
        <v>0</v>
      </c>
      <c r="BM22" s="1721">
        <f t="shared" ref="BM22:BT22" si="34">+BM17+BM21</f>
        <v>0</v>
      </c>
      <c r="BN22" s="1721">
        <f t="shared" si="34"/>
        <v>0</v>
      </c>
      <c r="BO22" s="1721">
        <f t="shared" si="34"/>
        <v>0</v>
      </c>
      <c r="BP22" s="1721">
        <f t="shared" si="34"/>
        <v>0</v>
      </c>
      <c r="BQ22" s="1721">
        <f t="shared" si="34"/>
        <v>0</v>
      </c>
      <c r="BR22" s="1721">
        <f t="shared" si="34"/>
        <v>0</v>
      </c>
      <c r="BS22" s="1721">
        <f t="shared" si="34"/>
        <v>0</v>
      </c>
      <c r="BT22" s="1722">
        <f t="shared" si="34"/>
        <v>0</v>
      </c>
      <c r="BV22" s="1681" t="s">
        <v>2504</v>
      </c>
      <c r="BW22" s="1720"/>
      <c r="BX22" s="1721">
        <f>+BX17+BX21</f>
        <v>26400</v>
      </c>
      <c r="BY22" s="1721">
        <f t="shared" ref="BY22:CF22" si="35">+BY17+BY21</f>
        <v>13981</v>
      </c>
      <c r="BZ22" s="1721">
        <f t="shared" si="35"/>
        <v>0</v>
      </c>
      <c r="CA22" s="1721">
        <f t="shared" si="35"/>
        <v>0</v>
      </c>
      <c r="CB22" s="1721">
        <f t="shared" si="35"/>
        <v>5561</v>
      </c>
      <c r="CC22" s="1721">
        <f t="shared" si="35"/>
        <v>0</v>
      </c>
      <c r="CD22" s="1721">
        <f t="shared" si="35"/>
        <v>0</v>
      </c>
      <c r="CE22" s="1721">
        <f t="shared" si="35"/>
        <v>19542</v>
      </c>
      <c r="CF22" s="1722">
        <f t="shared" si="35"/>
        <v>45942</v>
      </c>
    </row>
    <row r="23" spans="1:84" s="1723" customFormat="1" ht="21" customHeight="1">
      <c r="A23" s="1659" t="s">
        <v>2811</v>
      </c>
    </row>
    <row r="24" spans="1:84" s="1723" customFormat="1" ht="21" customHeight="1">
      <c r="A24" s="1659" t="s">
        <v>2505</v>
      </c>
    </row>
    <row r="25" spans="1:84" s="1723" customFormat="1" ht="21" hidden="1" customHeight="1">
      <c r="A25" s="1659"/>
    </row>
    <row r="26" spans="1:84" s="1723" customFormat="1" ht="21" hidden="1" customHeight="1">
      <c r="B26" s="1723" t="s">
        <v>2506</v>
      </c>
      <c r="C26" s="1723">
        <f>+ROUND(P26/1000,0)+ROUND(AB26/1000,0)+ROUND(AN26/1000,0)+ROUND(AZ26/1000,0)+ROUND(BL26/1000,0)+ROUND(BX26/1000,0)</f>
        <v>0</v>
      </c>
      <c r="D26" s="1723">
        <f t="shared" ref="D26:J30" si="36">+ROUND(Q26/1000,0)+ROUND(AC26/1000,0)+ROUND(AO26/1000,0)+ROUND(BA26/1000,0)+ROUND(BM26/1000,0)+ROUND(BY26/1000,0)</f>
        <v>2263</v>
      </c>
      <c r="E26" s="1723">
        <f t="shared" si="36"/>
        <v>508</v>
      </c>
      <c r="F26" s="1723">
        <f t="shared" si="36"/>
        <v>0</v>
      </c>
      <c r="G26" s="1723">
        <f t="shared" si="36"/>
        <v>0</v>
      </c>
      <c r="H26" s="1723">
        <f t="shared" si="36"/>
        <v>0</v>
      </c>
      <c r="I26" s="1723">
        <f t="shared" si="36"/>
        <v>0</v>
      </c>
      <c r="J26" s="1723">
        <f t="shared" si="36"/>
        <v>2771</v>
      </c>
      <c r="K26" s="1723">
        <f>+J26+C26</f>
        <v>2771</v>
      </c>
      <c r="Q26" s="1723">
        <v>2262804</v>
      </c>
      <c r="R26" s="1723">
        <v>508000</v>
      </c>
      <c r="W26" s="1723">
        <f>SUM(Q26:V26)</f>
        <v>2770804</v>
      </c>
      <c r="X26" s="1723">
        <f>+P26+W26</f>
        <v>2770804</v>
      </c>
      <c r="AI26" s="1723">
        <f>SUM(AC26:AH26)</f>
        <v>0</v>
      </c>
      <c r="AJ26" s="1723">
        <f>+AB26+AI26</f>
        <v>0</v>
      </c>
      <c r="AU26" s="1723">
        <f>SUM(AO26:AT26)</f>
        <v>0</v>
      </c>
      <c r="AV26" s="1723">
        <f>+AN26+AU26</f>
        <v>0</v>
      </c>
      <c r="BG26" s="1723">
        <f>SUM(BA26:BF26)</f>
        <v>0</v>
      </c>
      <c r="BH26" s="1723">
        <f>+AZ26+BG26</f>
        <v>0</v>
      </c>
    </row>
    <row r="27" spans="1:84" ht="21" hidden="1" customHeight="1">
      <c r="B27" s="1659" t="s">
        <v>2507</v>
      </c>
      <c r="C27" s="1659">
        <f t="shared" ref="C27:C30" si="37">+ROUND(P27/1000,0)+ROUND(AB27/1000,0)+ROUND(AN27/1000,0)+ROUND(AZ27/1000,0)+ROUND(BL27/1000,0)+ROUND(BX27/1000,0)</f>
        <v>0</v>
      </c>
      <c r="D27" s="1659">
        <f t="shared" si="36"/>
        <v>0</v>
      </c>
      <c r="E27" s="1659">
        <f t="shared" si="36"/>
        <v>0</v>
      </c>
      <c r="F27" s="1659">
        <f t="shared" si="36"/>
        <v>0</v>
      </c>
      <c r="G27" s="1659">
        <f t="shared" si="36"/>
        <v>0</v>
      </c>
      <c r="H27" s="1659">
        <f t="shared" si="36"/>
        <v>0</v>
      </c>
      <c r="I27" s="1659">
        <f t="shared" si="36"/>
        <v>4425</v>
      </c>
      <c r="J27" s="1723">
        <f t="shared" si="36"/>
        <v>4425</v>
      </c>
      <c r="K27" s="1724">
        <f>+J27+C27</f>
        <v>4425</v>
      </c>
      <c r="V27" s="1725">
        <v>491483</v>
      </c>
      <c r="W27" s="1659">
        <f>SUM(Q27:V27)</f>
        <v>491483</v>
      </c>
      <c r="X27" s="1659">
        <f>+P27+W27</f>
        <v>491483</v>
      </c>
      <c r="AH27" s="1659">
        <v>600194</v>
      </c>
      <c r="AI27" s="1659">
        <f>SUM(AC27:AH27)</f>
        <v>600194</v>
      </c>
      <c r="AJ27" s="1659">
        <f>+AB27+AI27</f>
        <v>600194</v>
      </c>
      <c r="AT27" s="1659">
        <v>2039177</v>
      </c>
      <c r="AU27" s="1659">
        <f>SUM(AO27:AT27)</f>
        <v>2039177</v>
      </c>
      <c r="AV27" s="1659">
        <f>+AN27+AU27</f>
        <v>2039177</v>
      </c>
      <c r="BF27" s="1659">
        <f>1694511-400000</f>
        <v>1294511</v>
      </c>
      <c r="BG27" s="1659">
        <f>SUM(BA27:BF27)</f>
        <v>1294511</v>
      </c>
      <c r="BH27" s="1659">
        <f>+AZ27+BG27</f>
        <v>1294511</v>
      </c>
    </row>
    <row r="28" spans="1:84" ht="21" hidden="1" customHeight="1">
      <c r="B28" s="1659" t="s">
        <v>2508</v>
      </c>
      <c r="C28" s="1659">
        <f t="shared" si="37"/>
        <v>96345</v>
      </c>
      <c r="D28" s="1659">
        <f t="shared" si="36"/>
        <v>42</v>
      </c>
      <c r="E28" s="1659">
        <f t="shared" si="36"/>
        <v>0</v>
      </c>
      <c r="F28" s="1659">
        <f t="shared" si="36"/>
        <v>0</v>
      </c>
      <c r="G28" s="1659">
        <f t="shared" si="36"/>
        <v>0</v>
      </c>
      <c r="H28" s="1659">
        <f t="shared" si="36"/>
        <v>0</v>
      </c>
      <c r="I28" s="1659">
        <f t="shared" si="36"/>
        <v>4137</v>
      </c>
      <c r="J28" s="1726">
        <f t="shared" si="36"/>
        <v>4179</v>
      </c>
      <c r="K28" s="1723">
        <f>+J28+C28</f>
        <v>100524</v>
      </c>
      <c r="P28" s="1659">
        <f>42525000+53820000</f>
        <v>96345000</v>
      </c>
      <c r="V28" s="1659">
        <v>4136574</v>
      </c>
      <c r="W28" s="1659">
        <f>SUM(Q28:V28)</f>
        <v>4136574</v>
      </c>
      <c r="X28" s="1659">
        <f>+P28+W28</f>
        <v>100481574</v>
      </c>
      <c r="AC28" s="1659">
        <v>42280</v>
      </c>
      <c r="AI28" s="1659">
        <f>SUM(AC28:AH28)</f>
        <v>42280</v>
      </c>
      <c r="AJ28" s="1659">
        <f>+AB28+AI28</f>
        <v>42280</v>
      </c>
      <c r="AU28" s="1659">
        <f>SUM(AO28:AT28)</f>
        <v>0</v>
      </c>
      <c r="AV28" s="1659">
        <f>+AN28+AU28</f>
        <v>0</v>
      </c>
      <c r="BG28" s="1659">
        <f>SUM(BA28:BF28)</f>
        <v>0</v>
      </c>
      <c r="BH28" s="1659">
        <f>+AZ28+BG28</f>
        <v>0</v>
      </c>
    </row>
    <row r="29" spans="1:84" ht="21" hidden="1" customHeight="1">
      <c r="B29" s="1659" t="s">
        <v>2509</v>
      </c>
      <c r="C29" s="1659">
        <f t="shared" si="37"/>
        <v>6978</v>
      </c>
      <c r="D29" s="1659">
        <f t="shared" si="36"/>
        <v>0</v>
      </c>
      <c r="E29" s="1659">
        <f t="shared" si="36"/>
        <v>0</v>
      </c>
      <c r="F29" s="1659">
        <f t="shared" si="36"/>
        <v>0</v>
      </c>
      <c r="G29" s="1659">
        <f t="shared" si="36"/>
        <v>0</v>
      </c>
      <c r="H29" s="1659">
        <f t="shared" si="36"/>
        <v>0</v>
      </c>
      <c r="I29" s="1659">
        <f t="shared" si="36"/>
        <v>0</v>
      </c>
      <c r="J29" s="1723">
        <f t="shared" si="36"/>
        <v>0</v>
      </c>
      <c r="K29" s="1723">
        <f>+J29+C29</f>
        <v>6978</v>
      </c>
      <c r="P29" s="1659">
        <f>6695567+282302</f>
        <v>6977869</v>
      </c>
      <c r="W29" s="1659">
        <f>SUM(Q29:V29)</f>
        <v>0</v>
      </c>
      <c r="X29" s="1659">
        <f>+P29+W29</f>
        <v>6977869</v>
      </c>
      <c r="AI29" s="1659">
        <f>SUM(AC29:AH29)</f>
        <v>0</v>
      </c>
      <c r="AJ29" s="1659">
        <f>+AB29+AI29</f>
        <v>0</v>
      </c>
      <c r="AU29" s="1659">
        <f>SUM(AO29:AT29)</f>
        <v>0</v>
      </c>
      <c r="AV29" s="1659">
        <f>+AN29+AU29</f>
        <v>0</v>
      </c>
      <c r="BG29" s="1659">
        <f>SUM(BA29:BF29)</f>
        <v>0</v>
      </c>
      <c r="BH29" s="1659">
        <f>+AZ29+BG29</f>
        <v>0</v>
      </c>
    </row>
    <row r="30" spans="1:84" ht="21" hidden="1" customHeight="1">
      <c r="B30" s="1659" t="s">
        <v>2510</v>
      </c>
      <c r="C30" s="1659">
        <f t="shared" si="37"/>
        <v>0</v>
      </c>
      <c r="D30" s="1659">
        <f t="shared" si="36"/>
        <v>0</v>
      </c>
      <c r="E30" s="1659">
        <f t="shared" si="36"/>
        <v>0</v>
      </c>
      <c r="F30" s="1659">
        <f t="shared" si="36"/>
        <v>0</v>
      </c>
      <c r="G30" s="1659">
        <f t="shared" si="36"/>
        <v>0</v>
      </c>
      <c r="H30" s="1659">
        <f t="shared" si="36"/>
        <v>0</v>
      </c>
      <c r="I30" s="1659">
        <f t="shared" si="36"/>
        <v>0</v>
      </c>
      <c r="J30" s="1723">
        <f t="shared" si="36"/>
        <v>0</v>
      </c>
      <c r="K30" s="1724">
        <f>+J30+C30</f>
        <v>0</v>
      </c>
      <c r="W30" s="1659">
        <f>SUM(Q30:V30)</f>
        <v>0</v>
      </c>
      <c r="X30" s="1659">
        <f>+P30+W30</f>
        <v>0</v>
      </c>
      <c r="AI30" s="1659">
        <f>SUM(AC30:AH30)</f>
        <v>0</v>
      </c>
      <c r="AJ30" s="1659">
        <f>+AB30+AI30</f>
        <v>0</v>
      </c>
      <c r="AU30" s="1659">
        <f>SUM(AO30:AT30)</f>
        <v>0</v>
      </c>
      <c r="AV30" s="1659">
        <f>+AN30+AU30</f>
        <v>0</v>
      </c>
      <c r="BG30" s="1659">
        <f>SUM(BA30:BF30)</f>
        <v>0</v>
      </c>
      <c r="BH30" s="1659">
        <f>+AZ30+BG30</f>
        <v>0</v>
      </c>
    </row>
    <row r="31" spans="1:84" ht="21" hidden="1" customHeight="1">
      <c r="C31" s="1659">
        <f>SUM(C26:C30)</f>
        <v>103323</v>
      </c>
      <c r="D31" s="1659">
        <f t="shared" ref="D31:J31" si="38">SUM(D26:D30)</f>
        <v>2305</v>
      </c>
      <c r="E31" s="1659">
        <f t="shared" si="38"/>
        <v>508</v>
      </c>
      <c r="F31" s="1659">
        <f t="shared" si="38"/>
        <v>0</v>
      </c>
      <c r="G31" s="1659">
        <f t="shared" si="38"/>
        <v>0</v>
      </c>
      <c r="H31" s="1659">
        <f t="shared" si="38"/>
        <v>0</v>
      </c>
      <c r="I31" s="1659">
        <f t="shared" si="38"/>
        <v>8562</v>
      </c>
      <c r="J31" s="1659">
        <f t="shared" si="38"/>
        <v>11375</v>
      </c>
      <c r="K31" s="1659">
        <f>SUM(K26:K30)</f>
        <v>114698</v>
      </c>
      <c r="P31" s="1659">
        <f t="shared" ref="P31:X31" si="39">SUM(P26:P30)</f>
        <v>103322869</v>
      </c>
      <c r="Q31" s="1659">
        <f t="shared" si="39"/>
        <v>2262804</v>
      </c>
      <c r="R31" s="1659">
        <f t="shared" si="39"/>
        <v>508000</v>
      </c>
      <c r="S31" s="1659">
        <f t="shared" si="39"/>
        <v>0</v>
      </c>
      <c r="T31" s="1659">
        <f t="shared" si="39"/>
        <v>0</v>
      </c>
      <c r="U31" s="1659">
        <f t="shared" si="39"/>
        <v>0</v>
      </c>
      <c r="V31" s="1659">
        <f t="shared" si="39"/>
        <v>4628057</v>
      </c>
      <c r="W31" s="1659">
        <f t="shared" si="39"/>
        <v>7398861</v>
      </c>
      <c r="X31" s="1659">
        <f t="shared" si="39"/>
        <v>110721730</v>
      </c>
      <c r="AB31" s="1659">
        <f t="shared" ref="AB31:AJ31" si="40">SUM(AB26:AB30)</f>
        <v>0</v>
      </c>
      <c r="AC31" s="1659">
        <f t="shared" si="40"/>
        <v>42280</v>
      </c>
      <c r="AD31" s="1659">
        <f t="shared" si="40"/>
        <v>0</v>
      </c>
      <c r="AE31" s="1659">
        <f t="shared" si="40"/>
        <v>0</v>
      </c>
      <c r="AF31" s="1659">
        <f t="shared" si="40"/>
        <v>0</v>
      </c>
      <c r="AG31" s="1659">
        <f t="shared" si="40"/>
        <v>0</v>
      </c>
      <c r="AH31" s="1659">
        <f t="shared" si="40"/>
        <v>600194</v>
      </c>
      <c r="AI31" s="1659">
        <f t="shared" si="40"/>
        <v>642474</v>
      </c>
      <c r="AJ31" s="1659">
        <f t="shared" si="40"/>
        <v>642474</v>
      </c>
      <c r="AN31" s="1659">
        <f t="shared" ref="AN31:AV31" si="41">SUM(AN26:AN30)</f>
        <v>0</v>
      </c>
      <c r="AO31" s="1659">
        <f t="shared" si="41"/>
        <v>0</v>
      </c>
      <c r="AP31" s="1659">
        <f t="shared" si="41"/>
        <v>0</v>
      </c>
      <c r="AQ31" s="1659">
        <f t="shared" si="41"/>
        <v>0</v>
      </c>
      <c r="AR31" s="1659">
        <f t="shared" si="41"/>
        <v>0</v>
      </c>
      <c r="AS31" s="1659">
        <f t="shared" si="41"/>
        <v>0</v>
      </c>
      <c r="AT31" s="1659">
        <f t="shared" si="41"/>
        <v>2039177</v>
      </c>
      <c r="AU31" s="1659">
        <f t="shared" si="41"/>
        <v>2039177</v>
      </c>
      <c r="AV31" s="1659">
        <f t="shared" si="41"/>
        <v>2039177</v>
      </c>
      <c r="AZ31" s="1659">
        <f t="shared" ref="AZ31:BH31" si="42">SUM(AZ26:AZ30)</f>
        <v>0</v>
      </c>
      <c r="BA31" s="1659">
        <f t="shared" si="42"/>
        <v>0</v>
      </c>
      <c r="BB31" s="1659">
        <f t="shared" si="42"/>
        <v>0</v>
      </c>
      <c r="BC31" s="1659">
        <f t="shared" si="42"/>
        <v>0</v>
      </c>
      <c r="BD31" s="1659">
        <f t="shared" si="42"/>
        <v>0</v>
      </c>
      <c r="BE31" s="1659">
        <f t="shared" si="42"/>
        <v>0</v>
      </c>
      <c r="BF31" s="1659">
        <f t="shared" si="42"/>
        <v>1294511</v>
      </c>
      <c r="BG31" s="1659">
        <f t="shared" si="42"/>
        <v>1294511</v>
      </c>
      <c r="BH31" s="1659">
        <f t="shared" si="42"/>
        <v>1294511</v>
      </c>
      <c r="BL31" s="1659">
        <f t="shared" ref="BL31:BT31" si="43">SUM(BL26:BL30)</f>
        <v>0</v>
      </c>
      <c r="BM31" s="1659">
        <f t="shared" si="43"/>
        <v>0</v>
      </c>
      <c r="BN31" s="1659">
        <f t="shared" si="43"/>
        <v>0</v>
      </c>
      <c r="BO31" s="1659">
        <f t="shared" si="43"/>
        <v>0</v>
      </c>
      <c r="BP31" s="1659">
        <f t="shared" si="43"/>
        <v>0</v>
      </c>
      <c r="BQ31" s="1659">
        <f t="shared" si="43"/>
        <v>0</v>
      </c>
      <c r="BR31" s="1659">
        <f t="shared" si="43"/>
        <v>0</v>
      </c>
      <c r="BS31" s="1659">
        <f t="shared" si="43"/>
        <v>0</v>
      </c>
      <c r="BT31" s="1659">
        <f t="shared" si="43"/>
        <v>0</v>
      </c>
      <c r="BX31" s="1659">
        <f t="shared" ref="BX31:CF31" si="44">SUM(BX26:BX30)</f>
        <v>0</v>
      </c>
      <c r="BY31" s="1659">
        <f t="shared" si="44"/>
        <v>0</v>
      </c>
      <c r="BZ31" s="1659">
        <f t="shared" si="44"/>
        <v>0</v>
      </c>
      <c r="CA31" s="1659">
        <f t="shared" si="44"/>
        <v>0</v>
      </c>
      <c r="CB31" s="1659">
        <f t="shared" si="44"/>
        <v>0</v>
      </c>
      <c r="CC31" s="1659">
        <f t="shared" si="44"/>
        <v>0</v>
      </c>
      <c r="CD31" s="1659">
        <f t="shared" si="44"/>
        <v>0</v>
      </c>
      <c r="CE31" s="1659">
        <f t="shared" si="44"/>
        <v>0</v>
      </c>
      <c r="CF31" s="1659">
        <f t="shared" si="44"/>
        <v>0</v>
      </c>
    </row>
    <row r="32" spans="1:84" ht="21" hidden="1" customHeight="1">
      <c r="B32" s="1659" t="s">
        <v>2511</v>
      </c>
      <c r="C32" s="1659">
        <f>+C22-C31</f>
        <v>53509</v>
      </c>
      <c r="D32" s="1659">
        <f t="shared" ref="D32:J32" si="45">+D22-D31</f>
        <v>15353</v>
      </c>
      <c r="E32" s="1659">
        <f t="shared" si="45"/>
        <v>5120</v>
      </c>
      <c r="F32" s="1659">
        <f t="shared" si="45"/>
        <v>1922</v>
      </c>
      <c r="G32" s="1659">
        <f t="shared" si="45"/>
        <v>6077</v>
      </c>
      <c r="H32" s="1659">
        <f t="shared" si="45"/>
        <v>22703</v>
      </c>
      <c r="I32" s="1659">
        <f t="shared" si="45"/>
        <v>4107</v>
      </c>
      <c r="J32" s="1727">
        <f t="shared" si="45"/>
        <v>55283</v>
      </c>
      <c r="K32" s="1659">
        <f>+K22-K31</f>
        <v>108792</v>
      </c>
      <c r="P32" s="1659">
        <f>+P22-P31</f>
        <v>47790977</v>
      </c>
      <c r="Q32" s="1659">
        <f t="shared" ref="Q32:X32" si="46">+Q22-Q31</f>
        <v>12141432</v>
      </c>
      <c r="R32" s="1659">
        <f t="shared" si="46"/>
        <v>4712747</v>
      </c>
      <c r="S32" s="1659">
        <f t="shared" si="46"/>
        <v>1921746</v>
      </c>
      <c r="T32" s="1659">
        <f t="shared" si="46"/>
        <v>5148754</v>
      </c>
      <c r="U32" s="1659">
        <f t="shared" si="46"/>
        <v>19907077</v>
      </c>
      <c r="V32" s="1659">
        <f t="shared" si="46"/>
        <v>0</v>
      </c>
      <c r="W32" s="1659">
        <f t="shared" si="46"/>
        <v>43831756</v>
      </c>
      <c r="X32" s="1659">
        <f t="shared" si="46"/>
        <v>91622733</v>
      </c>
      <c r="AB32" s="1659">
        <f t="shared" ref="AB32:AJ32" si="47">+AB22-AB31</f>
        <v>1900575</v>
      </c>
      <c r="AC32" s="1659">
        <f t="shared" si="47"/>
        <v>1697036</v>
      </c>
      <c r="AD32" s="1659">
        <f t="shared" si="47"/>
        <v>367702</v>
      </c>
      <c r="AE32" s="1659">
        <f t="shared" si="47"/>
        <v>0</v>
      </c>
      <c r="AF32" s="1659">
        <f t="shared" si="47"/>
        <v>0</v>
      </c>
      <c r="AG32" s="1659">
        <f t="shared" si="47"/>
        <v>2384</v>
      </c>
      <c r="AH32" s="1659">
        <f t="shared" si="47"/>
        <v>0</v>
      </c>
      <c r="AI32" s="1659">
        <f t="shared" si="47"/>
        <v>2067122</v>
      </c>
      <c r="AJ32" s="1659">
        <f t="shared" si="47"/>
        <v>3967697</v>
      </c>
      <c r="AN32" s="1659">
        <f t="shared" ref="AN32:AV32" si="48">+AN22-AN31</f>
        <v>3697724</v>
      </c>
      <c r="AO32" s="1659">
        <f t="shared" si="48"/>
        <v>1344289</v>
      </c>
      <c r="AP32" s="1659">
        <f t="shared" si="48"/>
        <v>0</v>
      </c>
      <c r="AQ32" s="1659">
        <f t="shared" si="48"/>
        <v>0</v>
      </c>
      <c r="AR32" s="1659">
        <f t="shared" si="48"/>
        <v>922247</v>
      </c>
      <c r="AS32" s="1659">
        <f t="shared" si="48"/>
        <v>2792734</v>
      </c>
      <c r="AT32" s="1659">
        <f t="shared" si="48"/>
        <v>4106961</v>
      </c>
      <c r="AU32" s="1659">
        <f t="shared" si="48"/>
        <v>9166231</v>
      </c>
      <c r="AV32" s="1659">
        <f t="shared" si="48"/>
        <v>12863955</v>
      </c>
      <c r="AZ32" s="1659">
        <f t="shared" ref="AZ32:BH32" si="49">+AZ22-AZ31</f>
        <v>93189</v>
      </c>
      <c r="BA32" s="1659">
        <f t="shared" si="49"/>
        <v>156678</v>
      </c>
      <c r="BB32" s="1659">
        <f t="shared" si="49"/>
        <v>39120</v>
      </c>
      <c r="BC32" s="1659">
        <f t="shared" si="49"/>
        <v>0</v>
      </c>
      <c r="BD32" s="1659">
        <f t="shared" si="49"/>
        <v>0</v>
      </c>
      <c r="BE32" s="1659">
        <f t="shared" si="49"/>
        <v>1340</v>
      </c>
      <c r="BF32" s="1659">
        <f t="shared" si="49"/>
        <v>0</v>
      </c>
      <c r="BG32" s="1659">
        <f t="shared" si="49"/>
        <v>197138</v>
      </c>
      <c r="BH32" s="1659">
        <f t="shared" si="49"/>
        <v>290327</v>
      </c>
      <c r="BL32" s="1659">
        <f t="shared" ref="BL32:BT32" si="50">+BL22-BL31</f>
        <v>0</v>
      </c>
      <c r="BM32" s="1659">
        <f t="shared" si="50"/>
        <v>0</v>
      </c>
      <c r="BN32" s="1659">
        <f t="shared" si="50"/>
        <v>0</v>
      </c>
      <c r="BO32" s="1659">
        <f t="shared" si="50"/>
        <v>0</v>
      </c>
      <c r="BP32" s="1659">
        <f t="shared" si="50"/>
        <v>0</v>
      </c>
      <c r="BQ32" s="1659">
        <f t="shared" si="50"/>
        <v>0</v>
      </c>
      <c r="BR32" s="1659">
        <f t="shared" si="50"/>
        <v>0</v>
      </c>
      <c r="BS32" s="1659">
        <f t="shared" si="50"/>
        <v>0</v>
      </c>
      <c r="BT32" s="1659">
        <f t="shared" si="50"/>
        <v>0</v>
      </c>
      <c r="BX32" s="1659">
        <f t="shared" ref="BX32:CF32" si="51">+BX22-BX31</f>
        <v>26400</v>
      </c>
      <c r="BY32" s="1659">
        <f t="shared" si="51"/>
        <v>13981</v>
      </c>
      <c r="BZ32" s="1659">
        <f t="shared" si="51"/>
        <v>0</v>
      </c>
      <c r="CA32" s="1659">
        <f t="shared" si="51"/>
        <v>0</v>
      </c>
      <c r="CB32" s="1659">
        <f t="shared" si="51"/>
        <v>5561</v>
      </c>
      <c r="CC32" s="1659">
        <f t="shared" si="51"/>
        <v>0</v>
      </c>
      <c r="CD32" s="1659">
        <f t="shared" si="51"/>
        <v>0</v>
      </c>
      <c r="CE32" s="1659">
        <f t="shared" si="51"/>
        <v>19542</v>
      </c>
      <c r="CF32" s="1659">
        <f t="shared" si="51"/>
        <v>45942</v>
      </c>
    </row>
    <row r="33" spans="2:84" ht="21" hidden="1" customHeight="1"/>
    <row r="34" spans="2:84" ht="21" hidden="1" customHeight="1">
      <c r="B34" s="1659" t="s">
        <v>2512</v>
      </c>
      <c r="C34" s="1659">
        <f t="shared" ref="C34:K36" si="52">+ROUND(P34/1000,0)+ROUND(AB34/1000,0)+ROUND(AN34/1000,0)+ROUND(AZ34/1000,0)+ROUND(BL34/1000,0)+ROUND(BX34/1000,0)</f>
        <v>50239</v>
      </c>
      <c r="D34" s="1659">
        <f t="shared" ref="D34" si="53">+ROUND(Q34/1000,0)+ROUND(AC34/1000,0)+ROUND(AO34/1000,0)+ROUND(BA34/1000,0)+ROUND(BM34/1000,0)+ROUND(BY34/1000,0)</f>
        <v>17645</v>
      </c>
      <c r="E34" s="1659">
        <f t="shared" ref="E34" si="54">+ROUND(R34/1000,0)+ROUND(AD34/1000,0)+ROUND(AP34/1000,0)+ROUND(BB34/1000,0)+ROUND(BN34/1000,0)+ROUND(BZ34/1000,0)</f>
        <v>5628</v>
      </c>
      <c r="F34" s="1659">
        <f t="shared" ref="F34" si="55">+ROUND(S34/1000,0)+ROUND(AE34/1000,0)+ROUND(AQ34/1000,0)+ROUND(BC34/1000,0)+ROUND(BO34/1000,0)+ROUND(CA34/1000,0)</f>
        <v>1922</v>
      </c>
      <c r="G34" s="1659">
        <f t="shared" ref="G34" si="56">+ROUND(T34/1000,0)+ROUND(AF34/1000,0)+ROUND(AR34/1000,0)+ROUND(BD34/1000,0)+ROUND(BP34/1000,0)+ROUND(CB34/1000,0)</f>
        <v>6077</v>
      </c>
      <c r="H34" s="1659">
        <f t="shared" ref="H34" si="57">+ROUND(U34/1000,0)+ROUND(AG34/1000,0)+ROUND(AS34/1000,0)+ROUND(BE34/1000,0)+ROUND(BQ34/1000,0)+ROUND(CC34/1000,0)</f>
        <v>22703</v>
      </c>
      <c r="I34" s="1659">
        <f t="shared" ref="I34" si="58">+ROUND(V34/1000,0)+ROUND(AH34/1000,0)+ROUND(AT34/1000,0)+ROUND(BF34/1000,0)+ROUND(BR34/1000,0)+ROUND(CD34/1000,0)</f>
        <v>12669</v>
      </c>
      <c r="J34" s="1659">
        <f t="shared" ref="J34" si="59">+ROUND(W34/1000,0)+ROUND(AI34/1000,0)+ROUND(AU34/1000,0)+ROUND(BG34/1000,0)+ROUND(BS34/1000,0)+ROUND(CE34/1000,0)</f>
        <v>66645</v>
      </c>
      <c r="K34" s="1659">
        <f t="shared" ref="K34" si="60">+ROUND(X34/1000,0)+ROUND(AJ34/1000,0)+ROUND(AV34/1000,0)+ROUND(BH34/1000,0)+ROUND(BT34/1000,0)+ROUND(CF34/1000,0)</f>
        <v>116884</v>
      </c>
      <c r="L34" s="1659">
        <f>+K34-K27-K30</f>
        <v>112459</v>
      </c>
      <c r="M34" s="1659">
        <f>+L34-K29</f>
        <v>105481</v>
      </c>
      <c r="P34" s="1659">
        <f t="shared" ref="P34:X34" si="61">+P22-P35</f>
        <v>50239361</v>
      </c>
      <c r="Q34" s="1659">
        <f t="shared" si="61"/>
        <v>14404236</v>
      </c>
      <c r="R34" s="1659">
        <f t="shared" si="61"/>
        <v>5220747</v>
      </c>
      <c r="S34" s="1659">
        <f t="shared" si="61"/>
        <v>1921746</v>
      </c>
      <c r="T34" s="1659">
        <f t="shared" si="61"/>
        <v>5148754</v>
      </c>
      <c r="U34" s="1659">
        <f t="shared" si="61"/>
        <v>19907077</v>
      </c>
      <c r="V34" s="1659">
        <f t="shared" si="61"/>
        <v>4628057</v>
      </c>
      <c r="W34" s="1723">
        <f>SUM(Q34:V34)</f>
        <v>51230617</v>
      </c>
      <c r="X34" s="1723">
        <f>+P34+W34</f>
        <v>101469978</v>
      </c>
      <c r="AB34" s="1659">
        <f t="shared" ref="AB34:AH34" si="62">+AB22-AB35</f>
        <v>0</v>
      </c>
      <c r="AC34" s="1659">
        <f t="shared" si="62"/>
        <v>1739316</v>
      </c>
      <c r="AD34" s="1659">
        <f t="shared" si="62"/>
        <v>367702</v>
      </c>
      <c r="AE34" s="1659">
        <f t="shared" si="62"/>
        <v>0</v>
      </c>
      <c r="AF34" s="1659">
        <f t="shared" si="62"/>
        <v>0</v>
      </c>
      <c r="AG34" s="1659">
        <f t="shared" si="62"/>
        <v>2384</v>
      </c>
      <c r="AH34" s="1659">
        <f t="shared" si="62"/>
        <v>600194</v>
      </c>
      <c r="AI34" s="1723">
        <f>SUM(AC34:AH34)</f>
        <v>2709596</v>
      </c>
      <c r="AJ34" s="1723">
        <f>+AB34+AI34</f>
        <v>2709596</v>
      </c>
      <c r="AN34" s="1659">
        <f t="shared" ref="AN34:AT34" si="63">+AN22-AN35</f>
        <v>0</v>
      </c>
      <c r="AO34" s="1659">
        <f t="shared" si="63"/>
        <v>1344289</v>
      </c>
      <c r="AP34" s="1659">
        <f t="shared" si="63"/>
        <v>0</v>
      </c>
      <c r="AQ34" s="1659">
        <f t="shared" si="63"/>
        <v>0</v>
      </c>
      <c r="AR34" s="1659">
        <f t="shared" si="63"/>
        <v>922247</v>
      </c>
      <c r="AS34" s="1659">
        <f t="shared" si="63"/>
        <v>2792734</v>
      </c>
      <c r="AT34" s="1659">
        <f t="shared" si="63"/>
        <v>6146138</v>
      </c>
      <c r="AU34" s="1723">
        <f>SUM(AO34:AT34)</f>
        <v>11205408</v>
      </c>
      <c r="AV34" s="1723">
        <f>+AN34+AU34</f>
        <v>11205408</v>
      </c>
      <c r="AZ34" s="1659">
        <f t="shared" ref="AZ34:BF34" si="64">+AZ22-AZ35</f>
        <v>0</v>
      </c>
      <c r="BA34" s="1659">
        <f t="shared" si="64"/>
        <v>143770</v>
      </c>
      <c r="BB34" s="1659">
        <f t="shared" si="64"/>
        <v>39120</v>
      </c>
      <c r="BC34" s="1659">
        <f t="shared" si="64"/>
        <v>0</v>
      </c>
      <c r="BD34" s="1659">
        <f t="shared" si="64"/>
        <v>0</v>
      </c>
      <c r="BE34" s="1659">
        <f t="shared" si="64"/>
        <v>1340</v>
      </c>
      <c r="BF34" s="1659">
        <f t="shared" si="64"/>
        <v>1294511</v>
      </c>
      <c r="BG34" s="1723">
        <f>SUM(BA34:BF34)</f>
        <v>1478741</v>
      </c>
      <c r="BH34" s="1723">
        <f>+AZ34+BG34</f>
        <v>1478741</v>
      </c>
      <c r="BL34" s="1659">
        <f t="shared" ref="BL34:BR34" si="65">+BL22-BL35</f>
        <v>0</v>
      </c>
      <c r="BM34" s="1659">
        <f t="shared" si="65"/>
        <v>0</v>
      </c>
      <c r="BN34" s="1659">
        <f t="shared" si="65"/>
        <v>0</v>
      </c>
      <c r="BO34" s="1659">
        <f t="shared" si="65"/>
        <v>0</v>
      </c>
      <c r="BP34" s="1659">
        <f t="shared" si="65"/>
        <v>0</v>
      </c>
      <c r="BQ34" s="1659">
        <f t="shared" si="65"/>
        <v>0</v>
      </c>
      <c r="BR34" s="1659">
        <f t="shared" si="65"/>
        <v>0</v>
      </c>
      <c r="BS34" s="1723">
        <f>SUM(BM34:BR34)</f>
        <v>0</v>
      </c>
      <c r="BT34" s="1723">
        <f>+BL34+BS34</f>
        <v>0</v>
      </c>
      <c r="BX34" s="1659">
        <f t="shared" ref="BX34:CD34" si="66">+BX22-BX35</f>
        <v>0</v>
      </c>
      <c r="BY34" s="1659">
        <f t="shared" si="66"/>
        <v>13981</v>
      </c>
      <c r="BZ34" s="1659">
        <f t="shared" si="66"/>
        <v>0</v>
      </c>
      <c r="CA34" s="1659">
        <f t="shared" si="66"/>
        <v>0</v>
      </c>
      <c r="CB34" s="1659">
        <f t="shared" si="66"/>
        <v>5561</v>
      </c>
      <c r="CC34" s="1659">
        <f t="shared" si="66"/>
        <v>0</v>
      </c>
      <c r="CD34" s="1659">
        <f t="shared" si="66"/>
        <v>0</v>
      </c>
      <c r="CE34" s="1723">
        <f>SUM(BY34:CD34)</f>
        <v>19542</v>
      </c>
      <c r="CF34" s="1723">
        <f>+BX34+CE34</f>
        <v>19542</v>
      </c>
    </row>
    <row r="35" spans="2:84" ht="21" hidden="1" customHeight="1">
      <c r="B35" s="1659" t="s">
        <v>2513</v>
      </c>
      <c r="C35" s="1659">
        <f t="shared" ref="C35:C36" si="67">+ROUND(P35/1000,0)+ROUND(AB35/1000,0)+ROUND(AN35/1000,0)+ROUND(AZ35/1000,0)+ROUND(BL35/1000,0)+ROUND(BX35/1000,0)</f>
        <v>106592</v>
      </c>
      <c r="D35" s="1659">
        <f t="shared" ref="D35:D36" si="68">+ROUND(Q35/1000,0)+ROUND(AC35/1000,0)+ROUND(AO35/1000,0)+ROUND(BA35/1000,0)+ROUND(BM35/1000,0)+ROUND(BY35/1000,0)</f>
        <v>13</v>
      </c>
      <c r="E35" s="1659">
        <f t="shared" ref="E35:E36" si="69">+ROUND(R35/1000,0)+ROUND(AD35/1000,0)+ROUND(AP35/1000,0)+ROUND(BB35/1000,0)+ROUND(BN35/1000,0)+ROUND(BZ35/1000,0)</f>
        <v>0</v>
      </c>
      <c r="F35" s="1659">
        <f t="shared" ref="F35:F36" si="70">+ROUND(S35/1000,0)+ROUND(AE35/1000,0)+ROUND(AQ35/1000,0)+ROUND(BC35/1000,0)+ROUND(BO35/1000,0)+ROUND(CA35/1000,0)</f>
        <v>0</v>
      </c>
      <c r="G35" s="1659">
        <f t="shared" ref="G35:G36" si="71">+ROUND(T35/1000,0)+ROUND(AF35/1000,0)+ROUND(AR35/1000,0)+ROUND(BD35/1000,0)+ROUND(BP35/1000,0)+ROUND(CB35/1000,0)</f>
        <v>0</v>
      </c>
      <c r="H35" s="1659">
        <f t="shared" ref="H35:H36" si="72">+ROUND(U35/1000,0)+ROUND(AG35/1000,0)+ROUND(AS35/1000,0)+ROUND(BE35/1000,0)+ROUND(BQ35/1000,0)+ROUND(CC35/1000,0)</f>
        <v>0</v>
      </c>
      <c r="I35" s="1659">
        <f t="shared" ref="I35:I36" si="73">+ROUND(V35/1000,0)+ROUND(AH35/1000,0)+ROUND(AT35/1000,0)+ROUND(BF35/1000,0)+ROUND(BR35/1000,0)+ROUND(CD35/1000,0)</f>
        <v>0</v>
      </c>
      <c r="J35" s="1659">
        <f t="shared" ref="J35:J36" si="74">+ROUND(W35/1000,0)+ROUND(AI35/1000,0)+ROUND(AU35/1000,0)+ROUND(BG35/1000,0)+ROUND(BS35/1000,0)+ROUND(CE35/1000,0)</f>
        <v>13</v>
      </c>
      <c r="K35" s="1659">
        <f t="shared" ref="K35:K36" si="75">+ROUND(X35/1000,0)+ROUND(AJ35/1000,0)+ROUND(AV35/1000,0)+ROUND(BH35/1000,0)+ROUND(BT35/1000,0)+ROUND(CF35/1000,0)</f>
        <v>106605</v>
      </c>
      <c r="P35" s="1659">
        <f>20383395+53820000+26671090</f>
        <v>100874485</v>
      </c>
      <c r="W35" s="1723">
        <f>SUM(Q35:V35)</f>
        <v>0</v>
      </c>
      <c r="X35" s="1723">
        <f>+P35+W35</f>
        <v>100874485</v>
      </c>
      <c r="AB35" s="1659">
        <v>1900575</v>
      </c>
      <c r="AH35" s="1725"/>
      <c r="AI35" s="1723">
        <f>SUM(AC35:AH35)</f>
        <v>0</v>
      </c>
      <c r="AJ35" s="1723">
        <f>+AB35+AI35</f>
        <v>1900575</v>
      </c>
      <c r="AN35" s="1659">
        <v>3697724</v>
      </c>
      <c r="AU35" s="1723">
        <f>SUM(AO35:AT35)</f>
        <v>0</v>
      </c>
      <c r="AV35" s="1723">
        <f>+AN35+AU35</f>
        <v>3697724</v>
      </c>
      <c r="AZ35" s="1659">
        <v>93189</v>
      </c>
      <c r="BA35" s="1659">
        <v>12908</v>
      </c>
      <c r="BG35" s="1723">
        <f>SUM(BA35:BF35)</f>
        <v>12908</v>
      </c>
      <c r="BH35" s="1723">
        <f>+AZ35+BG35</f>
        <v>106097</v>
      </c>
      <c r="BS35" s="1723">
        <f>SUM(BM35:BR35)</f>
        <v>0</v>
      </c>
      <c r="BT35" s="1723">
        <f>+BL35+BS35</f>
        <v>0</v>
      </c>
      <c r="BX35" s="1659">
        <v>26400</v>
      </c>
      <c r="CE35" s="1723">
        <f>SUM(BY35:CD35)</f>
        <v>0</v>
      </c>
      <c r="CF35" s="1723">
        <f>+BX35+CE35</f>
        <v>26400</v>
      </c>
    </row>
    <row r="36" spans="2:84" ht="21" hidden="1" customHeight="1">
      <c r="B36" s="1659" t="s">
        <v>2513</v>
      </c>
      <c r="C36" s="1659">
        <f t="shared" si="67"/>
        <v>0</v>
      </c>
      <c r="D36" s="1659">
        <f t="shared" si="68"/>
        <v>0</v>
      </c>
      <c r="E36" s="1659">
        <f t="shared" si="69"/>
        <v>0</v>
      </c>
      <c r="F36" s="1659">
        <f t="shared" si="70"/>
        <v>0</v>
      </c>
      <c r="G36" s="1659">
        <f t="shared" si="71"/>
        <v>0</v>
      </c>
      <c r="H36" s="1659">
        <f t="shared" si="72"/>
        <v>0</v>
      </c>
      <c r="I36" s="1659">
        <f t="shared" si="73"/>
        <v>0</v>
      </c>
      <c r="J36" s="1659">
        <f t="shared" si="74"/>
        <v>0</v>
      </c>
      <c r="K36" s="1659">
        <f t="shared" si="75"/>
        <v>0</v>
      </c>
      <c r="W36" s="1723">
        <f>SUM(Q36:V36)</f>
        <v>0</v>
      </c>
      <c r="X36" s="1723">
        <f>+P36+W36</f>
        <v>0</v>
      </c>
      <c r="AH36" s="1725"/>
      <c r="AI36" s="1723">
        <f>SUM(AC36:AH36)</f>
        <v>0</v>
      </c>
      <c r="AJ36" s="1723">
        <f>+AB36+AI36</f>
        <v>0</v>
      </c>
      <c r="AU36" s="1723">
        <f>SUM(AO36:AT36)</f>
        <v>0</v>
      </c>
      <c r="AV36" s="1723">
        <f>+AN36+AU36</f>
        <v>0</v>
      </c>
      <c r="BG36" s="1723">
        <f>SUM(BA36:BF36)</f>
        <v>0</v>
      </c>
      <c r="BH36" s="1723">
        <f>+AZ36+BG36</f>
        <v>0</v>
      </c>
      <c r="BS36" s="1723">
        <f>SUM(BM36:BR36)</f>
        <v>0</v>
      </c>
      <c r="BT36" s="1723">
        <f>+BL36+BS36</f>
        <v>0</v>
      </c>
      <c r="CE36" s="1723">
        <f>SUM(BY36:CD36)</f>
        <v>0</v>
      </c>
      <c r="CF36" s="1723">
        <f>+BX36+CE36</f>
        <v>0</v>
      </c>
    </row>
    <row r="37" spans="2:84" ht="21" hidden="1" customHeight="1"/>
    <row r="38" spans="2:84" ht="21" hidden="1" customHeight="1">
      <c r="J38" s="1659">
        <f>+J17-J27-J30</f>
        <v>62233</v>
      </c>
    </row>
    <row r="39" spans="2:84" ht="21" hidden="1" customHeight="1"/>
    <row r="40" spans="2:84" ht="21" hidden="1" customHeight="1"/>
    <row r="41" spans="2:84" ht="21" hidden="1" customHeight="1"/>
  </sheetData>
  <mergeCells count="73">
    <mergeCell ref="BV22:BW22"/>
    <mergeCell ref="A22:B22"/>
    <mergeCell ref="N22:O22"/>
    <mergeCell ref="Z22:AA22"/>
    <mergeCell ref="AL22:AM22"/>
    <mergeCell ref="AX22:AY22"/>
    <mergeCell ref="BJ22:BK22"/>
    <mergeCell ref="BV18:CF18"/>
    <mergeCell ref="A21:B21"/>
    <mergeCell ref="N21:O21"/>
    <mergeCell ref="Z21:AA21"/>
    <mergeCell ref="AL21:AM21"/>
    <mergeCell ref="AX21:AY21"/>
    <mergeCell ref="BJ21:BK21"/>
    <mergeCell ref="BV21:BW21"/>
    <mergeCell ref="A18:K18"/>
    <mergeCell ref="N18:X18"/>
    <mergeCell ref="Z18:AJ18"/>
    <mergeCell ref="AL18:AV18"/>
    <mergeCell ref="AX18:BH18"/>
    <mergeCell ref="BJ18:BT18"/>
    <mergeCell ref="BV9:CF9"/>
    <mergeCell ref="A17:B17"/>
    <mergeCell ref="N17:O17"/>
    <mergeCell ref="Z17:AA17"/>
    <mergeCell ref="AL17:AM17"/>
    <mergeCell ref="AX17:AY17"/>
    <mergeCell ref="BJ17:BK17"/>
    <mergeCell ref="BV17:BW17"/>
    <mergeCell ref="A9:K9"/>
    <mergeCell ref="N9:X9"/>
    <mergeCell ref="Z9:AJ9"/>
    <mergeCell ref="AL9:AV9"/>
    <mergeCell ref="AX9:BH9"/>
    <mergeCell ref="BJ9:BT9"/>
    <mergeCell ref="BT6:BT7"/>
    <mergeCell ref="BV6:BV7"/>
    <mergeCell ref="BW6:BW7"/>
    <mergeCell ref="BX6:BX7"/>
    <mergeCell ref="BY6:CE6"/>
    <mergeCell ref="CF6:CF7"/>
    <mergeCell ref="BA6:BG6"/>
    <mergeCell ref="BH6:BH7"/>
    <mergeCell ref="BJ6:BJ7"/>
    <mergeCell ref="BK6:BK7"/>
    <mergeCell ref="BL6:BL7"/>
    <mergeCell ref="BM6:BS6"/>
    <mergeCell ref="AN6:AN7"/>
    <mergeCell ref="AO6:AU6"/>
    <mergeCell ref="AV6:AV7"/>
    <mergeCell ref="AX6:AX7"/>
    <mergeCell ref="AY6:AY7"/>
    <mergeCell ref="AZ6:AZ7"/>
    <mergeCell ref="AA6:AA7"/>
    <mergeCell ref="AB6:AB7"/>
    <mergeCell ref="AC6:AI6"/>
    <mergeCell ref="AJ6:AJ7"/>
    <mergeCell ref="AL6:AL7"/>
    <mergeCell ref="AM6:AM7"/>
    <mergeCell ref="N6:N7"/>
    <mergeCell ref="O6:O7"/>
    <mergeCell ref="P6:P7"/>
    <mergeCell ref="Q6:W6"/>
    <mergeCell ref="X6:X7"/>
    <mergeCell ref="Z6:Z7"/>
    <mergeCell ref="J1:K1"/>
    <mergeCell ref="A3:K3"/>
    <mergeCell ref="A4:K4"/>
    <mergeCell ref="A6:A7"/>
    <mergeCell ref="B6:B7"/>
    <mergeCell ref="C6:C7"/>
    <mergeCell ref="D6:J6"/>
    <mergeCell ref="K6:K7"/>
  </mergeCells>
  <conditionalFormatting sqref="C10:I16">
    <cfRule type="cellIs" dxfId="3" priority="3" stopIfTrue="1" operator="equal">
      <formula>0</formula>
    </cfRule>
  </conditionalFormatting>
  <conditionalFormatting sqref="C19:I20">
    <cfRule type="cellIs" dxfId="2" priority="2" stopIfTrue="1" operator="equal">
      <formula>0</formula>
    </cfRule>
  </conditionalFormatting>
  <conditionalFormatting sqref="C10:I16 C19:I20">
    <cfRule type="cellIs" dxfId="1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M26"/>
  <sheetViews>
    <sheetView zoomScaleNormal="100" workbookViewId="0"/>
  </sheetViews>
  <sheetFormatPr defaultRowHeight="12.75"/>
  <cols>
    <col min="1" max="1" width="6" style="1735" bestFit="1" customWidth="1"/>
    <col min="2" max="2" width="30.5703125" style="1735" bestFit="1" customWidth="1"/>
    <col min="3" max="3" width="26.85546875" style="1735" customWidth="1"/>
    <col min="4" max="5" width="13.7109375" style="1735" customWidth="1"/>
    <col min="6" max="6" width="12" style="1735" customWidth="1"/>
    <col min="7" max="7" width="12" style="1736" customWidth="1"/>
    <col min="8" max="8" width="12" style="1735" customWidth="1"/>
    <col min="9" max="9" width="12" style="1737" customWidth="1"/>
    <col min="10" max="10" width="12" style="1736" customWidth="1"/>
    <col min="11" max="11" width="12" style="1735" customWidth="1"/>
    <col min="12" max="12" width="10.28515625" style="1735" customWidth="1"/>
    <col min="13" max="256" width="9.140625" style="1735"/>
    <col min="257" max="257" width="6" style="1735" bestFit="1" customWidth="1"/>
    <col min="258" max="258" width="30.5703125" style="1735" bestFit="1" customWidth="1"/>
    <col min="259" max="259" width="26.85546875" style="1735" customWidth="1"/>
    <col min="260" max="261" width="13.7109375" style="1735" customWidth="1"/>
    <col min="262" max="267" width="12" style="1735" customWidth="1"/>
    <col min="268" max="268" width="10.28515625" style="1735" customWidth="1"/>
    <col min="269" max="512" width="9.140625" style="1735"/>
    <col min="513" max="513" width="6" style="1735" bestFit="1" customWidth="1"/>
    <col min="514" max="514" width="30.5703125" style="1735" bestFit="1" customWidth="1"/>
    <col min="515" max="515" width="26.85546875" style="1735" customWidth="1"/>
    <col min="516" max="517" width="13.7109375" style="1735" customWidth="1"/>
    <col min="518" max="523" width="12" style="1735" customWidth="1"/>
    <col min="524" max="524" width="10.28515625" style="1735" customWidth="1"/>
    <col min="525" max="768" width="9.140625" style="1735"/>
    <col min="769" max="769" width="6" style="1735" bestFit="1" customWidth="1"/>
    <col min="770" max="770" width="30.5703125" style="1735" bestFit="1" customWidth="1"/>
    <col min="771" max="771" width="26.85546875" style="1735" customWidth="1"/>
    <col min="772" max="773" width="13.7109375" style="1735" customWidth="1"/>
    <col min="774" max="779" width="12" style="1735" customWidth="1"/>
    <col min="780" max="780" width="10.28515625" style="1735" customWidth="1"/>
    <col min="781" max="1024" width="9.140625" style="1735"/>
    <col min="1025" max="1025" width="6" style="1735" bestFit="1" customWidth="1"/>
    <col min="1026" max="1026" width="30.5703125" style="1735" bestFit="1" customWidth="1"/>
    <col min="1027" max="1027" width="26.85546875" style="1735" customWidth="1"/>
    <col min="1028" max="1029" width="13.7109375" style="1735" customWidth="1"/>
    <col min="1030" max="1035" width="12" style="1735" customWidth="1"/>
    <col min="1036" max="1036" width="10.28515625" style="1735" customWidth="1"/>
    <col min="1037" max="1280" width="9.140625" style="1735"/>
    <col min="1281" max="1281" width="6" style="1735" bestFit="1" customWidth="1"/>
    <col min="1282" max="1282" width="30.5703125" style="1735" bestFit="1" customWidth="1"/>
    <col min="1283" max="1283" width="26.85546875" style="1735" customWidth="1"/>
    <col min="1284" max="1285" width="13.7109375" style="1735" customWidth="1"/>
    <col min="1286" max="1291" width="12" style="1735" customWidth="1"/>
    <col min="1292" max="1292" width="10.28515625" style="1735" customWidth="1"/>
    <col min="1293" max="1536" width="9.140625" style="1735"/>
    <col min="1537" max="1537" width="6" style="1735" bestFit="1" customWidth="1"/>
    <col min="1538" max="1538" width="30.5703125" style="1735" bestFit="1" customWidth="1"/>
    <col min="1539" max="1539" width="26.85546875" style="1735" customWidth="1"/>
    <col min="1540" max="1541" width="13.7109375" style="1735" customWidth="1"/>
    <col min="1542" max="1547" width="12" style="1735" customWidth="1"/>
    <col min="1548" max="1548" width="10.28515625" style="1735" customWidth="1"/>
    <col min="1549" max="1792" width="9.140625" style="1735"/>
    <col min="1793" max="1793" width="6" style="1735" bestFit="1" customWidth="1"/>
    <col min="1794" max="1794" width="30.5703125" style="1735" bestFit="1" customWidth="1"/>
    <col min="1795" max="1795" width="26.85546875" style="1735" customWidth="1"/>
    <col min="1796" max="1797" width="13.7109375" style="1735" customWidth="1"/>
    <col min="1798" max="1803" width="12" style="1735" customWidth="1"/>
    <col min="1804" max="1804" width="10.28515625" style="1735" customWidth="1"/>
    <col min="1805" max="2048" width="9.140625" style="1735"/>
    <col min="2049" max="2049" width="6" style="1735" bestFit="1" customWidth="1"/>
    <col min="2050" max="2050" width="30.5703125" style="1735" bestFit="1" customWidth="1"/>
    <col min="2051" max="2051" width="26.85546875" style="1735" customWidth="1"/>
    <col min="2052" max="2053" width="13.7109375" style="1735" customWidth="1"/>
    <col min="2054" max="2059" width="12" style="1735" customWidth="1"/>
    <col min="2060" max="2060" width="10.28515625" style="1735" customWidth="1"/>
    <col min="2061" max="2304" width="9.140625" style="1735"/>
    <col min="2305" max="2305" width="6" style="1735" bestFit="1" customWidth="1"/>
    <col min="2306" max="2306" width="30.5703125" style="1735" bestFit="1" customWidth="1"/>
    <col min="2307" max="2307" width="26.85546875" style="1735" customWidth="1"/>
    <col min="2308" max="2309" width="13.7109375" style="1735" customWidth="1"/>
    <col min="2310" max="2315" width="12" style="1735" customWidth="1"/>
    <col min="2316" max="2316" width="10.28515625" style="1735" customWidth="1"/>
    <col min="2317" max="2560" width="9.140625" style="1735"/>
    <col min="2561" max="2561" width="6" style="1735" bestFit="1" customWidth="1"/>
    <col min="2562" max="2562" width="30.5703125" style="1735" bestFit="1" customWidth="1"/>
    <col min="2563" max="2563" width="26.85546875" style="1735" customWidth="1"/>
    <col min="2564" max="2565" width="13.7109375" style="1735" customWidth="1"/>
    <col min="2566" max="2571" width="12" style="1735" customWidth="1"/>
    <col min="2572" max="2572" width="10.28515625" style="1735" customWidth="1"/>
    <col min="2573" max="2816" width="9.140625" style="1735"/>
    <col min="2817" max="2817" width="6" style="1735" bestFit="1" customWidth="1"/>
    <col min="2818" max="2818" width="30.5703125" style="1735" bestFit="1" customWidth="1"/>
    <col min="2819" max="2819" width="26.85546875" style="1735" customWidth="1"/>
    <col min="2820" max="2821" width="13.7109375" style="1735" customWidth="1"/>
    <col min="2822" max="2827" width="12" style="1735" customWidth="1"/>
    <col min="2828" max="2828" width="10.28515625" style="1735" customWidth="1"/>
    <col min="2829" max="3072" width="9.140625" style="1735"/>
    <col min="3073" max="3073" width="6" style="1735" bestFit="1" customWidth="1"/>
    <col min="3074" max="3074" width="30.5703125" style="1735" bestFit="1" customWidth="1"/>
    <col min="3075" max="3075" width="26.85546875" style="1735" customWidth="1"/>
    <col min="3076" max="3077" width="13.7109375" style="1735" customWidth="1"/>
    <col min="3078" max="3083" width="12" style="1735" customWidth="1"/>
    <col min="3084" max="3084" width="10.28515625" style="1735" customWidth="1"/>
    <col min="3085" max="3328" width="9.140625" style="1735"/>
    <col min="3329" max="3329" width="6" style="1735" bestFit="1" customWidth="1"/>
    <col min="3330" max="3330" width="30.5703125" style="1735" bestFit="1" customWidth="1"/>
    <col min="3331" max="3331" width="26.85546875" style="1735" customWidth="1"/>
    <col min="3332" max="3333" width="13.7109375" style="1735" customWidth="1"/>
    <col min="3334" max="3339" width="12" style="1735" customWidth="1"/>
    <col min="3340" max="3340" width="10.28515625" style="1735" customWidth="1"/>
    <col min="3341" max="3584" width="9.140625" style="1735"/>
    <col min="3585" max="3585" width="6" style="1735" bestFit="1" customWidth="1"/>
    <col min="3586" max="3586" width="30.5703125" style="1735" bestFit="1" customWidth="1"/>
    <col min="3587" max="3587" width="26.85546875" style="1735" customWidth="1"/>
    <col min="3588" max="3589" width="13.7109375" style="1735" customWidth="1"/>
    <col min="3590" max="3595" width="12" style="1735" customWidth="1"/>
    <col min="3596" max="3596" width="10.28515625" style="1735" customWidth="1"/>
    <col min="3597" max="3840" width="9.140625" style="1735"/>
    <col min="3841" max="3841" width="6" style="1735" bestFit="1" customWidth="1"/>
    <col min="3842" max="3842" width="30.5703125" style="1735" bestFit="1" customWidth="1"/>
    <col min="3843" max="3843" width="26.85546875" style="1735" customWidth="1"/>
    <col min="3844" max="3845" width="13.7109375" style="1735" customWidth="1"/>
    <col min="3846" max="3851" width="12" style="1735" customWidth="1"/>
    <col min="3852" max="3852" width="10.28515625" style="1735" customWidth="1"/>
    <col min="3853" max="4096" width="9.140625" style="1735"/>
    <col min="4097" max="4097" width="6" style="1735" bestFit="1" customWidth="1"/>
    <col min="4098" max="4098" width="30.5703125" style="1735" bestFit="1" customWidth="1"/>
    <col min="4099" max="4099" width="26.85546875" style="1735" customWidth="1"/>
    <col min="4100" max="4101" width="13.7109375" style="1735" customWidth="1"/>
    <col min="4102" max="4107" width="12" style="1735" customWidth="1"/>
    <col min="4108" max="4108" width="10.28515625" style="1735" customWidth="1"/>
    <col min="4109" max="4352" width="9.140625" style="1735"/>
    <col min="4353" max="4353" width="6" style="1735" bestFit="1" customWidth="1"/>
    <col min="4354" max="4354" width="30.5703125" style="1735" bestFit="1" customWidth="1"/>
    <col min="4355" max="4355" width="26.85546875" style="1735" customWidth="1"/>
    <col min="4356" max="4357" width="13.7109375" style="1735" customWidth="1"/>
    <col min="4358" max="4363" width="12" style="1735" customWidth="1"/>
    <col min="4364" max="4364" width="10.28515625" style="1735" customWidth="1"/>
    <col min="4365" max="4608" width="9.140625" style="1735"/>
    <col min="4609" max="4609" width="6" style="1735" bestFit="1" customWidth="1"/>
    <col min="4610" max="4610" width="30.5703125" style="1735" bestFit="1" customWidth="1"/>
    <col min="4611" max="4611" width="26.85546875" style="1735" customWidth="1"/>
    <col min="4612" max="4613" width="13.7109375" style="1735" customWidth="1"/>
    <col min="4614" max="4619" width="12" style="1735" customWidth="1"/>
    <col min="4620" max="4620" width="10.28515625" style="1735" customWidth="1"/>
    <col min="4621" max="4864" width="9.140625" style="1735"/>
    <col min="4865" max="4865" width="6" style="1735" bestFit="1" customWidth="1"/>
    <col min="4866" max="4866" width="30.5703125" style="1735" bestFit="1" customWidth="1"/>
    <col min="4867" max="4867" width="26.85546875" style="1735" customWidth="1"/>
    <col min="4868" max="4869" width="13.7109375" style="1735" customWidth="1"/>
    <col min="4870" max="4875" width="12" style="1735" customWidth="1"/>
    <col min="4876" max="4876" width="10.28515625" style="1735" customWidth="1"/>
    <col min="4877" max="5120" width="9.140625" style="1735"/>
    <col min="5121" max="5121" width="6" style="1735" bestFit="1" customWidth="1"/>
    <col min="5122" max="5122" width="30.5703125" style="1735" bestFit="1" customWidth="1"/>
    <col min="5123" max="5123" width="26.85546875" style="1735" customWidth="1"/>
    <col min="5124" max="5125" width="13.7109375" style="1735" customWidth="1"/>
    <col min="5126" max="5131" width="12" style="1735" customWidth="1"/>
    <col min="5132" max="5132" width="10.28515625" style="1735" customWidth="1"/>
    <col min="5133" max="5376" width="9.140625" style="1735"/>
    <col min="5377" max="5377" width="6" style="1735" bestFit="1" customWidth="1"/>
    <col min="5378" max="5378" width="30.5703125" style="1735" bestFit="1" customWidth="1"/>
    <col min="5379" max="5379" width="26.85546875" style="1735" customWidth="1"/>
    <col min="5380" max="5381" width="13.7109375" style="1735" customWidth="1"/>
    <col min="5382" max="5387" width="12" style="1735" customWidth="1"/>
    <col min="5388" max="5388" width="10.28515625" style="1735" customWidth="1"/>
    <col min="5389" max="5632" width="9.140625" style="1735"/>
    <col min="5633" max="5633" width="6" style="1735" bestFit="1" customWidth="1"/>
    <col min="5634" max="5634" width="30.5703125" style="1735" bestFit="1" customWidth="1"/>
    <col min="5635" max="5635" width="26.85546875" style="1735" customWidth="1"/>
    <col min="5636" max="5637" width="13.7109375" style="1735" customWidth="1"/>
    <col min="5638" max="5643" width="12" style="1735" customWidth="1"/>
    <col min="5644" max="5644" width="10.28515625" style="1735" customWidth="1"/>
    <col min="5645" max="5888" width="9.140625" style="1735"/>
    <col min="5889" max="5889" width="6" style="1735" bestFit="1" customWidth="1"/>
    <col min="5890" max="5890" width="30.5703125" style="1735" bestFit="1" customWidth="1"/>
    <col min="5891" max="5891" width="26.85546875" style="1735" customWidth="1"/>
    <col min="5892" max="5893" width="13.7109375" style="1735" customWidth="1"/>
    <col min="5894" max="5899" width="12" style="1735" customWidth="1"/>
    <col min="5900" max="5900" width="10.28515625" style="1735" customWidth="1"/>
    <col min="5901" max="6144" width="9.140625" style="1735"/>
    <col min="6145" max="6145" width="6" style="1735" bestFit="1" customWidth="1"/>
    <col min="6146" max="6146" width="30.5703125" style="1735" bestFit="1" customWidth="1"/>
    <col min="6147" max="6147" width="26.85546875" style="1735" customWidth="1"/>
    <col min="6148" max="6149" width="13.7109375" style="1735" customWidth="1"/>
    <col min="6150" max="6155" width="12" style="1735" customWidth="1"/>
    <col min="6156" max="6156" width="10.28515625" style="1735" customWidth="1"/>
    <col min="6157" max="6400" width="9.140625" style="1735"/>
    <col min="6401" max="6401" width="6" style="1735" bestFit="1" customWidth="1"/>
    <col min="6402" max="6402" width="30.5703125" style="1735" bestFit="1" customWidth="1"/>
    <col min="6403" max="6403" width="26.85546875" style="1735" customWidth="1"/>
    <col min="6404" max="6405" width="13.7109375" style="1735" customWidth="1"/>
    <col min="6406" max="6411" width="12" style="1735" customWidth="1"/>
    <col min="6412" max="6412" width="10.28515625" style="1735" customWidth="1"/>
    <col min="6413" max="6656" width="9.140625" style="1735"/>
    <col min="6657" max="6657" width="6" style="1735" bestFit="1" customWidth="1"/>
    <col min="6658" max="6658" width="30.5703125" style="1735" bestFit="1" customWidth="1"/>
    <col min="6659" max="6659" width="26.85546875" style="1735" customWidth="1"/>
    <col min="6660" max="6661" width="13.7109375" style="1735" customWidth="1"/>
    <col min="6662" max="6667" width="12" style="1735" customWidth="1"/>
    <col min="6668" max="6668" width="10.28515625" style="1735" customWidth="1"/>
    <col min="6669" max="6912" width="9.140625" style="1735"/>
    <col min="6913" max="6913" width="6" style="1735" bestFit="1" customWidth="1"/>
    <col min="6914" max="6914" width="30.5703125" style="1735" bestFit="1" customWidth="1"/>
    <col min="6915" max="6915" width="26.85546875" style="1735" customWidth="1"/>
    <col min="6916" max="6917" width="13.7109375" style="1735" customWidth="1"/>
    <col min="6918" max="6923" width="12" style="1735" customWidth="1"/>
    <col min="6924" max="6924" width="10.28515625" style="1735" customWidth="1"/>
    <col min="6925" max="7168" width="9.140625" style="1735"/>
    <col min="7169" max="7169" width="6" style="1735" bestFit="1" customWidth="1"/>
    <col min="7170" max="7170" width="30.5703125" style="1735" bestFit="1" customWidth="1"/>
    <col min="7171" max="7171" width="26.85546875" style="1735" customWidth="1"/>
    <col min="7172" max="7173" width="13.7109375" style="1735" customWidth="1"/>
    <col min="7174" max="7179" width="12" style="1735" customWidth="1"/>
    <col min="7180" max="7180" width="10.28515625" style="1735" customWidth="1"/>
    <col min="7181" max="7424" width="9.140625" style="1735"/>
    <col min="7425" max="7425" width="6" style="1735" bestFit="1" customWidth="1"/>
    <col min="7426" max="7426" width="30.5703125" style="1735" bestFit="1" customWidth="1"/>
    <col min="7427" max="7427" width="26.85546875" style="1735" customWidth="1"/>
    <col min="7428" max="7429" width="13.7109375" style="1735" customWidth="1"/>
    <col min="7430" max="7435" width="12" style="1735" customWidth="1"/>
    <col min="7436" max="7436" width="10.28515625" style="1735" customWidth="1"/>
    <col min="7437" max="7680" width="9.140625" style="1735"/>
    <col min="7681" max="7681" width="6" style="1735" bestFit="1" customWidth="1"/>
    <col min="7682" max="7682" width="30.5703125" style="1735" bestFit="1" customWidth="1"/>
    <col min="7683" max="7683" width="26.85546875" style="1735" customWidth="1"/>
    <col min="7684" max="7685" width="13.7109375" style="1735" customWidth="1"/>
    <col min="7686" max="7691" width="12" style="1735" customWidth="1"/>
    <col min="7692" max="7692" width="10.28515625" style="1735" customWidth="1"/>
    <col min="7693" max="7936" width="9.140625" style="1735"/>
    <col min="7937" max="7937" width="6" style="1735" bestFit="1" customWidth="1"/>
    <col min="7938" max="7938" width="30.5703125" style="1735" bestFit="1" customWidth="1"/>
    <col min="7939" max="7939" width="26.85546875" style="1735" customWidth="1"/>
    <col min="7940" max="7941" width="13.7109375" style="1735" customWidth="1"/>
    <col min="7942" max="7947" width="12" style="1735" customWidth="1"/>
    <col min="7948" max="7948" width="10.28515625" style="1735" customWidth="1"/>
    <col min="7949" max="8192" width="9.140625" style="1735"/>
    <col min="8193" max="8193" width="6" style="1735" bestFit="1" customWidth="1"/>
    <col min="8194" max="8194" width="30.5703125" style="1735" bestFit="1" customWidth="1"/>
    <col min="8195" max="8195" width="26.85546875" style="1735" customWidth="1"/>
    <col min="8196" max="8197" width="13.7109375" style="1735" customWidth="1"/>
    <col min="8198" max="8203" width="12" style="1735" customWidth="1"/>
    <col min="8204" max="8204" width="10.28515625" style="1735" customWidth="1"/>
    <col min="8205" max="8448" width="9.140625" style="1735"/>
    <col min="8449" max="8449" width="6" style="1735" bestFit="1" customWidth="1"/>
    <col min="8450" max="8450" width="30.5703125" style="1735" bestFit="1" customWidth="1"/>
    <col min="8451" max="8451" width="26.85546875" style="1735" customWidth="1"/>
    <col min="8452" max="8453" width="13.7109375" style="1735" customWidth="1"/>
    <col min="8454" max="8459" width="12" style="1735" customWidth="1"/>
    <col min="8460" max="8460" width="10.28515625" style="1735" customWidth="1"/>
    <col min="8461" max="8704" width="9.140625" style="1735"/>
    <col min="8705" max="8705" width="6" style="1735" bestFit="1" customWidth="1"/>
    <col min="8706" max="8706" width="30.5703125" style="1735" bestFit="1" customWidth="1"/>
    <col min="8707" max="8707" width="26.85546875" style="1735" customWidth="1"/>
    <col min="8708" max="8709" width="13.7109375" style="1735" customWidth="1"/>
    <col min="8710" max="8715" width="12" style="1735" customWidth="1"/>
    <col min="8716" max="8716" width="10.28515625" style="1735" customWidth="1"/>
    <col min="8717" max="8960" width="9.140625" style="1735"/>
    <col min="8961" max="8961" width="6" style="1735" bestFit="1" customWidth="1"/>
    <col min="8962" max="8962" width="30.5703125" style="1735" bestFit="1" customWidth="1"/>
    <col min="8963" max="8963" width="26.85546875" style="1735" customWidth="1"/>
    <col min="8964" max="8965" width="13.7109375" style="1735" customWidth="1"/>
    <col min="8966" max="8971" width="12" style="1735" customWidth="1"/>
    <col min="8972" max="8972" width="10.28515625" style="1735" customWidth="1"/>
    <col min="8973" max="9216" width="9.140625" style="1735"/>
    <col min="9217" max="9217" width="6" style="1735" bestFit="1" customWidth="1"/>
    <col min="9218" max="9218" width="30.5703125" style="1735" bestFit="1" customWidth="1"/>
    <col min="9219" max="9219" width="26.85546875" style="1735" customWidth="1"/>
    <col min="9220" max="9221" width="13.7109375" style="1735" customWidth="1"/>
    <col min="9222" max="9227" width="12" style="1735" customWidth="1"/>
    <col min="9228" max="9228" width="10.28515625" style="1735" customWidth="1"/>
    <col min="9229" max="9472" width="9.140625" style="1735"/>
    <col min="9473" max="9473" width="6" style="1735" bestFit="1" customWidth="1"/>
    <col min="9474" max="9474" width="30.5703125" style="1735" bestFit="1" customWidth="1"/>
    <col min="9475" max="9475" width="26.85546875" style="1735" customWidth="1"/>
    <col min="9476" max="9477" width="13.7109375" style="1735" customWidth="1"/>
    <col min="9478" max="9483" width="12" style="1735" customWidth="1"/>
    <col min="9484" max="9484" width="10.28515625" style="1735" customWidth="1"/>
    <col min="9485" max="9728" width="9.140625" style="1735"/>
    <col min="9729" max="9729" width="6" style="1735" bestFit="1" customWidth="1"/>
    <col min="9730" max="9730" width="30.5703125" style="1735" bestFit="1" customWidth="1"/>
    <col min="9731" max="9731" width="26.85546875" style="1735" customWidth="1"/>
    <col min="9732" max="9733" width="13.7109375" style="1735" customWidth="1"/>
    <col min="9734" max="9739" width="12" style="1735" customWidth="1"/>
    <col min="9740" max="9740" width="10.28515625" style="1735" customWidth="1"/>
    <col min="9741" max="9984" width="9.140625" style="1735"/>
    <col min="9985" max="9985" width="6" style="1735" bestFit="1" customWidth="1"/>
    <col min="9986" max="9986" width="30.5703125" style="1735" bestFit="1" customWidth="1"/>
    <col min="9987" max="9987" width="26.85546875" style="1735" customWidth="1"/>
    <col min="9988" max="9989" width="13.7109375" style="1735" customWidth="1"/>
    <col min="9990" max="9995" width="12" style="1735" customWidth="1"/>
    <col min="9996" max="9996" width="10.28515625" style="1735" customWidth="1"/>
    <col min="9997" max="10240" width="9.140625" style="1735"/>
    <col min="10241" max="10241" width="6" style="1735" bestFit="1" customWidth="1"/>
    <col min="10242" max="10242" width="30.5703125" style="1735" bestFit="1" customWidth="1"/>
    <col min="10243" max="10243" width="26.85546875" style="1735" customWidth="1"/>
    <col min="10244" max="10245" width="13.7109375" style="1735" customWidth="1"/>
    <col min="10246" max="10251" width="12" style="1735" customWidth="1"/>
    <col min="10252" max="10252" width="10.28515625" style="1735" customWidth="1"/>
    <col min="10253" max="10496" width="9.140625" style="1735"/>
    <col min="10497" max="10497" width="6" style="1735" bestFit="1" customWidth="1"/>
    <col min="10498" max="10498" width="30.5703125" style="1735" bestFit="1" customWidth="1"/>
    <col min="10499" max="10499" width="26.85546875" style="1735" customWidth="1"/>
    <col min="10500" max="10501" width="13.7109375" style="1735" customWidth="1"/>
    <col min="10502" max="10507" width="12" style="1735" customWidth="1"/>
    <col min="10508" max="10508" width="10.28515625" style="1735" customWidth="1"/>
    <col min="10509" max="10752" width="9.140625" style="1735"/>
    <col min="10753" max="10753" width="6" style="1735" bestFit="1" customWidth="1"/>
    <col min="10754" max="10754" width="30.5703125" style="1735" bestFit="1" customWidth="1"/>
    <col min="10755" max="10755" width="26.85546875" style="1735" customWidth="1"/>
    <col min="10756" max="10757" width="13.7109375" style="1735" customWidth="1"/>
    <col min="10758" max="10763" width="12" style="1735" customWidth="1"/>
    <col min="10764" max="10764" width="10.28515625" style="1735" customWidth="1"/>
    <col min="10765" max="11008" width="9.140625" style="1735"/>
    <col min="11009" max="11009" width="6" style="1735" bestFit="1" customWidth="1"/>
    <col min="11010" max="11010" width="30.5703125" style="1735" bestFit="1" customWidth="1"/>
    <col min="11011" max="11011" width="26.85546875" style="1735" customWidth="1"/>
    <col min="11012" max="11013" width="13.7109375" style="1735" customWidth="1"/>
    <col min="11014" max="11019" width="12" style="1735" customWidth="1"/>
    <col min="11020" max="11020" width="10.28515625" style="1735" customWidth="1"/>
    <col min="11021" max="11264" width="9.140625" style="1735"/>
    <col min="11265" max="11265" width="6" style="1735" bestFit="1" customWidth="1"/>
    <col min="11266" max="11266" width="30.5703125" style="1735" bestFit="1" customWidth="1"/>
    <col min="11267" max="11267" width="26.85546875" style="1735" customWidth="1"/>
    <col min="11268" max="11269" width="13.7109375" style="1735" customWidth="1"/>
    <col min="11270" max="11275" width="12" style="1735" customWidth="1"/>
    <col min="11276" max="11276" width="10.28515625" style="1735" customWidth="1"/>
    <col min="11277" max="11520" width="9.140625" style="1735"/>
    <col min="11521" max="11521" width="6" style="1735" bestFit="1" customWidth="1"/>
    <col min="11522" max="11522" width="30.5703125" style="1735" bestFit="1" customWidth="1"/>
    <col min="11523" max="11523" width="26.85546875" style="1735" customWidth="1"/>
    <col min="11524" max="11525" width="13.7109375" style="1735" customWidth="1"/>
    <col min="11526" max="11531" width="12" style="1735" customWidth="1"/>
    <col min="11532" max="11532" width="10.28515625" style="1735" customWidth="1"/>
    <col min="11533" max="11776" width="9.140625" style="1735"/>
    <col min="11777" max="11777" width="6" style="1735" bestFit="1" customWidth="1"/>
    <col min="11778" max="11778" width="30.5703125" style="1735" bestFit="1" customWidth="1"/>
    <col min="11779" max="11779" width="26.85546875" style="1735" customWidth="1"/>
    <col min="11780" max="11781" width="13.7109375" style="1735" customWidth="1"/>
    <col min="11782" max="11787" width="12" style="1735" customWidth="1"/>
    <col min="11788" max="11788" width="10.28515625" style="1735" customWidth="1"/>
    <col min="11789" max="12032" width="9.140625" style="1735"/>
    <col min="12033" max="12033" width="6" style="1735" bestFit="1" customWidth="1"/>
    <col min="12034" max="12034" width="30.5703125" style="1735" bestFit="1" customWidth="1"/>
    <col min="12035" max="12035" width="26.85546875" style="1735" customWidth="1"/>
    <col min="12036" max="12037" width="13.7109375" style="1735" customWidth="1"/>
    <col min="12038" max="12043" width="12" style="1735" customWidth="1"/>
    <col min="12044" max="12044" width="10.28515625" style="1735" customWidth="1"/>
    <col min="12045" max="12288" width="9.140625" style="1735"/>
    <col min="12289" max="12289" width="6" style="1735" bestFit="1" customWidth="1"/>
    <col min="12290" max="12290" width="30.5703125" style="1735" bestFit="1" customWidth="1"/>
    <col min="12291" max="12291" width="26.85546875" style="1735" customWidth="1"/>
    <col min="12292" max="12293" width="13.7109375" style="1735" customWidth="1"/>
    <col min="12294" max="12299" width="12" style="1735" customWidth="1"/>
    <col min="12300" max="12300" width="10.28515625" style="1735" customWidth="1"/>
    <col min="12301" max="12544" width="9.140625" style="1735"/>
    <col min="12545" max="12545" width="6" style="1735" bestFit="1" customWidth="1"/>
    <col min="12546" max="12546" width="30.5703125" style="1735" bestFit="1" customWidth="1"/>
    <col min="12547" max="12547" width="26.85546875" style="1735" customWidth="1"/>
    <col min="12548" max="12549" width="13.7109375" style="1735" customWidth="1"/>
    <col min="12550" max="12555" width="12" style="1735" customWidth="1"/>
    <col min="12556" max="12556" width="10.28515625" style="1735" customWidth="1"/>
    <col min="12557" max="12800" width="9.140625" style="1735"/>
    <col min="12801" max="12801" width="6" style="1735" bestFit="1" customWidth="1"/>
    <col min="12802" max="12802" width="30.5703125" style="1735" bestFit="1" customWidth="1"/>
    <col min="12803" max="12803" width="26.85546875" style="1735" customWidth="1"/>
    <col min="12804" max="12805" width="13.7109375" style="1735" customWidth="1"/>
    <col min="12806" max="12811" width="12" style="1735" customWidth="1"/>
    <col min="12812" max="12812" width="10.28515625" style="1735" customWidth="1"/>
    <col min="12813" max="13056" width="9.140625" style="1735"/>
    <col min="13057" max="13057" width="6" style="1735" bestFit="1" customWidth="1"/>
    <col min="13058" max="13058" width="30.5703125" style="1735" bestFit="1" customWidth="1"/>
    <col min="13059" max="13059" width="26.85546875" style="1735" customWidth="1"/>
    <col min="13060" max="13061" width="13.7109375" style="1735" customWidth="1"/>
    <col min="13062" max="13067" width="12" style="1735" customWidth="1"/>
    <col min="13068" max="13068" width="10.28515625" style="1735" customWidth="1"/>
    <col min="13069" max="13312" width="9.140625" style="1735"/>
    <col min="13313" max="13313" width="6" style="1735" bestFit="1" customWidth="1"/>
    <col min="13314" max="13314" width="30.5703125" style="1735" bestFit="1" customWidth="1"/>
    <col min="13315" max="13315" width="26.85546875" style="1735" customWidth="1"/>
    <col min="13316" max="13317" width="13.7109375" style="1735" customWidth="1"/>
    <col min="13318" max="13323" width="12" style="1735" customWidth="1"/>
    <col min="13324" max="13324" width="10.28515625" style="1735" customWidth="1"/>
    <col min="13325" max="13568" width="9.140625" style="1735"/>
    <col min="13569" max="13569" width="6" style="1735" bestFit="1" customWidth="1"/>
    <col min="13570" max="13570" width="30.5703125" style="1735" bestFit="1" customWidth="1"/>
    <col min="13571" max="13571" width="26.85546875" style="1735" customWidth="1"/>
    <col min="13572" max="13573" width="13.7109375" style="1735" customWidth="1"/>
    <col min="13574" max="13579" width="12" style="1735" customWidth="1"/>
    <col min="13580" max="13580" width="10.28515625" style="1735" customWidth="1"/>
    <col min="13581" max="13824" width="9.140625" style="1735"/>
    <col min="13825" max="13825" width="6" style="1735" bestFit="1" customWidth="1"/>
    <col min="13826" max="13826" width="30.5703125" style="1735" bestFit="1" customWidth="1"/>
    <col min="13827" max="13827" width="26.85546875" style="1735" customWidth="1"/>
    <col min="13828" max="13829" width="13.7109375" style="1735" customWidth="1"/>
    <col min="13830" max="13835" width="12" style="1735" customWidth="1"/>
    <col min="13836" max="13836" width="10.28515625" style="1735" customWidth="1"/>
    <col min="13837" max="14080" width="9.140625" style="1735"/>
    <col min="14081" max="14081" width="6" style="1735" bestFit="1" customWidth="1"/>
    <col min="14082" max="14082" width="30.5703125" style="1735" bestFit="1" customWidth="1"/>
    <col min="14083" max="14083" width="26.85546875" style="1735" customWidth="1"/>
    <col min="14084" max="14085" width="13.7109375" style="1735" customWidth="1"/>
    <col min="14086" max="14091" width="12" style="1735" customWidth="1"/>
    <col min="14092" max="14092" width="10.28515625" style="1735" customWidth="1"/>
    <col min="14093" max="14336" width="9.140625" style="1735"/>
    <col min="14337" max="14337" width="6" style="1735" bestFit="1" customWidth="1"/>
    <col min="14338" max="14338" width="30.5703125" style="1735" bestFit="1" customWidth="1"/>
    <col min="14339" max="14339" width="26.85546875" style="1735" customWidth="1"/>
    <col min="14340" max="14341" width="13.7109375" style="1735" customWidth="1"/>
    <col min="14342" max="14347" width="12" style="1735" customWidth="1"/>
    <col min="14348" max="14348" width="10.28515625" style="1735" customWidth="1"/>
    <col min="14349" max="14592" width="9.140625" style="1735"/>
    <col min="14593" max="14593" width="6" style="1735" bestFit="1" customWidth="1"/>
    <col min="14594" max="14594" width="30.5703125" style="1735" bestFit="1" customWidth="1"/>
    <col min="14595" max="14595" width="26.85546875" style="1735" customWidth="1"/>
    <col min="14596" max="14597" width="13.7109375" style="1735" customWidth="1"/>
    <col min="14598" max="14603" width="12" style="1735" customWidth="1"/>
    <col min="14604" max="14604" width="10.28515625" style="1735" customWidth="1"/>
    <col min="14605" max="14848" width="9.140625" style="1735"/>
    <col min="14849" max="14849" width="6" style="1735" bestFit="1" customWidth="1"/>
    <col min="14850" max="14850" width="30.5703125" style="1735" bestFit="1" customWidth="1"/>
    <col min="14851" max="14851" width="26.85546875" style="1735" customWidth="1"/>
    <col min="14852" max="14853" width="13.7109375" style="1735" customWidth="1"/>
    <col min="14854" max="14859" width="12" style="1735" customWidth="1"/>
    <col min="14860" max="14860" width="10.28515625" style="1735" customWidth="1"/>
    <col min="14861" max="15104" width="9.140625" style="1735"/>
    <col min="15105" max="15105" width="6" style="1735" bestFit="1" customWidth="1"/>
    <col min="15106" max="15106" width="30.5703125" style="1735" bestFit="1" customWidth="1"/>
    <col min="15107" max="15107" width="26.85546875" style="1735" customWidth="1"/>
    <col min="15108" max="15109" width="13.7109375" style="1735" customWidth="1"/>
    <col min="15110" max="15115" width="12" style="1735" customWidth="1"/>
    <col min="15116" max="15116" width="10.28515625" style="1735" customWidth="1"/>
    <col min="15117" max="15360" width="9.140625" style="1735"/>
    <col min="15361" max="15361" width="6" style="1735" bestFit="1" customWidth="1"/>
    <col min="15362" max="15362" width="30.5703125" style="1735" bestFit="1" customWidth="1"/>
    <col min="15363" max="15363" width="26.85546875" style="1735" customWidth="1"/>
    <col min="15364" max="15365" width="13.7109375" style="1735" customWidth="1"/>
    <col min="15366" max="15371" width="12" style="1735" customWidth="1"/>
    <col min="15372" max="15372" width="10.28515625" style="1735" customWidth="1"/>
    <col min="15373" max="15616" width="9.140625" style="1735"/>
    <col min="15617" max="15617" width="6" style="1735" bestFit="1" customWidth="1"/>
    <col min="15618" max="15618" width="30.5703125" style="1735" bestFit="1" customWidth="1"/>
    <col min="15619" max="15619" width="26.85546875" style="1735" customWidth="1"/>
    <col min="15620" max="15621" width="13.7109375" style="1735" customWidth="1"/>
    <col min="15622" max="15627" width="12" style="1735" customWidth="1"/>
    <col min="15628" max="15628" width="10.28515625" style="1735" customWidth="1"/>
    <col min="15629" max="15872" width="9.140625" style="1735"/>
    <col min="15873" max="15873" width="6" style="1735" bestFit="1" customWidth="1"/>
    <col min="15874" max="15874" width="30.5703125" style="1735" bestFit="1" customWidth="1"/>
    <col min="15875" max="15875" width="26.85546875" style="1735" customWidth="1"/>
    <col min="15876" max="15877" width="13.7109375" style="1735" customWidth="1"/>
    <col min="15878" max="15883" width="12" style="1735" customWidth="1"/>
    <col min="15884" max="15884" width="10.28515625" style="1735" customWidth="1"/>
    <col min="15885" max="16128" width="9.140625" style="1735"/>
    <col min="16129" max="16129" width="6" style="1735" bestFit="1" customWidth="1"/>
    <col min="16130" max="16130" width="30.5703125" style="1735" bestFit="1" customWidth="1"/>
    <col min="16131" max="16131" width="26.85546875" style="1735" customWidth="1"/>
    <col min="16132" max="16133" width="13.7109375" style="1735" customWidth="1"/>
    <col min="16134" max="16139" width="12" style="1735" customWidth="1"/>
    <col min="16140" max="16140" width="10.28515625" style="1735" customWidth="1"/>
    <col min="16141" max="16384" width="9.140625" style="1735"/>
  </cols>
  <sheetData>
    <row r="1" spans="1:12" s="1728" customFormat="1" ht="15.75">
      <c r="G1" s="1729"/>
      <c r="I1" s="1730"/>
      <c r="J1" s="1569" t="s">
        <v>1518</v>
      </c>
      <c r="K1" s="1569"/>
    </row>
    <row r="2" spans="1:12" s="1728" customFormat="1" ht="15.75">
      <c r="G2" s="1729"/>
      <c r="I2" s="1730"/>
      <c r="J2" s="1729"/>
    </row>
    <row r="3" spans="1:12" s="1728" customFormat="1" ht="15.75">
      <c r="A3" s="1731" t="s">
        <v>2514</v>
      </c>
      <c r="B3" s="1731"/>
      <c r="C3" s="1731"/>
      <c r="D3" s="1731"/>
      <c r="E3" s="1731"/>
      <c r="F3" s="1731"/>
      <c r="G3" s="1731"/>
      <c r="H3" s="1731"/>
      <c r="I3" s="1731"/>
      <c r="J3" s="1731"/>
      <c r="K3" s="1731"/>
      <c r="L3" s="1732"/>
    </row>
    <row r="4" spans="1:12" s="1728" customFormat="1" ht="15.75">
      <c r="A4" s="1733">
        <v>43465</v>
      </c>
      <c r="B4" s="1734"/>
      <c r="C4" s="1734"/>
      <c r="D4" s="1734"/>
      <c r="E4" s="1734"/>
      <c r="F4" s="1734"/>
      <c r="G4" s="1734"/>
      <c r="H4" s="1734"/>
      <c r="I4" s="1734"/>
      <c r="J4" s="1734"/>
      <c r="K4" s="1734"/>
    </row>
    <row r="6" spans="1:12" ht="14.25" thickBot="1">
      <c r="K6" s="1738" t="s">
        <v>561</v>
      </c>
    </row>
    <row r="7" spans="1:12" ht="12.75" customHeight="1">
      <c r="A7" s="1739" t="s">
        <v>2515</v>
      </c>
      <c r="B7" s="1740" t="s">
        <v>2516</v>
      </c>
      <c r="C7" s="1740" t="s">
        <v>2517</v>
      </c>
      <c r="D7" s="1740" t="s">
        <v>2518</v>
      </c>
      <c r="E7" s="1740" t="s">
        <v>2519</v>
      </c>
      <c r="F7" s="1741" t="s">
        <v>2520</v>
      </c>
      <c r="G7" s="1742" t="s">
        <v>2521</v>
      </c>
      <c r="H7" s="1743" t="s">
        <v>459</v>
      </c>
      <c r="I7" s="1743"/>
      <c r="J7" s="1742" t="s">
        <v>2678</v>
      </c>
      <c r="K7" s="1742" t="s">
        <v>2679</v>
      </c>
    </row>
    <row r="8" spans="1:12" ht="12.75" customHeight="1">
      <c r="A8" s="1744"/>
      <c r="B8" s="1745"/>
      <c r="C8" s="1745"/>
      <c r="D8" s="1745"/>
      <c r="E8" s="1745"/>
      <c r="F8" s="1746"/>
      <c r="G8" s="1747"/>
      <c r="H8" s="1748" t="s">
        <v>2522</v>
      </c>
      <c r="I8" s="1749" t="s">
        <v>2523</v>
      </c>
      <c r="J8" s="1747"/>
      <c r="K8" s="1747"/>
    </row>
    <row r="9" spans="1:12" ht="12.75" customHeight="1">
      <c r="A9" s="1744"/>
      <c r="B9" s="1745"/>
      <c r="C9" s="1745"/>
      <c r="D9" s="1745"/>
      <c r="E9" s="1745"/>
      <c r="F9" s="1746"/>
      <c r="G9" s="1747"/>
      <c r="H9" s="1745"/>
      <c r="I9" s="1750"/>
      <c r="J9" s="1747"/>
      <c r="K9" s="1747"/>
    </row>
    <row r="10" spans="1:12" ht="13.5" thickBot="1">
      <c r="A10" s="1751"/>
      <c r="B10" s="1752"/>
      <c r="C10" s="1752"/>
      <c r="D10" s="1752"/>
      <c r="E10" s="1752"/>
      <c r="F10" s="1753"/>
      <c r="G10" s="1754"/>
      <c r="H10" s="1752"/>
      <c r="I10" s="1755"/>
      <c r="J10" s="1754"/>
      <c r="K10" s="1754"/>
    </row>
    <row r="11" spans="1:12">
      <c r="A11" s="1756" t="s">
        <v>4</v>
      </c>
      <c r="B11" s="1757" t="s">
        <v>19</v>
      </c>
      <c r="C11" s="1757" t="s">
        <v>19</v>
      </c>
      <c r="D11" s="1758"/>
      <c r="E11" s="1758"/>
      <c r="F11" s="1608"/>
      <c r="G11" s="1616"/>
      <c r="H11" s="1609"/>
      <c r="I11" s="1759"/>
      <c r="J11" s="1616">
        <f>+G11-H11</f>
        <v>0</v>
      </c>
      <c r="K11" s="1610"/>
    </row>
    <row r="12" spans="1:12" ht="13.5" thickBot="1">
      <c r="A12" s="1756"/>
      <c r="B12" s="1757"/>
      <c r="C12" s="1760"/>
      <c r="D12" s="1758"/>
      <c r="E12" s="1758"/>
      <c r="F12" s="1608"/>
      <c r="G12" s="1616"/>
      <c r="H12" s="1609"/>
      <c r="I12" s="1759"/>
      <c r="J12" s="1616"/>
      <c r="K12" s="1610"/>
    </row>
    <row r="13" spans="1:12" ht="14.25" thickBot="1">
      <c r="A13" s="1761"/>
      <c r="B13" s="1762" t="s">
        <v>2524</v>
      </c>
      <c r="C13" s="1763" t="s">
        <v>19</v>
      </c>
      <c r="D13" s="1764" t="s">
        <v>19</v>
      </c>
      <c r="E13" s="1764" t="s">
        <v>19</v>
      </c>
      <c r="F13" s="1765">
        <f t="shared" ref="F13:K13" si="0">SUM(F11:F12)</f>
        <v>0</v>
      </c>
      <c r="G13" s="1656">
        <f t="shared" si="0"/>
        <v>0</v>
      </c>
      <c r="H13" s="1654">
        <f t="shared" si="0"/>
        <v>0</v>
      </c>
      <c r="I13" s="1766">
        <f t="shared" si="0"/>
        <v>0</v>
      </c>
      <c r="J13" s="1656">
        <f t="shared" si="0"/>
        <v>0</v>
      </c>
      <c r="K13" s="1656">
        <f t="shared" si="0"/>
        <v>0</v>
      </c>
    </row>
    <row r="14" spans="1:12">
      <c r="A14" s="1756" t="s">
        <v>5</v>
      </c>
      <c r="B14" s="1757" t="s">
        <v>19</v>
      </c>
      <c r="C14" s="1767" t="s">
        <v>19</v>
      </c>
      <c r="D14" s="1768"/>
      <c r="E14" s="1768"/>
      <c r="F14" s="1608"/>
      <c r="G14" s="1616">
        <f>+F14</f>
        <v>0</v>
      </c>
      <c r="H14" s="1769"/>
      <c r="I14" s="1770"/>
      <c r="J14" s="1616">
        <f>+G14-H14</f>
        <v>0</v>
      </c>
      <c r="K14" s="1610"/>
    </row>
    <row r="15" spans="1:12" ht="13.5" thickBot="1">
      <c r="A15" s="1756"/>
      <c r="B15" s="1757"/>
      <c r="C15" s="1767"/>
      <c r="D15" s="1758"/>
      <c r="E15" s="1758"/>
      <c r="F15" s="1608"/>
      <c r="G15" s="1616"/>
      <c r="H15" s="1769"/>
      <c r="I15" s="1770"/>
      <c r="J15" s="1616"/>
      <c r="K15" s="1610"/>
    </row>
    <row r="16" spans="1:12" ht="14.25" thickBot="1">
      <c r="A16" s="1761"/>
      <c r="B16" s="1762" t="s">
        <v>2525</v>
      </c>
      <c r="C16" s="1763" t="s">
        <v>19</v>
      </c>
      <c r="D16" s="1764" t="s">
        <v>19</v>
      </c>
      <c r="E16" s="1764" t="s">
        <v>19</v>
      </c>
      <c r="F16" s="1765">
        <f t="shared" ref="F16:K16" si="1">SUM(F14:F15)</f>
        <v>0</v>
      </c>
      <c r="G16" s="1656">
        <f t="shared" si="1"/>
        <v>0</v>
      </c>
      <c r="H16" s="1654">
        <f t="shared" si="1"/>
        <v>0</v>
      </c>
      <c r="I16" s="1766">
        <f t="shared" si="1"/>
        <v>0</v>
      </c>
      <c r="J16" s="1656">
        <f t="shared" si="1"/>
        <v>0</v>
      </c>
      <c r="K16" s="1656">
        <f t="shared" si="1"/>
        <v>0</v>
      </c>
    </row>
    <row r="17" spans="1:13" ht="13.5" thickBot="1">
      <c r="A17" s="1771"/>
      <c r="B17" s="1772"/>
      <c r="C17" s="1772"/>
      <c r="D17" s="1773"/>
      <c r="E17" s="1773"/>
      <c r="F17" s="1774"/>
      <c r="G17" s="1775"/>
      <c r="H17" s="1776"/>
      <c r="I17" s="1777"/>
      <c r="J17" s="1616"/>
      <c r="K17" s="1610"/>
    </row>
    <row r="18" spans="1:13" ht="14.25" thickBot="1">
      <c r="A18" s="1761"/>
      <c r="B18" s="1762" t="s">
        <v>18</v>
      </c>
      <c r="C18" s="1763" t="s">
        <v>19</v>
      </c>
      <c r="D18" s="1764" t="s">
        <v>19</v>
      </c>
      <c r="E18" s="1764" t="s">
        <v>19</v>
      </c>
      <c r="F18" s="1765">
        <f t="shared" ref="F18:K18" si="2">+F13+F16</f>
        <v>0</v>
      </c>
      <c r="G18" s="1656">
        <f t="shared" si="2"/>
        <v>0</v>
      </c>
      <c r="H18" s="1654">
        <f t="shared" si="2"/>
        <v>0</v>
      </c>
      <c r="I18" s="1766">
        <f t="shared" si="2"/>
        <v>0</v>
      </c>
      <c r="J18" s="1656">
        <f t="shared" si="2"/>
        <v>0</v>
      </c>
      <c r="K18" s="1656">
        <f t="shared" si="2"/>
        <v>0</v>
      </c>
    </row>
    <row r="23" spans="1:13">
      <c r="C23" s="1778"/>
    </row>
    <row r="25" spans="1:13" ht="13.5">
      <c r="D25" s="1778"/>
      <c r="E25" s="1778"/>
      <c r="F25" s="1778"/>
      <c r="G25" s="1778"/>
      <c r="H25" s="1778"/>
      <c r="I25" s="1779"/>
      <c r="J25" s="1778"/>
      <c r="K25" s="1778"/>
      <c r="L25" s="1778"/>
      <c r="M25" s="1778"/>
    </row>
    <row r="26" spans="1:13">
      <c r="C26" s="1780"/>
      <c r="D26" s="1780"/>
      <c r="E26" s="1780"/>
      <c r="F26" s="1780"/>
      <c r="G26" s="1778"/>
      <c r="H26" s="1780"/>
      <c r="I26" s="1781"/>
      <c r="J26" s="1778"/>
      <c r="K26" s="1780"/>
      <c r="L26" s="1780"/>
      <c r="M26" s="1780"/>
    </row>
  </sheetData>
  <mergeCells count="15">
    <mergeCell ref="H7:I7"/>
    <mergeCell ref="J7:J10"/>
    <mergeCell ref="K7:K10"/>
    <mergeCell ref="H8:H10"/>
    <mergeCell ref="I8:I10"/>
    <mergeCell ref="J1:K1"/>
    <mergeCell ref="A3:K3"/>
    <mergeCell ref="A4:K4"/>
    <mergeCell ref="A7:A10"/>
    <mergeCell ref="B7:B10"/>
    <mergeCell ref="C7:C10"/>
    <mergeCell ref="D7:D10"/>
    <mergeCell ref="E7:E10"/>
    <mergeCell ref="F7:F10"/>
    <mergeCell ref="G7:G10"/>
  </mergeCells>
  <pageMargins left="0.23622047244094491" right="0.23622047244094491" top="0.51181102362204722" bottom="0.74803149606299213" header="0.31496062992125984" footer="0.31496062992125984"/>
  <pageSetup paperSize="9" scale="8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L33"/>
  <sheetViews>
    <sheetView zoomScaleNormal="100" workbookViewId="0">
      <pane ySplit="5" topLeftCell="A6" activePane="bottomLeft" state="frozen"/>
      <selection activeCell="C11" sqref="C11"/>
      <selection pane="bottomLeft" activeCell="A6" sqref="A6"/>
    </sheetView>
  </sheetViews>
  <sheetFormatPr defaultRowHeight="12"/>
  <cols>
    <col min="1" max="1" width="8.140625" style="943" customWidth="1"/>
    <col min="2" max="2" width="82" style="943" customWidth="1"/>
    <col min="3" max="8" width="10.7109375" style="943" customWidth="1"/>
    <col min="9" max="9" width="12.140625" style="943" customWidth="1"/>
    <col min="10" max="10" width="9.140625" style="943"/>
    <col min="11" max="12" width="9.140625" style="943" hidden="1" customWidth="1"/>
    <col min="13" max="257" width="9.140625" style="943"/>
    <col min="258" max="258" width="8.140625" style="943" customWidth="1"/>
    <col min="259" max="259" width="82" style="943" customWidth="1"/>
    <col min="260" max="265" width="10.7109375" style="943" customWidth="1"/>
    <col min="266" max="266" width="9.140625" style="943"/>
    <col min="267" max="268" width="0" style="943" hidden="1" customWidth="1"/>
    <col min="269" max="513" width="9.140625" style="943"/>
    <col min="514" max="514" width="8.140625" style="943" customWidth="1"/>
    <col min="515" max="515" width="82" style="943" customWidth="1"/>
    <col min="516" max="521" width="10.7109375" style="943" customWidth="1"/>
    <col min="522" max="522" width="9.140625" style="943"/>
    <col min="523" max="524" width="0" style="943" hidden="1" customWidth="1"/>
    <col min="525" max="769" width="9.140625" style="943"/>
    <col min="770" max="770" width="8.140625" style="943" customWidth="1"/>
    <col min="771" max="771" width="82" style="943" customWidth="1"/>
    <col min="772" max="777" width="10.7109375" style="943" customWidth="1"/>
    <col min="778" max="778" width="9.140625" style="943"/>
    <col min="779" max="780" width="0" style="943" hidden="1" customWidth="1"/>
    <col min="781" max="1025" width="9.140625" style="943"/>
    <col min="1026" max="1026" width="8.140625" style="943" customWidth="1"/>
    <col min="1027" max="1027" width="82" style="943" customWidth="1"/>
    <col min="1028" max="1033" width="10.7109375" style="943" customWidth="1"/>
    <col min="1034" max="1034" width="9.140625" style="943"/>
    <col min="1035" max="1036" width="0" style="943" hidden="1" customWidth="1"/>
    <col min="1037" max="1281" width="9.140625" style="943"/>
    <col min="1282" max="1282" width="8.140625" style="943" customWidth="1"/>
    <col min="1283" max="1283" width="82" style="943" customWidth="1"/>
    <col min="1284" max="1289" width="10.7109375" style="943" customWidth="1"/>
    <col min="1290" max="1290" width="9.140625" style="943"/>
    <col min="1291" max="1292" width="0" style="943" hidden="1" customWidth="1"/>
    <col min="1293" max="1537" width="9.140625" style="943"/>
    <col min="1538" max="1538" width="8.140625" style="943" customWidth="1"/>
    <col min="1539" max="1539" width="82" style="943" customWidth="1"/>
    <col min="1540" max="1545" width="10.7109375" style="943" customWidth="1"/>
    <col min="1546" max="1546" width="9.140625" style="943"/>
    <col min="1547" max="1548" width="0" style="943" hidden="1" customWidth="1"/>
    <col min="1549" max="1793" width="9.140625" style="943"/>
    <col min="1794" max="1794" width="8.140625" style="943" customWidth="1"/>
    <col min="1795" max="1795" width="82" style="943" customWidth="1"/>
    <col min="1796" max="1801" width="10.7109375" style="943" customWidth="1"/>
    <col min="1802" max="1802" width="9.140625" style="943"/>
    <col min="1803" max="1804" width="0" style="943" hidden="1" customWidth="1"/>
    <col min="1805" max="2049" width="9.140625" style="943"/>
    <col min="2050" max="2050" width="8.140625" style="943" customWidth="1"/>
    <col min="2051" max="2051" width="82" style="943" customWidth="1"/>
    <col min="2052" max="2057" width="10.7109375" style="943" customWidth="1"/>
    <col min="2058" max="2058" width="9.140625" style="943"/>
    <col min="2059" max="2060" width="0" style="943" hidden="1" customWidth="1"/>
    <col min="2061" max="2305" width="9.140625" style="943"/>
    <col min="2306" max="2306" width="8.140625" style="943" customWidth="1"/>
    <col min="2307" max="2307" width="82" style="943" customWidth="1"/>
    <col min="2308" max="2313" width="10.7109375" style="943" customWidth="1"/>
    <col min="2314" max="2314" width="9.140625" style="943"/>
    <col min="2315" max="2316" width="0" style="943" hidden="1" customWidth="1"/>
    <col min="2317" max="2561" width="9.140625" style="943"/>
    <col min="2562" max="2562" width="8.140625" style="943" customWidth="1"/>
    <col min="2563" max="2563" width="82" style="943" customWidth="1"/>
    <col min="2564" max="2569" width="10.7109375" style="943" customWidth="1"/>
    <col min="2570" max="2570" width="9.140625" style="943"/>
    <col min="2571" max="2572" width="0" style="943" hidden="1" customWidth="1"/>
    <col min="2573" max="2817" width="9.140625" style="943"/>
    <col min="2818" max="2818" width="8.140625" style="943" customWidth="1"/>
    <col min="2819" max="2819" width="82" style="943" customWidth="1"/>
    <col min="2820" max="2825" width="10.7109375" style="943" customWidth="1"/>
    <col min="2826" max="2826" width="9.140625" style="943"/>
    <col min="2827" max="2828" width="0" style="943" hidden="1" customWidth="1"/>
    <col min="2829" max="3073" width="9.140625" style="943"/>
    <col min="3074" max="3074" width="8.140625" style="943" customWidth="1"/>
    <col min="3075" max="3075" width="82" style="943" customWidth="1"/>
    <col min="3076" max="3081" width="10.7109375" style="943" customWidth="1"/>
    <col min="3082" max="3082" width="9.140625" style="943"/>
    <col min="3083" max="3084" width="0" style="943" hidden="1" customWidth="1"/>
    <col min="3085" max="3329" width="9.140625" style="943"/>
    <col min="3330" max="3330" width="8.140625" style="943" customWidth="1"/>
    <col min="3331" max="3331" width="82" style="943" customWidth="1"/>
    <col min="3332" max="3337" width="10.7109375" style="943" customWidth="1"/>
    <col min="3338" max="3338" width="9.140625" style="943"/>
    <col min="3339" max="3340" width="0" style="943" hidden="1" customWidth="1"/>
    <col min="3341" max="3585" width="9.140625" style="943"/>
    <col min="3586" max="3586" width="8.140625" style="943" customWidth="1"/>
    <col min="3587" max="3587" width="82" style="943" customWidth="1"/>
    <col min="3588" max="3593" width="10.7109375" style="943" customWidth="1"/>
    <col min="3594" max="3594" width="9.140625" style="943"/>
    <col min="3595" max="3596" width="0" style="943" hidden="1" customWidth="1"/>
    <col min="3597" max="3841" width="9.140625" style="943"/>
    <col min="3842" max="3842" width="8.140625" style="943" customWidth="1"/>
    <col min="3843" max="3843" width="82" style="943" customWidth="1"/>
    <col min="3844" max="3849" width="10.7109375" style="943" customWidth="1"/>
    <col min="3850" max="3850" width="9.140625" style="943"/>
    <col min="3851" max="3852" width="0" style="943" hidden="1" customWidth="1"/>
    <col min="3853" max="4097" width="9.140625" style="943"/>
    <col min="4098" max="4098" width="8.140625" style="943" customWidth="1"/>
    <col min="4099" max="4099" width="82" style="943" customWidth="1"/>
    <col min="4100" max="4105" width="10.7109375" style="943" customWidth="1"/>
    <col min="4106" max="4106" width="9.140625" style="943"/>
    <col min="4107" max="4108" width="0" style="943" hidden="1" customWidth="1"/>
    <col min="4109" max="4353" width="9.140625" style="943"/>
    <col min="4354" max="4354" width="8.140625" style="943" customWidth="1"/>
    <col min="4355" max="4355" width="82" style="943" customWidth="1"/>
    <col min="4356" max="4361" width="10.7109375" style="943" customWidth="1"/>
    <col min="4362" max="4362" width="9.140625" style="943"/>
    <col min="4363" max="4364" width="0" style="943" hidden="1" customWidth="1"/>
    <col min="4365" max="4609" width="9.140625" style="943"/>
    <col min="4610" max="4610" width="8.140625" style="943" customWidth="1"/>
    <col min="4611" max="4611" width="82" style="943" customWidth="1"/>
    <col min="4612" max="4617" width="10.7109375" style="943" customWidth="1"/>
    <col min="4618" max="4618" width="9.140625" style="943"/>
    <col min="4619" max="4620" width="0" style="943" hidden="1" customWidth="1"/>
    <col min="4621" max="4865" width="9.140625" style="943"/>
    <col min="4866" max="4866" width="8.140625" style="943" customWidth="1"/>
    <col min="4867" max="4867" width="82" style="943" customWidth="1"/>
    <col min="4868" max="4873" width="10.7109375" style="943" customWidth="1"/>
    <col min="4874" max="4874" width="9.140625" style="943"/>
    <col min="4875" max="4876" width="0" style="943" hidden="1" customWidth="1"/>
    <col min="4877" max="5121" width="9.140625" style="943"/>
    <col min="5122" max="5122" width="8.140625" style="943" customWidth="1"/>
    <col min="5123" max="5123" width="82" style="943" customWidth="1"/>
    <col min="5124" max="5129" width="10.7109375" style="943" customWidth="1"/>
    <col min="5130" max="5130" width="9.140625" style="943"/>
    <col min="5131" max="5132" width="0" style="943" hidden="1" customWidth="1"/>
    <col min="5133" max="5377" width="9.140625" style="943"/>
    <col min="5378" max="5378" width="8.140625" style="943" customWidth="1"/>
    <col min="5379" max="5379" width="82" style="943" customWidth="1"/>
    <col min="5380" max="5385" width="10.7109375" style="943" customWidth="1"/>
    <col min="5386" max="5386" width="9.140625" style="943"/>
    <col min="5387" max="5388" width="0" style="943" hidden="1" customWidth="1"/>
    <col min="5389" max="5633" width="9.140625" style="943"/>
    <col min="5634" max="5634" width="8.140625" style="943" customWidth="1"/>
    <col min="5635" max="5635" width="82" style="943" customWidth="1"/>
    <col min="5636" max="5641" width="10.7109375" style="943" customWidth="1"/>
    <col min="5642" max="5642" width="9.140625" style="943"/>
    <col min="5643" max="5644" width="0" style="943" hidden="1" customWidth="1"/>
    <col min="5645" max="5889" width="9.140625" style="943"/>
    <col min="5890" max="5890" width="8.140625" style="943" customWidth="1"/>
    <col min="5891" max="5891" width="82" style="943" customWidth="1"/>
    <col min="5892" max="5897" width="10.7109375" style="943" customWidth="1"/>
    <col min="5898" max="5898" width="9.140625" style="943"/>
    <col min="5899" max="5900" width="0" style="943" hidden="1" customWidth="1"/>
    <col min="5901" max="6145" width="9.140625" style="943"/>
    <col min="6146" max="6146" width="8.140625" style="943" customWidth="1"/>
    <col min="6147" max="6147" width="82" style="943" customWidth="1"/>
    <col min="6148" max="6153" width="10.7109375" style="943" customWidth="1"/>
    <col min="6154" max="6154" width="9.140625" style="943"/>
    <col min="6155" max="6156" width="0" style="943" hidden="1" customWidth="1"/>
    <col min="6157" max="6401" width="9.140625" style="943"/>
    <col min="6402" max="6402" width="8.140625" style="943" customWidth="1"/>
    <col min="6403" max="6403" width="82" style="943" customWidth="1"/>
    <col min="6404" max="6409" width="10.7109375" style="943" customWidth="1"/>
    <col min="6410" max="6410" width="9.140625" style="943"/>
    <col min="6411" max="6412" width="0" style="943" hidden="1" customWidth="1"/>
    <col min="6413" max="6657" width="9.140625" style="943"/>
    <col min="6658" max="6658" width="8.140625" style="943" customWidth="1"/>
    <col min="6659" max="6659" width="82" style="943" customWidth="1"/>
    <col min="6660" max="6665" width="10.7109375" style="943" customWidth="1"/>
    <col min="6666" max="6666" width="9.140625" style="943"/>
    <col min="6667" max="6668" width="0" style="943" hidden="1" customWidth="1"/>
    <col min="6669" max="6913" width="9.140625" style="943"/>
    <col min="6914" max="6914" width="8.140625" style="943" customWidth="1"/>
    <col min="6915" max="6915" width="82" style="943" customWidth="1"/>
    <col min="6916" max="6921" width="10.7109375" style="943" customWidth="1"/>
    <col min="6922" max="6922" width="9.140625" style="943"/>
    <col min="6923" max="6924" width="0" style="943" hidden="1" customWidth="1"/>
    <col min="6925" max="7169" width="9.140625" style="943"/>
    <col min="7170" max="7170" width="8.140625" style="943" customWidth="1"/>
    <col min="7171" max="7171" width="82" style="943" customWidth="1"/>
    <col min="7172" max="7177" width="10.7109375" style="943" customWidth="1"/>
    <col min="7178" max="7178" width="9.140625" style="943"/>
    <col min="7179" max="7180" width="0" style="943" hidden="1" customWidth="1"/>
    <col min="7181" max="7425" width="9.140625" style="943"/>
    <col min="7426" max="7426" width="8.140625" style="943" customWidth="1"/>
    <col min="7427" max="7427" width="82" style="943" customWidth="1"/>
    <col min="7428" max="7433" width="10.7109375" style="943" customWidth="1"/>
    <col min="7434" max="7434" width="9.140625" style="943"/>
    <col min="7435" max="7436" width="0" style="943" hidden="1" customWidth="1"/>
    <col min="7437" max="7681" width="9.140625" style="943"/>
    <col min="7682" max="7682" width="8.140625" style="943" customWidth="1"/>
    <col min="7683" max="7683" width="82" style="943" customWidth="1"/>
    <col min="7684" max="7689" width="10.7109375" style="943" customWidth="1"/>
    <col min="7690" max="7690" width="9.140625" style="943"/>
    <col min="7691" max="7692" width="0" style="943" hidden="1" customWidth="1"/>
    <col min="7693" max="7937" width="9.140625" style="943"/>
    <col min="7938" max="7938" width="8.140625" style="943" customWidth="1"/>
    <col min="7939" max="7939" width="82" style="943" customWidth="1"/>
    <col min="7940" max="7945" width="10.7109375" style="943" customWidth="1"/>
    <col min="7946" max="7946" width="9.140625" style="943"/>
    <col min="7947" max="7948" width="0" style="943" hidden="1" customWidth="1"/>
    <col min="7949" max="8193" width="9.140625" style="943"/>
    <col min="8194" max="8194" width="8.140625" style="943" customWidth="1"/>
    <col min="8195" max="8195" width="82" style="943" customWidth="1"/>
    <col min="8196" max="8201" width="10.7109375" style="943" customWidth="1"/>
    <col min="8202" max="8202" width="9.140625" style="943"/>
    <col min="8203" max="8204" width="0" style="943" hidden="1" customWidth="1"/>
    <col min="8205" max="8449" width="9.140625" style="943"/>
    <col min="8450" max="8450" width="8.140625" style="943" customWidth="1"/>
    <col min="8451" max="8451" width="82" style="943" customWidth="1"/>
    <col min="8452" max="8457" width="10.7109375" style="943" customWidth="1"/>
    <col min="8458" max="8458" width="9.140625" style="943"/>
    <col min="8459" max="8460" width="0" style="943" hidden="1" customWidth="1"/>
    <col min="8461" max="8705" width="9.140625" style="943"/>
    <col min="8706" max="8706" width="8.140625" style="943" customWidth="1"/>
    <col min="8707" max="8707" width="82" style="943" customWidth="1"/>
    <col min="8708" max="8713" width="10.7109375" style="943" customWidth="1"/>
    <col min="8714" max="8714" width="9.140625" style="943"/>
    <col min="8715" max="8716" width="0" style="943" hidden="1" customWidth="1"/>
    <col min="8717" max="8961" width="9.140625" style="943"/>
    <col min="8962" max="8962" width="8.140625" style="943" customWidth="1"/>
    <col min="8963" max="8963" width="82" style="943" customWidth="1"/>
    <col min="8964" max="8969" width="10.7109375" style="943" customWidth="1"/>
    <col min="8970" max="8970" width="9.140625" style="943"/>
    <col min="8971" max="8972" width="0" style="943" hidden="1" customWidth="1"/>
    <col min="8973" max="9217" width="9.140625" style="943"/>
    <col min="9218" max="9218" width="8.140625" style="943" customWidth="1"/>
    <col min="9219" max="9219" width="82" style="943" customWidth="1"/>
    <col min="9220" max="9225" width="10.7109375" style="943" customWidth="1"/>
    <col min="9226" max="9226" width="9.140625" style="943"/>
    <col min="9227" max="9228" width="0" style="943" hidden="1" customWidth="1"/>
    <col min="9229" max="9473" width="9.140625" style="943"/>
    <col min="9474" max="9474" width="8.140625" style="943" customWidth="1"/>
    <col min="9475" max="9475" width="82" style="943" customWidth="1"/>
    <col min="9476" max="9481" width="10.7109375" style="943" customWidth="1"/>
    <col min="9482" max="9482" width="9.140625" style="943"/>
    <col min="9483" max="9484" width="0" style="943" hidden="1" customWidth="1"/>
    <col min="9485" max="9729" width="9.140625" style="943"/>
    <col min="9730" max="9730" width="8.140625" style="943" customWidth="1"/>
    <col min="9731" max="9731" width="82" style="943" customWidth="1"/>
    <col min="9732" max="9737" width="10.7109375" style="943" customWidth="1"/>
    <col min="9738" max="9738" width="9.140625" style="943"/>
    <col min="9739" max="9740" width="0" style="943" hidden="1" customWidth="1"/>
    <col min="9741" max="9985" width="9.140625" style="943"/>
    <col min="9986" max="9986" width="8.140625" style="943" customWidth="1"/>
    <col min="9987" max="9987" width="82" style="943" customWidth="1"/>
    <col min="9988" max="9993" width="10.7109375" style="943" customWidth="1"/>
    <col min="9994" max="9994" width="9.140625" style="943"/>
    <col min="9995" max="9996" width="0" style="943" hidden="1" customWidth="1"/>
    <col min="9997" max="10241" width="9.140625" style="943"/>
    <col min="10242" max="10242" width="8.140625" style="943" customWidth="1"/>
    <col min="10243" max="10243" width="82" style="943" customWidth="1"/>
    <col min="10244" max="10249" width="10.7109375" style="943" customWidth="1"/>
    <col min="10250" max="10250" width="9.140625" style="943"/>
    <col min="10251" max="10252" width="0" style="943" hidden="1" customWidth="1"/>
    <col min="10253" max="10497" width="9.140625" style="943"/>
    <col min="10498" max="10498" width="8.140625" style="943" customWidth="1"/>
    <col min="10499" max="10499" width="82" style="943" customWidth="1"/>
    <col min="10500" max="10505" width="10.7109375" style="943" customWidth="1"/>
    <col min="10506" max="10506" width="9.140625" style="943"/>
    <col min="10507" max="10508" width="0" style="943" hidden="1" customWidth="1"/>
    <col min="10509" max="10753" width="9.140625" style="943"/>
    <col min="10754" max="10754" width="8.140625" style="943" customWidth="1"/>
    <col min="10755" max="10755" width="82" style="943" customWidth="1"/>
    <col min="10756" max="10761" width="10.7109375" style="943" customWidth="1"/>
    <col min="10762" max="10762" width="9.140625" style="943"/>
    <col min="10763" max="10764" width="0" style="943" hidden="1" customWidth="1"/>
    <col min="10765" max="11009" width="9.140625" style="943"/>
    <col min="11010" max="11010" width="8.140625" style="943" customWidth="1"/>
    <col min="11011" max="11011" width="82" style="943" customWidth="1"/>
    <col min="11012" max="11017" width="10.7109375" style="943" customWidth="1"/>
    <col min="11018" max="11018" width="9.140625" style="943"/>
    <col min="11019" max="11020" width="0" style="943" hidden="1" customWidth="1"/>
    <col min="11021" max="11265" width="9.140625" style="943"/>
    <col min="11266" max="11266" width="8.140625" style="943" customWidth="1"/>
    <col min="11267" max="11267" width="82" style="943" customWidth="1"/>
    <col min="11268" max="11273" width="10.7109375" style="943" customWidth="1"/>
    <col min="11274" max="11274" width="9.140625" style="943"/>
    <col min="11275" max="11276" width="0" style="943" hidden="1" customWidth="1"/>
    <col min="11277" max="11521" width="9.140625" style="943"/>
    <col min="11522" max="11522" width="8.140625" style="943" customWidth="1"/>
    <col min="11523" max="11523" width="82" style="943" customWidth="1"/>
    <col min="11524" max="11529" width="10.7109375" style="943" customWidth="1"/>
    <col min="11530" max="11530" width="9.140625" style="943"/>
    <col min="11531" max="11532" width="0" style="943" hidden="1" customWidth="1"/>
    <col min="11533" max="11777" width="9.140625" style="943"/>
    <col min="11778" max="11778" width="8.140625" style="943" customWidth="1"/>
    <col min="11779" max="11779" width="82" style="943" customWidth="1"/>
    <col min="11780" max="11785" width="10.7109375" style="943" customWidth="1"/>
    <col min="11786" max="11786" width="9.140625" style="943"/>
    <col min="11787" max="11788" width="0" style="943" hidden="1" customWidth="1"/>
    <col min="11789" max="12033" width="9.140625" style="943"/>
    <col min="12034" max="12034" width="8.140625" style="943" customWidth="1"/>
    <col min="12035" max="12035" width="82" style="943" customWidth="1"/>
    <col min="12036" max="12041" width="10.7109375" style="943" customWidth="1"/>
    <col min="12042" max="12042" width="9.140625" style="943"/>
    <col min="12043" max="12044" width="0" style="943" hidden="1" customWidth="1"/>
    <col min="12045" max="12289" width="9.140625" style="943"/>
    <col min="12290" max="12290" width="8.140625" style="943" customWidth="1"/>
    <col min="12291" max="12291" width="82" style="943" customWidth="1"/>
    <col min="12292" max="12297" width="10.7109375" style="943" customWidth="1"/>
    <col min="12298" max="12298" width="9.140625" style="943"/>
    <col min="12299" max="12300" width="0" style="943" hidden="1" customWidth="1"/>
    <col min="12301" max="12545" width="9.140625" style="943"/>
    <col min="12546" max="12546" width="8.140625" style="943" customWidth="1"/>
    <col min="12547" max="12547" width="82" style="943" customWidth="1"/>
    <col min="12548" max="12553" width="10.7109375" style="943" customWidth="1"/>
    <col min="12554" max="12554" width="9.140625" style="943"/>
    <col min="12555" max="12556" width="0" style="943" hidden="1" customWidth="1"/>
    <col min="12557" max="12801" width="9.140625" style="943"/>
    <col min="12802" max="12802" width="8.140625" style="943" customWidth="1"/>
    <col min="12803" max="12803" width="82" style="943" customWidth="1"/>
    <col min="12804" max="12809" width="10.7109375" style="943" customWidth="1"/>
    <col min="12810" max="12810" width="9.140625" style="943"/>
    <col min="12811" max="12812" width="0" style="943" hidden="1" customWidth="1"/>
    <col min="12813" max="13057" width="9.140625" style="943"/>
    <col min="13058" max="13058" width="8.140625" style="943" customWidth="1"/>
    <col min="13059" max="13059" width="82" style="943" customWidth="1"/>
    <col min="13060" max="13065" width="10.7109375" style="943" customWidth="1"/>
    <col min="13066" max="13066" width="9.140625" style="943"/>
    <col min="13067" max="13068" width="0" style="943" hidden="1" customWidth="1"/>
    <col min="13069" max="13313" width="9.140625" style="943"/>
    <col min="13314" max="13314" width="8.140625" style="943" customWidth="1"/>
    <col min="13315" max="13315" width="82" style="943" customWidth="1"/>
    <col min="13316" max="13321" width="10.7109375" style="943" customWidth="1"/>
    <col min="13322" max="13322" width="9.140625" style="943"/>
    <col min="13323" max="13324" width="0" style="943" hidden="1" customWidth="1"/>
    <col min="13325" max="13569" width="9.140625" style="943"/>
    <col min="13570" max="13570" width="8.140625" style="943" customWidth="1"/>
    <col min="13571" max="13571" width="82" style="943" customWidth="1"/>
    <col min="13572" max="13577" width="10.7109375" style="943" customWidth="1"/>
    <col min="13578" max="13578" width="9.140625" style="943"/>
    <col min="13579" max="13580" width="0" style="943" hidden="1" customWidth="1"/>
    <col min="13581" max="13825" width="9.140625" style="943"/>
    <col min="13826" max="13826" width="8.140625" style="943" customWidth="1"/>
    <col min="13827" max="13827" width="82" style="943" customWidth="1"/>
    <col min="13828" max="13833" width="10.7109375" style="943" customWidth="1"/>
    <col min="13834" max="13834" width="9.140625" style="943"/>
    <col min="13835" max="13836" width="0" style="943" hidden="1" customWidth="1"/>
    <col min="13837" max="14081" width="9.140625" style="943"/>
    <col min="14082" max="14082" width="8.140625" style="943" customWidth="1"/>
    <col min="14083" max="14083" width="82" style="943" customWidth="1"/>
    <col min="14084" max="14089" width="10.7109375" style="943" customWidth="1"/>
    <col min="14090" max="14090" width="9.140625" style="943"/>
    <col min="14091" max="14092" width="0" style="943" hidden="1" customWidth="1"/>
    <col min="14093" max="14337" width="9.140625" style="943"/>
    <col min="14338" max="14338" width="8.140625" style="943" customWidth="1"/>
    <col min="14339" max="14339" width="82" style="943" customWidth="1"/>
    <col min="14340" max="14345" width="10.7109375" style="943" customWidth="1"/>
    <col min="14346" max="14346" width="9.140625" style="943"/>
    <col min="14347" max="14348" width="0" style="943" hidden="1" customWidth="1"/>
    <col min="14349" max="14593" width="9.140625" style="943"/>
    <col min="14594" max="14594" width="8.140625" style="943" customWidth="1"/>
    <col min="14595" max="14595" width="82" style="943" customWidth="1"/>
    <col min="14596" max="14601" width="10.7109375" style="943" customWidth="1"/>
    <col min="14602" max="14602" width="9.140625" style="943"/>
    <col min="14603" max="14604" width="0" style="943" hidden="1" customWidth="1"/>
    <col min="14605" max="14849" width="9.140625" style="943"/>
    <col min="14850" max="14850" width="8.140625" style="943" customWidth="1"/>
    <col min="14851" max="14851" width="82" style="943" customWidth="1"/>
    <col min="14852" max="14857" width="10.7109375" style="943" customWidth="1"/>
    <col min="14858" max="14858" width="9.140625" style="943"/>
    <col min="14859" max="14860" width="0" style="943" hidden="1" customWidth="1"/>
    <col min="14861" max="15105" width="9.140625" style="943"/>
    <col min="15106" max="15106" width="8.140625" style="943" customWidth="1"/>
    <col min="15107" max="15107" width="82" style="943" customWidth="1"/>
    <col min="15108" max="15113" width="10.7109375" style="943" customWidth="1"/>
    <col min="15114" max="15114" width="9.140625" style="943"/>
    <col min="15115" max="15116" width="0" style="943" hidden="1" customWidth="1"/>
    <col min="15117" max="15361" width="9.140625" style="943"/>
    <col min="15362" max="15362" width="8.140625" style="943" customWidth="1"/>
    <col min="15363" max="15363" width="82" style="943" customWidth="1"/>
    <col min="15364" max="15369" width="10.7109375" style="943" customWidth="1"/>
    <col min="15370" max="15370" width="9.140625" style="943"/>
    <col min="15371" max="15372" width="0" style="943" hidden="1" customWidth="1"/>
    <col min="15373" max="15617" width="9.140625" style="943"/>
    <col min="15618" max="15618" width="8.140625" style="943" customWidth="1"/>
    <col min="15619" max="15619" width="82" style="943" customWidth="1"/>
    <col min="15620" max="15625" width="10.7109375" style="943" customWidth="1"/>
    <col min="15626" max="15626" width="9.140625" style="943"/>
    <col min="15627" max="15628" width="0" style="943" hidden="1" customWidth="1"/>
    <col min="15629" max="15873" width="9.140625" style="943"/>
    <col min="15874" max="15874" width="8.140625" style="943" customWidth="1"/>
    <col min="15875" max="15875" width="82" style="943" customWidth="1"/>
    <col min="15876" max="15881" width="10.7109375" style="943" customWidth="1"/>
    <col min="15882" max="15882" width="9.140625" style="943"/>
    <col min="15883" max="15884" width="0" style="943" hidden="1" customWidth="1"/>
    <col min="15885" max="16129" width="9.140625" style="943"/>
    <col min="16130" max="16130" width="8.140625" style="943" customWidth="1"/>
    <col min="16131" max="16131" width="82" style="943" customWidth="1"/>
    <col min="16132" max="16137" width="10.7109375" style="943" customWidth="1"/>
    <col min="16138" max="16138" width="9.140625" style="943"/>
    <col min="16139" max="16140" width="0" style="943" hidden="1" customWidth="1"/>
    <col min="16141" max="16384" width="9.140625" style="943"/>
  </cols>
  <sheetData>
    <row r="1" spans="1:12" ht="15.75">
      <c r="I1" s="192" t="s">
        <v>1519</v>
      </c>
    </row>
    <row r="2" spans="1:12" s="1552" customFormat="1" ht="15.75" customHeight="1">
      <c r="A2" s="1550" t="s">
        <v>2526</v>
      </c>
      <c r="B2" s="1550"/>
      <c r="C2" s="1550"/>
      <c r="D2" s="1550"/>
      <c r="E2" s="1550"/>
      <c r="F2" s="1550"/>
      <c r="G2" s="1550"/>
      <c r="H2" s="1550"/>
      <c r="I2" s="1550"/>
    </row>
    <row r="3" spans="1:12" ht="14.25" thickBot="1">
      <c r="A3" s="1553"/>
      <c r="I3" s="1660" t="s">
        <v>458</v>
      </c>
    </row>
    <row r="4" spans="1:12" s="938" customFormat="1">
      <c r="A4" s="1513" t="s">
        <v>1557</v>
      </c>
      <c r="B4" s="1782" t="s">
        <v>7</v>
      </c>
      <c r="C4" s="1783" t="s">
        <v>18</v>
      </c>
      <c r="D4" s="1784" t="s">
        <v>2464</v>
      </c>
      <c r="E4" s="1785" t="s">
        <v>2465</v>
      </c>
      <c r="F4" s="1786" t="s">
        <v>2466</v>
      </c>
      <c r="G4" s="1786" t="s">
        <v>824</v>
      </c>
      <c r="H4" s="1786" t="s">
        <v>2527</v>
      </c>
      <c r="I4" s="1787" t="s">
        <v>2528</v>
      </c>
    </row>
    <row r="5" spans="1:12" ht="12.75" thickBot="1">
      <c r="A5" s="1554">
        <v>1</v>
      </c>
      <c r="B5" s="1788">
        <v>2</v>
      </c>
      <c r="C5" s="1789">
        <v>3</v>
      </c>
      <c r="D5" s="1790" t="s">
        <v>2529</v>
      </c>
      <c r="E5" s="1791" t="s">
        <v>2530</v>
      </c>
      <c r="F5" s="1792" t="s">
        <v>2531</v>
      </c>
      <c r="G5" s="1792" t="s">
        <v>2532</v>
      </c>
      <c r="H5" s="1792" t="s">
        <v>2533</v>
      </c>
      <c r="I5" s="1793" t="s">
        <v>2534</v>
      </c>
    </row>
    <row r="6" spans="1:12">
      <c r="A6" s="1535" t="s">
        <v>1561</v>
      </c>
      <c r="B6" s="1794" t="s">
        <v>2535</v>
      </c>
      <c r="C6" s="1795">
        <f>SUM(D6:I6)</f>
        <v>3417980</v>
      </c>
      <c r="D6" s="1796">
        <f>+'1.1.mell._ÖNK_Mérleg2018'!E70</f>
        <v>3276714</v>
      </c>
      <c r="E6" s="1522">
        <f>+'1.2.mell._HKÖH_Mérleg2018'!E70</f>
        <v>119318</v>
      </c>
      <c r="F6" s="1522">
        <f>+'1.3.mell._HVÓBKI_Mérleg2018'!E70</f>
        <v>19368</v>
      </c>
      <c r="G6" s="1522">
        <f>+'1.4.mell._HKK_Mérleg2018'!E70</f>
        <v>1301</v>
      </c>
      <c r="H6" s="1522">
        <f>+'1.5._mell._MŐSZ_Mérleg2018'!E70</f>
        <v>0</v>
      </c>
      <c r="I6" s="1523">
        <f>+'1.6._mell._HVGYKCSSZ_Mérleg2018'!E70</f>
        <v>1279</v>
      </c>
      <c r="K6" s="118">
        <f>+'1.mell._Össz_Mérleg2018'!E70</f>
        <v>3417980</v>
      </c>
      <c r="L6" s="118">
        <f>+K6-C6</f>
        <v>0</v>
      </c>
    </row>
    <row r="7" spans="1:12" ht="12.75" thickBot="1">
      <c r="A7" s="1517" t="s">
        <v>1563</v>
      </c>
      <c r="B7" s="1797" t="s">
        <v>2536</v>
      </c>
      <c r="C7" s="1798">
        <f>SUM(D7:I7)</f>
        <v>2513536</v>
      </c>
      <c r="D7" s="1799">
        <f>+'1.1.mell._ÖNK_Mérleg2018'!E176</f>
        <v>1641790</v>
      </c>
      <c r="E7" s="1529">
        <f>+'1.2.mell._HKÖH_Mérleg2018'!E176</f>
        <v>396440</v>
      </c>
      <c r="F7" s="1529">
        <f>+'1.3.mell._HVÓBKI_Mérleg2018'!E176</f>
        <v>363939</v>
      </c>
      <c r="G7" s="1529">
        <f>+'1.4.mell._HKK_Mérleg2018'!E176</f>
        <v>32981</v>
      </c>
      <c r="H7" s="1529">
        <f>+'1.5._mell._MŐSZ_Mérleg2018'!E176</f>
        <v>9589</v>
      </c>
      <c r="I7" s="1530">
        <f>+'1.6._mell._HVGYKCSSZ_Mérleg2018'!E176</f>
        <v>68797</v>
      </c>
      <c r="K7" s="118">
        <f>+'1.mell._Össz_Mérleg2018'!E176</f>
        <v>2513536</v>
      </c>
      <c r="L7" s="118">
        <f>+K7-C7</f>
        <v>0</v>
      </c>
    </row>
    <row r="8" spans="1:12" ht="12.75" thickBot="1">
      <c r="A8" s="1531" t="s">
        <v>1565</v>
      </c>
      <c r="B8" s="1800" t="s">
        <v>2537</v>
      </c>
      <c r="C8" s="1801">
        <f t="shared" ref="C8:I8" si="0">+C6-C7</f>
        <v>904444</v>
      </c>
      <c r="D8" s="1802">
        <f t="shared" si="0"/>
        <v>1634924</v>
      </c>
      <c r="E8" s="1533">
        <f t="shared" si="0"/>
        <v>-277122</v>
      </c>
      <c r="F8" s="1533">
        <f t="shared" si="0"/>
        <v>-344571</v>
      </c>
      <c r="G8" s="1533">
        <f t="shared" si="0"/>
        <v>-31680</v>
      </c>
      <c r="H8" s="1533">
        <f t="shared" si="0"/>
        <v>-9589</v>
      </c>
      <c r="I8" s="1534">
        <f t="shared" si="0"/>
        <v>-67518</v>
      </c>
      <c r="L8" s="118"/>
    </row>
    <row r="9" spans="1:12">
      <c r="A9" s="1535" t="s">
        <v>1567</v>
      </c>
      <c r="B9" s="1794" t="s">
        <v>2538</v>
      </c>
      <c r="C9" s="1795">
        <f>SUM(D9:I9)</f>
        <v>3090943</v>
      </c>
      <c r="D9" s="1803">
        <f>+'1.1.mell._ÖNK_Mérleg2018'!E101</f>
        <v>2305805</v>
      </c>
      <c r="E9" s="1537">
        <f>+'1.2.mell._HKÖH_Mérleg2018'!E101</f>
        <v>330758</v>
      </c>
      <c r="F9" s="1537">
        <f>+'1.3.mell._HVÓBKI_Mérleg2018'!E101</f>
        <v>344777</v>
      </c>
      <c r="G9" s="1537">
        <f>+'1.4.mell._HKK_Mérleg2018'!E101</f>
        <v>32334</v>
      </c>
      <c r="H9" s="1537">
        <f>+'1.5._mell._MŐSZ_Mérleg2018'!E101</f>
        <v>9604</v>
      </c>
      <c r="I9" s="1538">
        <f>+'1.6._mell._HVGYKCSSZ_Mérleg2018'!E101</f>
        <v>67665</v>
      </c>
      <c r="K9" s="118">
        <f>+'1.mell._Össz_Mérleg2018'!E101+'1.1.mell._ÖNK_Mérleg2018'!E184+'1.1.mell._ÖNK_Mérleg2018'!E199</f>
        <v>3090943</v>
      </c>
      <c r="L9" s="118">
        <f>+K9-C9</f>
        <v>0</v>
      </c>
    </row>
    <row r="10" spans="1:12" ht="12.75" thickBot="1">
      <c r="A10" s="1517" t="s">
        <v>1569</v>
      </c>
      <c r="B10" s="1797" t="s">
        <v>2539</v>
      </c>
      <c r="C10" s="1798">
        <f>SUM(D10:I10)</f>
        <v>894506</v>
      </c>
      <c r="D10" s="1799">
        <f>+'1.1.mell._ÖNK_Mérleg2018'!E207</f>
        <v>894506</v>
      </c>
      <c r="E10" s="1529"/>
      <c r="F10" s="1529"/>
      <c r="G10" s="1529"/>
      <c r="H10" s="1529"/>
      <c r="I10" s="1530"/>
      <c r="K10" s="118">
        <f>+'1.mell._Össz_Mérleg2018'!E207+'1.1.mell._ÖNK_Mérleg2018'!E184+'1.1.mell._ÖNK_Mérleg2018'!E199</f>
        <v>894506</v>
      </c>
      <c r="L10" s="118">
        <f>+K10-C10</f>
        <v>0</v>
      </c>
    </row>
    <row r="11" spans="1:12" ht="12.75" thickBot="1">
      <c r="A11" s="1531" t="s">
        <v>1571</v>
      </c>
      <c r="B11" s="1800" t="s">
        <v>2540</v>
      </c>
      <c r="C11" s="1801">
        <f t="shared" ref="C11:I11" si="1">+C9-C10</f>
        <v>2196437</v>
      </c>
      <c r="D11" s="1802">
        <f t="shared" si="1"/>
        <v>1411299</v>
      </c>
      <c r="E11" s="1533">
        <f t="shared" si="1"/>
        <v>330758</v>
      </c>
      <c r="F11" s="1533">
        <f t="shared" si="1"/>
        <v>344777</v>
      </c>
      <c r="G11" s="1533">
        <f t="shared" si="1"/>
        <v>32334</v>
      </c>
      <c r="H11" s="1533">
        <f t="shared" si="1"/>
        <v>9604</v>
      </c>
      <c r="I11" s="1534">
        <f t="shared" si="1"/>
        <v>67665</v>
      </c>
    </row>
    <row r="12" spans="1:12" ht="12.75" thickBot="1">
      <c r="A12" s="1531" t="s">
        <v>1573</v>
      </c>
      <c r="B12" s="1800" t="s">
        <v>2541</v>
      </c>
      <c r="C12" s="1801">
        <f t="shared" ref="C12:I12" si="2">+C8+C11</f>
        <v>3100881</v>
      </c>
      <c r="D12" s="1802">
        <f t="shared" si="2"/>
        <v>3046223</v>
      </c>
      <c r="E12" s="1533">
        <f t="shared" si="2"/>
        <v>53636</v>
      </c>
      <c r="F12" s="1533">
        <f t="shared" si="2"/>
        <v>206</v>
      </c>
      <c r="G12" s="1533">
        <f t="shared" si="2"/>
        <v>654</v>
      </c>
      <c r="H12" s="1533">
        <f t="shared" si="2"/>
        <v>15</v>
      </c>
      <c r="I12" s="1534">
        <f t="shared" si="2"/>
        <v>147</v>
      </c>
    </row>
    <row r="13" spans="1:12">
      <c r="A13" s="1535" t="s">
        <v>1575</v>
      </c>
      <c r="B13" s="1794" t="s">
        <v>2542</v>
      </c>
      <c r="C13" s="1795">
        <f>SUM(D13:I13)</f>
        <v>0</v>
      </c>
      <c r="D13" s="1803"/>
      <c r="E13" s="1537"/>
      <c r="F13" s="1537"/>
      <c r="G13" s="1537"/>
      <c r="H13" s="1537"/>
      <c r="I13" s="1538"/>
    </row>
    <row r="14" spans="1:12" ht="12.75" thickBot="1">
      <c r="A14" s="1517" t="s">
        <v>1577</v>
      </c>
      <c r="B14" s="1797" t="s">
        <v>2543</v>
      </c>
      <c r="C14" s="1798">
        <f>SUM(D14:I14)</f>
        <v>0</v>
      </c>
      <c r="D14" s="1799"/>
      <c r="E14" s="1529"/>
      <c r="F14" s="1529"/>
      <c r="G14" s="1529"/>
      <c r="H14" s="1529"/>
      <c r="I14" s="1530"/>
    </row>
    <row r="15" spans="1:12" ht="12.75" thickBot="1">
      <c r="A15" s="1531" t="s">
        <v>1579</v>
      </c>
      <c r="B15" s="1800" t="s">
        <v>2544</v>
      </c>
      <c r="C15" s="1801">
        <f t="shared" ref="C15:I15" si="3">+C13-C14</f>
        <v>0</v>
      </c>
      <c r="D15" s="1802">
        <f t="shared" si="3"/>
        <v>0</v>
      </c>
      <c r="E15" s="1533">
        <f t="shared" si="3"/>
        <v>0</v>
      </c>
      <c r="F15" s="1533">
        <f t="shared" si="3"/>
        <v>0</v>
      </c>
      <c r="G15" s="1533">
        <f t="shared" si="3"/>
        <v>0</v>
      </c>
      <c r="H15" s="1533">
        <f t="shared" si="3"/>
        <v>0</v>
      </c>
      <c r="I15" s="1534">
        <f t="shared" si="3"/>
        <v>0</v>
      </c>
    </row>
    <row r="16" spans="1:12">
      <c r="A16" s="1535" t="s">
        <v>1581</v>
      </c>
      <c r="B16" s="1794" t="s">
        <v>2545</v>
      </c>
      <c r="C16" s="1795">
        <f>SUM(D16:I16)</f>
        <v>0</v>
      </c>
      <c r="D16" s="1803"/>
      <c r="E16" s="1537"/>
      <c r="F16" s="1537"/>
      <c r="G16" s="1537"/>
      <c r="H16" s="1537"/>
      <c r="I16" s="1538"/>
    </row>
    <row r="17" spans="1:9" ht="12.75" thickBot="1">
      <c r="A17" s="1517" t="s">
        <v>1583</v>
      </c>
      <c r="B17" s="1797" t="s">
        <v>2546</v>
      </c>
      <c r="C17" s="1798">
        <f>SUM(D17:I17)</f>
        <v>0</v>
      </c>
      <c r="D17" s="1799"/>
      <c r="E17" s="1529"/>
      <c r="F17" s="1529"/>
      <c r="G17" s="1529"/>
      <c r="H17" s="1529"/>
      <c r="I17" s="1530"/>
    </row>
    <row r="18" spans="1:9" ht="12.75" thickBot="1">
      <c r="A18" s="1531" t="s">
        <v>1585</v>
      </c>
      <c r="B18" s="1800" t="s">
        <v>2547</v>
      </c>
      <c r="C18" s="1801">
        <f t="shared" ref="C18:I18" si="4">+C16-C17</f>
        <v>0</v>
      </c>
      <c r="D18" s="1802">
        <f t="shared" si="4"/>
        <v>0</v>
      </c>
      <c r="E18" s="1533">
        <f t="shared" si="4"/>
        <v>0</v>
      </c>
      <c r="F18" s="1533">
        <f t="shared" si="4"/>
        <v>0</v>
      </c>
      <c r="G18" s="1533">
        <f t="shared" si="4"/>
        <v>0</v>
      </c>
      <c r="H18" s="1533">
        <f t="shared" si="4"/>
        <v>0</v>
      </c>
      <c r="I18" s="1534">
        <f t="shared" si="4"/>
        <v>0</v>
      </c>
    </row>
    <row r="19" spans="1:9" ht="12.75" thickBot="1">
      <c r="A19" s="1539" t="s">
        <v>1587</v>
      </c>
      <c r="B19" s="1804" t="s">
        <v>2548</v>
      </c>
      <c r="C19" s="1805">
        <f t="shared" ref="C19:I19" si="5">+C15+C18</f>
        <v>0</v>
      </c>
      <c r="D19" s="1806">
        <f t="shared" si="5"/>
        <v>0</v>
      </c>
      <c r="E19" s="1541">
        <f t="shared" si="5"/>
        <v>0</v>
      </c>
      <c r="F19" s="1541">
        <f t="shared" si="5"/>
        <v>0</v>
      </c>
      <c r="G19" s="1541">
        <f t="shared" si="5"/>
        <v>0</v>
      </c>
      <c r="H19" s="1541">
        <f t="shared" si="5"/>
        <v>0</v>
      </c>
      <c r="I19" s="1542">
        <f t="shared" si="5"/>
        <v>0</v>
      </c>
    </row>
    <row r="20" spans="1:9" ht="12.75" thickBot="1">
      <c r="A20" s="1531" t="s">
        <v>1589</v>
      </c>
      <c r="B20" s="1800" t="s">
        <v>2549</v>
      </c>
      <c r="C20" s="1801">
        <f t="shared" ref="C20:I20" si="6">+C12+C19</f>
        <v>3100881</v>
      </c>
      <c r="D20" s="1802">
        <f t="shared" si="6"/>
        <v>3046223</v>
      </c>
      <c r="E20" s="1533">
        <f t="shared" si="6"/>
        <v>53636</v>
      </c>
      <c r="F20" s="1533">
        <f t="shared" si="6"/>
        <v>206</v>
      </c>
      <c r="G20" s="1533">
        <f t="shared" si="6"/>
        <v>654</v>
      </c>
      <c r="H20" s="1533">
        <f t="shared" si="6"/>
        <v>15</v>
      </c>
      <c r="I20" s="1534">
        <f t="shared" si="6"/>
        <v>147</v>
      </c>
    </row>
    <row r="21" spans="1:9" ht="12.75" thickBot="1">
      <c r="A21" s="1539" t="s">
        <v>1591</v>
      </c>
      <c r="B21" s="1804" t="s">
        <v>2550</v>
      </c>
      <c r="C21" s="1805">
        <f>SUM(D21:I21)</f>
        <v>0</v>
      </c>
      <c r="D21" s="1806"/>
      <c r="E21" s="1541"/>
      <c r="F21" s="1541"/>
      <c r="G21" s="1541"/>
      <c r="H21" s="1541"/>
      <c r="I21" s="1542"/>
    </row>
    <row r="22" spans="1:9" ht="12.75" thickBot="1">
      <c r="A22" s="1531" t="s">
        <v>1593</v>
      </c>
      <c r="B22" s="1800" t="s">
        <v>2551</v>
      </c>
      <c r="C22" s="1801">
        <f>SUM(D22:I22)</f>
        <v>3100881</v>
      </c>
      <c r="D22" s="1802">
        <f t="shared" ref="D22:I22" si="7">+D20-D21</f>
        <v>3046223</v>
      </c>
      <c r="E22" s="1533">
        <f t="shared" si="7"/>
        <v>53636</v>
      </c>
      <c r="F22" s="1533">
        <f t="shared" si="7"/>
        <v>206</v>
      </c>
      <c r="G22" s="1533">
        <f t="shared" si="7"/>
        <v>654</v>
      </c>
      <c r="H22" s="1533">
        <f t="shared" si="7"/>
        <v>15</v>
      </c>
      <c r="I22" s="1534">
        <f t="shared" si="7"/>
        <v>147</v>
      </c>
    </row>
    <row r="23" spans="1:9" ht="12.75" thickBot="1">
      <c r="A23" s="1539" t="s">
        <v>1595</v>
      </c>
      <c r="B23" s="1804" t="s">
        <v>2552</v>
      </c>
      <c r="C23" s="1805">
        <f>SUM(D23:I23)</f>
        <v>0</v>
      </c>
      <c r="D23" s="1806">
        <f t="shared" ref="D23:I23" si="8">+ROUND(D19*0.1,0)</f>
        <v>0</v>
      </c>
      <c r="E23" s="1541">
        <f t="shared" si="8"/>
        <v>0</v>
      </c>
      <c r="F23" s="1541">
        <f t="shared" si="8"/>
        <v>0</v>
      </c>
      <c r="G23" s="1541">
        <f t="shared" si="8"/>
        <v>0</v>
      </c>
      <c r="H23" s="1541">
        <f t="shared" si="8"/>
        <v>0</v>
      </c>
      <c r="I23" s="1542">
        <f t="shared" si="8"/>
        <v>0</v>
      </c>
    </row>
    <row r="24" spans="1:9" ht="12.75" thickBot="1">
      <c r="A24" s="1531" t="s">
        <v>1597</v>
      </c>
      <c r="B24" s="1800" t="s">
        <v>2553</v>
      </c>
      <c r="C24" s="1801">
        <f t="shared" ref="C24:I24" si="9">+C19-C23</f>
        <v>0</v>
      </c>
      <c r="D24" s="1802">
        <f t="shared" si="9"/>
        <v>0</v>
      </c>
      <c r="E24" s="1533">
        <f t="shared" si="9"/>
        <v>0</v>
      </c>
      <c r="F24" s="1533">
        <f t="shared" si="9"/>
        <v>0</v>
      </c>
      <c r="G24" s="1533">
        <f t="shared" si="9"/>
        <v>0</v>
      </c>
      <c r="H24" s="1533">
        <f t="shared" si="9"/>
        <v>0</v>
      </c>
      <c r="I24" s="1534">
        <f t="shared" si="9"/>
        <v>0</v>
      </c>
    </row>
    <row r="26" spans="1:9" hidden="1">
      <c r="D26" s="118">
        <f>+'[4]1.1.mell._ÖNK_Mérleg2014'!E65</f>
        <v>2608911</v>
      </c>
      <c r="E26" s="118">
        <f>+'[4]1.2.mell._PH_Mérleg2014'!E65</f>
        <v>42075</v>
      </c>
      <c r="F26" s="118">
        <f>+'[4]1.3.mell._HVÓBKI_Mérleg2014'!E65</f>
        <v>31566</v>
      </c>
      <c r="G26" s="118" t="e">
        <f>+'[4]1.4.mell._HKK_Mérleg2014'!D65</f>
        <v>#REF!</v>
      </c>
      <c r="H26" s="118">
        <f>+'[4]1.4.mell._HKK_Mérleg2014'!E65</f>
        <v>7274</v>
      </c>
      <c r="I26" s="118">
        <f>+'[4]1.5.mell._MŐSZ_Mérleg2014'!E65</f>
        <v>0</v>
      </c>
    </row>
    <row r="27" spans="1:9" hidden="1">
      <c r="D27" s="118">
        <f>+'[4]1.1.mell._ÖNK_Mérleg2014'!E165</f>
        <v>1511926</v>
      </c>
      <c r="E27" s="118">
        <f>+'[4]1.2.mell._PH_Mérleg2014'!E165</f>
        <v>299391</v>
      </c>
      <c r="F27" s="118">
        <f>+'[4]1.3.mell._HVÓBKI_Mérleg2014'!E165</f>
        <v>400777</v>
      </c>
      <c r="G27" s="118" t="e">
        <f>+'[4]1.4.mell._HKK_Mérleg2014'!D165</f>
        <v>#REF!</v>
      </c>
      <c r="H27" s="118">
        <f>+'[4]1.4.mell._HKK_Mérleg2014'!E165</f>
        <v>78096</v>
      </c>
      <c r="I27" s="118">
        <f>+'[4]1.5.mell._MŐSZ_Mérleg2014'!E165</f>
        <v>4890</v>
      </c>
    </row>
    <row r="28" spans="1:9" hidden="1">
      <c r="D28" s="118">
        <f>+'[4]1.1.mell._ÖNK_Mérleg2014'!E92</f>
        <v>355925</v>
      </c>
      <c r="E28" s="118">
        <f>+'[4]1.2.mell._PH_Mérleg2014'!E92</f>
        <v>258886</v>
      </c>
      <c r="F28" s="118">
        <f>+'[4]1.3.mell._HVÓBKI_Mérleg2014'!E92</f>
        <v>369677</v>
      </c>
      <c r="G28" s="118" t="e">
        <f>+'[4]1.4.mell._HKK_Mérleg2014'!D92</f>
        <v>#REF!</v>
      </c>
      <c r="H28" s="118">
        <f>+'[4]1.4.mell._HKK_Mérleg2014'!E92</f>
        <v>71386</v>
      </c>
      <c r="I28" s="118">
        <f>+'[4]1.5.mell._MŐSZ_Mérleg2014'!E92</f>
        <v>4894</v>
      </c>
    </row>
    <row r="29" spans="1:9" hidden="1">
      <c r="D29" s="118">
        <f>+'[4]1.1.mell._ÖNK_Mérleg2014'!E192</f>
        <v>841906</v>
      </c>
    </row>
    <row r="30" spans="1:9" hidden="1">
      <c r="D30" s="118">
        <f t="shared" ref="D30:I31" si="10">+D26-D6</f>
        <v>-667803</v>
      </c>
      <c r="E30" s="118">
        <f t="shared" si="10"/>
        <v>-77243</v>
      </c>
      <c r="F30" s="118">
        <f t="shared" si="10"/>
        <v>12198</v>
      </c>
      <c r="G30" s="118" t="e">
        <f t="shared" si="10"/>
        <v>#REF!</v>
      </c>
      <c r="H30" s="118">
        <f t="shared" si="10"/>
        <v>7274</v>
      </c>
      <c r="I30" s="118">
        <f t="shared" si="10"/>
        <v>-1279</v>
      </c>
    </row>
    <row r="31" spans="1:9" hidden="1">
      <c r="D31" s="118">
        <f t="shared" si="10"/>
        <v>-129864</v>
      </c>
      <c r="E31" s="118">
        <f t="shared" si="10"/>
        <v>-97049</v>
      </c>
      <c r="F31" s="118">
        <f t="shared" si="10"/>
        <v>36838</v>
      </c>
      <c r="G31" s="118" t="e">
        <f t="shared" si="10"/>
        <v>#REF!</v>
      </c>
      <c r="H31" s="118">
        <f t="shared" si="10"/>
        <v>68507</v>
      </c>
      <c r="I31" s="118">
        <f t="shared" si="10"/>
        <v>-63907</v>
      </c>
    </row>
    <row r="32" spans="1:9" hidden="1">
      <c r="D32" s="118">
        <f t="shared" ref="D32:I33" si="11">+D28-D9</f>
        <v>-1949880</v>
      </c>
      <c r="E32" s="118">
        <f t="shared" si="11"/>
        <v>-71872</v>
      </c>
      <c r="F32" s="118">
        <f t="shared" si="11"/>
        <v>24900</v>
      </c>
      <c r="G32" s="118" t="e">
        <f t="shared" si="11"/>
        <v>#REF!</v>
      </c>
      <c r="H32" s="118">
        <f t="shared" si="11"/>
        <v>61782</v>
      </c>
      <c r="I32" s="118">
        <f t="shared" si="11"/>
        <v>-62771</v>
      </c>
    </row>
    <row r="33" spans="4:9" hidden="1">
      <c r="D33" s="118">
        <f t="shared" si="11"/>
        <v>-52600</v>
      </c>
      <c r="E33" s="118">
        <f t="shared" si="11"/>
        <v>0</v>
      </c>
      <c r="F33" s="118">
        <f t="shared" si="11"/>
        <v>0</v>
      </c>
      <c r="G33" s="118">
        <f t="shared" si="11"/>
        <v>0</v>
      </c>
      <c r="H33" s="118">
        <f t="shared" si="11"/>
        <v>0</v>
      </c>
      <c r="I33" s="118">
        <f t="shared" si="11"/>
        <v>0</v>
      </c>
    </row>
  </sheetData>
  <mergeCells count="1">
    <mergeCell ref="A2:I2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85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L61"/>
  <sheetViews>
    <sheetView zoomScaleNormal="100" workbookViewId="0">
      <selection activeCell="L14" sqref="L14"/>
    </sheetView>
  </sheetViews>
  <sheetFormatPr defaultRowHeight="12.75"/>
  <cols>
    <col min="1" max="1" width="5.140625" style="1735" customWidth="1"/>
    <col min="2" max="3" width="9.140625" style="1735"/>
    <col min="4" max="4" width="6.28515625" style="1735" customWidth="1"/>
    <col min="5" max="5" width="63.28515625" style="1735" customWidth="1"/>
    <col min="6" max="6" width="9.42578125" style="1735" bestFit="1" customWidth="1"/>
    <col min="7" max="7" width="8" style="1735" customWidth="1"/>
    <col min="8" max="8" width="8.5703125" style="1811" customWidth="1"/>
    <col min="9" max="9" width="5.85546875" style="1735" customWidth="1"/>
    <col min="10" max="10" width="10.5703125" style="1811" customWidth="1"/>
    <col min="11" max="11" width="11.140625" style="1735" customWidth="1"/>
    <col min="12" max="254" width="9.140625" style="1735"/>
    <col min="255" max="255" width="5.140625" style="1735" customWidth="1"/>
    <col min="256" max="257" width="9.140625" style="1735"/>
    <col min="258" max="258" width="6.28515625" style="1735" customWidth="1"/>
    <col min="259" max="259" width="60.42578125" style="1735" customWidth="1"/>
    <col min="260" max="260" width="8" style="1735" bestFit="1" customWidth="1"/>
    <col min="261" max="261" width="8" style="1735" customWidth="1"/>
    <col min="262" max="262" width="7.7109375" style="1735" customWidth="1"/>
    <col min="263" max="263" width="5.85546875" style="1735" customWidth="1"/>
    <col min="264" max="264" width="8" style="1735" bestFit="1" customWidth="1"/>
    <col min="265" max="265" width="11.140625" style="1735" customWidth="1"/>
    <col min="266" max="267" width="0" style="1735" hidden="1" customWidth="1"/>
    <col min="268" max="510" width="9.140625" style="1735"/>
    <col min="511" max="511" width="5.140625" style="1735" customWidth="1"/>
    <col min="512" max="513" width="9.140625" style="1735"/>
    <col min="514" max="514" width="6.28515625" style="1735" customWidth="1"/>
    <col min="515" max="515" width="60.42578125" style="1735" customWidth="1"/>
    <col min="516" max="516" width="8" style="1735" bestFit="1" customWidth="1"/>
    <col min="517" max="517" width="8" style="1735" customWidth="1"/>
    <col min="518" max="518" width="7.7109375" style="1735" customWidth="1"/>
    <col min="519" max="519" width="5.85546875" style="1735" customWidth="1"/>
    <col min="520" max="520" width="8" style="1735" bestFit="1" customWidth="1"/>
    <col min="521" max="521" width="11.140625" style="1735" customWidth="1"/>
    <col min="522" max="523" width="0" style="1735" hidden="1" customWidth="1"/>
    <col min="524" max="766" width="9.140625" style="1735"/>
    <col min="767" max="767" width="5.140625" style="1735" customWidth="1"/>
    <col min="768" max="769" width="9.140625" style="1735"/>
    <col min="770" max="770" width="6.28515625" style="1735" customWidth="1"/>
    <col min="771" max="771" width="60.42578125" style="1735" customWidth="1"/>
    <col min="772" max="772" width="8" style="1735" bestFit="1" customWidth="1"/>
    <col min="773" max="773" width="8" style="1735" customWidth="1"/>
    <col min="774" max="774" width="7.7109375" style="1735" customWidth="1"/>
    <col min="775" max="775" width="5.85546875" style="1735" customWidth="1"/>
    <col min="776" max="776" width="8" style="1735" bestFit="1" customWidth="1"/>
    <col min="777" max="777" width="11.140625" style="1735" customWidth="1"/>
    <col min="778" max="779" width="0" style="1735" hidden="1" customWidth="1"/>
    <col min="780" max="1022" width="9.140625" style="1735"/>
    <col min="1023" max="1023" width="5.140625" style="1735" customWidth="1"/>
    <col min="1024" max="1025" width="9.140625" style="1735"/>
    <col min="1026" max="1026" width="6.28515625" style="1735" customWidth="1"/>
    <col min="1027" max="1027" width="60.42578125" style="1735" customWidth="1"/>
    <col min="1028" max="1028" width="8" style="1735" bestFit="1" customWidth="1"/>
    <col min="1029" max="1029" width="8" style="1735" customWidth="1"/>
    <col min="1030" max="1030" width="7.7109375" style="1735" customWidth="1"/>
    <col min="1031" max="1031" width="5.85546875" style="1735" customWidth="1"/>
    <col min="1032" max="1032" width="8" style="1735" bestFit="1" customWidth="1"/>
    <col min="1033" max="1033" width="11.140625" style="1735" customWidth="1"/>
    <col min="1034" max="1035" width="0" style="1735" hidden="1" customWidth="1"/>
    <col min="1036" max="1278" width="9.140625" style="1735"/>
    <col min="1279" max="1279" width="5.140625" style="1735" customWidth="1"/>
    <col min="1280" max="1281" width="9.140625" style="1735"/>
    <col min="1282" max="1282" width="6.28515625" style="1735" customWidth="1"/>
    <col min="1283" max="1283" width="60.42578125" style="1735" customWidth="1"/>
    <col min="1284" max="1284" width="8" style="1735" bestFit="1" customWidth="1"/>
    <col min="1285" max="1285" width="8" style="1735" customWidth="1"/>
    <col min="1286" max="1286" width="7.7109375" style="1735" customWidth="1"/>
    <col min="1287" max="1287" width="5.85546875" style="1735" customWidth="1"/>
    <col min="1288" max="1288" width="8" style="1735" bestFit="1" customWidth="1"/>
    <col min="1289" max="1289" width="11.140625" style="1735" customWidth="1"/>
    <col min="1290" max="1291" width="0" style="1735" hidden="1" customWidth="1"/>
    <col min="1292" max="1534" width="9.140625" style="1735"/>
    <col min="1535" max="1535" width="5.140625" style="1735" customWidth="1"/>
    <col min="1536" max="1537" width="9.140625" style="1735"/>
    <col min="1538" max="1538" width="6.28515625" style="1735" customWidth="1"/>
    <col min="1539" max="1539" width="60.42578125" style="1735" customWidth="1"/>
    <col min="1540" max="1540" width="8" style="1735" bestFit="1" customWidth="1"/>
    <col min="1541" max="1541" width="8" style="1735" customWidth="1"/>
    <col min="1542" max="1542" width="7.7109375" style="1735" customWidth="1"/>
    <col min="1543" max="1543" width="5.85546875" style="1735" customWidth="1"/>
    <col min="1544" max="1544" width="8" style="1735" bestFit="1" customWidth="1"/>
    <col min="1545" max="1545" width="11.140625" style="1735" customWidth="1"/>
    <col min="1546" max="1547" width="0" style="1735" hidden="1" customWidth="1"/>
    <col min="1548" max="1790" width="9.140625" style="1735"/>
    <col min="1791" max="1791" width="5.140625" style="1735" customWidth="1"/>
    <col min="1792" max="1793" width="9.140625" style="1735"/>
    <col min="1794" max="1794" width="6.28515625" style="1735" customWidth="1"/>
    <col min="1795" max="1795" width="60.42578125" style="1735" customWidth="1"/>
    <col min="1796" max="1796" width="8" style="1735" bestFit="1" customWidth="1"/>
    <col min="1797" max="1797" width="8" style="1735" customWidth="1"/>
    <col min="1798" max="1798" width="7.7109375" style="1735" customWidth="1"/>
    <col min="1799" max="1799" width="5.85546875" style="1735" customWidth="1"/>
    <col min="1800" max="1800" width="8" style="1735" bestFit="1" customWidth="1"/>
    <col min="1801" max="1801" width="11.140625" style="1735" customWidth="1"/>
    <col min="1802" max="1803" width="0" style="1735" hidden="1" customWidth="1"/>
    <col min="1804" max="2046" width="9.140625" style="1735"/>
    <col min="2047" max="2047" width="5.140625" style="1735" customWidth="1"/>
    <col min="2048" max="2049" width="9.140625" style="1735"/>
    <col min="2050" max="2050" width="6.28515625" style="1735" customWidth="1"/>
    <col min="2051" max="2051" width="60.42578125" style="1735" customWidth="1"/>
    <col min="2052" max="2052" width="8" style="1735" bestFit="1" customWidth="1"/>
    <col min="2053" max="2053" width="8" style="1735" customWidth="1"/>
    <col min="2054" max="2054" width="7.7109375" style="1735" customWidth="1"/>
    <col min="2055" max="2055" width="5.85546875" style="1735" customWidth="1"/>
    <col min="2056" max="2056" width="8" style="1735" bestFit="1" customWidth="1"/>
    <col min="2057" max="2057" width="11.140625" style="1735" customWidth="1"/>
    <col min="2058" max="2059" width="0" style="1735" hidden="1" customWidth="1"/>
    <col min="2060" max="2302" width="9.140625" style="1735"/>
    <col min="2303" max="2303" width="5.140625" style="1735" customWidth="1"/>
    <col min="2304" max="2305" width="9.140625" style="1735"/>
    <col min="2306" max="2306" width="6.28515625" style="1735" customWidth="1"/>
    <col min="2307" max="2307" width="60.42578125" style="1735" customWidth="1"/>
    <col min="2308" max="2308" width="8" style="1735" bestFit="1" customWidth="1"/>
    <col min="2309" max="2309" width="8" style="1735" customWidth="1"/>
    <col min="2310" max="2310" width="7.7109375" style="1735" customWidth="1"/>
    <col min="2311" max="2311" width="5.85546875" style="1735" customWidth="1"/>
    <col min="2312" max="2312" width="8" style="1735" bestFit="1" customWidth="1"/>
    <col min="2313" max="2313" width="11.140625" style="1735" customWidth="1"/>
    <col min="2314" max="2315" width="0" style="1735" hidden="1" customWidth="1"/>
    <col min="2316" max="2558" width="9.140625" style="1735"/>
    <col min="2559" max="2559" width="5.140625" style="1735" customWidth="1"/>
    <col min="2560" max="2561" width="9.140625" style="1735"/>
    <col min="2562" max="2562" width="6.28515625" style="1735" customWidth="1"/>
    <col min="2563" max="2563" width="60.42578125" style="1735" customWidth="1"/>
    <col min="2564" max="2564" width="8" style="1735" bestFit="1" customWidth="1"/>
    <col min="2565" max="2565" width="8" style="1735" customWidth="1"/>
    <col min="2566" max="2566" width="7.7109375" style="1735" customWidth="1"/>
    <col min="2567" max="2567" width="5.85546875" style="1735" customWidth="1"/>
    <col min="2568" max="2568" width="8" style="1735" bestFit="1" customWidth="1"/>
    <col min="2569" max="2569" width="11.140625" style="1735" customWidth="1"/>
    <col min="2570" max="2571" width="0" style="1735" hidden="1" customWidth="1"/>
    <col min="2572" max="2814" width="9.140625" style="1735"/>
    <col min="2815" max="2815" width="5.140625" style="1735" customWidth="1"/>
    <col min="2816" max="2817" width="9.140625" style="1735"/>
    <col min="2818" max="2818" width="6.28515625" style="1735" customWidth="1"/>
    <col min="2819" max="2819" width="60.42578125" style="1735" customWidth="1"/>
    <col min="2820" max="2820" width="8" style="1735" bestFit="1" customWidth="1"/>
    <col min="2821" max="2821" width="8" style="1735" customWidth="1"/>
    <col min="2822" max="2822" width="7.7109375" style="1735" customWidth="1"/>
    <col min="2823" max="2823" width="5.85546875" style="1735" customWidth="1"/>
    <col min="2824" max="2824" width="8" style="1735" bestFit="1" customWidth="1"/>
    <col min="2825" max="2825" width="11.140625" style="1735" customWidth="1"/>
    <col min="2826" max="2827" width="0" style="1735" hidden="1" customWidth="1"/>
    <col min="2828" max="3070" width="9.140625" style="1735"/>
    <col min="3071" max="3071" width="5.140625" style="1735" customWidth="1"/>
    <col min="3072" max="3073" width="9.140625" style="1735"/>
    <col min="3074" max="3074" width="6.28515625" style="1735" customWidth="1"/>
    <col min="3075" max="3075" width="60.42578125" style="1735" customWidth="1"/>
    <col min="3076" max="3076" width="8" style="1735" bestFit="1" customWidth="1"/>
    <col min="3077" max="3077" width="8" style="1735" customWidth="1"/>
    <col min="3078" max="3078" width="7.7109375" style="1735" customWidth="1"/>
    <col min="3079" max="3079" width="5.85546875" style="1735" customWidth="1"/>
    <col min="3080" max="3080" width="8" style="1735" bestFit="1" customWidth="1"/>
    <col min="3081" max="3081" width="11.140625" style="1735" customWidth="1"/>
    <col min="3082" max="3083" width="0" style="1735" hidden="1" customWidth="1"/>
    <col min="3084" max="3326" width="9.140625" style="1735"/>
    <col min="3327" max="3327" width="5.140625" style="1735" customWidth="1"/>
    <col min="3328" max="3329" width="9.140625" style="1735"/>
    <col min="3330" max="3330" width="6.28515625" style="1735" customWidth="1"/>
    <col min="3331" max="3331" width="60.42578125" style="1735" customWidth="1"/>
    <col min="3332" max="3332" width="8" style="1735" bestFit="1" customWidth="1"/>
    <col min="3333" max="3333" width="8" style="1735" customWidth="1"/>
    <col min="3334" max="3334" width="7.7109375" style="1735" customWidth="1"/>
    <col min="3335" max="3335" width="5.85546875" style="1735" customWidth="1"/>
    <col min="3336" max="3336" width="8" style="1735" bestFit="1" customWidth="1"/>
    <col min="3337" max="3337" width="11.140625" style="1735" customWidth="1"/>
    <col min="3338" max="3339" width="0" style="1735" hidden="1" customWidth="1"/>
    <col min="3340" max="3582" width="9.140625" style="1735"/>
    <col min="3583" max="3583" width="5.140625" style="1735" customWidth="1"/>
    <col min="3584" max="3585" width="9.140625" style="1735"/>
    <col min="3586" max="3586" width="6.28515625" style="1735" customWidth="1"/>
    <col min="3587" max="3587" width="60.42578125" style="1735" customWidth="1"/>
    <col min="3588" max="3588" width="8" style="1735" bestFit="1" customWidth="1"/>
    <col min="3589" max="3589" width="8" style="1735" customWidth="1"/>
    <col min="3590" max="3590" width="7.7109375" style="1735" customWidth="1"/>
    <col min="3591" max="3591" width="5.85546875" style="1735" customWidth="1"/>
    <col min="3592" max="3592" width="8" style="1735" bestFit="1" customWidth="1"/>
    <col min="3593" max="3593" width="11.140625" style="1735" customWidth="1"/>
    <col min="3594" max="3595" width="0" style="1735" hidden="1" customWidth="1"/>
    <col min="3596" max="3838" width="9.140625" style="1735"/>
    <col min="3839" max="3839" width="5.140625" style="1735" customWidth="1"/>
    <col min="3840" max="3841" width="9.140625" style="1735"/>
    <col min="3842" max="3842" width="6.28515625" style="1735" customWidth="1"/>
    <col min="3843" max="3843" width="60.42578125" style="1735" customWidth="1"/>
    <col min="3844" max="3844" width="8" style="1735" bestFit="1" customWidth="1"/>
    <col min="3845" max="3845" width="8" style="1735" customWidth="1"/>
    <col min="3846" max="3846" width="7.7109375" style="1735" customWidth="1"/>
    <col min="3847" max="3847" width="5.85546875" style="1735" customWidth="1"/>
    <col min="3848" max="3848" width="8" style="1735" bestFit="1" customWidth="1"/>
    <col min="3849" max="3849" width="11.140625" style="1735" customWidth="1"/>
    <col min="3850" max="3851" width="0" style="1735" hidden="1" customWidth="1"/>
    <col min="3852" max="4094" width="9.140625" style="1735"/>
    <col min="4095" max="4095" width="5.140625" style="1735" customWidth="1"/>
    <col min="4096" max="4097" width="9.140625" style="1735"/>
    <col min="4098" max="4098" width="6.28515625" style="1735" customWidth="1"/>
    <col min="4099" max="4099" width="60.42578125" style="1735" customWidth="1"/>
    <col min="4100" max="4100" width="8" style="1735" bestFit="1" customWidth="1"/>
    <col min="4101" max="4101" width="8" style="1735" customWidth="1"/>
    <col min="4102" max="4102" width="7.7109375" style="1735" customWidth="1"/>
    <col min="4103" max="4103" width="5.85546875" style="1735" customWidth="1"/>
    <col min="4104" max="4104" width="8" style="1735" bestFit="1" customWidth="1"/>
    <col min="4105" max="4105" width="11.140625" style="1735" customWidth="1"/>
    <col min="4106" max="4107" width="0" style="1735" hidden="1" customWidth="1"/>
    <col min="4108" max="4350" width="9.140625" style="1735"/>
    <col min="4351" max="4351" width="5.140625" style="1735" customWidth="1"/>
    <col min="4352" max="4353" width="9.140625" style="1735"/>
    <col min="4354" max="4354" width="6.28515625" style="1735" customWidth="1"/>
    <col min="4355" max="4355" width="60.42578125" style="1735" customWidth="1"/>
    <col min="4356" max="4356" width="8" style="1735" bestFit="1" customWidth="1"/>
    <col min="4357" max="4357" width="8" style="1735" customWidth="1"/>
    <col min="4358" max="4358" width="7.7109375" style="1735" customWidth="1"/>
    <col min="4359" max="4359" width="5.85546875" style="1735" customWidth="1"/>
    <col min="4360" max="4360" width="8" style="1735" bestFit="1" customWidth="1"/>
    <col min="4361" max="4361" width="11.140625" style="1735" customWidth="1"/>
    <col min="4362" max="4363" width="0" style="1735" hidden="1" customWidth="1"/>
    <col min="4364" max="4606" width="9.140625" style="1735"/>
    <col min="4607" max="4607" width="5.140625" style="1735" customWidth="1"/>
    <col min="4608" max="4609" width="9.140625" style="1735"/>
    <col min="4610" max="4610" width="6.28515625" style="1735" customWidth="1"/>
    <col min="4611" max="4611" width="60.42578125" style="1735" customWidth="1"/>
    <col min="4612" max="4612" width="8" style="1735" bestFit="1" customWidth="1"/>
    <col min="4613" max="4613" width="8" style="1735" customWidth="1"/>
    <col min="4614" max="4614" width="7.7109375" style="1735" customWidth="1"/>
    <col min="4615" max="4615" width="5.85546875" style="1735" customWidth="1"/>
    <col min="4616" max="4616" width="8" style="1735" bestFit="1" customWidth="1"/>
    <col min="4617" max="4617" width="11.140625" style="1735" customWidth="1"/>
    <col min="4618" max="4619" width="0" style="1735" hidden="1" customWidth="1"/>
    <col min="4620" max="4862" width="9.140625" style="1735"/>
    <col min="4863" max="4863" width="5.140625" style="1735" customWidth="1"/>
    <col min="4864" max="4865" width="9.140625" style="1735"/>
    <col min="4866" max="4866" width="6.28515625" style="1735" customWidth="1"/>
    <col min="4867" max="4867" width="60.42578125" style="1735" customWidth="1"/>
    <col min="4868" max="4868" width="8" style="1735" bestFit="1" customWidth="1"/>
    <col min="4869" max="4869" width="8" style="1735" customWidth="1"/>
    <col min="4870" max="4870" width="7.7109375" style="1735" customWidth="1"/>
    <col min="4871" max="4871" width="5.85546875" style="1735" customWidth="1"/>
    <col min="4872" max="4872" width="8" style="1735" bestFit="1" customWidth="1"/>
    <col min="4873" max="4873" width="11.140625" style="1735" customWidth="1"/>
    <col min="4874" max="4875" width="0" style="1735" hidden="1" customWidth="1"/>
    <col min="4876" max="5118" width="9.140625" style="1735"/>
    <col min="5119" max="5119" width="5.140625" style="1735" customWidth="1"/>
    <col min="5120" max="5121" width="9.140625" style="1735"/>
    <col min="5122" max="5122" width="6.28515625" style="1735" customWidth="1"/>
    <col min="5123" max="5123" width="60.42578125" style="1735" customWidth="1"/>
    <col min="5124" max="5124" width="8" style="1735" bestFit="1" customWidth="1"/>
    <col min="5125" max="5125" width="8" style="1735" customWidth="1"/>
    <col min="5126" max="5126" width="7.7109375" style="1735" customWidth="1"/>
    <col min="5127" max="5127" width="5.85546875" style="1735" customWidth="1"/>
    <col min="5128" max="5128" width="8" style="1735" bestFit="1" customWidth="1"/>
    <col min="5129" max="5129" width="11.140625" style="1735" customWidth="1"/>
    <col min="5130" max="5131" width="0" style="1735" hidden="1" customWidth="1"/>
    <col min="5132" max="5374" width="9.140625" style="1735"/>
    <col min="5375" max="5375" width="5.140625" style="1735" customWidth="1"/>
    <col min="5376" max="5377" width="9.140625" style="1735"/>
    <col min="5378" max="5378" width="6.28515625" style="1735" customWidth="1"/>
    <col min="5379" max="5379" width="60.42578125" style="1735" customWidth="1"/>
    <col min="5380" max="5380" width="8" style="1735" bestFit="1" customWidth="1"/>
    <col min="5381" max="5381" width="8" style="1735" customWidth="1"/>
    <col min="5382" max="5382" width="7.7109375" style="1735" customWidth="1"/>
    <col min="5383" max="5383" width="5.85546875" style="1735" customWidth="1"/>
    <col min="5384" max="5384" width="8" style="1735" bestFit="1" customWidth="1"/>
    <col min="5385" max="5385" width="11.140625" style="1735" customWidth="1"/>
    <col min="5386" max="5387" width="0" style="1735" hidden="1" customWidth="1"/>
    <col min="5388" max="5630" width="9.140625" style="1735"/>
    <col min="5631" max="5631" width="5.140625" style="1735" customWidth="1"/>
    <col min="5632" max="5633" width="9.140625" style="1735"/>
    <col min="5634" max="5634" width="6.28515625" style="1735" customWidth="1"/>
    <col min="5635" max="5635" width="60.42578125" style="1735" customWidth="1"/>
    <col min="5636" max="5636" width="8" style="1735" bestFit="1" customWidth="1"/>
    <col min="5637" max="5637" width="8" style="1735" customWidth="1"/>
    <col min="5638" max="5638" width="7.7109375" style="1735" customWidth="1"/>
    <col min="5639" max="5639" width="5.85546875" style="1735" customWidth="1"/>
    <col min="5640" max="5640" width="8" style="1735" bestFit="1" customWidth="1"/>
    <col min="5641" max="5641" width="11.140625" style="1735" customWidth="1"/>
    <col min="5642" max="5643" width="0" style="1735" hidden="1" customWidth="1"/>
    <col min="5644" max="5886" width="9.140625" style="1735"/>
    <col min="5887" max="5887" width="5.140625" style="1735" customWidth="1"/>
    <col min="5888" max="5889" width="9.140625" style="1735"/>
    <col min="5890" max="5890" width="6.28515625" style="1735" customWidth="1"/>
    <col min="5891" max="5891" width="60.42578125" style="1735" customWidth="1"/>
    <col min="5892" max="5892" width="8" style="1735" bestFit="1" customWidth="1"/>
    <col min="5893" max="5893" width="8" style="1735" customWidth="1"/>
    <col min="5894" max="5894" width="7.7109375" style="1735" customWidth="1"/>
    <col min="5895" max="5895" width="5.85546875" style="1735" customWidth="1"/>
    <col min="5896" max="5896" width="8" style="1735" bestFit="1" customWidth="1"/>
    <col min="5897" max="5897" width="11.140625" style="1735" customWidth="1"/>
    <col min="5898" max="5899" width="0" style="1735" hidden="1" customWidth="1"/>
    <col min="5900" max="6142" width="9.140625" style="1735"/>
    <col min="6143" max="6143" width="5.140625" style="1735" customWidth="1"/>
    <col min="6144" max="6145" width="9.140625" style="1735"/>
    <col min="6146" max="6146" width="6.28515625" style="1735" customWidth="1"/>
    <col min="6147" max="6147" width="60.42578125" style="1735" customWidth="1"/>
    <col min="6148" max="6148" width="8" style="1735" bestFit="1" customWidth="1"/>
    <col min="6149" max="6149" width="8" style="1735" customWidth="1"/>
    <col min="6150" max="6150" width="7.7109375" style="1735" customWidth="1"/>
    <col min="6151" max="6151" width="5.85546875" style="1735" customWidth="1"/>
    <col min="6152" max="6152" width="8" style="1735" bestFit="1" customWidth="1"/>
    <col min="6153" max="6153" width="11.140625" style="1735" customWidth="1"/>
    <col min="6154" max="6155" width="0" style="1735" hidden="1" customWidth="1"/>
    <col min="6156" max="6398" width="9.140625" style="1735"/>
    <col min="6399" max="6399" width="5.140625" style="1735" customWidth="1"/>
    <col min="6400" max="6401" width="9.140625" style="1735"/>
    <col min="6402" max="6402" width="6.28515625" style="1735" customWidth="1"/>
    <col min="6403" max="6403" width="60.42578125" style="1735" customWidth="1"/>
    <col min="6404" max="6404" width="8" style="1735" bestFit="1" customWidth="1"/>
    <col min="6405" max="6405" width="8" style="1735" customWidth="1"/>
    <col min="6406" max="6406" width="7.7109375" style="1735" customWidth="1"/>
    <col min="6407" max="6407" width="5.85546875" style="1735" customWidth="1"/>
    <col min="6408" max="6408" width="8" style="1735" bestFit="1" customWidth="1"/>
    <col min="6409" max="6409" width="11.140625" style="1735" customWidth="1"/>
    <col min="6410" max="6411" width="0" style="1735" hidden="1" customWidth="1"/>
    <col min="6412" max="6654" width="9.140625" style="1735"/>
    <col min="6655" max="6655" width="5.140625" style="1735" customWidth="1"/>
    <col min="6656" max="6657" width="9.140625" style="1735"/>
    <col min="6658" max="6658" width="6.28515625" style="1735" customWidth="1"/>
    <col min="6659" max="6659" width="60.42578125" style="1735" customWidth="1"/>
    <col min="6660" max="6660" width="8" style="1735" bestFit="1" customWidth="1"/>
    <col min="6661" max="6661" width="8" style="1735" customWidth="1"/>
    <col min="6662" max="6662" width="7.7109375" style="1735" customWidth="1"/>
    <col min="6663" max="6663" width="5.85546875" style="1735" customWidth="1"/>
    <col min="6664" max="6664" width="8" style="1735" bestFit="1" customWidth="1"/>
    <col min="6665" max="6665" width="11.140625" style="1735" customWidth="1"/>
    <col min="6666" max="6667" width="0" style="1735" hidden="1" customWidth="1"/>
    <col min="6668" max="6910" width="9.140625" style="1735"/>
    <col min="6911" max="6911" width="5.140625" style="1735" customWidth="1"/>
    <col min="6912" max="6913" width="9.140625" style="1735"/>
    <col min="6914" max="6914" width="6.28515625" style="1735" customWidth="1"/>
    <col min="6915" max="6915" width="60.42578125" style="1735" customWidth="1"/>
    <col min="6916" max="6916" width="8" style="1735" bestFit="1" customWidth="1"/>
    <col min="6917" max="6917" width="8" style="1735" customWidth="1"/>
    <col min="6918" max="6918" width="7.7109375" style="1735" customWidth="1"/>
    <col min="6919" max="6919" width="5.85546875" style="1735" customWidth="1"/>
    <col min="6920" max="6920" width="8" style="1735" bestFit="1" customWidth="1"/>
    <col min="6921" max="6921" width="11.140625" style="1735" customWidth="1"/>
    <col min="6922" max="6923" width="0" style="1735" hidden="1" customWidth="1"/>
    <col min="6924" max="7166" width="9.140625" style="1735"/>
    <col min="7167" max="7167" width="5.140625" style="1735" customWidth="1"/>
    <col min="7168" max="7169" width="9.140625" style="1735"/>
    <col min="7170" max="7170" width="6.28515625" style="1735" customWidth="1"/>
    <col min="7171" max="7171" width="60.42578125" style="1735" customWidth="1"/>
    <col min="7172" max="7172" width="8" style="1735" bestFit="1" customWidth="1"/>
    <col min="7173" max="7173" width="8" style="1735" customWidth="1"/>
    <col min="7174" max="7174" width="7.7109375" style="1735" customWidth="1"/>
    <col min="7175" max="7175" width="5.85546875" style="1735" customWidth="1"/>
    <col min="7176" max="7176" width="8" style="1735" bestFit="1" customWidth="1"/>
    <col min="7177" max="7177" width="11.140625" style="1735" customWidth="1"/>
    <col min="7178" max="7179" width="0" style="1735" hidden="1" customWidth="1"/>
    <col min="7180" max="7422" width="9.140625" style="1735"/>
    <col min="7423" max="7423" width="5.140625" style="1735" customWidth="1"/>
    <col min="7424" max="7425" width="9.140625" style="1735"/>
    <col min="7426" max="7426" width="6.28515625" style="1735" customWidth="1"/>
    <col min="7427" max="7427" width="60.42578125" style="1735" customWidth="1"/>
    <col min="7428" max="7428" width="8" style="1735" bestFit="1" customWidth="1"/>
    <col min="7429" max="7429" width="8" style="1735" customWidth="1"/>
    <col min="7430" max="7430" width="7.7109375" style="1735" customWidth="1"/>
    <col min="7431" max="7431" width="5.85546875" style="1735" customWidth="1"/>
    <col min="7432" max="7432" width="8" style="1735" bestFit="1" customWidth="1"/>
    <col min="7433" max="7433" width="11.140625" style="1735" customWidth="1"/>
    <col min="7434" max="7435" width="0" style="1735" hidden="1" customWidth="1"/>
    <col min="7436" max="7678" width="9.140625" style="1735"/>
    <col min="7679" max="7679" width="5.140625" style="1735" customWidth="1"/>
    <col min="7680" max="7681" width="9.140625" style="1735"/>
    <col min="7682" max="7682" width="6.28515625" style="1735" customWidth="1"/>
    <col min="7683" max="7683" width="60.42578125" style="1735" customWidth="1"/>
    <col min="7684" max="7684" width="8" style="1735" bestFit="1" customWidth="1"/>
    <col min="7685" max="7685" width="8" style="1735" customWidth="1"/>
    <col min="7686" max="7686" width="7.7109375" style="1735" customWidth="1"/>
    <col min="7687" max="7687" width="5.85546875" style="1735" customWidth="1"/>
    <col min="7688" max="7688" width="8" style="1735" bestFit="1" customWidth="1"/>
    <col min="7689" max="7689" width="11.140625" style="1735" customWidth="1"/>
    <col min="7690" max="7691" width="0" style="1735" hidden="1" customWidth="1"/>
    <col min="7692" max="7934" width="9.140625" style="1735"/>
    <col min="7935" max="7935" width="5.140625" style="1735" customWidth="1"/>
    <col min="7936" max="7937" width="9.140625" style="1735"/>
    <col min="7938" max="7938" width="6.28515625" style="1735" customWidth="1"/>
    <col min="7939" max="7939" width="60.42578125" style="1735" customWidth="1"/>
    <col min="7940" max="7940" width="8" style="1735" bestFit="1" customWidth="1"/>
    <col min="7941" max="7941" width="8" style="1735" customWidth="1"/>
    <col min="7942" max="7942" width="7.7109375" style="1735" customWidth="1"/>
    <col min="7943" max="7943" width="5.85546875" style="1735" customWidth="1"/>
    <col min="7944" max="7944" width="8" style="1735" bestFit="1" customWidth="1"/>
    <col min="7945" max="7945" width="11.140625" style="1735" customWidth="1"/>
    <col min="7946" max="7947" width="0" style="1735" hidden="1" customWidth="1"/>
    <col min="7948" max="8190" width="9.140625" style="1735"/>
    <col min="8191" max="8191" width="5.140625" style="1735" customWidth="1"/>
    <col min="8192" max="8193" width="9.140625" style="1735"/>
    <col min="8194" max="8194" width="6.28515625" style="1735" customWidth="1"/>
    <col min="8195" max="8195" width="60.42578125" style="1735" customWidth="1"/>
    <col min="8196" max="8196" width="8" style="1735" bestFit="1" customWidth="1"/>
    <col min="8197" max="8197" width="8" style="1735" customWidth="1"/>
    <col min="8198" max="8198" width="7.7109375" style="1735" customWidth="1"/>
    <col min="8199" max="8199" width="5.85546875" style="1735" customWidth="1"/>
    <col min="8200" max="8200" width="8" style="1735" bestFit="1" customWidth="1"/>
    <col min="8201" max="8201" width="11.140625" style="1735" customWidth="1"/>
    <col min="8202" max="8203" width="0" style="1735" hidden="1" customWidth="1"/>
    <col min="8204" max="8446" width="9.140625" style="1735"/>
    <col min="8447" max="8447" width="5.140625" style="1735" customWidth="1"/>
    <col min="8448" max="8449" width="9.140625" style="1735"/>
    <col min="8450" max="8450" width="6.28515625" style="1735" customWidth="1"/>
    <col min="8451" max="8451" width="60.42578125" style="1735" customWidth="1"/>
    <col min="8452" max="8452" width="8" style="1735" bestFit="1" customWidth="1"/>
    <col min="8453" max="8453" width="8" style="1735" customWidth="1"/>
    <col min="8454" max="8454" width="7.7109375" style="1735" customWidth="1"/>
    <col min="8455" max="8455" width="5.85546875" style="1735" customWidth="1"/>
    <col min="8456" max="8456" width="8" style="1735" bestFit="1" customWidth="1"/>
    <col min="8457" max="8457" width="11.140625" style="1735" customWidth="1"/>
    <col min="8458" max="8459" width="0" style="1735" hidden="1" customWidth="1"/>
    <col min="8460" max="8702" width="9.140625" style="1735"/>
    <col min="8703" max="8703" width="5.140625" style="1735" customWidth="1"/>
    <col min="8704" max="8705" width="9.140625" style="1735"/>
    <col min="8706" max="8706" width="6.28515625" style="1735" customWidth="1"/>
    <col min="8707" max="8707" width="60.42578125" style="1735" customWidth="1"/>
    <col min="8708" max="8708" width="8" style="1735" bestFit="1" customWidth="1"/>
    <col min="8709" max="8709" width="8" style="1735" customWidth="1"/>
    <col min="8710" max="8710" width="7.7109375" style="1735" customWidth="1"/>
    <col min="8711" max="8711" width="5.85546875" style="1735" customWidth="1"/>
    <col min="8712" max="8712" width="8" style="1735" bestFit="1" customWidth="1"/>
    <col min="8713" max="8713" width="11.140625" style="1735" customWidth="1"/>
    <col min="8714" max="8715" width="0" style="1735" hidden="1" customWidth="1"/>
    <col min="8716" max="8958" width="9.140625" style="1735"/>
    <col min="8959" max="8959" width="5.140625" style="1735" customWidth="1"/>
    <col min="8960" max="8961" width="9.140625" style="1735"/>
    <col min="8962" max="8962" width="6.28515625" style="1735" customWidth="1"/>
    <col min="8963" max="8963" width="60.42578125" style="1735" customWidth="1"/>
    <col min="8964" max="8964" width="8" style="1735" bestFit="1" customWidth="1"/>
    <col min="8965" max="8965" width="8" style="1735" customWidth="1"/>
    <col min="8966" max="8966" width="7.7109375" style="1735" customWidth="1"/>
    <col min="8967" max="8967" width="5.85546875" style="1735" customWidth="1"/>
    <col min="8968" max="8968" width="8" style="1735" bestFit="1" customWidth="1"/>
    <col min="8969" max="8969" width="11.140625" style="1735" customWidth="1"/>
    <col min="8970" max="8971" width="0" style="1735" hidden="1" customWidth="1"/>
    <col min="8972" max="9214" width="9.140625" style="1735"/>
    <col min="9215" max="9215" width="5.140625" style="1735" customWidth="1"/>
    <col min="9216" max="9217" width="9.140625" style="1735"/>
    <col min="9218" max="9218" width="6.28515625" style="1735" customWidth="1"/>
    <col min="9219" max="9219" width="60.42578125" style="1735" customWidth="1"/>
    <col min="9220" max="9220" width="8" style="1735" bestFit="1" customWidth="1"/>
    <col min="9221" max="9221" width="8" style="1735" customWidth="1"/>
    <col min="9222" max="9222" width="7.7109375" style="1735" customWidth="1"/>
    <col min="9223" max="9223" width="5.85546875" style="1735" customWidth="1"/>
    <col min="9224" max="9224" width="8" style="1735" bestFit="1" customWidth="1"/>
    <col min="9225" max="9225" width="11.140625" style="1735" customWidth="1"/>
    <col min="9226" max="9227" width="0" style="1735" hidden="1" customWidth="1"/>
    <col min="9228" max="9470" width="9.140625" style="1735"/>
    <col min="9471" max="9471" width="5.140625" style="1735" customWidth="1"/>
    <col min="9472" max="9473" width="9.140625" style="1735"/>
    <col min="9474" max="9474" width="6.28515625" style="1735" customWidth="1"/>
    <col min="9475" max="9475" width="60.42578125" style="1735" customWidth="1"/>
    <col min="9476" max="9476" width="8" style="1735" bestFit="1" customWidth="1"/>
    <col min="9477" max="9477" width="8" style="1735" customWidth="1"/>
    <col min="9478" max="9478" width="7.7109375" style="1735" customWidth="1"/>
    <col min="9479" max="9479" width="5.85546875" style="1735" customWidth="1"/>
    <col min="9480" max="9480" width="8" style="1735" bestFit="1" customWidth="1"/>
    <col min="9481" max="9481" width="11.140625" style="1735" customWidth="1"/>
    <col min="9482" max="9483" width="0" style="1735" hidden="1" customWidth="1"/>
    <col min="9484" max="9726" width="9.140625" style="1735"/>
    <col min="9727" max="9727" width="5.140625" style="1735" customWidth="1"/>
    <col min="9728" max="9729" width="9.140625" style="1735"/>
    <col min="9730" max="9730" width="6.28515625" style="1735" customWidth="1"/>
    <col min="9731" max="9731" width="60.42578125" style="1735" customWidth="1"/>
    <col min="9732" max="9732" width="8" style="1735" bestFit="1" customWidth="1"/>
    <col min="9733" max="9733" width="8" style="1735" customWidth="1"/>
    <col min="9734" max="9734" width="7.7109375" style="1735" customWidth="1"/>
    <col min="9735" max="9735" width="5.85546875" style="1735" customWidth="1"/>
    <col min="9736" max="9736" width="8" style="1735" bestFit="1" customWidth="1"/>
    <col min="9737" max="9737" width="11.140625" style="1735" customWidth="1"/>
    <col min="9738" max="9739" width="0" style="1735" hidden="1" customWidth="1"/>
    <col min="9740" max="9982" width="9.140625" style="1735"/>
    <col min="9983" max="9983" width="5.140625" style="1735" customWidth="1"/>
    <col min="9984" max="9985" width="9.140625" style="1735"/>
    <col min="9986" max="9986" width="6.28515625" style="1735" customWidth="1"/>
    <col min="9987" max="9987" width="60.42578125" style="1735" customWidth="1"/>
    <col min="9988" max="9988" width="8" style="1735" bestFit="1" customWidth="1"/>
    <col min="9989" max="9989" width="8" style="1735" customWidth="1"/>
    <col min="9990" max="9990" width="7.7109375" style="1735" customWidth="1"/>
    <col min="9991" max="9991" width="5.85546875" style="1735" customWidth="1"/>
    <col min="9992" max="9992" width="8" style="1735" bestFit="1" customWidth="1"/>
    <col min="9993" max="9993" width="11.140625" style="1735" customWidth="1"/>
    <col min="9994" max="9995" width="0" style="1735" hidden="1" customWidth="1"/>
    <col min="9996" max="10238" width="9.140625" style="1735"/>
    <col min="10239" max="10239" width="5.140625" style="1735" customWidth="1"/>
    <col min="10240" max="10241" width="9.140625" style="1735"/>
    <col min="10242" max="10242" width="6.28515625" style="1735" customWidth="1"/>
    <col min="10243" max="10243" width="60.42578125" style="1735" customWidth="1"/>
    <col min="10244" max="10244" width="8" style="1735" bestFit="1" customWidth="1"/>
    <col min="10245" max="10245" width="8" style="1735" customWidth="1"/>
    <col min="10246" max="10246" width="7.7109375" style="1735" customWidth="1"/>
    <col min="10247" max="10247" width="5.85546875" style="1735" customWidth="1"/>
    <col min="10248" max="10248" width="8" style="1735" bestFit="1" customWidth="1"/>
    <col min="10249" max="10249" width="11.140625" style="1735" customWidth="1"/>
    <col min="10250" max="10251" width="0" style="1735" hidden="1" customWidth="1"/>
    <col min="10252" max="10494" width="9.140625" style="1735"/>
    <col min="10495" max="10495" width="5.140625" style="1735" customWidth="1"/>
    <col min="10496" max="10497" width="9.140625" style="1735"/>
    <col min="10498" max="10498" width="6.28515625" style="1735" customWidth="1"/>
    <col min="10499" max="10499" width="60.42578125" style="1735" customWidth="1"/>
    <col min="10500" max="10500" width="8" style="1735" bestFit="1" customWidth="1"/>
    <col min="10501" max="10501" width="8" style="1735" customWidth="1"/>
    <col min="10502" max="10502" width="7.7109375" style="1735" customWidth="1"/>
    <col min="10503" max="10503" width="5.85546875" style="1735" customWidth="1"/>
    <col min="10504" max="10504" width="8" style="1735" bestFit="1" customWidth="1"/>
    <col min="10505" max="10505" width="11.140625" style="1735" customWidth="1"/>
    <col min="10506" max="10507" width="0" style="1735" hidden="1" customWidth="1"/>
    <col min="10508" max="10750" width="9.140625" style="1735"/>
    <col min="10751" max="10751" width="5.140625" style="1735" customWidth="1"/>
    <col min="10752" max="10753" width="9.140625" style="1735"/>
    <col min="10754" max="10754" width="6.28515625" style="1735" customWidth="1"/>
    <col min="10755" max="10755" width="60.42578125" style="1735" customWidth="1"/>
    <col min="10756" max="10756" width="8" style="1735" bestFit="1" customWidth="1"/>
    <col min="10757" max="10757" width="8" style="1735" customWidth="1"/>
    <col min="10758" max="10758" width="7.7109375" style="1735" customWidth="1"/>
    <col min="10759" max="10759" width="5.85546875" style="1735" customWidth="1"/>
    <col min="10760" max="10760" width="8" style="1735" bestFit="1" customWidth="1"/>
    <col min="10761" max="10761" width="11.140625" style="1735" customWidth="1"/>
    <col min="10762" max="10763" width="0" style="1735" hidden="1" customWidth="1"/>
    <col min="10764" max="11006" width="9.140625" style="1735"/>
    <col min="11007" max="11007" width="5.140625" style="1735" customWidth="1"/>
    <col min="11008" max="11009" width="9.140625" style="1735"/>
    <col min="11010" max="11010" width="6.28515625" style="1735" customWidth="1"/>
    <col min="11011" max="11011" width="60.42578125" style="1735" customWidth="1"/>
    <col min="11012" max="11012" width="8" style="1735" bestFit="1" customWidth="1"/>
    <col min="11013" max="11013" width="8" style="1735" customWidth="1"/>
    <col min="11014" max="11014" width="7.7109375" style="1735" customWidth="1"/>
    <col min="11015" max="11015" width="5.85546875" style="1735" customWidth="1"/>
    <col min="11016" max="11016" width="8" style="1735" bestFit="1" customWidth="1"/>
    <col min="11017" max="11017" width="11.140625" style="1735" customWidth="1"/>
    <col min="11018" max="11019" width="0" style="1735" hidden="1" customWidth="1"/>
    <col min="11020" max="11262" width="9.140625" style="1735"/>
    <col min="11263" max="11263" width="5.140625" style="1735" customWidth="1"/>
    <col min="11264" max="11265" width="9.140625" style="1735"/>
    <col min="11266" max="11266" width="6.28515625" style="1735" customWidth="1"/>
    <col min="11267" max="11267" width="60.42578125" style="1735" customWidth="1"/>
    <col min="11268" max="11268" width="8" style="1735" bestFit="1" customWidth="1"/>
    <col min="11269" max="11269" width="8" style="1735" customWidth="1"/>
    <col min="11270" max="11270" width="7.7109375" style="1735" customWidth="1"/>
    <col min="11271" max="11271" width="5.85546875" style="1735" customWidth="1"/>
    <col min="11272" max="11272" width="8" style="1735" bestFit="1" customWidth="1"/>
    <col min="11273" max="11273" width="11.140625" style="1735" customWidth="1"/>
    <col min="11274" max="11275" width="0" style="1735" hidden="1" customWidth="1"/>
    <col min="11276" max="11518" width="9.140625" style="1735"/>
    <col min="11519" max="11519" width="5.140625" style="1735" customWidth="1"/>
    <col min="11520" max="11521" width="9.140625" style="1735"/>
    <col min="11522" max="11522" width="6.28515625" style="1735" customWidth="1"/>
    <col min="11523" max="11523" width="60.42578125" style="1735" customWidth="1"/>
    <col min="11524" max="11524" width="8" style="1735" bestFit="1" customWidth="1"/>
    <col min="11525" max="11525" width="8" style="1735" customWidth="1"/>
    <col min="11526" max="11526" width="7.7109375" style="1735" customWidth="1"/>
    <col min="11527" max="11527" width="5.85546875" style="1735" customWidth="1"/>
    <col min="11528" max="11528" width="8" style="1735" bestFit="1" customWidth="1"/>
    <col min="11529" max="11529" width="11.140625" style="1735" customWidth="1"/>
    <col min="11530" max="11531" width="0" style="1735" hidden="1" customWidth="1"/>
    <col min="11532" max="11774" width="9.140625" style="1735"/>
    <col min="11775" max="11775" width="5.140625" style="1735" customWidth="1"/>
    <col min="11776" max="11777" width="9.140625" style="1735"/>
    <col min="11778" max="11778" width="6.28515625" style="1735" customWidth="1"/>
    <col min="11779" max="11779" width="60.42578125" style="1735" customWidth="1"/>
    <col min="11780" max="11780" width="8" style="1735" bestFit="1" customWidth="1"/>
    <col min="11781" max="11781" width="8" style="1735" customWidth="1"/>
    <col min="11782" max="11782" width="7.7109375" style="1735" customWidth="1"/>
    <col min="11783" max="11783" width="5.85546875" style="1735" customWidth="1"/>
    <col min="11784" max="11784" width="8" style="1735" bestFit="1" customWidth="1"/>
    <col min="11785" max="11785" width="11.140625" style="1735" customWidth="1"/>
    <col min="11786" max="11787" width="0" style="1735" hidden="1" customWidth="1"/>
    <col min="11788" max="12030" width="9.140625" style="1735"/>
    <col min="12031" max="12031" width="5.140625" style="1735" customWidth="1"/>
    <col min="12032" max="12033" width="9.140625" style="1735"/>
    <col min="12034" max="12034" width="6.28515625" style="1735" customWidth="1"/>
    <col min="12035" max="12035" width="60.42578125" style="1735" customWidth="1"/>
    <col min="12036" max="12036" width="8" style="1735" bestFit="1" customWidth="1"/>
    <col min="12037" max="12037" width="8" style="1735" customWidth="1"/>
    <col min="12038" max="12038" width="7.7109375" style="1735" customWidth="1"/>
    <col min="12039" max="12039" width="5.85546875" style="1735" customWidth="1"/>
    <col min="12040" max="12040" width="8" style="1735" bestFit="1" customWidth="1"/>
    <col min="12041" max="12041" width="11.140625" style="1735" customWidth="1"/>
    <col min="12042" max="12043" width="0" style="1735" hidden="1" customWidth="1"/>
    <col min="12044" max="12286" width="9.140625" style="1735"/>
    <col min="12287" max="12287" width="5.140625" style="1735" customWidth="1"/>
    <col min="12288" max="12289" width="9.140625" style="1735"/>
    <col min="12290" max="12290" width="6.28515625" style="1735" customWidth="1"/>
    <col min="12291" max="12291" width="60.42578125" style="1735" customWidth="1"/>
    <col min="12292" max="12292" width="8" style="1735" bestFit="1" customWidth="1"/>
    <col min="12293" max="12293" width="8" style="1735" customWidth="1"/>
    <col min="12294" max="12294" width="7.7109375" style="1735" customWidth="1"/>
    <col min="12295" max="12295" width="5.85546875" style="1735" customWidth="1"/>
    <col min="12296" max="12296" width="8" style="1735" bestFit="1" customWidth="1"/>
    <col min="12297" max="12297" width="11.140625" style="1735" customWidth="1"/>
    <col min="12298" max="12299" width="0" style="1735" hidden="1" customWidth="1"/>
    <col min="12300" max="12542" width="9.140625" style="1735"/>
    <col min="12543" max="12543" width="5.140625" style="1735" customWidth="1"/>
    <col min="12544" max="12545" width="9.140625" style="1735"/>
    <col min="12546" max="12546" width="6.28515625" style="1735" customWidth="1"/>
    <col min="12547" max="12547" width="60.42578125" style="1735" customWidth="1"/>
    <col min="12548" max="12548" width="8" style="1735" bestFit="1" customWidth="1"/>
    <col min="12549" max="12549" width="8" style="1735" customWidth="1"/>
    <col min="12550" max="12550" width="7.7109375" style="1735" customWidth="1"/>
    <col min="12551" max="12551" width="5.85546875" style="1735" customWidth="1"/>
    <col min="12552" max="12552" width="8" style="1735" bestFit="1" customWidth="1"/>
    <col min="12553" max="12553" width="11.140625" style="1735" customWidth="1"/>
    <col min="12554" max="12555" width="0" style="1735" hidden="1" customWidth="1"/>
    <col min="12556" max="12798" width="9.140625" style="1735"/>
    <col min="12799" max="12799" width="5.140625" style="1735" customWidth="1"/>
    <col min="12800" max="12801" width="9.140625" style="1735"/>
    <col min="12802" max="12802" width="6.28515625" style="1735" customWidth="1"/>
    <col min="12803" max="12803" width="60.42578125" style="1735" customWidth="1"/>
    <col min="12804" max="12804" width="8" style="1735" bestFit="1" customWidth="1"/>
    <col min="12805" max="12805" width="8" style="1735" customWidth="1"/>
    <col min="12806" max="12806" width="7.7109375" style="1735" customWidth="1"/>
    <col min="12807" max="12807" width="5.85546875" style="1735" customWidth="1"/>
    <col min="12808" max="12808" width="8" style="1735" bestFit="1" customWidth="1"/>
    <col min="12809" max="12809" width="11.140625" style="1735" customWidth="1"/>
    <col min="12810" max="12811" width="0" style="1735" hidden="1" customWidth="1"/>
    <col min="12812" max="13054" width="9.140625" style="1735"/>
    <col min="13055" max="13055" width="5.140625" style="1735" customWidth="1"/>
    <col min="13056" max="13057" width="9.140625" style="1735"/>
    <col min="13058" max="13058" width="6.28515625" style="1735" customWidth="1"/>
    <col min="13059" max="13059" width="60.42578125" style="1735" customWidth="1"/>
    <col min="13060" max="13060" width="8" style="1735" bestFit="1" customWidth="1"/>
    <col min="13061" max="13061" width="8" style="1735" customWidth="1"/>
    <col min="13062" max="13062" width="7.7109375" style="1735" customWidth="1"/>
    <col min="13063" max="13063" width="5.85546875" style="1735" customWidth="1"/>
    <col min="13064" max="13064" width="8" style="1735" bestFit="1" customWidth="1"/>
    <col min="13065" max="13065" width="11.140625" style="1735" customWidth="1"/>
    <col min="13066" max="13067" width="0" style="1735" hidden="1" customWidth="1"/>
    <col min="13068" max="13310" width="9.140625" style="1735"/>
    <col min="13311" max="13311" width="5.140625" style="1735" customWidth="1"/>
    <col min="13312" max="13313" width="9.140625" style="1735"/>
    <col min="13314" max="13314" width="6.28515625" style="1735" customWidth="1"/>
    <col min="13315" max="13315" width="60.42578125" style="1735" customWidth="1"/>
    <col min="13316" max="13316" width="8" style="1735" bestFit="1" customWidth="1"/>
    <col min="13317" max="13317" width="8" style="1735" customWidth="1"/>
    <col min="13318" max="13318" width="7.7109375" style="1735" customWidth="1"/>
    <col min="13319" max="13319" width="5.85546875" style="1735" customWidth="1"/>
    <col min="13320" max="13320" width="8" style="1735" bestFit="1" customWidth="1"/>
    <col min="13321" max="13321" width="11.140625" style="1735" customWidth="1"/>
    <col min="13322" max="13323" width="0" style="1735" hidden="1" customWidth="1"/>
    <col min="13324" max="13566" width="9.140625" style="1735"/>
    <col min="13567" max="13567" width="5.140625" style="1735" customWidth="1"/>
    <col min="13568" max="13569" width="9.140625" style="1735"/>
    <col min="13570" max="13570" width="6.28515625" style="1735" customWidth="1"/>
    <col min="13571" max="13571" width="60.42578125" style="1735" customWidth="1"/>
    <col min="13572" max="13572" width="8" style="1735" bestFit="1" customWidth="1"/>
    <col min="13573" max="13573" width="8" style="1735" customWidth="1"/>
    <col min="13574" max="13574" width="7.7109375" style="1735" customWidth="1"/>
    <col min="13575" max="13575" width="5.85546875" style="1735" customWidth="1"/>
    <col min="13576" max="13576" width="8" style="1735" bestFit="1" customWidth="1"/>
    <col min="13577" max="13577" width="11.140625" style="1735" customWidth="1"/>
    <col min="13578" max="13579" width="0" style="1735" hidden="1" customWidth="1"/>
    <col min="13580" max="13822" width="9.140625" style="1735"/>
    <col min="13823" max="13823" width="5.140625" style="1735" customWidth="1"/>
    <col min="13824" max="13825" width="9.140625" style="1735"/>
    <col min="13826" max="13826" width="6.28515625" style="1735" customWidth="1"/>
    <col min="13827" max="13827" width="60.42578125" style="1735" customWidth="1"/>
    <col min="13828" max="13828" width="8" style="1735" bestFit="1" customWidth="1"/>
    <col min="13829" max="13829" width="8" style="1735" customWidth="1"/>
    <col min="13830" max="13830" width="7.7109375" style="1735" customWidth="1"/>
    <col min="13831" max="13831" width="5.85546875" style="1735" customWidth="1"/>
    <col min="13832" max="13832" width="8" style="1735" bestFit="1" customWidth="1"/>
    <col min="13833" max="13833" width="11.140625" style="1735" customWidth="1"/>
    <col min="13834" max="13835" width="0" style="1735" hidden="1" customWidth="1"/>
    <col min="13836" max="14078" width="9.140625" style="1735"/>
    <col min="14079" max="14079" width="5.140625" style="1735" customWidth="1"/>
    <col min="14080" max="14081" width="9.140625" style="1735"/>
    <col min="14082" max="14082" width="6.28515625" style="1735" customWidth="1"/>
    <col min="14083" max="14083" width="60.42578125" style="1735" customWidth="1"/>
    <col min="14084" max="14084" width="8" style="1735" bestFit="1" customWidth="1"/>
    <col min="14085" max="14085" width="8" style="1735" customWidth="1"/>
    <col min="14086" max="14086" width="7.7109375" style="1735" customWidth="1"/>
    <col min="14087" max="14087" width="5.85546875" style="1735" customWidth="1"/>
    <col min="14088" max="14088" width="8" style="1735" bestFit="1" customWidth="1"/>
    <col min="14089" max="14089" width="11.140625" style="1735" customWidth="1"/>
    <col min="14090" max="14091" width="0" style="1735" hidden="1" customWidth="1"/>
    <col min="14092" max="14334" width="9.140625" style="1735"/>
    <col min="14335" max="14335" width="5.140625" style="1735" customWidth="1"/>
    <col min="14336" max="14337" width="9.140625" style="1735"/>
    <col min="14338" max="14338" width="6.28515625" style="1735" customWidth="1"/>
    <col min="14339" max="14339" width="60.42578125" style="1735" customWidth="1"/>
    <col min="14340" max="14340" width="8" style="1735" bestFit="1" customWidth="1"/>
    <col min="14341" max="14341" width="8" style="1735" customWidth="1"/>
    <col min="14342" max="14342" width="7.7109375" style="1735" customWidth="1"/>
    <col min="14343" max="14343" width="5.85546875" style="1735" customWidth="1"/>
    <col min="14344" max="14344" width="8" style="1735" bestFit="1" customWidth="1"/>
    <col min="14345" max="14345" width="11.140625" style="1735" customWidth="1"/>
    <col min="14346" max="14347" width="0" style="1735" hidden="1" customWidth="1"/>
    <col min="14348" max="14590" width="9.140625" style="1735"/>
    <col min="14591" max="14591" width="5.140625" style="1735" customWidth="1"/>
    <col min="14592" max="14593" width="9.140625" style="1735"/>
    <col min="14594" max="14594" width="6.28515625" style="1735" customWidth="1"/>
    <col min="14595" max="14595" width="60.42578125" style="1735" customWidth="1"/>
    <col min="14596" max="14596" width="8" style="1735" bestFit="1" customWidth="1"/>
    <col min="14597" max="14597" width="8" style="1735" customWidth="1"/>
    <col min="14598" max="14598" width="7.7109375" style="1735" customWidth="1"/>
    <col min="14599" max="14599" width="5.85546875" style="1735" customWidth="1"/>
    <col min="14600" max="14600" width="8" style="1735" bestFit="1" customWidth="1"/>
    <col min="14601" max="14601" width="11.140625" style="1735" customWidth="1"/>
    <col min="14602" max="14603" width="0" style="1735" hidden="1" customWidth="1"/>
    <col min="14604" max="14846" width="9.140625" style="1735"/>
    <col min="14847" max="14847" width="5.140625" style="1735" customWidth="1"/>
    <col min="14848" max="14849" width="9.140625" style="1735"/>
    <col min="14850" max="14850" width="6.28515625" style="1735" customWidth="1"/>
    <col min="14851" max="14851" width="60.42578125" style="1735" customWidth="1"/>
    <col min="14852" max="14852" width="8" style="1735" bestFit="1" customWidth="1"/>
    <col min="14853" max="14853" width="8" style="1735" customWidth="1"/>
    <col min="14854" max="14854" width="7.7109375" style="1735" customWidth="1"/>
    <col min="14855" max="14855" width="5.85546875" style="1735" customWidth="1"/>
    <col min="14856" max="14856" width="8" style="1735" bestFit="1" customWidth="1"/>
    <col min="14857" max="14857" width="11.140625" style="1735" customWidth="1"/>
    <col min="14858" max="14859" width="0" style="1735" hidden="1" customWidth="1"/>
    <col min="14860" max="15102" width="9.140625" style="1735"/>
    <col min="15103" max="15103" width="5.140625" style="1735" customWidth="1"/>
    <col min="15104" max="15105" width="9.140625" style="1735"/>
    <col min="15106" max="15106" width="6.28515625" style="1735" customWidth="1"/>
    <col min="15107" max="15107" width="60.42578125" style="1735" customWidth="1"/>
    <col min="15108" max="15108" width="8" style="1735" bestFit="1" customWidth="1"/>
    <col min="15109" max="15109" width="8" style="1735" customWidth="1"/>
    <col min="15110" max="15110" width="7.7109375" style="1735" customWidth="1"/>
    <col min="15111" max="15111" width="5.85546875" style="1735" customWidth="1"/>
    <col min="15112" max="15112" width="8" style="1735" bestFit="1" customWidth="1"/>
    <col min="15113" max="15113" width="11.140625" style="1735" customWidth="1"/>
    <col min="15114" max="15115" width="0" style="1735" hidden="1" customWidth="1"/>
    <col min="15116" max="15358" width="9.140625" style="1735"/>
    <col min="15359" max="15359" width="5.140625" style="1735" customWidth="1"/>
    <col min="15360" max="15361" width="9.140625" style="1735"/>
    <col min="15362" max="15362" width="6.28515625" style="1735" customWidth="1"/>
    <col min="15363" max="15363" width="60.42578125" style="1735" customWidth="1"/>
    <col min="15364" max="15364" width="8" style="1735" bestFit="1" customWidth="1"/>
    <col min="15365" max="15365" width="8" style="1735" customWidth="1"/>
    <col min="15366" max="15366" width="7.7109375" style="1735" customWidth="1"/>
    <col min="15367" max="15367" width="5.85546875" style="1735" customWidth="1"/>
    <col min="15368" max="15368" width="8" style="1735" bestFit="1" customWidth="1"/>
    <col min="15369" max="15369" width="11.140625" style="1735" customWidth="1"/>
    <col min="15370" max="15371" width="0" style="1735" hidden="1" customWidth="1"/>
    <col min="15372" max="15614" width="9.140625" style="1735"/>
    <col min="15615" max="15615" width="5.140625" style="1735" customWidth="1"/>
    <col min="15616" max="15617" width="9.140625" style="1735"/>
    <col min="15618" max="15618" width="6.28515625" style="1735" customWidth="1"/>
    <col min="15619" max="15619" width="60.42578125" style="1735" customWidth="1"/>
    <col min="15620" max="15620" width="8" style="1735" bestFit="1" customWidth="1"/>
    <col min="15621" max="15621" width="8" style="1735" customWidth="1"/>
    <col min="15622" max="15622" width="7.7109375" style="1735" customWidth="1"/>
    <col min="15623" max="15623" width="5.85546875" style="1735" customWidth="1"/>
    <col min="15624" max="15624" width="8" style="1735" bestFit="1" customWidth="1"/>
    <col min="15625" max="15625" width="11.140625" style="1735" customWidth="1"/>
    <col min="15626" max="15627" width="0" style="1735" hidden="1" customWidth="1"/>
    <col min="15628" max="15870" width="9.140625" style="1735"/>
    <col min="15871" max="15871" width="5.140625" style="1735" customWidth="1"/>
    <col min="15872" max="15873" width="9.140625" style="1735"/>
    <col min="15874" max="15874" width="6.28515625" style="1735" customWidth="1"/>
    <col min="15875" max="15875" width="60.42578125" style="1735" customWidth="1"/>
    <col min="15876" max="15876" width="8" style="1735" bestFit="1" customWidth="1"/>
    <col min="15877" max="15877" width="8" style="1735" customWidth="1"/>
    <col min="15878" max="15878" width="7.7109375" style="1735" customWidth="1"/>
    <col min="15879" max="15879" width="5.85546875" style="1735" customWidth="1"/>
    <col min="15880" max="15880" width="8" style="1735" bestFit="1" customWidth="1"/>
    <col min="15881" max="15881" width="11.140625" style="1735" customWidth="1"/>
    <col min="15882" max="15883" width="0" style="1735" hidden="1" customWidth="1"/>
    <col min="15884" max="16126" width="9.140625" style="1735"/>
    <col min="16127" max="16127" width="5.140625" style="1735" customWidth="1"/>
    <col min="16128" max="16129" width="9.140625" style="1735"/>
    <col min="16130" max="16130" width="6.28515625" style="1735" customWidth="1"/>
    <col min="16131" max="16131" width="60.42578125" style="1735" customWidth="1"/>
    <col min="16132" max="16132" width="8" style="1735" bestFit="1" customWidth="1"/>
    <col min="16133" max="16133" width="8" style="1735" customWidth="1"/>
    <col min="16134" max="16134" width="7.7109375" style="1735" customWidth="1"/>
    <col min="16135" max="16135" width="5.85546875" style="1735" customWidth="1"/>
    <col min="16136" max="16136" width="8" style="1735" bestFit="1" customWidth="1"/>
    <col min="16137" max="16137" width="11.140625" style="1735" customWidth="1"/>
    <col min="16138" max="16139" width="0" style="1735" hidden="1" customWidth="1"/>
    <col min="16140" max="16384" width="9.140625" style="1735"/>
  </cols>
  <sheetData>
    <row r="1" spans="1:11" s="1728" customFormat="1" ht="15.75">
      <c r="H1" s="1807"/>
      <c r="J1" s="1569" t="s">
        <v>1521</v>
      </c>
      <c r="K1" s="1569"/>
    </row>
    <row r="2" spans="1:11" s="1728" customFormat="1" ht="15.75">
      <c r="A2" s="1808" t="s">
        <v>1526</v>
      </c>
      <c r="B2" s="1808"/>
      <c r="C2" s="1808"/>
      <c r="D2" s="1808"/>
      <c r="E2" s="1808"/>
      <c r="F2" s="1808"/>
      <c r="G2" s="1808"/>
      <c r="H2" s="1808"/>
      <c r="I2" s="1808"/>
      <c r="J2" s="1808"/>
      <c r="K2" s="1808"/>
    </row>
    <row r="3" spans="1:11" s="1728" customFormat="1" ht="15.75">
      <c r="H3" s="1807"/>
      <c r="J3" s="1807"/>
    </row>
    <row r="4" spans="1:11">
      <c r="F4" s="1809" t="s">
        <v>2554</v>
      </c>
      <c r="G4" s="1809"/>
      <c r="H4" s="1810" t="s">
        <v>2555</v>
      </c>
      <c r="I4" s="1810"/>
      <c r="J4" s="1810" t="s">
        <v>2556</v>
      </c>
      <c r="K4" s="1810"/>
    </row>
    <row r="5" spans="1:11">
      <c r="A5" s="1736" t="s">
        <v>2557</v>
      </c>
    </row>
    <row r="6" spans="1:11">
      <c r="A6" s="1735" t="s">
        <v>2558</v>
      </c>
      <c r="F6" s="1634">
        <f>+F46+F10</f>
        <v>3100881</v>
      </c>
      <c r="G6" s="1736" t="s">
        <v>2454</v>
      </c>
      <c r="H6" s="1735"/>
      <c r="J6" s="1634"/>
      <c r="K6" s="1736"/>
    </row>
    <row r="7" spans="1:11">
      <c r="B7" s="1735" t="s">
        <v>2559</v>
      </c>
      <c r="H7" s="1634">
        <f>+H46+H10</f>
        <v>3100881</v>
      </c>
      <c r="I7" s="1736" t="s">
        <v>2454</v>
      </c>
      <c r="J7" s="1634"/>
      <c r="K7" s="1736"/>
    </row>
    <row r="8" spans="1:11">
      <c r="C8" s="1735" t="s">
        <v>2777</v>
      </c>
      <c r="H8" s="1634"/>
      <c r="I8" s="1736"/>
      <c r="J8" s="1634">
        <f>+J56+J53</f>
        <v>2738772</v>
      </c>
      <c r="K8" s="1736" t="s">
        <v>2454</v>
      </c>
    </row>
    <row r="9" spans="1:11">
      <c r="H9" s="1812"/>
      <c r="I9" s="1736"/>
      <c r="J9" s="1634"/>
      <c r="K9" s="1736"/>
    </row>
    <row r="10" spans="1:11" s="1736" customFormat="1">
      <c r="A10" s="1736" t="s">
        <v>2560</v>
      </c>
      <c r="F10" s="1634">
        <f>F26+F30+F34+F12+F38+F42</f>
        <v>608587</v>
      </c>
      <c r="G10" s="1736" t="s">
        <v>2454</v>
      </c>
      <c r="H10" s="1634">
        <f>H28+H32+H36+H18+H40+H44</f>
        <v>608587</v>
      </c>
      <c r="I10" s="1736" t="s">
        <v>2454</v>
      </c>
      <c r="J10" s="1634"/>
    </row>
    <row r="11" spans="1:11">
      <c r="A11" s="1735" t="s">
        <v>2561</v>
      </c>
      <c r="H11" s="1634"/>
    </row>
    <row r="12" spans="1:11" s="1737" customFormat="1" ht="13.5">
      <c r="A12" s="1737" t="s">
        <v>2562</v>
      </c>
      <c r="F12" s="1813">
        <f>3046223-F48</f>
        <v>553929</v>
      </c>
      <c r="G12" s="1814" t="s">
        <v>2454</v>
      </c>
      <c r="H12" s="1815"/>
      <c r="J12" s="1815"/>
    </row>
    <row r="13" spans="1:11" s="1737" customFormat="1">
      <c r="A13" s="1737" t="s">
        <v>2563</v>
      </c>
      <c r="F13" s="1815">
        <f>-F27</f>
        <v>53636</v>
      </c>
      <c r="G13" s="1737" t="s">
        <v>2454</v>
      </c>
      <c r="H13" s="1815"/>
      <c r="J13" s="1815"/>
    </row>
    <row r="14" spans="1:11" s="1737" customFormat="1">
      <c r="A14" s="1737" t="s">
        <v>2564</v>
      </c>
      <c r="F14" s="1815">
        <f>-F31</f>
        <v>206</v>
      </c>
      <c r="G14" s="1737" t="s">
        <v>2454</v>
      </c>
      <c r="H14" s="1815"/>
      <c r="J14" s="1815"/>
    </row>
    <row r="15" spans="1:11" s="1737" customFormat="1">
      <c r="A15" s="1737" t="s">
        <v>2565</v>
      </c>
      <c r="F15" s="1815">
        <f>-F35</f>
        <v>654</v>
      </c>
      <c r="G15" s="1737" t="s">
        <v>2454</v>
      </c>
      <c r="H15" s="1815"/>
      <c r="J15" s="1815"/>
    </row>
    <row r="16" spans="1:11" s="1737" customFormat="1">
      <c r="A16" s="1737" t="s">
        <v>2566</v>
      </c>
      <c r="F16" s="1815">
        <f>-F39</f>
        <v>15</v>
      </c>
      <c r="G16" s="1737" t="s">
        <v>2454</v>
      </c>
      <c r="H16" s="1815"/>
      <c r="J16" s="1815"/>
    </row>
    <row r="17" spans="1:12" s="1737" customFormat="1">
      <c r="A17" s="1737" t="s">
        <v>2567</v>
      </c>
      <c r="F17" s="1815">
        <f>-F43</f>
        <v>147</v>
      </c>
      <c r="G17" s="1737" t="s">
        <v>2454</v>
      </c>
      <c r="H17" s="1815"/>
      <c r="J17" s="1815"/>
    </row>
    <row r="18" spans="1:12" s="1736" customFormat="1">
      <c r="B18" s="1736" t="s">
        <v>2568</v>
      </c>
      <c r="F18" s="1634">
        <f>SUM(F12:F17)</f>
        <v>608587</v>
      </c>
      <c r="G18" s="1736" t="s">
        <v>2454</v>
      </c>
      <c r="H18" s="1634">
        <f>SUM(H19:H24)</f>
        <v>608587</v>
      </c>
      <c r="I18" s="1736" t="s">
        <v>2454</v>
      </c>
      <c r="J18" s="1634"/>
      <c r="L18" s="1634"/>
    </row>
    <row r="19" spans="1:12">
      <c r="B19" s="1735" t="s">
        <v>2569</v>
      </c>
      <c r="H19" s="1811">
        <v>2842</v>
      </c>
      <c r="I19" s="1735" t="s">
        <v>2454</v>
      </c>
    </row>
    <row r="20" spans="1:12">
      <c r="B20" s="1735" t="s">
        <v>2774</v>
      </c>
      <c r="H20" s="1811">
        <f>9870+26671+800</f>
        <v>37341</v>
      </c>
      <c r="I20" s="1735" t="s">
        <v>2454</v>
      </c>
    </row>
    <row r="21" spans="1:12">
      <c r="B21" s="1735" t="s">
        <v>2775</v>
      </c>
      <c r="H21" s="1811">
        <v>7461</v>
      </c>
      <c r="I21" s="1735" t="s">
        <v>2454</v>
      </c>
    </row>
    <row r="22" spans="1:12">
      <c r="B22" s="1735" t="s">
        <v>2570</v>
      </c>
      <c r="H22" s="1811">
        <v>4425</v>
      </c>
      <c r="I22" s="1735" t="s">
        <v>2454</v>
      </c>
    </row>
    <row r="23" spans="1:12">
      <c r="B23" s="1735" t="s">
        <v>2776</v>
      </c>
      <c r="H23" s="1811">
        <f>66645-4179-2771-4425+20000+53509-42250</f>
        <v>86529</v>
      </c>
      <c r="I23" s="1735" t="s">
        <v>2454</v>
      </c>
      <c r="K23" s="1811"/>
    </row>
    <row r="24" spans="1:12">
      <c r="B24" s="1735" t="s">
        <v>2571</v>
      </c>
      <c r="H24" s="1811">
        <f>+F18-H19-H20-H21-H22-H23</f>
        <v>469989</v>
      </c>
      <c r="I24" s="1735" t="s">
        <v>2454</v>
      </c>
    </row>
    <row r="25" spans="1:12">
      <c r="F25" s="1811"/>
    </row>
    <row r="26" spans="1:12" s="1737" customFormat="1" ht="13.5">
      <c r="A26" s="1737" t="s">
        <v>2572</v>
      </c>
      <c r="F26" s="1813">
        <v>53636</v>
      </c>
      <c r="G26" s="1814" t="s">
        <v>2454</v>
      </c>
      <c r="H26" s="1815"/>
      <c r="J26" s="1815"/>
    </row>
    <row r="27" spans="1:12" s="1737" customFormat="1">
      <c r="A27" s="1737" t="s">
        <v>2573</v>
      </c>
      <c r="F27" s="1815">
        <f>-F26</f>
        <v>-53636</v>
      </c>
      <c r="G27" s="1737" t="s">
        <v>2454</v>
      </c>
      <c r="H27" s="1815"/>
      <c r="J27" s="1815"/>
    </row>
    <row r="28" spans="1:12" s="1814" customFormat="1" ht="13.5">
      <c r="B28" s="1736" t="s">
        <v>2574</v>
      </c>
      <c r="F28" s="1634">
        <f>+F26+F27</f>
        <v>0</v>
      </c>
      <c r="G28" s="1736" t="s">
        <v>2454</v>
      </c>
      <c r="H28" s="1634">
        <f>+F28</f>
        <v>0</v>
      </c>
      <c r="I28" s="1736" t="s">
        <v>2454</v>
      </c>
      <c r="J28" s="1813"/>
    </row>
    <row r="29" spans="1:12">
      <c r="F29" s="1634"/>
    </row>
    <row r="30" spans="1:12" s="1737" customFormat="1" ht="13.5">
      <c r="A30" s="1737" t="s">
        <v>2575</v>
      </c>
      <c r="F30" s="1813">
        <v>206</v>
      </c>
      <c r="G30" s="1814" t="s">
        <v>2454</v>
      </c>
      <c r="H30" s="1815"/>
      <c r="J30" s="1815"/>
    </row>
    <row r="31" spans="1:12" s="1737" customFormat="1">
      <c r="A31" s="1737" t="s">
        <v>2573</v>
      </c>
      <c r="F31" s="1815">
        <f>-F30</f>
        <v>-206</v>
      </c>
      <c r="G31" s="1737" t="s">
        <v>2454</v>
      </c>
      <c r="H31" s="1815"/>
      <c r="J31" s="1815"/>
    </row>
    <row r="32" spans="1:12" s="1814" customFormat="1" ht="13.5">
      <c r="B32" s="1736" t="s">
        <v>2576</v>
      </c>
      <c r="F32" s="1634">
        <f>+F30+F31</f>
        <v>0</v>
      </c>
      <c r="G32" s="1736" t="s">
        <v>2454</v>
      </c>
      <c r="H32" s="1634">
        <v>0</v>
      </c>
      <c r="I32" s="1736" t="s">
        <v>2454</v>
      </c>
      <c r="J32" s="1813"/>
    </row>
    <row r="33" spans="1:10">
      <c r="F33" s="1634"/>
    </row>
    <row r="34" spans="1:10" s="1737" customFormat="1" ht="13.5">
      <c r="A34" s="1737" t="s">
        <v>2577</v>
      </c>
      <c r="F34" s="1813">
        <v>654</v>
      </c>
      <c r="G34" s="1814" t="s">
        <v>2454</v>
      </c>
      <c r="H34" s="1815"/>
      <c r="J34" s="1815"/>
    </row>
    <row r="35" spans="1:10" s="1737" customFormat="1">
      <c r="A35" s="1737" t="s">
        <v>2573</v>
      </c>
      <c r="F35" s="1815">
        <f>-F34</f>
        <v>-654</v>
      </c>
      <c r="G35" s="1737" t="s">
        <v>2454</v>
      </c>
      <c r="H35" s="1815"/>
      <c r="J35" s="1815"/>
    </row>
    <row r="36" spans="1:10" s="1814" customFormat="1" ht="13.5">
      <c r="B36" s="1736" t="s">
        <v>2578</v>
      </c>
      <c r="F36" s="1634">
        <f>+F34+F35</f>
        <v>0</v>
      </c>
      <c r="G36" s="1736" t="s">
        <v>2454</v>
      </c>
      <c r="H36" s="1634">
        <v>0</v>
      </c>
      <c r="I36" s="1736" t="s">
        <v>2454</v>
      </c>
      <c r="J36" s="1813"/>
    </row>
    <row r="37" spans="1:10">
      <c r="F37" s="1634"/>
    </row>
    <row r="38" spans="1:10" s="1737" customFormat="1" ht="13.5">
      <c r="A38" s="1737" t="s">
        <v>2579</v>
      </c>
      <c r="F38" s="1813">
        <v>15</v>
      </c>
      <c r="G38" s="1814" t="s">
        <v>2454</v>
      </c>
      <c r="H38" s="1815"/>
      <c r="J38" s="1815"/>
    </row>
    <row r="39" spans="1:10" s="1737" customFormat="1">
      <c r="A39" s="1737" t="s">
        <v>2573</v>
      </c>
      <c r="F39" s="1815">
        <f>-F38</f>
        <v>-15</v>
      </c>
      <c r="G39" s="1737" t="s">
        <v>2454</v>
      </c>
      <c r="H39" s="1815"/>
      <c r="J39" s="1815"/>
    </row>
    <row r="40" spans="1:10" s="1814" customFormat="1" ht="13.5">
      <c r="B40" s="1736" t="s">
        <v>2580</v>
      </c>
      <c r="F40" s="1634">
        <f>+F38+F39</f>
        <v>0</v>
      </c>
      <c r="G40" s="1736" t="s">
        <v>2454</v>
      </c>
      <c r="H40" s="1634">
        <v>0</v>
      </c>
      <c r="I40" s="1736" t="s">
        <v>2454</v>
      </c>
      <c r="J40" s="1813"/>
    </row>
    <row r="41" spans="1:10" s="1814" customFormat="1" ht="13.5">
      <c r="B41" s="1736"/>
      <c r="F41" s="1634"/>
      <c r="G41" s="1736"/>
      <c r="H41" s="1634"/>
      <c r="I41" s="1736"/>
      <c r="J41" s="1813"/>
    </row>
    <row r="42" spans="1:10" s="1737" customFormat="1" ht="13.5">
      <c r="A42" s="1737" t="s">
        <v>2581</v>
      </c>
      <c r="F42" s="1813">
        <v>147</v>
      </c>
      <c r="G42" s="1814" t="s">
        <v>2454</v>
      </c>
      <c r="H42" s="1815"/>
      <c r="J42" s="1815"/>
    </row>
    <row r="43" spans="1:10" s="1737" customFormat="1">
      <c r="A43" s="1737" t="s">
        <v>2573</v>
      </c>
      <c r="F43" s="1815">
        <f>-F42</f>
        <v>-147</v>
      </c>
      <c r="G43" s="1737" t="s">
        <v>2454</v>
      </c>
      <c r="H43" s="1815"/>
      <c r="J43" s="1815"/>
    </row>
    <row r="44" spans="1:10" s="1814" customFormat="1" ht="13.5">
      <c r="B44" s="1736" t="s">
        <v>2580</v>
      </c>
      <c r="F44" s="1634">
        <f>+F42+F43</f>
        <v>0</v>
      </c>
      <c r="G44" s="1736" t="s">
        <v>2454</v>
      </c>
      <c r="H44" s="1634">
        <v>0</v>
      </c>
      <c r="I44" s="1736" t="s">
        <v>2454</v>
      </c>
      <c r="J44" s="1813"/>
    </row>
    <row r="45" spans="1:10" s="1814" customFormat="1" ht="13.5">
      <c r="B45" s="1736"/>
      <c r="F45" s="1634"/>
      <c r="G45" s="1736"/>
      <c r="H45" s="1634"/>
      <c r="I45" s="1736"/>
      <c r="J45" s="1813"/>
    </row>
    <row r="46" spans="1:10" s="1736" customFormat="1">
      <c r="A46" s="1736" t="s">
        <v>2582</v>
      </c>
      <c r="F46" s="1634">
        <f>+F48</f>
        <v>2492294</v>
      </c>
      <c r="G46" s="1736" t="s">
        <v>2454</v>
      </c>
      <c r="H46" s="1634">
        <f>+H49</f>
        <v>2492294</v>
      </c>
      <c r="I46" s="1736" t="s">
        <v>2454</v>
      </c>
      <c r="J46" s="1634"/>
    </row>
    <row r="47" spans="1:10">
      <c r="A47" s="1735" t="s">
        <v>2561</v>
      </c>
      <c r="F47" s="1811"/>
    </row>
    <row r="48" spans="1:10" s="1737" customFormat="1" ht="13.5">
      <c r="A48" s="1737" t="s">
        <v>2562</v>
      </c>
      <c r="F48" s="1813">
        <v>2492294</v>
      </c>
      <c r="G48" s="1814" t="s">
        <v>2454</v>
      </c>
      <c r="H48" s="1815"/>
      <c r="J48" s="1815"/>
    </row>
    <row r="49" spans="1:12" s="1736" customFormat="1" ht="13.5">
      <c r="B49" s="1736" t="s">
        <v>2583</v>
      </c>
      <c r="F49" s="1634">
        <f>SUM(F48:F48)</f>
        <v>2492294</v>
      </c>
      <c r="G49" s="1814" t="s">
        <v>2454</v>
      </c>
      <c r="H49" s="1634">
        <f>+H51+H50</f>
        <v>2492294</v>
      </c>
      <c r="I49" s="1736" t="s">
        <v>2454</v>
      </c>
      <c r="J49" s="1634"/>
    </row>
    <row r="50" spans="1:12">
      <c r="B50" s="1735" t="s">
        <v>2782</v>
      </c>
      <c r="H50" s="1811">
        <f>4179+(2708+20000+7497)+441153</f>
        <v>475537</v>
      </c>
      <c r="I50" s="1735" t="s">
        <v>2454</v>
      </c>
      <c r="L50" s="1811"/>
    </row>
    <row r="51" spans="1:12">
      <c r="B51" s="1735" t="s">
        <v>2584</v>
      </c>
      <c r="H51" s="1811">
        <f>MIN(2713232,F49-H50)</f>
        <v>2016757</v>
      </c>
      <c r="I51" s="1735" t="s">
        <v>2454</v>
      </c>
      <c r="L51" s="1811"/>
    </row>
    <row r="52" spans="1:12">
      <c r="F52" s="1811"/>
    </row>
    <row r="53" spans="1:12" s="1814" customFormat="1" ht="13.5">
      <c r="C53" s="1814" t="s">
        <v>2778</v>
      </c>
      <c r="F53" s="1813"/>
      <c r="H53" s="1813"/>
      <c r="J53" s="1813">
        <v>2738772</v>
      </c>
      <c r="K53" s="1814" t="s">
        <v>2454</v>
      </c>
    </row>
    <row r="54" spans="1:12" s="1814" customFormat="1" ht="13.5">
      <c r="C54" s="1814" t="s">
        <v>2779</v>
      </c>
      <c r="F54" s="1813"/>
      <c r="H54" s="1813"/>
      <c r="J54" s="1813">
        <f>+H10-J53</f>
        <v>-2130185</v>
      </c>
      <c r="K54" s="1814" t="s">
        <v>2454</v>
      </c>
    </row>
    <row r="55" spans="1:12">
      <c r="F55" s="1811"/>
    </row>
    <row r="56" spans="1:12" s="1814" customFormat="1" ht="13.5">
      <c r="C56" s="1814" t="s">
        <v>2780</v>
      </c>
      <c r="F56" s="1813"/>
      <c r="H56" s="1813"/>
      <c r="J56" s="1813">
        <v>0</v>
      </c>
      <c r="K56" s="1814" t="s">
        <v>2454</v>
      </c>
    </row>
    <row r="57" spans="1:12" s="1814" customFormat="1" ht="13.5">
      <c r="C57" s="1814" t="s">
        <v>2781</v>
      </c>
      <c r="F57" s="1813"/>
      <c r="H57" s="1813"/>
      <c r="J57" s="1813">
        <f>+H49-J56</f>
        <v>2492294</v>
      </c>
      <c r="K57" s="1814" t="s">
        <v>2454</v>
      </c>
    </row>
    <row r="58" spans="1:12">
      <c r="F58" s="1811"/>
      <c r="J58" s="1634"/>
    </row>
    <row r="59" spans="1:12" ht="25.5" customHeight="1">
      <c r="A59" s="1816" t="s">
        <v>2585</v>
      </c>
      <c r="B59" s="1816"/>
      <c r="C59" s="1816"/>
      <c r="D59" s="1816"/>
      <c r="E59" s="1816"/>
      <c r="F59" s="1816"/>
      <c r="G59" s="1816"/>
      <c r="H59" s="1816"/>
      <c r="I59" s="1816"/>
      <c r="J59" s="1816"/>
      <c r="K59" s="1816"/>
    </row>
    <row r="61" spans="1:12">
      <c r="A61" s="1735" t="s">
        <v>2783</v>
      </c>
    </row>
  </sheetData>
  <mergeCells count="6">
    <mergeCell ref="J1:K1"/>
    <mergeCell ref="A2:K2"/>
    <mergeCell ref="F4:G4"/>
    <mergeCell ref="H4:I4"/>
    <mergeCell ref="J4:K4"/>
    <mergeCell ref="A59:K59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66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>
  <sheetPr codeName="Munka28">
    <tabColor rgb="FFFF0000"/>
    <pageSetUpPr fitToPage="1"/>
  </sheetPr>
  <dimension ref="A1:H29"/>
  <sheetViews>
    <sheetView zoomScaleNormal="100" workbookViewId="0"/>
  </sheetViews>
  <sheetFormatPr defaultRowHeight="12.75"/>
  <cols>
    <col min="1" max="1" width="4.7109375" style="634" customWidth="1"/>
    <col min="2" max="2" width="28.42578125" style="634" customWidth="1"/>
    <col min="3" max="8" width="10.140625" style="634" customWidth="1"/>
    <col min="9" max="16384" width="9.140625" style="634"/>
  </cols>
  <sheetData>
    <row r="1" spans="1:8" ht="15.75">
      <c r="A1" s="632"/>
      <c r="B1" s="633"/>
      <c r="C1" s="633"/>
      <c r="D1" s="633"/>
      <c r="E1" s="633"/>
      <c r="F1" s="633"/>
      <c r="G1" s="633"/>
      <c r="H1" s="192" t="s">
        <v>838</v>
      </c>
    </row>
    <row r="2" spans="1:8" ht="15.75">
      <c r="A2" s="632"/>
      <c r="B2" s="633"/>
      <c r="C2" s="633"/>
      <c r="D2" s="633"/>
      <c r="E2" s="633"/>
      <c r="F2" s="633"/>
      <c r="G2" s="633"/>
      <c r="H2" s="633"/>
    </row>
    <row r="3" spans="1:8" ht="15.75">
      <c r="A3" s="1350" t="s">
        <v>839</v>
      </c>
      <c r="B3" s="1350"/>
      <c r="C3" s="1350"/>
      <c r="D3" s="1350"/>
      <c r="E3" s="1350"/>
      <c r="F3" s="1350"/>
      <c r="G3" s="1350"/>
      <c r="H3" s="1350"/>
    </row>
    <row r="4" spans="1:8" ht="15.75">
      <c r="A4" s="1350"/>
      <c r="B4" s="1350"/>
      <c r="C4" s="1350"/>
      <c r="D4" s="1350"/>
      <c r="E4" s="1350"/>
      <c r="F4" s="1350"/>
      <c r="G4" s="1350"/>
      <c r="H4" s="1350"/>
    </row>
    <row r="6" spans="1:8" s="632" customFormat="1" ht="27" customHeight="1">
      <c r="A6" s="635" t="s">
        <v>840</v>
      </c>
      <c r="B6" s="636"/>
      <c r="C6" s="1351" t="s">
        <v>841</v>
      </c>
      <c r="D6" s="1351"/>
      <c r="E6" s="1351"/>
      <c r="F6" s="1351"/>
      <c r="G6" s="1351"/>
      <c r="H6" s="1351"/>
    </row>
    <row r="7" spans="1:8" s="632" customFormat="1" ht="15.75"/>
    <row r="8" spans="1:8" s="632" customFormat="1" ht="24.75" customHeight="1">
      <c r="A8" s="635" t="s">
        <v>842</v>
      </c>
      <c r="B8" s="636"/>
      <c r="C8" s="1351" t="s">
        <v>841</v>
      </c>
      <c r="D8" s="1351"/>
      <c r="E8" s="1351"/>
      <c r="F8" s="1351"/>
      <c r="G8" s="1351"/>
      <c r="H8" s="636"/>
    </row>
    <row r="9" spans="1:8" s="637" customFormat="1"/>
    <row r="10" spans="1:8" s="639" customFormat="1" ht="15" customHeight="1">
      <c r="A10" s="638" t="s">
        <v>843</v>
      </c>
    </row>
    <row r="11" spans="1:8" s="639" customFormat="1" ht="15" customHeight="1" thickBot="1">
      <c r="A11" s="638" t="s">
        <v>844</v>
      </c>
    </row>
    <row r="12" spans="1:8" s="643" customFormat="1" ht="42" customHeight="1" thickBot="1">
      <c r="A12" s="640" t="s">
        <v>17</v>
      </c>
      <c r="B12" s="641" t="s">
        <v>845</v>
      </c>
      <c r="C12" s="641" t="s">
        <v>846</v>
      </c>
      <c r="D12" s="641" t="s">
        <v>847</v>
      </c>
      <c r="E12" s="641" t="s">
        <v>848</v>
      </c>
      <c r="F12" s="641" t="s">
        <v>849</v>
      </c>
      <c r="G12" s="641" t="s">
        <v>850</v>
      </c>
      <c r="H12" s="642" t="s">
        <v>441</v>
      </c>
    </row>
    <row r="13" spans="1:8" ht="24" customHeight="1">
      <c r="A13" s="644" t="s">
        <v>4</v>
      </c>
      <c r="B13" s="645" t="s">
        <v>851</v>
      </c>
      <c r="C13" s="646"/>
      <c r="D13" s="646"/>
      <c r="E13" s="646"/>
      <c r="F13" s="646"/>
      <c r="G13" s="646"/>
      <c r="H13" s="647">
        <f>SUM(C13:G13)</f>
        <v>0</v>
      </c>
    </row>
    <row r="14" spans="1:8" ht="24" customHeight="1">
      <c r="A14" s="648" t="s">
        <v>5</v>
      </c>
      <c r="B14" s="649" t="s">
        <v>852</v>
      </c>
      <c r="C14" s="650"/>
      <c r="D14" s="650"/>
      <c r="E14" s="650"/>
      <c r="F14" s="650"/>
      <c r="G14" s="650"/>
      <c r="H14" s="651">
        <f t="shared" ref="H14:H19" si="0">SUM(C14:G14)</f>
        <v>0</v>
      </c>
    </row>
    <row r="15" spans="1:8" ht="24" customHeight="1">
      <c r="A15" s="648" t="s">
        <v>6</v>
      </c>
      <c r="B15" s="649" t="s">
        <v>853</v>
      </c>
      <c r="C15" s="650"/>
      <c r="D15" s="650"/>
      <c r="E15" s="650"/>
      <c r="F15" s="650"/>
      <c r="G15" s="650"/>
      <c r="H15" s="651">
        <f t="shared" si="0"/>
        <v>0</v>
      </c>
    </row>
    <row r="16" spans="1:8" ht="24" customHeight="1">
      <c r="A16" s="648" t="s">
        <v>3</v>
      </c>
      <c r="B16" s="649" t="s">
        <v>854</v>
      </c>
      <c r="C16" s="650"/>
      <c r="D16" s="650"/>
      <c r="E16" s="650"/>
      <c r="F16" s="650"/>
      <c r="G16" s="650"/>
      <c r="H16" s="651">
        <f t="shared" si="0"/>
        <v>0</v>
      </c>
    </row>
    <row r="17" spans="1:8" ht="24" customHeight="1">
      <c r="A17" s="648" t="s">
        <v>16</v>
      </c>
      <c r="B17" s="649" t="s">
        <v>855</v>
      </c>
      <c r="C17" s="650"/>
      <c r="D17" s="650"/>
      <c r="E17" s="650"/>
      <c r="F17" s="650"/>
      <c r="G17" s="650"/>
      <c r="H17" s="651">
        <f t="shared" si="0"/>
        <v>0</v>
      </c>
    </row>
    <row r="18" spans="1:8" ht="24" customHeight="1" thickBot="1">
      <c r="A18" s="652" t="s">
        <v>15</v>
      </c>
      <c r="B18" s="653" t="s">
        <v>856</v>
      </c>
      <c r="C18" s="654"/>
      <c r="D18" s="654"/>
      <c r="E18" s="654"/>
      <c r="F18" s="654"/>
      <c r="G18" s="654"/>
      <c r="H18" s="655">
        <f t="shared" si="0"/>
        <v>0</v>
      </c>
    </row>
    <row r="19" spans="1:8" s="659" customFormat="1" ht="24" customHeight="1" thickBot="1">
      <c r="A19" s="656" t="s">
        <v>14</v>
      </c>
      <c r="B19" s="368" t="s">
        <v>441</v>
      </c>
      <c r="C19" s="657">
        <f>SUM(C13:C18)</f>
        <v>0</v>
      </c>
      <c r="D19" s="657">
        <f>SUM(D13:D18)</f>
        <v>0</v>
      </c>
      <c r="E19" s="657">
        <f>SUM(E13:E18)</f>
        <v>0</v>
      </c>
      <c r="F19" s="657">
        <f>SUM(F13:F18)</f>
        <v>0</v>
      </c>
      <c r="G19" s="657">
        <f>SUM(G13:G18)</f>
        <v>0</v>
      </c>
      <c r="H19" s="658">
        <f t="shared" si="0"/>
        <v>0</v>
      </c>
    </row>
    <row r="20" spans="1:8" s="637" customFormat="1"/>
    <row r="21" spans="1:8" s="637" customFormat="1"/>
    <row r="22" spans="1:8" s="637" customFormat="1"/>
    <row r="23" spans="1:8" s="637" customFormat="1" ht="15.75">
      <c r="A23" s="632" t="s">
        <v>1343</v>
      </c>
    </row>
    <row r="24" spans="1:8" s="637" customFormat="1"/>
    <row r="26" spans="1:8">
      <c r="C26" s="660"/>
      <c r="D26" s="660"/>
      <c r="E26" s="660"/>
      <c r="F26" s="660"/>
      <c r="G26" s="660"/>
    </row>
    <row r="27" spans="1:8" ht="13.5">
      <c r="C27" s="661"/>
      <c r="D27" s="662" t="s">
        <v>857</v>
      </c>
      <c r="E27" s="662"/>
      <c r="F27" s="662"/>
      <c r="G27" s="661"/>
    </row>
    <row r="28" spans="1:8" ht="13.5">
      <c r="C28" s="663"/>
      <c r="D28" s="664"/>
      <c r="E28" s="664"/>
      <c r="F28" s="664"/>
      <c r="G28" s="663"/>
    </row>
    <row r="29" spans="1:8" ht="13.5">
      <c r="C29" s="663"/>
      <c r="D29" s="664"/>
      <c r="E29" s="664"/>
      <c r="F29" s="664"/>
      <c r="G29" s="663"/>
    </row>
  </sheetData>
  <mergeCells count="4">
    <mergeCell ref="A3:H3"/>
    <mergeCell ref="A4:H4"/>
    <mergeCell ref="C6:H6"/>
    <mergeCell ref="C8:G8"/>
  </mergeCells>
  <printOptions horizontalCentered="1"/>
  <pageMargins left="0.39370078740157483" right="0.39370078740157483" top="0.39370078740157483" bottom="0.39370078740157483" header="0.19685039370078741" footer="0.19685039370078741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>
  <sheetPr codeName="Munka29">
    <tabColor rgb="FFFF0000"/>
    <pageSetUpPr fitToPage="1"/>
  </sheetPr>
  <dimension ref="A1:M23"/>
  <sheetViews>
    <sheetView zoomScaleNormal="100" workbookViewId="0"/>
  </sheetViews>
  <sheetFormatPr defaultRowHeight="12.75"/>
  <cols>
    <col min="1" max="1" width="16" style="665" bestFit="1" customWidth="1"/>
    <col min="2" max="2" width="35.42578125" style="665" customWidth="1"/>
    <col min="3" max="6" width="14.7109375" style="665" customWidth="1"/>
    <col min="7" max="8" width="9.140625" style="665"/>
    <col min="9" max="14" width="0" style="665" hidden="1" customWidth="1"/>
    <col min="15" max="16384" width="9.140625" style="665"/>
  </cols>
  <sheetData>
    <row r="1" spans="1:13" ht="15.75">
      <c r="F1" s="192" t="s">
        <v>903</v>
      </c>
    </row>
    <row r="3" spans="1:13" ht="28.5" customHeight="1">
      <c r="A3" s="1358" t="s">
        <v>1319</v>
      </c>
      <c r="B3" s="1358"/>
      <c r="C3" s="1358"/>
      <c r="D3" s="1358"/>
      <c r="E3" s="1358"/>
      <c r="F3" s="1358"/>
    </row>
    <row r="4" spans="1:13" ht="14.25">
      <c r="A4" s="1038"/>
      <c r="B4" s="1038"/>
      <c r="C4" s="1038"/>
      <c r="D4" s="1038"/>
      <c r="E4" s="1038"/>
      <c r="F4" s="1038"/>
    </row>
    <row r="5" spans="1:13" ht="12.75" customHeight="1" thickBot="1">
      <c r="A5" s="1039"/>
      <c r="B5" s="1039"/>
      <c r="C5" s="1039"/>
      <c r="D5" s="1039"/>
      <c r="E5" s="1040"/>
      <c r="F5" s="1041" t="s">
        <v>1049</v>
      </c>
    </row>
    <row r="6" spans="1:13" ht="14.25">
      <c r="A6" s="1363" t="s">
        <v>858</v>
      </c>
      <c r="B6" s="1364"/>
      <c r="C6" s="1352" t="s">
        <v>859</v>
      </c>
      <c r="D6" s="1353"/>
      <c r="E6" s="1352" t="s">
        <v>885</v>
      </c>
      <c r="F6" s="1353"/>
    </row>
    <row r="7" spans="1:13" ht="15.75" thickBot="1">
      <c r="A7" s="1365"/>
      <c r="B7" s="1366"/>
      <c r="C7" s="748" t="s">
        <v>860</v>
      </c>
      <c r="D7" s="749" t="s">
        <v>861</v>
      </c>
      <c r="E7" s="750">
        <v>1</v>
      </c>
      <c r="F7" s="751">
        <v>0.5</v>
      </c>
    </row>
    <row r="8" spans="1:13" ht="15">
      <c r="A8" s="1354" t="s">
        <v>862</v>
      </c>
      <c r="B8" s="1355"/>
      <c r="C8" s="716">
        <v>27</v>
      </c>
      <c r="D8" s="1042">
        <f>+ROUND(C8*1.27,0)+1</f>
        <v>35</v>
      </c>
      <c r="E8" s="716">
        <f>+D8</f>
        <v>35</v>
      </c>
      <c r="F8" s="1043">
        <f>+ROUND(E8*0.5,0)-1</f>
        <v>17</v>
      </c>
      <c r="I8" s="665">
        <v>27</v>
      </c>
      <c r="J8" s="665">
        <f>34+1</f>
        <v>35</v>
      </c>
      <c r="K8" s="665">
        <f>+I8*1.27</f>
        <v>34.29</v>
      </c>
      <c r="L8" s="665">
        <f>+C8*1.04</f>
        <v>28.080000000000002</v>
      </c>
      <c r="M8" s="665">
        <f>+E8*1.04</f>
        <v>36.4</v>
      </c>
    </row>
    <row r="9" spans="1:13" ht="15">
      <c r="A9" s="1356" t="s">
        <v>863</v>
      </c>
      <c r="B9" s="1357"/>
      <c r="C9" s="717">
        <v>49</v>
      </c>
      <c r="D9" s="724">
        <f>+ROUND(C9*1.27,0)</f>
        <v>62</v>
      </c>
      <c r="E9" s="717">
        <f>+D9</f>
        <v>62</v>
      </c>
      <c r="F9" s="718">
        <f>+ROUND(E9*0.5,0)</f>
        <v>31</v>
      </c>
      <c r="I9" s="665">
        <v>49</v>
      </c>
      <c r="J9" s="665">
        <v>62</v>
      </c>
      <c r="K9" s="665">
        <f>+I9*1.27</f>
        <v>62.230000000000004</v>
      </c>
      <c r="L9" s="665">
        <f t="shared" ref="L9:L19" si="0">+C9*1.04</f>
        <v>50.96</v>
      </c>
      <c r="M9" s="665">
        <f t="shared" ref="M9:M19" si="1">+E9*1.04</f>
        <v>64.48</v>
      </c>
    </row>
    <row r="10" spans="1:13" ht="15">
      <c r="A10" s="1356" t="s">
        <v>864</v>
      </c>
      <c r="B10" s="1357"/>
      <c r="C10" s="717">
        <v>144</v>
      </c>
      <c r="D10" s="724">
        <f>+ROUND(C10*1.27,0)</f>
        <v>183</v>
      </c>
      <c r="E10" s="717">
        <f>+D10</f>
        <v>183</v>
      </c>
      <c r="F10" s="718">
        <f>+ROUND(E10*0.5,0)</f>
        <v>92</v>
      </c>
      <c r="I10" s="665">
        <v>144</v>
      </c>
      <c r="J10" s="665">
        <v>183</v>
      </c>
      <c r="K10" s="665">
        <f>+I10*1.27</f>
        <v>182.88</v>
      </c>
      <c r="L10" s="665">
        <f t="shared" si="0"/>
        <v>149.76</v>
      </c>
      <c r="M10" s="665">
        <f t="shared" si="1"/>
        <v>190.32</v>
      </c>
    </row>
    <row r="11" spans="1:13" ht="15.75" thickBot="1">
      <c r="A11" s="1356" t="s">
        <v>865</v>
      </c>
      <c r="B11" s="1357"/>
      <c r="C11" s="717">
        <v>49</v>
      </c>
      <c r="D11" s="752">
        <f>+ROUND(C11*1.27,0)</f>
        <v>62</v>
      </c>
      <c r="E11" s="717">
        <f>+D11</f>
        <v>62</v>
      </c>
      <c r="F11" s="718">
        <f>+ROUND(E11*0.5,0)</f>
        <v>31</v>
      </c>
      <c r="I11" s="665">
        <v>49</v>
      </c>
      <c r="J11" s="665">
        <v>62</v>
      </c>
      <c r="K11" s="665">
        <f>+I11*1.27</f>
        <v>62.230000000000004</v>
      </c>
      <c r="L11" s="665">
        <f t="shared" si="0"/>
        <v>50.96</v>
      </c>
      <c r="M11" s="665">
        <f t="shared" si="1"/>
        <v>64.48</v>
      </c>
    </row>
    <row r="12" spans="1:13" ht="15" thickBot="1">
      <c r="A12" s="1367" t="s">
        <v>884</v>
      </c>
      <c r="B12" s="1368"/>
      <c r="C12" s="719">
        <f>SUM(C8:C11)</f>
        <v>269</v>
      </c>
      <c r="D12" s="720">
        <f>SUM(D8:D11)</f>
        <v>342</v>
      </c>
      <c r="E12" s="719">
        <f>SUM(E8:E11)</f>
        <v>342</v>
      </c>
      <c r="F12" s="720">
        <f>SUM(F8:F11)</f>
        <v>171</v>
      </c>
      <c r="I12" s="665">
        <f>SUM(I8:I11)</f>
        <v>269</v>
      </c>
      <c r="J12" s="665">
        <f>SUM(J8:J11)</f>
        <v>342</v>
      </c>
      <c r="K12" s="665">
        <f>+I12*1.27</f>
        <v>341.63</v>
      </c>
      <c r="L12" s="665">
        <f t="shared" si="0"/>
        <v>279.76</v>
      </c>
      <c r="M12" s="665">
        <f t="shared" si="1"/>
        <v>355.68</v>
      </c>
    </row>
    <row r="13" spans="1:13" ht="15">
      <c r="A13" s="1356" t="s">
        <v>863</v>
      </c>
      <c r="B13" s="1357"/>
      <c r="C13" s="721">
        <v>49</v>
      </c>
      <c r="D13" s="722">
        <f>+ROUND(C13*1.27,0)</f>
        <v>62</v>
      </c>
      <c r="E13" s="721">
        <f>+D13</f>
        <v>62</v>
      </c>
      <c r="F13" s="722">
        <f>+ROUND(E13*0.5,0)</f>
        <v>31</v>
      </c>
      <c r="I13" s="665">
        <v>49</v>
      </c>
      <c r="J13" s="665">
        <v>62</v>
      </c>
      <c r="K13" s="665">
        <f t="shared" ref="K13:K19" si="2">+I13*1.27</f>
        <v>62.230000000000004</v>
      </c>
      <c r="L13" s="665">
        <f t="shared" si="0"/>
        <v>50.96</v>
      </c>
      <c r="M13" s="665">
        <f t="shared" si="1"/>
        <v>64.48</v>
      </c>
    </row>
    <row r="14" spans="1:13" ht="15">
      <c r="A14" s="1356" t="s">
        <v>864</v>
      </c>
      <c r="B14" s="1357"/>
      <c r="C14" s="723">
        <v>144</v>
      </c>
      <c r="D14" s="724">
        <f>+ROUND(C14*1.27,0)</f>
        <v>183</v>
      </c>
      <c r="E14" s="723">
        <f>+D14</f>
        <v>183</v>
      </c>
      <c r="F14" s="724">
        <f>+ROUND(E14*0.5,0)</f>
        <v>92</v>
      </c>
      <c r="I14" s="665">
        <v>144</v>
      </c>
      <c r="J14" s="665">
        <v>183</v>
      </c>
      <c r="K14" s="665">
        <f t="shared" si="2"/>
        <v>182.88</v>
      </c>
      <c r="L14" s="665">
        <f t="shared" si="0"/>
        <v>149.76</v>
      </c>
      <c r="M14" s="665">
        <f t="shared" si="1"/>
        <v>190.32</v>
      </c>
    </row>
    <row r="15" spans="1:13" ht="15.75" thickBot="1">
      <c r="A15" s="1356" t="s">
        <v>865</v>
      </c>
      <c r="B15" s="1357"/>
      <c r="C15" s="717">
        <v>49</v>
      </c>
      <c r="D15" s="725">
        <f>+ROUND(C15*1.27,0)</f>
        <v>62</v>
      </c>
      <c r="E15" s="717">
        <f>+D15</f>
        <v>62</v>
      </c>
      <c r="F15" s="725">
        <f>+ROUND(E15*0.5,0)</f>
        <v>31</v>
      </c>
      <c r="I15" s="665">
        <v>49</v>
      </c>
      <c r="J15" s="665">
        <v>62</v>
      </c>
      <c r="K15" s="665">
        <f t="shared" si="2"/>
        <v>62.230000000000004</v>
      </c>
      <c r="L15" s="665">
        <f t="shared" si="0"/>
        <v>50.96</v>
      </c>
      <c r="M15" s="665">
        <f t="shared" si="1"/>
        <v>64.48</v>
      </c>
    </row>
    <row r="16" spans="1:13" ht="15.75" thickBot="1">
      <c r="A16" s="1371" t="s">
        <v>883</v>
      </c>
      <c r="B16" s="1372"/>
      <c r="C16" s="719">
        <f>SUM(C13:C15)</f>
        <v>242</v>
      </c>
      <c r="D16" s="720">
        <f>SUM(D13:D15)</f>
        <v>307</v>
      </c>
      <c r="E16" s="719">
        <f>SUM(E13:E15)</f>
        <v>307</v>
      </c>
      <c r="F16" s="720">
        <f>SUM(F13:F15)</f>
        <v>154</v>
      </c>
      <c r="I16" s="665">
        <f>SUM(I13:I15)</f>
        <v>242</v>
      </c>
      <c r="J16" s="665">
        <f>SUM(J13:J15)</f>
        <v>307</v>
      </c>
      <c r="K16" s="665">
        <f>SUM(K13:K15)</f>
        <v>307.34000000000003</v>
      </c>
      <c r="L16" s="665">
        <f t="shared" si="0"/>
        <v>251.68</v>
      </c>
      <c r="M16" s="665">
        <f t="shared" si="1"/>
        <v>319.28000000000003</v>
      </c>
    </row>
    <row r="17" spans="1:13" ht="15">
      <c r="A17" s="1373" t="s">
        <v>863</v>
      </c>
      <c r="B17" s="1374"/>
      <c r="C17" s="723">
        <v>56</v>
      </c>
      <c r="D17" s="724">
        <f>+ROUND(C17*1.27,0)</f>
        <v>71</v>
      </c>
      <c r="E17" s="723">
        <f>+D17</f>
        <v>71</v>
      </c>
      <c r="F17" s="724">
        <f>+ROUND(E17*0.5,0)-1</f>
        <v>35</v>
      </c>
      <c r="I17" s="665">
        <v>56</v>
      </c>
      <c r="J17" s="665">
        <v>71</v>
      </c>
      <c r="K17" s="665">
        <f t="shared" si="2"/>
        <v>71.12</v>
      </c>
      <c r="L17" s="665">
        <f t="shared" si="0"/>
        <v>58.24</v>
      </c>
      <c r="M17" s="665">
        <f t="shared" si="1"/>
        <v>73.84</v>
      </c>
    </row>
    <row r="18" spans="1:13" ht="15">
      <c r="A18" s="1373" t="s">
        <v>864</v>
      </c>
      <c r="B18" s="1374"/>
      <c r="C18" s="723">
        <v>168</v>
      </c>
      <c r="D18" s="724">
        <f>+ROUND(C18*1.27,0)</f>
        <v>213</v>
      </c>
      <c r="E18" s="723">
        <f>+D18</f>
        <v>213</v>
      </c>
      <c r="F18" s="724">
        <f>+ROUND(E18*0.5,0)</f>
        <v>107</v>
      </c>
      <c r="I18" s="665">
        <v>168</v>
      </c>
      <c r="J18" s="665">
        <f>214-1</f>
        <v>213</v>
      </c>
      <c r="K18" s="665">
        <f t="shared" si="2"/>
        <v>213.36</v>
      </c>
      <c r="L18" s="665">
        <f t="shared" si="0"/>
        <v>174.72</v>
      </c>
      <c r="M18" s="665">
        <f t="shared" si="1"/>
        <v>221.52</v>
      </c>
    </row>
    <row r="19" spans="1:13" ht="15.75" thickBot="1">
      <c r="A19" s="1375" t="s">
        <v>865</v>
      </c>
      <c r="B19" s="1376"/>
      <c r="C19" s="726">
        <v>56</v>
      </c>
      <c r="D19" s="727">
        <f>+ROUND(C19*1.27,0)+1</f>
        <v>72</v>
      </c>
      <c r="E19" s="726">
        <f>+D19</f>
        <v>72</v>
      </c>
      <c r="F19" s="727">
        <f>+ROUND(E19*0.5,0)</f>
        <v>36</v>
      </c>
      <c r="I19" s="665">
        <v>56</v>
      </c>
      <c r="J19" s="665">
        <f>71+1</f>
        <v>72</v>
      </c>
      <c r="K19" s="665">
        <f t="shared" si="2"/>
        <v>71.12</v>
      </c>
      <c r="L19" s="665">
        <f t="shared" si="0"/>
        <v>58.24</v>
      </c>
      <c r="M19" s="665">
        <f t="shared" si="1"/>
        <v>74.88</v>
      </c>
    </row>
    <row r="20" spans="1:13" ht="15" thickBot="1">
      <c r="A20" s="1367" t="s">
        <v>882</v>
      </c>
      <c r="B20" s="1368"/>
      <c r="C20" s="719">
        <f>SUM(C17:C19)</f>
        <v>280</v>
      </c>
      <c r="D20" s="720">
        <f>SUM(D17:D19)</f>
        <v>356</v>
      </c>
      <c r="E20" s="719">
        <f>SUM(E17:E19)</f>
        <v>356</v>
      </c>
      <c r="F20" s="720">
        <f>SUM(F17:F19)</f>
        <v>178</v>
      </c>
      <c r="I20" s="665">
        <f>SUM(I17:I19)</f>
        <v>280</v>
      </c>
      <c r="J20" s="665">
        <f>SUM(J17:J19)</f>
        <v>356</v>
      </c>
      <c r="K20" s="665">
        <f>SUM(K17:K19)</f>
        <v>355.6</v>
      </c>
      <c r="L20" s="665">
        <f>+C20*1.04</f>
        <v>291.2</v>
      </c>
      <c r="M20" s="665">
        <f>+E20*1.04</f>
        <v>370.24</v>
      </c>
    </row>
    <row r="21" spans="1:13" ht="15" customHeight="1" thickBot="1">
      <c r="A21" s="1361" t="s">
        <v>1274</v>
      </c>
      <c r="B21" s="1362"/>
      <c r="C21" s="719">
        <v>309</v>
      </c>
      <c r="D21" s="720">
        <f>+ROUND(C21*1.27,0)</f>
        <v>392</v>
      </c>
      <c r="E21" s="719">
        <v>604</v>
      </c>
      <c r="F21" s="923" t="s">
        <v>19</v>
      </c>
    </row>
    <row r="22" spans="1:13" ht="15" thickBot="1">
      <c r="A22" s="1359"/>
      <c r="B22" s="1360"/>
      <c r="C22" s="719"/>
      <c r="D22" s="720"/>
      <c r="E22" s="719"/>
      <c r="F22" s="720"/>
    </row>
    <row r="23" spans="1:13" ht="15" customHeight="1" thickBot="1">
      <c r="A23" s="1369" t="s">
        <v>866</v>
      </c>
      <c r="B23" s="1370"/>
      <c r="C23" s="728">
        <v>329</v>
      </c>
      <c r="D23" s="753">
        <f>+ROUND(C23*1.27,0)</f>
        <v>418</v>
      </c>
      <c r="E23" s="728">
        <v>800</v>
      </c>
      <c r="F23" s="923" t="s">
        <v>19</v>
      </c>
    </row>
  </sheetData>
  <mergeCells count="20">
    <mergeCell ref="A23:B23"/>
    <mergeCell ref="A15:B15"/>
    <mergeCell ref="A16:B16"/>
    <mergeCell ref="A17:B17"/>
    <mergeCell ref="A18:B18"/>
    <mergeCell ref="A19:B19"/>
    <mergeCell ref="A20:B20"/>
    <mergeCell ref="A13:B13"/>
    <mergeCell ref="A14:B14"/>
    <mergeCell ref="A22:B22"/>
    <mergeCell ref="A21:B21"/>
    <mergeCell ref="A6:B7"/>
    <mergeCell ref="A10:B10"/>
    <mergeCell ref="A11:B11"/>
    <mergeCell ref="A12:B12"/>
    <mergeCell ref="C6:D6"/>
    <mergeCell ref="E6:F6"/>
    <mergeCell ref="A8:B8"/>
    <mergeCell ref="A9:B9"/>
    <mergeCell ref="A3:F3"/>
  </mergeCells>
  <printOptions horizontalCentered="1"/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 codeName="Munka30">
    <tabColor rgb="FFFF0000"/>
  </sheetPr>
  <dimension ref="A1:L119"/>
  <sheetViews>
    <sheetView zoomScaleNormal="100" workbookViewId="0">
      <selection activeCell="F93" sqref="F93"/>
    </sheetView>
  </sheetViews>
  <sheetFormatPr defaultRowHeight="12"/>
  <cols>
    <col min="1" max="1" width="6" style="676" customWidth="1"/>
    <col min="2" max="2" width="10.5703125" style="667" customWidth="1"/>
    <col min="3" max="3" width="13.28515625" style="667" customWidth="1"/>
    <col min="4" max="4" width="10.5703125" style="667" customWidth="1"/>
    <col min="5" max="5" width="52.5703125" style="667" customWidth="1"/>
    <col min="6" max="6" width="8.28515625" style="668" customWidth="1"/>
    <col min="7" max="7" width="8.28515625" style="844" customWidth="1"/>
    <col min="8" max="9" width="9.140625" style="873" customWidth="1"/>
    <col min="10" max="10" width="9.140625" style="667" customWidth="1"/>
    <col min="11" max="12" width="9.140625" style="777" customWidth="1"/>
    <col min="13" max="16384" width="9.140625" style="777"/>
  </cols>
  <sheetData>
    <row r="1" spans="1:11" s="672" customFormat="1" ht="15.75">
      <c r="A1" s="673"/>
      <c r="F1" s="666" t="s">
        <v>867</v>
      </c>
      <c r="G1" s="666"/>
      <c r="H1" s="871"/>
      <c r="I1" s="871"/>
    </row>
    <row r="2" spans="1:11" s="672" customFormat="1" ht="15.75">
      <c r="A2" s="673"/>
      <c r="F2" s="666"/>
      <c r="G2" s="666"/>
      <c r="H2" s="871"/>
      <c r="I2" s="871"/>
    </row>
    <row r="3" spans="1:11" s="672" customFormat="1" ht="15.75">
      <c r="A3" s="1380" t="s">
        <v>1344</v>
      </c>
      <c r="B3" s="1380"/>
      <c r="C3" s="1380"/>
      <c r="D3" s="1380"/>
      <c r="E3" s="1380"/>
      <c r="F3" s="1380"/>
      <c r="G3" s="840"/>
      <c r="H3" s="871"/>
      <c r="I3" s="871"/>
    </row>
    <row r="4" spans="1:11" s="667" customFormat="1" ht="12.75" thickBot="1">
      <c r="A4" s="675"/>
      <c r="B4" s="957"/>
      <c r="C4" s="957"/>
      <c r="D4" s="957"/>
      <c r="E4" s="957"/>
      <c r="F4" s="669" t="s">
        <v>458</v>
      </c>
      <c r="G4" s="669"/>
      <c r="H4" s="668"/>
      <c r="I4" s="668"/>
    </row>
    <row r="5" spans="1:11" s="671" customFormat="1" ht="12.75" thickBot="1">
      <c r="A5" s="674" t="s">
        <v>4</v>
      </c>
      <c r="B5" s="671" t="s">
        <v>80</v>
      </c>
      <c r="D5" s="780"/>
      <c r="E5" s="780"/>
      <c r="F5" s="783">
        <f>F7+F22+F25+F28+F31+F39+F44+F50</f>
        <v>123664</v>
      </c>
      <c r="G5" s="784"/>
      <c r="H5" s="872"/>
      <c r="I5" s="872"/>
      <c r="J5" s="667"/>
    </row>
    <row r="6" spans="1:11" s="667" customFormat="1">
      <c r="A6" s="675"/>
      <c r="B6" s="957"/>
      <c r="C6" s="957"/>
      <c r="D6" s="957"/>
      <c r="E6" s="957"/>
      <c r="F6" s="670"/>
      <c r="G6" s="841"/>
      <c r="H6" s="668"/>
      <c r="I6" s="668"/>
    </row>
    <row r="7" spans="1:11" s="671" customFormat="1">
      <c r="A7" s="779" t="s">
        <v>81</v>
      </c>
      <c r="B7" s="730" t="s">
        <v>870</v>
      </c>
      <c r="C7" s="780"/>
      <c r="D7" s="780"/>
      <c r="E7" s="780"/>
      <c r="F7" s="729">
        <f>SUM(F10:F20)</f>
        <v>9700</v>
      </c>
      <c r="G7" s="784"/>
      <c r="H7" s="872"/>
      <c r="I7" s="872"/>
      <c r="J7" s="667"/>
    </row>
    <row r="8" spans="1:11" s="667" customFormat="1" ht="36.75" customHeight="1">
      <c r="A8" s="675"/>
      <c r="B8" s="1382" t="s">
        <v>1014</v>
      </c>
      <c r="C8" s="1382"/>
      <c r="D8" s="1382"/>
      <c r="E8" s="1382"/>
      <c r="F8" s="670"/>
      <c r="G8" s="841"/>
      <c r="H8" s="668"/>
      <c r="I8" s="668"/>
    </row>
    <row r="9" spans="1:11" s="667" customFormat="1">
      <c r="A9" s="675"/>
      <c r="B9" s="955"/>
      <c r="C9" s="955"/>
      <c r="D9" s="955"/>
      <c r="E9" s="955"/>
      <c r="F9" s="670"/>
      <c r="G9" s="841"/>
      <c r="H9" s="668"/>
      <c r="I9" s="668"/>
    </row>
    <row r="10" spans="1:11" s="667" customFormat="1" ht="57" customHeight="1">
      <c r="A10" s="675"/>
      <c r="B10" s="1378" t="s">
        <v>1286</v>
      </c>
      <c r="C10" s="1378"/>
      <c r="D10" s="1378"/>
      <c r="E10" s="1378"/>
      <c r="F10" s="670">
        <f>5000-2000</f>
        <v>3000</v>
      </c>
      <c r="G10" s="841"/>
      <c r="H10" s="668">
        <f>+ROUND(F10/1.27,0)</f>
        <v>2362</v>
      </c>
      <c r="I10" s="668">
        <f>+F10-H10</f>
        <v>638</v>
      </c>
      <c r="J10" s="667" t="s">
        <v>1138</v>
      </c>
    </row>
    <row r="11" spans="1:11">
      <c r="A11" s="675"/>
      <c r="B11" s="955"/>
      <c r="C11" s="955"/>
      <c r="D11" s="955"/>
      <c r="E11" s="955"/>
      <c r="F11" s="670"/>
      <c r="G11" s="841"/>
    </row>
    <row r="12" spans="1:11" s="667" customFormat="1" ht="66" customHeight="1">
      <c r="A12" s="675"/>
      <c r="B12" s="1377" t="s">
        <v>1287</v>
      </c>
      <c r="C12" s="1377"/>
      <c r="D12" s="1377"/>
      <c r="E12" s="1377"/>
      <c r="F12" s="670">
        <v>0</v>
      </c>
      <c r="G12" s="841"/>
      <c r="H12" s="668">
        <f>+ROUND(F12/1.27,0)</f>
        <v>0</v>
      </c>
      <c r="I12" s="668">
        <f>+F12-H12</f>
        <v>0</v>
      </c>
      <c r="J12" s="667" t="s">
        <v>1138</v>
      </c>
      <c r="K12" s="667" t="s">
        <v>1155</v>
      </c>
    </row>
    <row r="13" spans="1:11" ht="12.75" customHeight="1">
      <c r="A13" s="675"/>
      <c r="B13" s="958"/>
      <c r="C13" s="958"/>
      <c r="D13" s="958"/>
      <c r="E13" s="958"/>
      <c r="F13" s="670"/>
      <c r="G13" s="841"/>
    </row>
    <row r="14" spans="1:11" s="667" customFormat="1" ht="30.75" customHeight="1">
      <c r="A14" s="675"/>
      <c r="B14" s="1377" t="s">
        <v>1288</v>
      </c>
      <c r="C14" s="1377"/>
      <c r="D14" s="1377"/>
      <c r="E14" s="1377"/>
      <c r="F14" s="670">
        <v>1000</v>
      </c>
      <c r="G14" s="841"/>
      <c r="H14" s="668">
        <f>+ROUND(F14/1.27,0)</f>
        <v>787</v>
      </c>
      <c r="I14" s="668">
        <f>+F14-H14</f>
        <v>213</v>
      </c>
      <c r="J14" s="667" t="s">
        <v>1138</v>
      </c>
    </row>
    <row r="15" spans="1:11" ht="12.75" customHeight="1">
      <c r="A15" s="675"/>
      <c r="B15" s="958"/>
      <c r="C15" s="958"/>
      <c r="D15" s="958"/>
      <c r="E15" s="958"/>
      <c r="F15" s="670"/>
      <c r="G15" s="841"/>
    </row>
    <row r="16" spans="1:11" s="667" customFormat="1" ht="24.75" customHeight="1">
      <c r="A16" s="675"/>
      <c r="B16" s="1377" t="s">
        <v>1391</v>
      </c>
      <c r="C16" s="1377"/>
      <c r="D16" s="1377"/>
      <c r="E16" s="1377"/>
      <c r="F16" s="670">
        <f>400+300</f>
        <v>700</v>
      </c>
      <c r="G16" s="841"/>
      <c r="H16" s="668">
        <f>+ROUND(F16/1.27,0)</f>
        <v>551</v>
      </c>
      <c r="I16" s="668">
        <f>+F16-H16</f>
        <v>149</v>
      </c>
      <c r="J16" s="667" t="s">
        <v>1138</v>
      </c>
    </row>
    <row r="17" spans="1:12" ht="12.75" customHeight="1">
      <c r="A17" s="675"/>
      <c r="B17" s="958"/>
      <c r="C17" s="958"/>
      <c r="D17" s="958"/>
      <c r="E17" s="958"/>
      <c r="F17" s="670"/>
      <c r="G17" s="841"/>
    </row>
    <row r="18" spans="1:12" s="667" customFormat="1" ht="26.25" customHeight="1">
      <c r="A18" s="675"/>
      <c r="B18" s="1377" t="s">
        <v>1289</v>
      </c>
      <c r="C18" s="1377"/>
      <c r="D18" s="1377"/>
      <c r="E18" s="1377"/>
      <c r="F18" s="670">
        <v>0</v>
      </c>
      <c r="G18" s="841"/>
      <c r="H18" s="668">
        <f>+ROUND(F18/1.27,0)</f>
        <v>0</v>
      </c>
      <c r="I18" s="668">
        <f>+F18-H18</f>
        <v>0</v>
      </c>
      <c r="J18" s="667" t="s">
        <v>1138</v>
      </c>
    </row>
    <row r="19" spans="1:12" ht="12.75" customHeight="1">
      <c r="A19" s="675"/>
      <c r="B19" s="958"/>
      <c r="C19" s="958"/>
      <c r="D19" s="958"/>
      <c r="E19" s="958"/>
      <c r="F19" s="670"/>
      <c r="G19" s="841"/>
    </row>
    <row r="20" spans="1:12" s="667" customFormat="1" ht="24" customHeight="1">
      <c r="A20" s="675"/>
      <c r="B20" s="1377" t="s">
        <v>1015</v>
      </c>
      <c r="C20" s="1377"/>
      <c r="D20" s="1377"/>
      <c r="E20" s="1377"/>
      <c r="F20" s="670">
        <v>5000</v>
      </c>
      <c r="G20" s="841"/>
      <c r="H20" s="668">
        <f>+ROUND(F20/1.27,0)</f>
        <v>3937</v>
      </c>
      <c r="I20" s="668">
        <f>+F20-H20</f>
        <v>1063</v>
      </c>
      <c r="J20" s="667" t="s">
        <v>1138</v>
      </c>
    </row>
    <row r="21" spans="1:12" ht="12.75" customHeight="1">
      <c r="A21" s="675"/>
      <c r="B21" s="957"/>
      <c r="C21" s="957"/>
      <c r="D21" s="957"/>
      <c r="E21" s="957"/>
      <c r="F21" s="670"/>
      <c r="G21" s="841"/>
    </row>
    <row r="22" spans="1:12" s="778" customFormat="1">
      <c r="A22" s="779" t="s">
        <v>82</v>
      </c>
      <c r="B22" s="730" t="s">
        <v>871</v>
      </c>
      <c r="C22" s="780"/>
      <c r="D22" s="780"/>
      <c r="E22" s="780"/>
      <c r="F22" s="729">
        <v>23000</v>
      </c>
      <c r="G22" s="784"/>
      <c r="H22" s="668">
        <f>+ROUND(F22/1.27,0)</f>
        <v>18110</v>
      </c>
      <c r="I22" s="668">
        <f>+F22-H22</f>
        <v>4890</v>
      </c>
      <c r="J22" s="667" t="s">
        <v>1139</v>
      </c>
    </row>
    <row r="23" spans="1:12" ht="23.25" customHeight="1">
      <c r="A23" s="675"/>
      <c r="B23" s="1378" t="s">
        <v>1392</v>
      </c>
      <c r="C23" s="1378"/>
      <c r="D23" s="1378"/>
      <c r="E23" s="1378"/>
      <c r="F23" s="670"/>
      <c r="G23" s="841"/>
    </row>
    <row r="24" spans="1:12">
      <c r="A24" s="675"/>
      <c r="B24" s="957"/>
      <c r="C24" s="957"/>
      <c r="D24" s="957"/>
      <c r="E24" s="957"/>
      <c r="F24" s="670"/>
      <c r="G24" s="841"/>
    </row>
    <row r="25" spans="1:12" s="778" customFormat="1">
      <c r="A25" s="779" t="s">
        <v>887</v>
      </c>
      <c r="B25" s="730" t="s">
        <v>872</v>
      </c>
      <c r="C25" s="780"/>
      <c r="D25" s="780"/>
      <c r="E25" s="780"/>
      <c r="F25" s="729">
        <v>2500</v>
      </c>
      <c r="G25" s="784"/>
      <c r="H25" s="668">
        <f>+ROUND(F25/1.27,0)</f>
        <v>1969</v>
      </c>
      <c r="I25" s="668">
        <f>+F25-H25</f>
        <v>531</v>
      </c>
      <c r="J25" s="667" t="s">
        <v>1140</v>
      </c>
    </row>
    <row r="26" spans="1:12" ht="28.5" customHeight="1">
      <c r="A26" s="675"/>
      <c r="B26" s="1378" t="s">
        <v>1290</v>
      </c>
      <c r="C26" s="1378"/>
      <c r="D26" s="1378"/>
      <c r="E26" s="1378"/>
      <c r="F26" s="670"/>
      <c r="G26" s="841"/>
    </row>
    <row r="27" spans="1:12">
      <c r="A27" s="675"/>
      <c r="B27" s="957"/>
      <c r="C27" s="957"/>
      <c r="D27" s="957"/>
      <c r="E27" s="957"/>
      <c r="F27" s="670"/>
      <c r="G27" s="841"/>
    </row>
    <row r="28" spans="1:12" s="671" customFormat="1">
      <c r="A28" s="779" t="s">
        <v>888</v>
      </c>
      <c r="B28" s="730" t="s">
        <v>873</v>
      </c>
      <c r="C28" s="780"/>
      <c r="D28" s="780"/>
      <c r="E28" s="780"/>
      <c r="F28" s="729">
        <v>2000</v>
      </c>
      <c r="G28" s="784"/>
      <c r="H28" s="668">
        <f>+ROUND(F28/1.27,0)</f>
        <v>1575</v>
      </c>
      <c r="I28" s="668">
        <f>+F28-H28</f>
        <v>425</v>
      </c>
      <c r="J28" s="667" t="s">
        <v>1141</v>
      </c>
      <c r="L28" s="870" t="s">
        <v>1156</v>
      </c>
    </row>
    <row r="29" spans="1:12" s="667" customFormat="1" ht="27" customHeight="1">
      <c r="A29" s="675"/>
      <c r="B29" s="1378" t="s">
        <v>1291</v>
      </c>
      <c r="C29" s="1378"/>
      <c r="D29" s="1378"/>
      <c r="E29" s="1378"/>
      <c r="F29" s="670"/>
      <c r="G29" s="841"/>
      <c r="H29" s="668"/>
      <c r="I29" s="668"/>
    </row>
    <row r="30" spans="1:12">
      <c r="A30" s="675"/>
      <c r="B30" s="957"/>
      <c r="C30" s="957"/>
      <c r="D30" s="957"/>
      <c r="E30" s="957"/>
      <c r="F30" s="670"/>
      <c r="G30" s="841"/>
    </row>
    <row r="31" spans="1:12" s="671" customFormat="1">
      <c r="A31" s="779" t="s">
        <v>889</v>
      </c>
      <c r="B31" s="730" t="s">
        <v>874</v>
      </c>
      <c r="C31" s="780"/>
      <c r="D31" s="780"/>
      <c r="E31" s="780"/>
      <c r="F31" s="729">
        <f>SUM(F33:F37)</f>
        <v>8300</v>
      </c>
      <c r="G31" s="784"/>
      <c r="H31" s="872"/>
      <c r="I31" s="872"/>
      <c r="J31" s="667"/>
    </row>
    <row r="32" spans="1:12" s="667" customFormat="1" ht="29.25" customHeight="1">
      <c r="A32" s="675"/>
      <c r="B32" s="1378" t="s">
        <v>1292</v>
      </c>
      <c r="C32" s="1378"/>
      <c r="D32" s="1378"/>
      <c r="E32" s="1378"/>
      <c r="F32" s="670"/>
      <c r="G32" s="841"/>
      <c r="H32" s="668"/>
      <c r="I32" s="668"/>
    </row>
    <row r="33" spans="1:10" s="667" customFormat="1" ht="12" customHeight="1">
      <c r="A33" s="675"/>
      <c r="B33" s="1379" t="s">
        <v>1133</v>
      </c>
      <c r="C33" s="1379"/>
      <c r="D33" s="1379"/>
      <c r="E33" s="1379"/>
      <c r="F33" s="670">
        <f>1000-500</f>
        <v>500</v>
      </c>
      <c r="G33" s="841"/>
      <c r="H33" s="668">
        <f>+ROUND(F33/1.27,0)</f>
        <v>394</v>
      </c>
      <c r="I33" s="668">
        <f>+F33-H33</f>
        <v>106</v>
      </c>
      <c r="J33" s="667" t="s">
        <v>1142</v>
      </c>
    </row>
    <row r="34" spans="1:10" s="667" customFormat="1" ht="12" customHeight="1">
      <c r="A34" s="675"/>
      <c r="B34" s="1383" t="s">
        <v>1393</v>
      </c>
      <c r="C34" s="1383"/>
      <c r="D34" s="1383"/>
      <c r="E34" s="1383"/>
      <c r="F34" s="670">
        <f>1000-500</f>
        <v>500</v>
      </c>
      <c r="G34" s="841"/>
      <c r="H34" s="668">
        <f>+ROUND(F34/1.27,0)</f>
        <v>394</v>
      </c>
      <c r="I34" s="668">
        <f>+F34-H34</f>
        <v>106</v>
      </c>
      <c r="J34" s="667" t="s">
        <v>1142</v>
      </c>
    </row>
    <row r="35" spans="1:10" s="667" customFormat="1" ht="12" customHeight="1">
      <c r="A35" s="675"/>
      <c r="B35" s="1383" t="s">
        <v>1394</v>
      </c>
      <c r="C35" s="1383"/>
      <c r="D35" s="1383"/>
      <c r="E35" s="1383"/>
      <c r="F35" s="670">
        <v>3000</v>
      </c>
      <c r="G35" s="841"/>
      <c r="H35" s="668">
        <f>+ROUND(F35/1.27,0)</f>
        <v>2362</v>
      </c>
      <c r="I35" s="668">
        <f>+F35-H35</f>
        <v>638</v>
      </c>
      <c r="J35" s="667" t="s">
        <v>1142</v>
      </c>
    </row>
    <row r="36" spans="1:10" s="667" customFormat="1" ht="12" customHeight="1">
      <c r="A36" s="675"/>
      <c r="B36" s="1384" t="s">
        <v>875</v>
      </c>
      <c r="C36" s="1384"/>
      <c r="D36" s="1384"/>
      <c r="E36" s="1384"/>
      <c r="F36" s="670">
        <v>3000</v>
      </c>
      <c r="G36" s="841"/>
      <c r="H36" s="668">
        <f>+ROUND(F36/1.27,0)</f>
        <v>2362</v>
      </c>
      <c r="I36" s="668">
        <f>+F36-H36</f>
        <v>638</v>
      </c>
      <c r="J36" s="667" t="s">
        <v>1142</v>
      </c>
    </row>
    <row r="37" spans="1:10" s="667" customFormat="1" ht="12" customHeight="1">
      <c r="A37" s="675"/>
      <c r="B37" s="1384" t="s">
        <v>1134</v>
      </c>
      <c r="C37" s="1384"/>
      <c r="D37" s="1384"/>
      <c r="E37" s="1384"/>
      <c r="F37" s="670">
        <v>1300</v>
      </c>
      <c r="G37" s="841"/>
      <c r="H37" s="668">
        <f>+ROUND(F37/1.27,0)</f>
        <v>1024</v>
      </c>
      <c r="I37" s="668">
        <f>+F37-H37</f>
        <v>276</v>
      </c>
      <c r="J37" s="667" t="s">
        <v>1142</v>
      </c>
    </row>
    <row r="38" spans="1:10">
      <c r="A38" s="675"/>
      <c r="B38" s="957"/>
      <c r="C38" s="957"/>
      <c r="D38" s="957"/>
      <c r="E38" s="957"/>
      <c r="F38" s="670"/>
      <c r="G38" s="841"/>
    </row>
    <row r="39" spans="1:10" s="671" customFormat="1">
      <c r="A39" s="779" t="s">
        <v>890</v>
      </c>
      <c r="B39" s="730" t="s">
        <v>876</v>
      </c>
      <c r="C39" s="780"/>
      <c r="D39" s="780"/>
      <c r="E39" s="780"/>
      <c r="F39" s="729">
        <f>+F40+F42</f>
        <v>3500</v>
      </c>
      <c r="G39" s="784"/>
      <c r="H39" s="668"/>
      <c r="I39" s="668"/>
      <c r="J39" s="667"/>
    </row>
    <row r="40" spans="1:10" s="667" customFormat="1">
      <c r="A40" s="675"/>
      <c r="B40" s="1378" t="s">
        <v>1293</v>
      </c>
      <c r="C40" s="1378"/>
      <c r="D40" s="1378"/>
      <c r="E40" s="1378"/>
      <c r="F40" s="670">
        <v>2000</v>
      </c>
      <c r="G40" s="841"/>
      <c r="H40" s="668">
        <f>+ROUND(F40/1.27,0)</f>
        <v>1575</v>
      </c>
      <c r="I40" s="668">
        <f>+F40-H40</f>
        <v>425</v>
      </c>
      <c r="J40" s="667" t="s">
        <v>1143</v>
      </c>
    </row>
    <row r="41" spans="1:10" s="667" customFormat="1">
      <c r="A41" s="675"/>
      <c r="B41" s="955"/>
      <c r="C41" s="955"/>
      <c r="D41" s="955"/>
      <c r="E41" s="955"/>
      <c r="F41" s="670"/>
      <c r="G41" s="841"/>
      <c r="H41" s="668"/>
      <c r="I41" s="668"/>
    </row>
    <row r="42" spans="1:10" s="667" customFormat="1" ht="38.25" customHeight="1">
      <c r="A42" s="675"/>
      <c r="B42" s="1379" t="s">
        <v>1294</v>
      </c>
      <c r="C42" s="1379"/>
      <c r="D42" s="1379"/>
      <c r="E42" s="1379"/>
      <c r="F42" s="670">
        <v>1500</v>
      </c>
      <c r="G42" s="841"/>
      <c r="H42" s="668">
        <f>+ROUND(F42/1.27,0)</f>
        <v>1181</v>
      </c>
      <c r="I42" s="668">
        <f>+F42-H42</f>
        <v>319</v>
      </c>
      <c r="J42" s="667" t="s">
        <v>1143</v>
      </c>
    </row>
    <row r="43" spans="1:10">
      <c r="A43" s="675"/>
      <c r="B43" s="957"/>
      <c r="C43" s="957"/>
      <c r="D43" s="957"/>
      <c r="E43" s="957"/>
      <c r="F43" s="670"/>
      <c r="G43" s="841"/>
    </row>
    <row r="44" spans="1:10" s="671" customFormat="1">
      <c r="A44" s="779" t="s">
        <v>891</v>
      </c>
      <c r="B44" s="730" t="s">
        <v>877</v>
      </c>
      <c r="C44" s="780"/>
      <c r="D44" s="780"/>
      <c r="E44" s="780"/>
      <c r="F44" s="729">
        <f>F46+F48</f>
        <v>5000</v>
      </c>
      <c r="G44" s="784"/>
      <c r="H44" s="872"/>
      <c r="I44" s="872"/>
      <c r="J44" s="667"/>
    </row>
    <row r="45" spans="1:10" s="667" customFormat="1">
      <c r="A45" s="675"/>
      <c r="B45" s="955"/>
      <c r="C45" s="955"/>
      <c r="D45" s="955"/>
      <c r="E45" s="955"/>
      <c r="F45" s="670"/>
      <c r="G45" s="841"/>
      <c r="H45" s="668"/>
      <c r="I45" s="668"/>
    </row>
    <row r="46" spans="1:10" s="667" customFormat="1">
      <c r="A46" s="675"/>
      <c r="B46" s="1385" t="s">
        <v>1158</v>
      </c>
      <c r="C46" s="1378"/>
      <c r="D46" s="1378"/>
      <c r="E46" s="1378"/>
      <c r="F46" s="670">
        <f>4000-2000</f>
        <v>2000</v>
      </c>
      <c r="G46" s="841"/>
      <c r="H46" s="668">
        <f>+ROUND(F46/1.27,0)</f>
        <v>1575</v>
      </c>
      <c r="I46" s="668">
        <f>+F46-H46</f>
        <v>425</v>
      </c>
      <c r="J46" s="667" t="s">
        <v>1046</v>
      </c>
    </row>
    <row r="47" spans="1:10" s="667" customFormat="1">
      <c r="A47" s="675"/>
      <c r="B47" s="955"/>
      <c r="C47" s="955"/>
      <c r="D47" s="955"/>
      <c r="E47" s="955"/>
      <c r="F47" s="670"/>
      <c r="G47" s="841"/>
      <c r="H47" s="668"/>
      <c r="I47" s="668"/>
    </row>
    <row r="48" spans="1:10" s="667" customFormat="1" ht="39" customHeight="1">
      <c r="A48" s="675"/>
      <c r="B48" s="1378" t="s">
        <v>1297</v>
      </c>
      <c r="C48" s="1378"/>
      <c r="D48" s="1378"/>
      <c r="E48" s="1378"/>
      <c r="F48" s="670">
        <f>5000-2000</f>
        <v>3000</v>
      </c>
      <c r="G48" s="841"/>
      <c r="H48" s="668">
        <f>+ROUND(F48/1.27,0)</f>
        <v>2362</v>
      </c>
      <c r="I48" s="668">
        <f>+F48-H48</f>
        <v>638</v>
      </c>
      <c r="J48" s="667" t="s">
        <v>1046</v>
      </c>
    </row>
    <row r="49" spans="1:10">
      <c r="A49" s="675"/>
      <c r="F49" s="670"/>
      <c r="G49" s="841"/>
    </row>
    <row r="50" spans="1:10" s="671" customFormat="1">
      <c r="A50" s="779" t="s">
        <v>892</v>
      </c>
      <c r="B50" s="730" t="s">
        <v>878</v>
      </c>
      <c r="C50" s="780"/>
      <c r="D50" s="780"/>
      <c r="E50" s="780"/>
      <c r="F50" s="782">
        <f>+F54+F59</f>
        <v>69664</v>
      </c>
      <c r="G50" s="784"/>
      <c r="H50" s="872"/>
      <c r="I50" s="872"/>
      <c r="J50" s="667"/>
    </row>
    <row r="51" spans="1:10" s="667" customFormat="1" ht="12" customHeight="1">
      <c r="A51" s="675"/>
      <c r="B51" s="1379" t="s">
        <v>1395</v>
      </c>
      <c r="C51" s="1379"/>
      <c r="D51" s="1379"/>
      <c r="E51" s="1379"/>
      <c r="F51" s="670"/>
      <c r="G51" s="841"/>
      <c r="H51" s="668"/>
      <c r="I51" s="668"/>
    </row>
    <row r="52" spans="1:10" s="667" customFormat="1" ht="24.75" customHeight="1">
      <c r="A52" s="675"/>
      <c r="B52" s="1379" t="s">
        <v>1295</v>
      </c>
      <c r="C52" s="1379"/>
      <c r="D52" s="1379"/>
      <c r="E52" s="1379"/>
      <c r="F52" s="670"/>
      <c r="G52" s="841"/>
      <c r="H52" s="668"/>
      <c r="I52" s="668"/>
    </row>
    <row r="53" spans="1:10" s="667" customFormat="1" ht="12" customHeight="1">
      <c r="A53" s="675"/>
      <c r="B53" s="954"/>
      <c r="C53" s="954"/>
      <c r="D53" s="954"/>
      <c r="E53" s="954"/>
      <c r="F53" s="670"/>
      <c r="G53" s="841"/>
      <c r="H53" s="668"/>
      <c r="I53" s="668"/>
    </row>
    <row r="54" spans="1:10" s="667" customFormat="1">
      <c r="A54" s="675"/>
      <c r="B54" s="667" t="s">
        <v>1296</v>
      </c>
      <c r="D54" s="956"/>
      <c r="E54" s="956"/>
      <c r="F54" s="839">
        <f>+F55+F56+F57+F59</f>
        <v>54664</v>
      </c>
      <c r="G54" s="842"/>
      <c r="H54" s="668"/>
      <c r="I54" s="668"/>
    </row>
    <row r="55" spans="1:10" s="667" customFormat="1" ht="12" customHeight="1">
      <c r="A55" s="675"/>
      <c r="D55" s="956"/>
      <c r="E55" s="956" t="s">
        <v>1048</v>
      </c>
      <c r="F55" s="670">
        <f>22614+13111</f>
        <v>35725</v>
      </c>
      <c r="G55" s="841"/>
      <c r="H55" s="668">
        <f>+F55</f>
        <v>35725</v>
      </c>
      <c r="I55" s="668"/>
      <c r="J55" s="667" t="s">
        <v>1144</v>
      </c>
    </row>
    <row r="56" spans="1:10" s="667" customFormat="1" ht="12" customHeight="1">
      <c r="A56" s="675"/>
      <c r="D56" s="956"/>
      <c r="E56" s="956" t="s">
        <v>1047</v>
      </c>
      <c r="F56" s="670">
        <f>2488+1451</f>
        <v>3939</v>
      </c>
      <c r="G56" s="841"/>
      <c r="H56" s="668">
        <f>+F56</f>
        <v>3939</v>
      </c>
      <c r="I56" s="668"/>
      <c r="J56" s="667" t="s">
        <v>1144</v>
      </c>
    </row>
    <row r="57" spans="1:10" s="667" customFormat="1" ht="12" customHeight="1">
      <c r="A57" s="675"/>
      <c r="D57" s="956"/>
      <c r="E57" s="956" t="s">
        <v>1135</v>
      </c>
      <c r="F57" s="670">
        <v>0</v>
      </c>
      <c r="G57" s="841"/>
      <c r="H57" s="668">
        <f>+ROUND(F57/1.27,0)</f>
        <v>0</v>
      </c>
      <c r="I57" s="668">
        <f>+F57-H57</f>
        <v>0</v>
      </c>
      <c r="J57" s="667" t="s">
        <v>1144</v>
      </c>
    </row>
    <row r="58" spans="1:10" s="667" customFormat="1" ht="12" customHeight="1">
      <c r="A58" s="675"/>
      <c r="D58" s="956"/>
      <c r="E58" s="956"/>
      <c r="F58" s="670"/>
      <c r="G58" s="841"/>
      <c r="H58" s="668"/>
      <c r="I58" s="668"/>
    </row>
    <row r="59" spans="1:10" s="667" customFormat="1" ht="12" customHeight="1">
      <c r="A59" s="675"/>
      <c r="B59" s="1379" t="s">
        <v>1396</v>
      </c>
      <c r="C59" s="1379"/>
      <c r="D59" s="1379"/>
      <c r="E59" s="1379"/>
      <c r="F59" s="670">
        <v>15000</v>
      </c>
      <c r="G59" s="841"/>
      <c r="H59" s="668">
        <f>+ROUND(F59/1.27,0)</f>
        <v>11811</v>
      </c>
      <c r="I59" s="668">
        <f>+F59-H59</f>
        <v>3189</v>
      </c>
      <c r="J59" s="667" t="s">
        <v>1144</v>
      </c>
    </row>
    <row r="60" spans="1:10" s="667" customFormat="1" ht="12" customHeight="1">
      <c r="A60" s="675"/>
      <c r="B60" s="954"/>
      <c r="C60" s="954"/>
      <c r="D60" s="954"/>
      <c r="E60" s="954"/>
      <c r="F60" s="670"/>
      <c r="G60" s="841"/>
      <c r="H60" s="668"/>
      <c r="I60" s="668"/>
    </row>
    <row r="61" spans="1:10" ht="14.25" customHeight="1" thickBot="1">
      <c r="A61" s="675"/>
      <c r="B61" s="956"/>
      <c r="C61" s="956"/>
      <c r="D61" s="956"/>
      <c r="E61" s="956"/>
      <c r="F61" s="670"/>
      <c r="G61" s="841"/>
    </row>
    <row r="62" spans="1:10" s="671" customFormat="1" ht="12.75" thickBot="1">
      <c r="A62" s="674" t="s">
        <v>5</v>
      </c>
      <c r="B62" s="671" t="s">
        <v>48</v>
      </c>
      <c r="D62" s="780"/>
      <c r="E62" s="780"/>
      <c r="F62" s="783">
        <f>+F64+F67+F70+F73+F77+F81+F84+F87</f>
        <v>54114</v>
      </c>
      <c r="G62" s="784"/>
      <c r="H62" s="872"/>
      <c r="I62" s="872"/>
      <c r="J62" s="667"/>
    </row>
    <row r="63" spans="1:10" ht="14.25" customHeight="1">
      <c r="A63" s="675"/>
      <c r="B63" s="956"/>
      <c r="C63" s="956"/>
      <c r="D63" s="956"/>
      <c r="E63" s="956"/>
      <c r="F63" s="670"/>
      <c r="G63" s="841"/>
    </row>
    <row r="64" spans="1:10" s="667" customFormat="1">
      <c r="A64" s="675" t="s">
        <v>54</v>
      </c>
      <c r="B64" s="671" t="s">
        <v>832</v>
      </c>
      <c r="C64" s="957"/>
      <c r="D64" s="957"/>
      <c r="E64" s="957"/>
      <c r="F64" s="729">
        <v>500</v>
      </c>
      <c r="G64" s="784"/>
      <c r="H64" s="874">
        <f>+F64</f>
        <v>500</v>
      </c>
      <c r="I64" s="668"/>
      <c r="J64" s="667" t="s">
        <v>1046</v>
      </c>
    </row>
    <row r="65" spans="1:12" s="667" customFormat="1">
      <c r="A65" s="675"/>
      <c r="B65" s="1379" t="s">
        <v>1397</v>
      </c>
      <c r="C65" s="1379"/>
      <c r="D65" s="1379"/>
      <c r="E65" s="1379"/>
      <c r="F65" s="781"/>
      <c r="G65" s="784"/>
      <c r="H65" s="668"/>
      <c r="I65" s="668"/>
    </row>
    <row r="66" spans="1:12" s="667" customFormat="1">
      <c r="A66" s="675"/>
      <c r="B66" s="957"/>
      <c r="C66" s="957"/>
      <c r="D66" s="957"/>
      <c r="E66" s="957"/>
      <c r="F66" s="670"/>
      <c r="G66" s="841"/>
      <c r="H66" s="668"/>
      <c r="I66" s="668"/>
    </row>
    <row r="67" spans="1:12" s="667" customFormat="1">
      <c r="A67" s="675" t="s">
        <v>55</v>
      </c>
      <c r="B67" s="671" t="s">
        <v>1016</v>
      </c>
      <c r="C67" s="957"/>
      <c r="D67" s="957"/>
      <c r="E67" s="957"/>
      <c r="F67" s="729">
        <v>4500</v>
      </c>
      <c r="G67" s="784"/>
      <c r="H67" s="874">
        <f>+F67</f>
        <v>4500</v>
      </c>
      <c r="I67" s="668"/>
      <c r="J67" s="667" t="s">
        <v>1046</v>
      </c>
    </row>
    <row r="68" spans="1:12" s="667" customFormat="1" ht="24" customHeight="1">
      <c r="A68" s="676"/>
      <c r="B68" s="1381" t="s">
        <v>1136</v>
      </c>
      <c r="C68" s="1381"/>
      <c r="D68" s="1381"/>
      <c r="E68" s="1381"/>
      <c r="F68" s="670"/>
      <c r="G68" s="841"/>
      <c r="H68" s="668"/>
      <c r="I68" s="668"/>
    </row>
    <row r="69" spans="1:12" s="667" customFormat="1">
      <c r="A69" s="675"/>
      <c r="B69" s="957"/>
      <c r="C69" s="957"/>
      <c r="D69" s="957"/>
      <c r="E69" s="957"/>
      <c r="F69" s="670"/>
      <c r="G69" s="841"/>
      <c r="H69" s="668"/>
      <c r="I69" s="668"/>
    </row>
    <row r="70" spans="1:12" s="667" customFormat="1">
      <c r="A70" s="675" t="s">
        <v>83</v>
      </c>
      <c r="B70" s="671" t="s">
        <v>879</v>
      </c>
      <c r="C70" s="957"/>
      <c r="D70" s="957"/>
      <c r="E70" s="957"/>
      <c r="F70" s="729">
        <v>300</v>
      </c>
      <c r="G70" s="784"/>
      <c r="H70" s="668">
        <f>+ROUND(F70/1.27,0)</f>
        <v>236</v>
      </c>
      <c r="I70" s="668">
        <f>+F70-H70</f>
        <v>64</v>
      </c>
      <c r="J70" s="667" t="s">
        <v>1152</v>
      </c>
      <c r="L70" s="870" t="s">
        <v>1153</v>
      </c>
    </row>
    <row r="71" spans="1:12" s="667" customFormat="1" ht="18.75" customHeight="1">
      <c r="A71" s="676"/>
      <c r="B71" s="1378" t="s">
        <v>893</v>
      </c>
      <c r="C71" s="1378"/>
      <c r="D71" s="1378"/>
      <c r="E71" s="1378"/>
      <c r="F71" s="670"/>
      <c r="G71" s="841"/>
      <c r="H71" s="668"/>
      <c r="I71" s="668"/>
    </row>
    <row r="72" spans="1:12" s="667" customFormat="1">
      <c r="A72" s="675"/>
      <c r="B72" s="957"/>
      <c r="C72" s="957"/>
      <c r="D72" s="957"/>
      <c r="E72" s="957"/>
      <c r="F72" s="670"/>
      <c r="G72" s="841"/>
      <c r="H72" s="668"/>
      <c r="I72" s="668"/>
    </row>
    <row r="73" spans="1:12" s="667" customFormat="1">
      <c r="A73" s="675" t="s">
        <v>84</v>
      </c>
      <c r="B73" s="671" t="s">
        <v>880</v>
      </c>
      <c r="C73" s="957"/>
      <c r="D73" s="957"/>
      <c r="E73" s="957"/>
      <c r="F73" s="729">
        <f>+F74+F75</f>
        <v>7557</v>
      </c>
      <c r="G73" s="784"/>
      <c r="H73" s="668"/>
      <c r="I73" s="668"/>
    </row>
    <row r="74" spans="1:12" s="667" customFormat="1">
      <c r="A74" s="675"/>
      <c r="B74" s="957"/>
      <c r="C74" s="667" t="s">
        <v>1023</v>
      </c>
      <c r="D74" s="957"/>
      <c r="E74" s="957"/>
      <c r="F74" s="670">
        <f>3100+837</f>
        <v>3937</v>
      </c>
      <c r="G74" s="841"/>
      <c r="H74" s="668">
        <f>+ROUND(F74/1.27,0)</f>
        <v>3100</v>
      </c>
      <c r="I74" s="668">
        <f>+F74-H74</f>
        <v>837</v>
      </c>
      <c r="J74" s="667" t="s">
        <v>1140</v>
      </c>
      <c r="L74" s="870" t="s">
        <v>1153</v>
      </c>
    </row>
    <row r="75" spans="1:12" s="667" customFormat="1">
      <c r="A75" s="675"/>
      <c r="B75" s="957"/>
      <c r="C75" s="667" t="s">
        <v>1137</v>
      </c>
      <c r="D75" s="957"/>
      <c r="E75" s="957"/>
      <c r="F75" s="670">
        <f>ROUND((1500+1350)*1.27,0)</f>
        <v>3620</v>
      </c>
      <c r="G75" s="841"/>
      <c r="H75" s="668">
        <f>+ROUND(F75/1.27,0)</f>
        <v>2850</v>
      </c>
      <c r="I75" s="668">
        <f>+F75-H75</f>
        <v>770</v>
      </c>
      <c r="J75" s="667" t="s">
        <v>1140</v>
      </c>
      <c r="L75" s="870" t="s">
        <v>1153</v>
      </c>
    </row>
    <row r="76" spans="1:12">
      <c r="A76" s="675"/>
      <c r="B76" s="957"/>
      <c r="C76" s="957"/>
      <c r="D76" s="957"/>
      <c r="E76" s="957"/>
      <c r="F76" s="670"/>
      <c r="G76" s="841"/>
    </row>
    <row r="77" spans="1:12" s="667" customFormat="1">
      <c r="A77" s="675" t="s">
        <v>85</v>
      </c>
      <c r="B77" s="671" t="s">
        <v>881</v>
      </c>
      <c r="C77" s="957"/>
      <c r="D77" s="957"/>
      <c r="E77" s="957"/>
      <c r="F77" s="729">
        <f>+F78+F79</f>
        <v>22257</v>
      </c>
      <c r="G77" s="784"/>
      <c r="H77" s="668"/>
      <c r="I77" s="668"/>
    </row>
    <row r="78" spans="1:12" s="667" customFormat="1">
      <c r="A78" s="675"/>
      <c r="B78" s="957"/>
      <c r="C78" s="667" t="s">
        <v>1398</v>
      </c>
      <c r="D78" s="957"/>
      <c r="E78" s="957"/>
      <c r="F78" s="670">
        <f>9000+300</f>
        <v>9300</v>
      </c>
      <c r="G78" s="841"/>
      <c r="H78" s="668">
        <f>+ROUND(F78/1.27,0)</f>
        <v>7323</v>
      </c>
      <c r="I78" s="668">
        <f>+F78-H78</f>
        <v>1977</v>
      </c>
      <c r="J78" s="667" t="s">
        <v>1152</v>
      </c>
      <c r="L78" s="870" t="s">
        <v>1153</v>
      </c>
    </row>
    <row r="79" spans="1:12" s="667" customFormat="1">
      <c r="A79" s="675"/>
      <c r="B79" s="957"/>
      <c r="C79" s="667" t="s">
        <v>1399</v>
      </c>
      <c r="D79" s="957"/>
      <c r="E79" s="957"/>
      <c r="F79" s="670">
        <v>12957</v>
      </c>
      <c r="G79" s="841"/>
      <c r="H79" s="668">
        <f>+ROUND(F79/1.27,0)</f>
        <v>10202</v>
      </c>
      <c r="I79" s="668">
        <f>+F79-H79</f>
        <v>2755</v>
      </c>
      <c r="J79" s="667" t="s">
        <v>1152</v>
      </c>
      <c r="L79" s="870" t="s">
        <v>1153</v>
      </c>
    </row>
    <row r="80" spans="1:12" s="667" customFormat="1">
      <c r="A80" s="675"/>
      <c r="B80" s="957"/>
      <c r="C80" s="957"/>
      <c r="D80" s="957"/>
      <c r="E80" s="957"/>
      <c r="F80" s="670"/>
      <c r="G80" s="841"/>
      <c r="H80" s="668"/>
      <c r="I80" s="668"/>
    </row>
    <row r="81" spans="1:12" s="667" customFormat="1">
      <c r="A81" s="675" t="s">
        <v>86</v>
      </c>
      <c r="B81" s="671" t="s">
        <v>1298</v>
      </c>
      <c r="C81" s="957"/>
      <c r="D81" s="957"/>
      <c r="E81" s="957"/>
      <c r="F81" s="729">
        <f>+F82</f>
        <v>2500</v>
      </c>
      <c r="G81" s="784"/>
      <c r="H81" s="668"/>
      <c r="I81" s="668"/>
    </row>
    <row r="82" spans="1:12" s="667" customFormat="1">
      <c r="A82" s="675"/>
      <c r="B82" s="957"/>
      <c r="C82" s="667" t="s">
        <v>1299</v>
      </c>
      <c r="D82" s="957"/>
      <c r="E82" s="957"/>
      <c r="F82" s="670">
        <v>2500</v>
      </c>
      <c r="G82" s="841"/>
      <c r="H82" s="668">
        <f>+ROUND(F82/1.27,0)</f>
        <v>1969</v>
      </c>
      <c r="I82" s="668">
        <f>+F82-H82</f>
        <v>531</v>
      </c>
      <c r="J82" s="667" t="s">
        <v>1146</v>
      </c>
      <c r="L82" s="870" t="s">
        <v>1153</v>
      </c>
    </row>
    <row r="83" spans="1:12" s="667" customFormat="1">
      <c r="A83" s="675"/>
      <c r="B83" s="957"/>
      <c r="C83" s="957"/>
      <c r="D83" s="957"/>
      <c r="E83" s="957"/>
      <c r="F83" s="670"/>
      <c r="G83" s="841"/>
      <c r="H83" s="668"/>
      <c r="I83" s="668"/>
    </row>
    <row r="84" spans="1:12" s="667" customFormat="1">
      <c r="A84" s="675" t="s">
        <v>1166</v>
      </c>
      <c r="B84" s="671" t="s">
        <v>1167</v>
      </c>
      <c r="C84" s="957"/>
      <c r="D84" s="957"/>
      <c r="E84" s="957"/>
      <c r="F84" s="729">
        <f>+F85</f>
        <v>15000</v>
      </c>
      <c r="G84" s="784"/>
      <c r="H84" s="668"/>
      <c r="I84" s="668"/>
    </row>
    <row r="85" spans="1:12" s="667" customFormat="1">
      <c r="A85" s="675"/>
      <c r="B85" s="957"/>
      <c r="C85" s="667" t="s">
        <v>1167</v>
      </c>
      <c r="D85" s="957"/>
      <c r="E85" s="957"/>
      <c r="F85" s="670">
        <f>10000+5000</f>
        <v>15000</v>
      </c>
      <c r="G85" s="841"/>
      <c r="H85" s="668">
        <f>+F85</f>
        <v>15000</v>
      </c>
      <c r="I85" s="668"/>
      <c r="J85" s="667" t="s">
        <v>1046</v>
      </c>
      <c r="L85" s="870"/>
    </row>
    <row r="86" spans="1:12">
      <c r="A86" s="675"/>
      <c r="B86" s="671"/>
      <c r="C86" s="957"/>
      <c r="D86" s="957"/>
      <c r="E86" s="957"/>
      <c r="F86" s="670"/>
      <c r="G86" s="841"/>
    </row>
    <row r="87" spans="1:12" s="667" customFormat="1">
      <c r="A87" s="675" t="s">
        <v>1300</v>
      </c>
      <c r="B87" s="671" t="s">
        <v>1409</v>
      </c>
      <c r="C87" s="957"/>
      <c r="D87" s="957"/>
      <c r="E87" s="957"/>
      <c r="F87" s="729">
        <v>1500</v>
      </c>
      <c r="G87" s="784"/>
      <c r="H87" s="668">
        <f>+ROUND(F87/1.27,0)</f>
        <v>1181</v>
      </c>
      <c r="I87" s="668">
        <f>+F87-H87</f>
        <v>319</v>
      </c>
      <c r="J87" s="667" t="s">
        <v>1046</v>
      </c>
      <c r="L87" s="870" t="s">
        <v>1153</v>
      </c>
    </row>
    <row r="88" spans="1:12">
      <c r="A88" s="675"/>
      <c r="B88" s="671"/>
      <c r="C88" s="957"/>
      <c r="D88" s="957"/>
      <c r="E88" s="957"/>
      <c r="F88" s="670"/>
      <c r="G88" s="841"/>
    </row>
    <row r="89" spans="1:12">
      <c r="A89" s="675"/>
      <c r="B89" s="671"/>
      <c r="C89" s="957"/>
      <c r="D89" s="957"/>
      <c r="E89" s="957"/>
      <c r="F89" s="670"/>
      <c r="G89" s="841"/>
    </row>
    <row r="90" spans="1:12" s="667" customFormat="1">
      <c r="A90" s="674" t="s">
        <v>6</v>
      </c>
      <c r="B90" s="671" t="s">
        <v>1024</v>
      </c>
      <c r="C90" s="730"/>
      <c r="D90" s="957"/>
      <c r="E90" s="957"/>
      <c r="F90" s="731">
        <f>SUM(F91:F119)</f>
        <v>55717</v>
      </c>
      <c r="G90" s="843"/>
      <c r="H90" s="668"/>
      <c r="I90" s="668"/>
    </row>
    <row r="91" spans="1:12" s="667" customFormat="1" ht="36.75" customHeight="1">
      <c r="A91" s="675" t="s">
        <v>58</v>
      </c>
      <c r="B91" s="1379" t="s">
        <v>1400</v>
      </c>
      <c r="C91" s="1379"/>
      <c r="D91" s="1379"/>
      <c r="E91" s="1379"/>
      <c r="F91" s="670">
        <v>0</v>
      </c>
      <c r="G91" s="841"/>
      <c r="H91" s="668">
        <f>+ROUND(F91/1.27,0)</f>
        <v>0</v>
      </c>
      <c r="I91" s="668">
        <f>+F91-H91</f>
        <v>0</v>
      </c>
      <c r="J91" s="667" t="s">
        <v>1046</v>
      </c>
      <c r="K91" s="667" t="s">
        <v>1154</v>
      </c>
    </row>
    <row r="92" spans="1:12" s="667" customFormat="1">
      <c r="A92" s="676"/>
      <c r="F92" s="668"/>
      <c r="G92" s="844"/>
      <c r="H92" s="668"/>
      <c r="I92" s="668"/>
    </row>
    <row r="93" spans="1:12" s="667" customFormat="1" ht="54.75" customHeight="1">
      <c r="A93" s="676" t="s">
        <v>59</v>
      </c>
      <c r="B93" s="1379" t="s">
        <v>1402</v>
      </c>
      <c r="C93" s="1379"/>
      <c r="D93" s="1379"/>
      <c r="E93" s="1379"/>
      <c r="F93" s="668">
        <f>2000+10000+4000+500+400</f>
        <v>16900</v>
      </c>
      <c r="G93" s="844"/>
      <c r="H93" s="874">
        <f>+F93</f>
        <v>16900</v>
      </c>
      <c r="I93" s="668"/>
      <c r="J93" s="667" t="s">
        <v>1046</v>
      </c>
      <c r="K93" s="667" t="s">
        <v>1154</v>
      </c>
    </row>
    <row r="94" spans="1:12" s="667" customFormat="1">
      <c r="A94" s="676"/>
      <c r="F94" s="668"/>
      <c r="G94" s="844"/>
      <c r="H94" s="668"/>
      <c r="I94" s="668"/>
    </row>
    <row r="95" spans="1:12" s="667" customFormat="1" ht="38.25" customHeight="1">
      <c r="A95" s="676" t="s">
        <v>60</v>
      </c>
      <c r="B95" s="1379" t="s">
        <v>1401</v>
      </c>
      <c r="C95" s="1379"/>
      <c r="D95" s="1379"/>
      <c r="E95" s="1379"/>
      <c r="F95" s="668">
        <v>12000</v>
      </c>
      <c r="G95" s="844"/>
      <c r="H95" s="668">
        <f>+ROUND(F95/1.27,0)</f>
        <v>9449</v>
      </c>
      <c r="I95" s="668">
        <f>+F95-H95</f>
        <v>2551</v>
      </c>
      <c r="J95" s="667" t="s">
        <v>1145</v>
      </c>
      <c r="K95" s="667" t="s">
        <v>1155</v>
      </c>
    </row>
    <row r="96" spans="1:12" s="667" customFormat="1">
      <c r="A96" s="676"/>
      <c r="F96" s="668"/>
      <c r="G96" s="844"/>
      <c r="H96" s="668"/>
      <c r="I96" s="668"/>
    </row>
    <row r="97" spans="1:11" s="667" customFormat="1">
      <c r="A97" s="676"/>
      <c r="F97" s="668"/>
      <c r="G97" s="844"/>
      <c r="H97" s="668"/>
      <c r="I97" s="668"/>
    </row>
    <row r="98" spans="1:11" s="667" customFormat="1" ht="27" customHeight="1">
      <c r="A98" s="676" t="s">
        <v>180</v>
      </c>
      <c r="B98" s="1379" t="s">
        <v>1403</v>
      </c>
      <c r="C98" s="1379"/>
      <c r="D98" s="1379"/>
      <c r="E98" s="1379"/>
      <c r="F98" s="668">
        <v>8000</v>
      </c>
      <c r="G98" s="844"/>
      <c r="H98" s="668">
        <f>+ROUND(F98/1.27,0)</f>
        <v>6299</v>
      </c>
      <c r="I98" s="668">
        <f>+F98-H98</f>
        <v>1701</v>
      </c>
      <c r="J98" s="667" t="s">
        <v>1046</v>
      </c>
      <c r="K98" s="667" t="s">
        <v>1154</v>
      </c>
    </row>
    <row r="99" spans="1:11" s="667" customFormat="1">
      <c r="A99" s="676"/>
      <c r="F99" s="668"/>
      <c r="G99" s="844"/>
      <c r="H99" s="668"/>
      <c r="I99" s="668"/>
    </row>
    <row r="100" spans="1:11" s="667" customFormat="1" ht="42" customHeight="1">
      <c r="A100" s="676" t="s">
        <v>181</v>
      </c>
      <c r="B100" s="1379" t="s">
        <v>1404</v>
      </c>
      <c r="C100" s="1379"/>
      <c r="D100" s="1379"/>
      <c r="E100" s="1379"/>
      <c r="F100" s="668">
        <f>3322+2859</f>
        <v>6181</v>
      </c>
      <c r="G100" s="844"/>
      <c r="H100" s="668">
        <f>+ROUND(F100/1.27,0)</f>
        <v>4867</v>
      </c>
      <c r="I100" s="668">
        <f>+F100-H100</f>
        <v>1314</v>
      </c>
      <c r="J100" s="667" t="s">
        <v>886</v>
      </c>
      <c r="K100" s="667" t="s">
        <v>1154</v>
      </c>
    </row>
    <row r="101" spans="1:11" s="667" customFormat="1">
      <c r="A101" s="676"/>
      <c r="F101" s="668"/>
      <c r="G101" s="844"/>
      <c r="H101" s="668"/>
      <c r="I101" s="668"/>
    </row>
    <row r="102" spans="1:11" s="667" customFormat="1" ht="28.5" customHeight="1">
      <c r="A102" s="676" t="s">
        <v>834</v>
      </c>
      <c r="B102" s="1379" t="s">
        <v>1472</v>
      </c>
      <c r="C102" s="1379"/>
      <c r="D102" s="1379"/>
      <c r="E102" s="1379"/>
      <c r="F102" s="668">
        <f>1000+85</f>
        <v>1085</v>
      </c>
      <c r="G102" s="844"/>
      <c r="H102" s="668">
        <f>+ROUND(F102/1.27,0)</f>
        <v>854</v>
      </c>
      <c r="I102" s="668">
        <f>+F102-H102</f>
        <v>231</v>
      </c>
      <c r="J102" s="667" t="s">
        <v>1142</v>
      </c>
      <c r="K102" s="667" t="s">
        <v>1155</v>
      </c>
    </row>
    <row r="103" spans="1:11" s="667" customFormat="1">
      <c r="A103" s="676"/>
      <c r="F103" s="668"/>
      <c r="G103" s="844"/>
      <c r="H103" s="668"/>
      <c r="I103" s="668"/>
    </row>
    <row r="104" spans="1:11" s="667" customFormat="1" ht="41.25" customHeight="1">
      <c r="A104" s="676" t="s">
        <v>1017</v>
      </c>
      <c r="B104" s="1379" t="s">
        <v>1405</v>
      </c>
      <c r="C104" s="1379"/>
      <c r="D104" s="1379"/>
      <c r="E104" s="1379"/>
      <c r="F104" s="668">
        <f>8000-4000-1000</f>
        <v>3000</v>
      </c>
      <c r="G104" s="844"/>
      <c r="H104" s="668">
        <f>+ROUND(F104/1.27,0)</f>
        <v>2362</v>
      </c>
      <c r="I104" s="668">
        <f>+F104-H104</f>
        <v>638</v>
      </c>
      <c r="J104" s="667" t="s">
        <v>1046</v>
      </c>
      <c r="K104" s="667" t="s">
        <v>1154</v>
      </c>
    </row>
    <row r="105" spans="1:11" s="667" customFormat="1">
      <c r="A105" s="676"/>
      <c r="F105" s="668"/>
      <c r="G105" s="844"/>
      <c r="H105" s="668"/>
      <c r="I105" s="668"/>
    </row>
    <row r="106" spans="1:11" s="667" customFormat="1" ht="31.5" customHeight="1">
      <c r="A106" s="676" t="s">
        <v>1018</v>
      </c>
      <c r="B106" s="1379" t="s">
        <v>1406</v>
      </c>
      <c r="C106" s="1379"/>
      <c r="D106" s="1379"/>
      <c r="E106" s="1379"/>
      <c r="F106" s="668">
        <f>10000-5000-1000</f>
        <v>4000</v>
      </c>
      <c r="G106" s="844"/>
      <c r="H106" s="668">
        <f>+ROUND(F106/1.27,0)</f>
        <v>3150</v>
      </c>
      <c r="I106" s="668">
        <f>+F106-H106</f>
        <v>850</v>
      </c>
      <c r="J106" s="667" t="s">
        <v>1046</v>
      </c>
      <c r="K106" s="667" t="s">
        <v>1154</v>
      </c>
    </row>
    <row r="107" spans="1:11" s="667" customFormat="1">
      <c r="A107" s="676"/>
      <c r="F107" s="668"/>
      <c r="G107" s="844"/>
      <c r="H107" s="668"/>
      <c r="I107" s="668"/>
    </row>
    <row r="108" spans="1:11" s="667" customFormat="1" ht="29.25" customHeight="1">
      <c r="A108" s="676" t="s">
        <v>1019</v>
      </c>
      <c r="B108" s="1379" t="s">
        <v>1302</v>
      </c>
      <c r="C108" s="1379"/>
      <c r="D108" s="1379"/>
      <c r="E108" s="1379"/>
      <c r="F108" s="844">
        <f>2900-2900</f>
        <v>0</v>
      </c>
      <c r="G108" s="844"/>
      <c r="H108" s="668">
        <f>+ROUND(F108/1.27,0)</f>
        <v>0</v>
      </c>
      <c r="I108" s="668">
        <f>+F108-H108</f>
        <v>0</v>
      </c>
      <c r="J108" s="667" t="s">
        <v>1027</v>
      </c>
      <c r="K108" s="667" t="s">
        <v>1154</v>
      </c>
    </row>
    <row r="109" spans="1:11" s="667" customFormat="1">
      <c r="A109" s="676"/>
      <c r="F109" s="668"/>
      <c r="G109" s="844"/>
      <c r="H109" s="668"/>
      <c r="I109" s="668"/>
    </row>
    <row r="110" spans="1:11" s="667" customFormat="1" ht="31.5" customHeight="1">
      <c r="A110" s="676" t="s">
        <v>1020</v>
      </c>
      <c r="B110" s="1379" t="s">
        <v>1301</v>
      </c>
      <c r="C110" s="1379"/>
      <c r="D110" s="1379"/>
      <c r="E110" s="1379"/>
      <c r="F110" s="668">
        <v>2351</v>
      </c>
      <c r="G110" s="844"/>
      <c r="H110" s="668">
        <f>+ROUND(F110/1.27,0)</f>
        <v>1851</v>
      </c>
      <c r="I110" s="668">
        <f>+F110-H110</f>
        <v>500</v>
      </c>
      <c r="J110" s="667" t="s">
        <v>824</v>
      </c>
      <c r="K110" s="667" t="s">
        <v>1155</v>
      </c>
    </row>
    <row r="111" spans="1:11" s="667" customFormat="1">
      <c r="A111" s="676"/>
      <c r="F111" s="668"/>
      <c r="G111" s="844"/>
      <c r="H111" s="668"/>
      <c r="I111" s="668"/>
    </row>
    <row r="112" spans="1:11" s="667" customFormat="1" ht="41.25" customHeight="1">
      <c r="A112" s="676" t="s">
        <v>1021</v>
      </c>
      <c r="B112" s="1379" t="s">
        <v>1407</v>
      </c>
      <c r="C112" s="1379"/>
      <c r="D112" s="1379"/>
      <c r="E112" s="1379"/>
      <c r="F112" s="668">
        <f>9000-9000</f>
        <v>0</v>
      </c>
      <c r="G112" s="844"/>
      <c r="H112" s="668">
        <f>+ROUND(F112/1.27,0)</f>
        <v>0</v>
      </c>
      <c r="I112" s="668">
        <f>+F112-H112</f>
        <v>0</v>
      </c>
      <c r="J112" s="667" t="s">
        <v>1046</v>
      </c>
      <c r="K112" s="667" t="s">
        <v>1164</v>
      </c>
    </row>
    <row r="113" spans="1:11">
      <c r="K113" s="924"/>
    </row>
    <row r="114" spans="1:11">
      <c r="K114" s="924"/>
    </row>
    <row r="115" spans="1:11" s="667" customFormat="1" ht="12" customHeight="1">
      <c r="A115" s="676" t="s">
        <v>1022</v>
      </c>
      <c r="B115" s="1379" t="s">
        <v>1408</v>
      </c>
      <c r="C115" s="1379"/>
      <c r="D115" s="1379"/>
      <c r="E115" s="1379"/>
      <c r="F115" s="668">
        <f>16500-16500</f>
        <v>0</v>
      </c>
      <c r="G115" s="844"/>
      <c r="H115" s="668">
        <f>+ROUND(F115/1.27,0)</f>
        <v>0</v>
      </c>
      <c r="I115" s="668">
        <f>+F115-H115</f>
        <v>0</v>
      </c>
      <c r="J115" s="667" t="s">
        <v>1142</v>
      </c>
      <c r="K115" s="667" t="s">
        <v>1410</v>
      </c>
    </row>
    <row r="116" spans="1:11">
      <c r="K116" s="924"/>
    </row>
    <row r="117" spans="1:11" ht="12" customHeight="1">
      <c r="A117" s="676" t="s">
        <v>1163</v>
      </c>
      <c r="B117" s="1379" t="s">
        <v>1473</v>
      </c>
      <c r="C117" s="1379"/>
      <c r="D117" s="1379"/>
      <c r="E117" s="1379"/>
      <c r="F117" s="668">
        <f>4000-2000-2000</f>
        <v>0</v>
      </c>
      <c r="H117" s="668">
        <f>+ROUND(F117/1.27,0)</f>
        <v>0</v>
      </c>
      <c r="I117" s="668">
        <f>+F117-H117</f>
        <v>0</v>
      </c>
      <c r="J117" s="667" t="s">
        <v>1046</v>
      </c>
      <c r="K117" s="667" t="s">
        <v>1164</v>
      </c>
    </row>
    <row r="119" spans="1:11">
      <c r="A119" s="676" t="s">
        <v>1165</v>
      </c>
      <c r="B119" s="1379" t="s">
        <v>1411</v>
      </c>
      <c r="C119" s="1379"/>
      <c r="D119" s="1379"/>
      <c r="E119" s="1379"/>
      <c r="F119" s="668">
        <v>2200</v>
      </c>
      <c r="H119" s="668">
        <f>+ROUND(F119/1,0)</f>
        <v>2200</v>
      </c>
      <c r="I119" s="668">
        <f>+F119-H119</f>
        <v>0</v>
      </c>
      <c r="J119" s="667" t="s">
        <v>1046</v>
      </c>
      <c r="K119" s="667" t="s">
        <v>1164</v>
      </c>
    </row>
  </sheetData>
  <mergeCells count="41">
    <mergeCell ref="B119:E119"/>
    <mergeCell ref="B115:E115"/>
    <mergeCell ref="B117:E117"/>
    <mergeCell ref="B35:E35"/>
    <mergeCell ref="B91:E91"/>
    <mergeCell ref="B93:E93"/>
    <mergeCell ref="B36:E36"/>
    <mergeCell ref="B37:E37"/>
    <mergeCell ref="B71:E71"/>
    <mergeCell ref="B59:E59"/>
    <mergeCell ref="B42:E42"/>
    <mergeCell ref="B65:E65"/>
    <mergeCell ref="B51:E51"/>
    <mergeCell ref="B112:E112"/>
    <mergeCell ref="B46:E46"/>
    <mergeCell ref="B95:E95"/>
    <mergeCell ref="A3:F3"/>
    <mergeCell ref="B68:E68"/>
    <mergeCell ref="B26:E26"/>
    <mergeCell ref="B29:E29"/>
    <mergeCell ref="B8:E8"/>
    <mergeCell ref="B12:E12"/>
    <mergeCell ref="B16:E16"/>
    <mergeCell ref="B10:E10"/>
    <mergeCell ref="B34:E34"/>
    <mergeCell ref="B32:E32"/>
    <mergeCell ref="B18:E18"/>
    <mergeCell ref="B14:E14"/>
    <mergeCell ref="B33:E33"/>
    <mergeCell ref="B40:E40"/>
    <mergeCell ref="B52:E52"/>
    <mergeCell ref="B48:E48"/>
    <mergeCell ref="B20:E20"/>
    <mergeCell ref="B23:E23"/>
    <mergeCell ref="B110:E110"/>
    <mergeCell ref="B106:E106"/>
    <mergeCell ref="B108:E108"/>
    <mergeCell ref="B98:E98"/>
    <mergeCell ref="B100:E100"/>
    <mergeCell ref="B102:E102"/>
    <mergeCell ref="B104:E104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78" fitToHeight="2" orientation="portrait" horizontalDpi="300" verticalDpi="300" r:id="rId1"/>
  <headerFooter>
    <oddHeader>&amp;C 1. függelék - &amp;P. oldal</oddHeader>
  </headerFooter>
  <rowBreaks count="1" manualBreakCount="1">
    <brk id="59" max="5" man="1"/>
  </rowBreaks>
</worksheet>
</file>

<file path=xl/worksheets/sheet38.xml><?xml version="1.0" encoding="utf-8"?>
<worksheet xmlns="http://schemas.openxmlformats.org/spreadsheetml/2006/main" xmlns:r="http://schemas.openxmlformats.org/officeDocument/2006/relationships">
  <sheetPr codeName="Munka31">
    <tabColor rgb="FFFF0000"/>
    <pageSetUpPr fitToPage="1"/>
  </sheetPr>
  <dimension ref="A1:F41"/>
  <sheetViews>
    <sheetView zoomScaleNormal="100" workbookViewId="0"/>
  </sheetViews>
  <sheetFormatPr defaultColWidth="10.28515625" defaultRowHeight="12"/>
  <cols>
    <col min="1" max="1" width="4.7109375" style="145" bestFit="1" customWidth="1"/>
    <col min="2" max="2" width="74.42578125" style="145" customWidth="1"/>
    <col min="3" max="3" width="9" style="145" customWidth="1"/>
    <col min="4" max="6" width="8.28515625" style="145" customWidth="1"/>
    <col min="7" max="16384" width="10.28515625" style="145"/>
  </cols>
  <sheetData>
    <row r="1" spans="1:6" s="143" customFormat="1" ht="15.75">
      <c r="F1" s="192" t="s">
        <v>869</v>
      </c>
    </row>
    <row r="2" spans="1:6" s="143" customFormat="1" ht="15.75">
      <c r="F2" s="192"/>
    </row>
    <row r="3" spans="1:6" s="711" customFormat="1" ht="32.25" customHeight="1">
      <c r="A3" s="1386" t="s">
        <v>1320</v>
      </c>
      <c r="B3" s="1386"/>
      <c r="C3" s="1386"/>
      <c r="D3" s="1386"/>
      <c r="E3" s="1386"/>
      <c r="F3" s="1386"/>
    </row>
    <row r="4" spans="1:6" s="200" customFormat="1">
      <c r="A4" s="708"/>
      <c r="B4" s="708"/>
      <c r="C4" s="708"/>
      <c r="D4" s="708"/>
      <c r="E4" s="708"/>
      <c r="F4" s="708"/>
    </row>
    <row r="5" spans="1:6" ht="12.75" thickBot="1">
      <c r="F5" s="242" t="s">
        <v>458</v>
      </c>
    </row>
    <row r="6" spans="1:6">
      <c r="A6" s="1387" t="s">
        <v>17</v>
      </c>
      <c r="B6" s="1389" t="s">
        <v>7</v>
      </c>
      <c r="C6" s="1391" t="s">
        <v>868</v>
      </c>
      <c r="D6" s="1392"/>
      <c r="E6" s="1392"/>
      <c r="F6" s="1393"/>
    </row>
    <row r="7" spans="1:6" s="709" customFormat="1" ht="12.75" thickBot="1">
      <c r="A7" s="1388"/>
      <c r="B7" s="1390"/>
      <c r="C7" s="921" t="s">
        <v>459</v>
      </c>
      <c r="D7" s="691" t="s">
        <v>460</v>
      </c>
      <c r="E7" s="691" t="s">
        <v>461</v>
      </c>
      <c r="F7" s="692" t="s">
        <v>462</v>
      </c>
    </row>
    <row r="8" spans="1:6" s="709" customFormat="1" ht="12.75" thickBot="1">
      <c r="A8" s="240">
        <v>1</v>
      </c>
      <c r="B8" s="239">
        <v>2</v>
      </c>
      <c r="C8" s="240">
        <v>3</v>
      </c>
      <c r="D8" s="243">
        <v>4</v>
      </c>
      <c r="E8" s="243">
        <v>5</v>
      </c>
      <c r="F8" s="239">
        <v>6</v>
      </c>
    </row>
    <row r="9" spans="1:6" s="709" customFormat="1">
      <c r="A9" s="693" t="s">
        <v>4</v>
      </c>
      <c r="B9" s="245" t="s">
        <v>1036</v>
      </c>
      <c r="C9" s="694">
        <f>+'5.mell_adósság2018'!F8</f>
        <v>0.72380488197496862</v>
      </c>
      <c r="D9" s="246">
        <f>+'5.mell_adósság2018'!G8</f>
        <v>301062</v>
      </c>
      <c r="E9" s="246">
        <f>+'5.mell_adósság2018'!H8</f>
        <v>312502</v>
      </c>
      <c r="F9" s="695">
        <f>+'5.mell_adósság2018'!I8</f>
        <v>324065</v>
      </c>
    </row>
    <row r="10" spans="1:6" s="709" customFormat="1" ht="24">
      <c r="A10" s="696" t="s">
        <v>5</v>
      </c>
      <c r="B10" s="248" t="s">
        <v>904</v>
      </c>
      <c r="C10" s="694">
        <f>+'5.mell_adósság2018'!F9</f>
        <v>0.5</v>
      </c>
      <c r="D10" s="246">
        <f>+'5.mell_adósság2018'!G9</f>
        <v>236</v>
      </c>
      <c r="E10" s="246">
        <f>+'5.mell_adósság2018'!H9</f>
        <v>236</v>
      </c>
      <c r="F10" s="695">
        <f>+'5.mell_adósság2018'!I9</f>
        <v>236</v>
      </c>
    </row>
    <row r="11" spans="1:6" s="709" customFormat="1">
      <c r="A11" s="696" t="s">
        <v>6</v>
      </c>
      <c r="B11" s="248" t="s">
        <v>905</v>
      </c>
      <c r="C11" s="694" t="str">
        <f>+'5.mell_adósság2018'!F10</f>
        <v>-</v>
      </c>
      <c r="D11" s="246">
        <f>+'5.mell_adósság2018'!G10</f>
        <v>0</v>
      </c>
      <c r="E11" s="246">
        <f>+'5.mell_adósság2018'!H10</f>
        <v>0</v>
      </c>
      <c r="F11" s="695">
        <f>+'5.mell_adósság2018'!I10</f>
        <v>0</v>
      </c>
    </row>
    <row r="12" spans="1:6" s="709" customFormat="1" ht="24">
      <c r="A12" s="696" t="s">
        <v>3</v>
      </c>
      <c r="B12" s="248" t="s">
        <v>906</v>
      </c>
      <c r="C12" s="694">
        <f>+'5.mell_adósság2018'!F11</f>
        <v>0.81850703553541615</v>
      </c>
      <c r="D12" s="246">
        <f>+'5.mell_adósság2018'!G11</f>
        <v>350</v>
      </c>
      <c r="E12" s="246">
        <f>+'5.mell_adósság2018'!H11</f>
        <v>350</v>
      </c>
      <c r="F12" s="695">
        <f>+'5.mell_adósság2018'!I11</f>
        <v>350</v>
      </c>
    </row>
    <row r="13" spans="1:6" s="709" customFormat="1" ht="12.75">
      <c r="A13" s="696" t="s">
        <v>16</v>
      </c>
      <c r="B13" s="690" t="s">
        <v>907</v>
      </c>
      <c r="C13" s="694">
        <f>+'5.mell_adósság2018'!F12</f>
        <v>0.46878448683588209</v>
      </c>
      <c r="D13" s="246">
        <f>+'5.mell_adósság2018'!G12</f>
        <v>10000</v>
      </c>
      <c r="E13" s="246">
        <f>+'5.mell_adósság2018'!H12</f>
        <v>10000</v>
      </c>
      <c r="F13" s="695">
        <f>+'5.mell_adósság2018'!I12</f>
        <v>10000</v>
      </c>
    </row>
    <row r="14" spans="1:6" s="709" customFormat="1" ht="12.75" thickBot="1">
      <c r="A14" s="696" t="s">
        <v>15</v>
      </c>
      <c r="B14" s="252" t="s">
        <v>1037</v>
      </c>
      <c r="C14" s="694" t="str">
        <f>+'5.mell_adósság2018'!F13</f>
        <v>-</v>
      </c>
      <c r="D14" s="246">
        <f>+'5.mell_adósság2018'!G13</f>
        <v>0</v>
      </c>
      <c r="E14" s="246">
        <f>+'5.mell_adósság2018'!H13</f>
        <v>0</v>
      </c>
      <c r="F14" s="695">
        <f>+'5.mell_adósság2018'!I13</f>
        <v>0</v>
      </c>
    </row>
    <row r="15" spans="1:6" s="710" customFormat="1" ht="12.75" thickBot="1">
      <c r="A15" s="697" t="s">
        <v>14</v>
      </c>
      <c r="B15" s="255" t="s">
        <v>911</v>
      </c>
      <c r="C15" s="698" t="e">
        <f>+C9+C10+C11+C12+C13+C14</f>
        <v>#VALUE!</v>
      </c>
      <c r="D15" s="257">
        <f>+D9+D10+D11+D12+D13+D14</f>
        <v>311648</v>
      </c>
      <c r="E15" s="257">
        <f>+E9+E10+E11+E12+E13+E14</f>
        <v>323088</v>
      </c>
      <c r="F15" s="699">
        <f>+F9+F10+F11+F12+F13+F14</f>
        <v>334651</v>
      </c>
    </row>
    <row r="16" spans="1:6" s="710" customFormat="1" ht="12.75" thickBot="1">
      <c r="A16" s="697" t="s">
        <v>13</v>
      </c>
      <c r="B16" s="255" t="s">
        <v>910</v>
      </c>
      <c r="C16" s="698" t="e">
        <f>+ROUNDDOWN(C15*0.5,0)</f>
        <v>#VALUE!</v>
      </c>
      <c r="D16" s="257">
        <f>+ROUNDDOWN(D15*0.5,0)</f>
        <v>155824</v>
      </c>
      <c r="E16" s="257">
        <f>+ROUNDDOWN(E15*0.5,0)</f>
        <v>161544</v>
      </c>
      <c r="F16" s="699">
        <f>+ROUNDDOWN(F15*0.5,0)</f>
        <v>167325</v>
      </c>
    </row>
    <row r="17" spans="1:6" s="710" customFormat="1" ht="12.75" thickBot="1">
      <c r="A17" s="697" t="s">
        <v>12</v>
      </c>
      <c r="B17" s="255" t="s">
        <v>919</v>
      </c>
      <c r="C17" s="698" t="e">
        <f>+C18+C19+C20+C21+C22+C23+C24+C25+C26</f>
        <v>#VALUE!</v>
      </c>
      <c r="D17" s="257">
        <f>+D18+D19+D20+D21+D22+D23+D24+D25+D26</f>
        <v>2000</v>
      </c>
      <c r="E17" s="257">
        <f>+E18+E19+E20+E21+E22+E23+E24+E25+E26</f>
        <v>2000</v>
      </c>
      <c r="F17" s="699">
        <f>+F18+F19+F20+F21+F22+F23+F24+F25+F26</f>
        <v>2000</v>
      </c>
    </row>
    <row r="18" spans="1:6" s="709" customFormat="1">
      <c r="A18" s="693" t="s">
        <v>11</v>
      </c>
      <c r="B18" s="245" t="s">
        <v>467</v>
      </c>
      <c r="C18" s="700" t="str">
        <f>+'5.mell_adósság2018'!F17</f>
        <v>-</v>
      </c>
      <c r="D18" s="250">
        <f>+'5.mell_adósság2018'!G17</f>
        <v>0</v>
      </c>
      <c r="E18" s="250">
        <f>+'5.mell_adósság2018'!H17</f>
        <v>0</v>
      </c>
      <c r="F18" s="701">
        <f>+'5.mell_adósság2018'!I17</f>
        <v>0</v>
      </c>
    </row>
    <row r="19" spans="1:6" s="709" customFormat="1">
      <c r="A19" s="696" t="s">
        <v>10</v>
      </c>
      <c r="B19" s="248" t="s">
        <v>468</v>
      </c>
      <c r="C19" s="700" t="str">
        <f>+'5.mell_adósság2018'!F18</f>
        <v>-</v>
      </c>
      <c r="D19" s="250">
        <f>+'5.mell_adósság2018'!G18</f>
        <v>0</v>
      </c>
      <c r="E19" s="250">
        <f>+'5.mell_adósság2018'!H18</f>
        <v>0</v>
      </c>
      <c r="F19" s="701">
        <f>+'5.mell_adósság2018'!I18</f>
        <v>0</v>
      </c>
    </row>
    <row r="20" spans="1:6" s="709" customFormat="1">
      <c r="A20" s="696" t="s">
        <v>9</v>
      </c>
      <c r="B20" s="248" t="s">
        <v>469</v>
      </c>
      <c r="C20" s="700" t="str">
        <f>+'5.mell_adósság2018'!F19</f>
        <v>-</v>
      </c>
      <c r="D20" s="250">
        <f>+'5.mell_adósság2018'!G19</f>
        <v>0</v>
      </c>
      <c r="E20" s="250">
        <f>+'5.mell_adósság2018'!H19</f>
        <v>0</v>
      </c>
      <c r="F20" s="701">
        <f>+'5.mell_adósság2018'!I19</f>
        <v>0</v>
      </c>
    </row>
    <row r="21" spans="1:6" s="709" customFormat="1">
      <c r="A21" s="696" t="s">
        <v>45</v>
      </c>
      <c r="B21" s="248" t="s">
        <v>470</v>
      </c>
      <c r="C21" s="700" t="str">
        <f>+'5.mell_adósság2018'!F20</f>
        <v>-</v>
      </c>
      <c r="D21" s="250">
        <f>+'5.mell_adósság2018'!G20</f>
        <v>0</v>
      </c>
      <c r="E21" s="250">
        <f>+'5.mell_adósság2018'!H20</f>
        <v>0</v>
      </c>
      <c r="F21" s="701">
        <f>+'5.mell_adósság2018'!I20</f>
        <v>0</v>
      </c>
    </row>
    <row r="22" spans="1:6" s="709" customFormat="1">
      <c r="A22" s="696" t="s">
        <v>44</v>
      </c>
      <c r="B22" s="248" t="s">
        <v>471</v>
      </c>
      <c r="C22" s="700" t="str">
        <f>+'5.mell_adósság2018'!F21</f>
        <v>-</v>
      </c>
      <c r="D22" s="250">
        <f>+'5.mell_adósság2018'!G21</f>
        <v>0</v>
      </c>
      <c r="E22" s="250">
        <f>+'5.mell_adósság2018'!H21</f>
        <v>0</v>
      </c>
      <c r="F22" s="701">
        <f>+'5.mell_adósság2018'!I21</f>
        <v>0</v>
      </c>
    </row>
    <row r="23" spans="1:6" s="709" customFormat="1" ht="24">
      <c r="A23" s="696" t="s">
        <v>43</v>
      </c>
      <c r="B23" s="248" t="s">
        <v>913</v>
      </c>
      <c r="C23" s="700" t="str">
        <f>+'5.mell_adósság2018'!F22</f>
        <v>-</v>
      </c>
      <c r="D23" s="250">
        <f>+'5.mell_adósság2018'!G22</f>
        <v>0</v>
      </c>
      <c r="E23" s="250">
        <f>+'5.mell_adósság2018'!H22</f>
        <v>0</v>
      </c>
      <c r="F23" s="701">
        <f>+'5.mell_adósság2018'!I22</f>
        <v>0</v>
      </c>
    </row>
    <row r="24" spans="1:6" s="709" customFormat="1">
      <c r="A24" s="696" t="s">
        <v>40</v>
      </c>
      <c r="B24" s="248" t="s">
        <v>912</v>
      </c>
      <c r="C24" s="700">
        <f>+'5.mell_adósság2018'!F23</f>
        <v>0.4</v>
      </c>
      <c r="D24" s="250">
        <f>+'5.mell_adósság2018'!G23</f>
        <v>2000</v>
      </c>
      <c r="E24" s="250">
        <f>+'5.mell_adósság2018'!H23</f>
        <v>2000</v>
      </c>
      <c r="F24" s="701">
        <f>+'5.mell_adósság2018'!I23</f>
        <v>2000</v>
      </c>
    </row>
    <row r="25" spans="1:6" s="709" customFormat="1" ht="24">
      <c r="A25" s="696" t="s">
        <v>39</v>
      </c>
      <c r="B25" s="259" t="s">
        <v>914</v>
      </c>
      <c r="C25" s="700" t="str">
        <f>+'5.mell_adósság2018'!F24</f>
        <v>-</v>
      </c>
      <c r="D25" s="250">
        <f>+'5.mell_adósság2018'!G24</f>
        <v>0</v>
      </c>
      <c r="E25" s="250">
        <f>+'5.mell_adósság2018'!H24</f>
        <v>0</v>
      </c>
      <c r="F25" s="701">
        <f>+'5.mell_adósság2018'!I24</f>
        <v>0</v>
      </c>
    </row>
    <row r="26" spans="1:6" s="709" customFormat="1" ht="12.75" thickBot="1">
      <c r="A26" s="702" t="s">
        <v>38</v>
      </c>
      <c r="B26" s="259" t="s">
        <v>1038</v>
      </c>
      <c r="C26" s="700" t="str">
        <f>+'5.mell_adósság2018'!F25</f>
        <v>-</v>
      </c>
      <c r="D26" s="250">
        <f>+'5.mell_adósság2018'!G25</f>
        <v>0</v>
      </c>
      <c r="E26" s="250">
        <f>+'5.mell_adósság2018'!H25</f>
        <v>0</v>
      </c>
      <c r="F26" s="701">
        <f>+'5.mell_adósság2018'!I25</f>
        <v>0</v>
      </c>
    </row>
    <row r="27" spans="1:6" s="710" customFormat="1" ht="15" customHeight="1" thickBot="1">
      <c r="A27" s="697" t="s">
        <v>36</v>
      </c>
      <c r="B27" s="255" t="s">
        <v>920</v>
      </c>
      <c r="C27" s="698" t="e">
        <f>+C28+C29+C30+C31+C32+C33+C34+C35+C36</f>
        <v>#VALUE!</v>
      </c>
      <c r="D27" s="257">
        <f>+D28+D29+D30+D31+D32+D33+D34+D35+D36</f>
        <v>21205</v>
      </c>
      <c r="E27" s="257">
        <f>+E28+E29+E30+E31+E32+E33+E34+E35+E36</f>
        <v>19807</v>
      </c>
      <c r="F27" s="699">
        <f>+F28+F29+F30+F31+F32+F33+F34+F35+F36</f>
        <v>19808</v>
      </c>
    </row>
    <row r="28" spans="1:6" s="709" customFormat="1">
      <c r="A28" s="693" t="s">
        <v>35</v>
      </c>
      <c r="B28" s="245" t="s">
        <v>467</v>
      </c>
      <c r="C28" s="694" t="str">
        <f>+'5.mell_adósság2018'!F27</f>
        <v>-</v>
      </c>
      <c r="D28" s="246">
        <f>+'5.mell_adósság2018'!G27</f>
        <v>8000</v>
      </c>
      <c r="E28" s="246">
        <f>+'5.mell_adósság2018'!H27</f>
        <v>0</v>
      </c>
      <c r="F28" s="695">
        <f>+'5.mell_adósság2018'!I27</f>
        <v>0</v>
      </c>
    </row>
    <row r="29" spans="1:6">
      <c r="A29" s="696" t="s">
        <v>34</v>
      </c>
      <c r="B29" s="248" t="s">
        <v>468</v>
      </c>
      <c r="C29" s="700" t="str">
        <f>+'5.mell_adósság2018'!F28</f>
        <v>-</v>
      </c>
      <c r="D29" s="250">
        <f>+'5.mell_adósság2018'!G28</f>
        <v>0</v>
      </c>
      <c r="E29" s="250">
        <f>+'5.mell_adósság2018'!H28</f>
        <v>0</v>
      </c>
      <c r="F29" s="701">
        <f>+'5.mell_adósság2018'!I28</f>
        <v>0</v>
      </c>
    </row>
    <row r="30" spans="1:6">
      <c r="A30" s="696" t="s">
        <v>33</v>
      </c>
      <c r="B30" s="248" t="s">
        <v>469</v>
      </c>
      <c r="C30" s="700" t="str">
        <f>+'5.mell_adósság2018'!F29</f>
        <v>-</v>
      </c>
      <c r="D30" s="250">
        <f>+'5.mell_adósság2018'!G29</f>
        <v>0</v>
      </c>
      <c r="E30" s="250">
        <f>+'5.mell_adósság2018'!H29</f>
        <v>0</v>
      </c>
      <c r="F30" s="701">
        <f>+'5.mell_adósság2018'!I29</f>
        <v>0</v>
      </c>
    </row>
    <row r="31" spans="1:6" s="709" customFormat="1">
      <c r="A31" s="696" t="s">
        <v>32</v>
      </c>
      <c r="B31" s="248" t="s">
        <v>470</v>
      </c>
      <c r="C31" s="700" t="str">
        <f>+'5.mell_adósság2018'!F30</f>
        <v>-</v>
      </c>
      <c r="D31" s="250">
        <f>+'5.mell_adósság2018'!G30</f>
        <v>0</v>
      </c>
      <c r="E31" s="250">
        <f>+'5.mell_adósság2018'!H30</f>
        <v>0</v>
      </c>
      <c r="F31" s="701">
        <f>+'5.mell_adósság2018'!I30</f>
        <v>0</v>
      </c>
    </row>
    <row r="32" spans="1:6">
      <c r="A32" s="696" t="s">
        <v>472</v>
      </c>
      <c r="B32" s="248" t="s">
        <v>471</v>
      </c>
      <c r="C32" s="700" t="str">
        <f>+'5.mell_adósság2018'!F31</f>
        <v>-</v>
      </c>
      <c r="D32" s="250">
        <f>+'5.mell_adósság2018'!G31</f>
        <v>0</v>
      </c>
      <c r="E32" s="250">
        <f>+'5.mell_adósság2018'!H31</f>
        <v>0</v>
      </c>
      <c r="F32" s="701">
        <f>+'5.mell_adósság2018'!I31</f>
        <v>0</v>
      </c>
    </row>
    <row r="33" spans="1:6" ht="24">
      <c r="A33" s="696" t="s">
        <v>473</v>
      </c>
      <c r="B33" s="248" t="s">
        <v>913</v>
      </c>
      <c r="C33" s="700" t="str">
        <f>+'5.mell_adósság2018'!F32</f>
        <v>-</v>
      </c>
      <c r="D33" s="250">
        <f>+'5.mell_adósság2018'!G32</f>
        <v>0</v>
      </c>
      <c r="E33" s="250">
        <f>+'5.mell_adósság2018'!H32</f>
        <v>0</v>
      </c>
      <c r="F33" s="701">
        <f>+'5.mell_adósság2018'!I32</f>
        <v>0</v>
      </c>
    </row>
    <row r="34" spans="1:6">
      <c r="A34" s="696" t="s">
        <v>474</v>
      </c>
      <c r="B34" s="248" t="s">
        <v>912</v>
      </c>
      <c r="C34" s="700">
        <f>+'5.mell_adósság2018'!F33</f>
        <v>1</v>
      </c>
      <c r="D34" s="250">
        <f>+'5.mell_adósság2018'!G33</f>
        <v>13205</v>
      </c>
      <c r="E34" s="250">
        <f>+'5.mell_adósság2018'!H33</f>
        <v>19807</v>
      </c>
      <c r="F34" s="701">
        <f>+'5.mell_adósság2018'!I33</f>
        <v>19808</v>
      </c>
    </row>
    <row r="35" spans="1:6" ht="24">
      <c r="A35" s="696" t="s">
        <v>475</v>
      </c>
      <c r="B35" s="259" t="s">
        <v>914</v>
      </c>
      <c r="C35" s="700" t="str">
        <f>+'5.mell_adósság2018'!F34</f>
        <v>-</v>
      </c>
      <c r="D35" s="250">
        <f>+'5.mell_adósság2018'!G34</f>
        <v>0</v>
      </c>
      <c r="E35" s="250">
        <f>+'5.mell_adósság2018'!H34</f>
        <v>0</v>
      </c>
      <c r="F35" s="701">
        <f>+'5.mell_adósság2018'!I34</f>
        <v>0</v>
      </c>
    </row>
    <row r="36" spans="1:6" ht="12.75" thickBot="1">
      <c r="A36" s="702" t="s">
        <v>488</v>
      </c>
      <c r="B36" s="259" t="s">
        <v>1038</v>
      </c>
      <c r="C36" s="704" t="str">
        <f>+'5.mell_adósság2018'!F35</f>
        <v>-</v>
      </c>
      <c r="D36" s="253">
        <f>+'5.mell_adósság2018'!G35</f>
        <v>0</v>
      </c>
      <c r="E36" s="253">
        <f>+'5.mell_adósság2018'!H35</f>
        <v>0</v>
      </c>
      <c r="F36" s="703">
        <f>+'5.mell_adósság2018'!I35</f>
        <v>0</v>
      </c>
    </row>
    <row r="37" spans="1:6" s="200" customFormat="1" ht="12.75" thickBot="1">
      <c r="A37" s="697" t="s">
        <v>489</v>
      </c>
      <c r="B37" s="255" t="s">
        <v>917</v>
      </c>
      <c r="C37" s="698" t="e">
        <f>+C17+C27</f>
        <v>#VALUE!</v>
      </c>
      <c r="D37" s="257">
        <f>+D17+D27</f>
        <v>23205</v>
      </c>
      <c r="E37" s="257">
        <f>+E17+E27</f>
        <v>21807</v>
      </c>
      <c r="F37" s="699">
        <f>+F17+F27</f>
        <v>21808</v>
      </c>
    </row>
    <row r="38" spans="1:6" s="200" customFormat="1" ht="12.75" thickBot="1">
      <c r="A38" s="705" t="s">
        <v>490</v>
      </c>
      <c r="B38" s="260" t="s">
        <v>918</v>
      </c>
      <c r="C38" s="706" t="e">
        <f>+C16-C37</f>
        <v>#VALUE!</v>
      </c>
      <c r="D38" s="261">
        <f>+D16-D37</f>
        <v>132619</v>
      </c>
      <c r="E38" s="261">
        <f>+E16-E37</f>
        <v>139737</v>
      </c>
      <c r="F38" s="707">
        <f>+F16-F37</f>
        <v>145517</v>
      </c>
    </row>
    <row r="40" spans="1:6" hidden="1">
      <c r="C40" s="266">
        <f>+'5.mell_adósság2018'!F37</f>
        <v>0.72058386651945849</v>
      </c>
      <c r="D40" s="266">
        <f>+'5.mell_adósság2018'!G37</f>
        <v>132619</v>
      </c>
      <c r="E40" s="266">
        <f>+'5.mell_adósság2018'!H37</f>
        <v>139737</v>
      </c>
      <c r="F40" s="266">
        <f>+'5.mell_adósság2018'!I37</f>
        <v>145517</v>
      </c>
    </row>
    <row r="41" spans="1:6" hidden="1">
      <c r="C41" s="266" t="e">
        <f>+C38-C40</f>
        <v>#VALUE!</v>
      </c>
      <c r="D41" s="266">
        <f>+D38-D40</f>
        <v>0</v>
      </c>
      <c r="E41" s="266">
        <f>+E38-E40</f>
        <v>0</v>
      </c>
      <c r="F41" s="266">
        <f>+F38-F40</f>
        <v>0</v>
      </c>
    </row>
  </sheetData>
  <mergeCells count="4">
    <mergeCell ref="A3:F3"/>
    <mergeCell ref="A6:A7"/>
    <mergeCell ref="B6:B7"/>
    <mergeCell ref="C6:F6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9">
    <tabColor rgb="FF00B0F0"/>
  </sheetPr>
  <dimension ref="A1:AE242"/>
  <sheetViews>
    <sheetView zoomScaleNormal="100" workbookViewId="0"/>
  </sheetViews>
  <sheetFormatPr defaultRowHeight="12"/>
  <cols>
    <col min="1" max="1" width="6.5703125" style="4" customWidth="1"/>
    <col min="2" max="2" width="109.5703125" style="4" bestFit="1" customWidth="1"/>
    <col min="3" max="5" width="9.28515625" style="4" customWidth="1"/>
    <col min="6" max="6" width="9.28515625" style="1415" customWidth="1"/>
    <col min="7" max="9" width="9.28515625" style="4" customWidth="1"/>
    <col min="10" max="10" width="9.140625" style="4"/>
    <col min="11" max="11" width="9.140625" style="4" hidden="1" customWidth="1"/>
    <col min="12" max="16384" width="9.140625" style="4"/>
  </cols>
  <sheetData>
    <row r="1" spans="1:11" s="50" customFormat="1" ht="15.75">
      <c r="F1" s="1396"/>
      <c r="I1" s="51" t="s">
        <v>355</v>
      </c>
    </row>
    <row r="2" spans="1:11" s="50" customFormat="1" ht="15.75">
      <c r="F2" s="1396"/>
    </row>
    <row r="3" spans="1:11" s="52" customFormat="1" ht="15.75">
      <c r="A3" s="1216" t="s">
        <v>931</v>
      </c>
      <c r="B3" s="1216"/>
      <c r="C3" s="1216"/>
      <c r="D3" s="1216"/>
      <c r="E3" s="1216"/>
      <c r="F3" s="1216"/>
      <c r="G3" s="1216"/>
      <c r="H3" s="1216"/>
      <c r="I3" s="1216"/>
    </row>
    <row r="4" spans="1:11" s="52" customFormat="1" ht="15.75">
      <c r="A4" s="1216" t="s">
        <v>1324</v>
      </c>
      <c r="B4" s="1216"/>
      <c r="C4" s="1216"/>
      <c r="D4" s="1216"/>
      <c r="E4" s="1216"/>
      <c r="F4" s="1216"/>
      <c r="G4" s="1216"/>
      <c r="H4" s="1216"/>
      <c r="I4" s="1216"/>
    </row>
    <row r="5" spans="1:11" s="50" customFormat="1" ht="15.75">
      <c r="F5" s="1396"/>
    </row>
    <row r="6" spans="1:11" s="52" customFormat="1" ht="15.75">
      <c r="A6" s="1216" t="s">
        <v>48</v>
      </c>
      <c r="B6" s="1216"/>
      <c r="C6" s="1216"/>
      <c r="D6" s="1216"/>
      <c r="E6" s="1216"/>
      <c r="F6" s="1216"/>
      <c r="G6" s="1216"/>
      <c r="H6" s="1216"/>
      <c r="I6" s="1216"/>
    </row>
    <row r="7" spans="1:11" s="36" customFormat="1" ht="12.75" thickBot="1">
      <c r="A7" s="38" t="s">
        <v>280</v>
      </c>
      <c r="F7" s="1397"/>
      <c r="I7" s="37" t="s">
        <v>281</v>
      </c>
    </row>
    <row r="8" spans="1:11" s="8" customFormat="1" ht="54" customHeight="1" thickBot="1">
      <c r="A8" s="79" t="s">
        <v>17</v>
      </c>
      <c r="B8" s="93" t="s">
        <v>328</v>
      </c>
      <c r="C8" s="1046" t="s">
        <v>1474</v>
      </c>
      <c r="D8" s="1047" t="s">
        <v>1475</v>
      </c>
      <c r="E8" s="6" t="s">
        <v>1529</v>
      </c>
      <c r="F8" s="1398" t="s">
        <v>1527</v>
      </c>
      <c r="G8" s="5" t="s">
        <v>51</v>
      </c>
      <c r="H8" s="6" t="s">
        <v>52</v>
      </c>
      <c r="I8" s="7" t="s">
        <v>53</v>
      </c>
    </row>
    <row r="9" spans="1:11" s="3" customFormat="1" ht="13.5" customHeight="1" thickBot="1">
      <c r="A9" s="83" t="s">
        <v>253</v>
      </c>
      <c r="B9" s="94" t="s">
        <v>254</v>
      </c>
      <c r="C9" s="1225" t="s">
        <v>255</v>
      </c>
      <c r="D9" s="1226"/>
      <c r="E9" s="1226"/>
      <c r="F9" s="1226"/>
      <c r="G9" s="1226"/>
      <c r="H9" s="1226"/>
      <c r="I9" s="1227"/>
    </row>
    <row r="10" spans="1:11" s="3" customFormat="1" ht="12.75" thickBot="1">
      <c r="A10" s="95" t="s">
        <v>4</v>
      </c>
      <c r="B10" s="63" t="s">
        <v>297</v>
      </c>
      <c r="C10" s="414">
        <f>+C11+C25+C32+C44</f>
        <v>36941</v>
      </c>
      <c r="D10" s="134">
        <f>+D11+D25+D32+D44</f>
        <v>120714</v>
      </c>
      <c r="E10" s="134">
        <f>+E11+E25+E32+E44</f>
        <v>119318</v>
      </c>
      <c r="F10" s="1399">
        <f t="shared" ref="F10:F73" si="0">IF(ISERROR(E10/D10),"-",E10/D10)</f>
        <v>0.98843547558692446</v>
      </c>
      <c r="G10" s="31">
        <f>+G11+G25+G32+G44</f>
        <v>92776</v>
      </c>
      <c r="H10" s="32">
        <f>+H11+H25+H32+H44</f>
        <v>23715</v>
      </c>
      <c r="I10" s="33">
        <f>+I11+I25+I32+I44</f>
        <v>2827</v>
      </c>
      <c r="K10" s="3">
        <f>+E10-G10-H10-I10</f>
        <v>0</v>
      </c>
    </row>
    <row r="11" spans="1:11" s="3" customFormat="1" ht="12.75" customHeight="1" thickBot="1">
      <c r="A11" s="83" t="s">
        <v>5</v>
      </c>
      <c r="B11" s="64" t="s">
        <v>298</v>
      </c>
      <c r="C11" s="132">
        <f>+C12+C19+C20+C21+C22+C23</f>
        <v>0</v>
      </c>
      <c r="D11" s="28">
        <f>+D12+D19+D20+D21+D22+D23</f>
        <v>83431</v>
      </c>
      <c r="E11" s="28">
        <f>+E12+E19+E20+E21+E22+E23</f>
        <v>83431</v>
      </c>
      <c r="F11" s="1400">
        <f t="shared" si="0"/>
        <v>1</v>
      </c>
      <c r="G11" s="27">
        <f>+G12+G19+G20+G21+G22+G23</f>
        <v>80604</v>
      </c>
      <c r="H11" s="28">
        <f>+H12+H19+H20+H21+H22+H23</f>
        <v>0</v>
      </c>
      <c r="I11" s="29">
        <f>+I12+I19+I20+I21+I22+I23</f>
        <v>2827</v>
      </c>
      <c r="K11" s="3">
        <f>+E11-G11-H11-I11</f>
        <v>0</v>
      </c>
    </row>
    <row r="12" spans="1:11" s="3" customFormat="1">
      <c r="A12" s="84" t="s">
        <v>54</v>
      </c>
      <c r="B12" s="65" t="s">
        <v>299</v>
      </c>
      <c r="C12" s="411">
        <f>+C13+C14+C15+C16+C17+C18</f>
        <v>0</v>
      </c>
      <c r="D12" s="10">
        <f>+D13+D14+D15+D16+D17+D18</f>
        <v>0</v>
      </c>
      <c r="E12" s="9">
        <f>+E13+E14+E15+E16+E17+E18</f>
        <v>0</v>
      </c>
      <c r="F12" s="1401" t="str">
        <f t="shared" si="0"/>
        <v>-</v>
      </c>
      <c r="G12" s="18">
        <f>+G13+G14+G15+G16+G17+G18</f>
        <v>0</v>
      </c>
      <c r="H12" s="9">
        <f>+H13+H14+H15+H16+H17+H18</f>
        <v>0</v>
      </c>
      <c r="I12" s="14">
        <f>+I13+I14+I15+I16+I17+I18</f>
        <v>0</v>
      </c>
      <c r="K12" s="4">
        <f>+E12-G12-H12-I12</f>
        <v>0</v>
      </c>
    </row>
    <row r="13" spans="1:11" s="13" customFormat="1">
      <c r="A13" s="86" t="s">
        <v>190</v>
      </c>
      <c r="B13" s="66" t="s">
        <v>93</v>
      </c>
      <c r="C13" s="407"/>
      <c r="D13" s="12"/>
      <c r="E13" s="12"/>
      <c r="F13" s="1402" t="str">
        <f t="shared" si="0"/>
        <v>-</v>
      </c>
      <c r="G13" s="19"/>
      <c r="H13" s="12"/>
      <c r="I13" s="15"/>
      <c r="K13" s="13">
        <f>+E13-G13-H13-I13</f>
        <v>0</v>
      </c>
    </row>
    <row r="14" spans="1:11" s="13" customFormat="1">
      <c r="A14" s="86" t="s">
        <v>191</v>
      </c>
      <c r="B14" s="66" t="s">
        <v>94</v>
      </c>
      <c r="C14" s="407"/>
      <c r="D14" s="12"/>
      <c r="E14" s="12"/>
      <c r="F14" s="1402" t="str">
        <f t="shared" si="0"/>
        <v>-</v>
      </c>
      <c r="G14" s="19"/>
      <c r="H14" s="12"/>
      <c r="I14" s="15"/>
      <c r="K14" s="13">
        <f>+E14-G14-H14-I14</f>
        <v>0</v>
      </c>
    </row>
    <row r="15" spans="1:11" s="13" customFormat="1">
      <c r="A15" s="86" t="s">
        <v>192</v>
      </c>
      <c r="B15" s="66" t="s">
        <v>95</v>
      </c>
      <c r="C15" s="407"/>
      <c r="D15" s="12"/>
      <c r="E15" s="12"/>
      <c r="F15" s="1402" t="str">
        <f t="shared" si="0"/>
        <v>-</v>
      </c>
      <c r="G15" s="19"/>
      <c r="H15" s="12"/>
      <c r="I15" s="15"/>
      <c r="K15" s="13">
        <f>+E15-G15-H15-I15</f>
        <v>0</v>
      </c>
    </row>
    <row r="16" spans="1:11" s="13" customFormat="1">
      <c r="A16" s="86" t="s">
        <v>193</v>
      </c>
      <c r="B16" s="66" t="s">
        <v>96</v>
      </c>
      <c r="C16" s="407"/>
      <c r="D16" s="12"/>
      <c r="E16" s="12"/>
      <c r="F16" s="1402" t="str">
        <f t="shared" si="0"/>
        <v>-</v>
      </c>
      <c r="G16" s="19"/>
      <c r="H16" s="12"/>
      <c r="I16" s="15"/>
      <c r="K16" s="13">
        <f>+E16-G16-H16-I16</f>
        <v>0</v>
      </c>
    </row>
    <row r="17" spans="1:11" s="13" customFormat="1">
      <c r="A17" s="86" t="s">
        <v>194</v>
      </c>
      <c r="B17" s="66" t="s">
        <v>959</v>
      </c>
      <c r="C17" s="407"/>
      <c r="D17" s="12"/>
      <c r="E17" s="12"/>
      <c r="F17" s="1403" t="str">
        <f t="shared" si="0"/>
        <v>-</v>
      </c>
      <c r="G17" s="19"/>
      <c r="H17" s="12"/>
      <c r="I17" s="15"/>
      <c r="K17" s="13">
        <f>+E17-G17-H17-I17</f>
        <v>0</v>
      </c>
    </row>
    <row r="18" spans="1:11" s="13" customFormat="1">
      <c r="A18" s="86" t="s">
        <v>195</v>
      </c>
      <c r="B18" s="66" t="s">
        <v>960</v>
      </c>
      <c r="C18" s="407"/>
      <c r="D18" s="12"/>
      <c r="E18" s="12"/>
      <c r="F18" s="1403" t="str">
        <f t="shared" si="0"/>
        <v>-</v>
      </c>
      <c r="G18" s="19"/>
      <c r="H18" s="12"/>
      <c r="I18" s="15"/>
      <c r="K18" s="13">
        <f>+E18-G18-H18-I18</f>
        <v>0</v>
      </c>
    </row>
    <row r="19" spans="1:11">
      <c r="A19" s="85" t="s">
        <v>55</v>
      </c>
      <c r="B19" s="67" t="s">
        <v>97</v>
      </c>
      <c r="C19" s="409"/>
      <c r="D19" s="11"/>
      <c r="E19" s="11"/>
      <c r="F19" s="1402" t="str">
        <f t="shared" si="0"/>
        <v>-</v>
      </c>
      <c r="G19" s="20"/>
      <c r="H19" s="11"/>
      <c r="I19" s="16"/>
      <c r="K19" s="4">
        <f>+E19-G19-H19-I19</f>
        <v>0</v>
      </c>
    </row>
    <row r="20" spans="1:11">
      <c r="A20" s="85" t="s">
        <v>83</v>
      </c>
      <c r="B20" s="67" t="s">
        <v>98</v>
      </c>
      <c r="C20" s="409"/>
      <c r="D20" s="11"/>
      <c r="E20" s="11"/>
      <c r="F20" s="1402" t="str">
        <f t="shared" si="0"/>
        <v>-</v>
      </c>
      <c r="G20" s="20"/>
      <c r="H20" s="11"/>
      <c r="I20" s="16"/>
      <c r="K20" s="4">
        <f>+E20-G20-H20-I20</f>
        <v>0</v>
      </c>
    </row>
    <row r="21" spans="1:11">
      <c r="A21" s="85" t="s">
        <v>84</v>
      </c>
      <c r="B21" s="67" t="s">
        <v>99</v>
      </c>
      <c r="C21" s="409"/>
      <c r="D21" s="11"/>
      <c r="E21" s="11"/>
      <c r="F21" s="1402" t="str">
        <f t="shared" si="0"/>
        <v>-</v>
      </c>
      <c r="G21" s="20"/>
      <c r="H21" s="11"/>
      <c r="I21" s="16"/>
      <c r="K21" s="4">
        <f>+E21-G21-H21-I21</f>
        <v>0</v>
      </c>
    </row>
    <row r="22" spans="1:11">
      <c r="A22" s="85" t="s">
        <v>85</v>
      </c>
      <c r="B22" s="67" t="s">
        <v>100</v>
      </c>
      <c r="C22" s="409"/>
      <c r="D22" s="11"/>
      <c r="E22" s="11"/>
      <c r="F22" s="1402" t="str">
        <f t="shared" si="0"/>
        <v>-</v>
      </c>
      <c r="G22" s="20"/>
      <c r="H22" s="11"/>
      <c r="I22" s="16"/>
      <c r="K22" s="4">
        <f>+E22-G22-H22-I22</f>
        <v>0</v>
      </c>
    </row>
    <row r="23" spans="1:11">
      <c r="A23" s="78" t="s">
        <v>86</v>
      </c>
      <c r="B23" s="68" t="s">
        <v>101</v>
      </c>
      <c r="C23" s="410"/>
      <c r="D23" s="22">
        <v>83431</v>
      </c>
      <c r="E23" s="22">
        <v>83431</v>
      </c>
      <c r="F23" s="1404">
        <f t="shared" si="0"/>
        <v>1</v>
      </c>
      <c r="G23" s="21">
        <f>83431-2827</f>
        <v>80604</v>
      </c>
      <c r="H23" s="22"/>
      <c r="I23" s="23">
        <v>2827</v>
      </c>
      <c r="K23" s="4">
        <f>+E23-G23-H23-I23</f>
        <v>0</v>
      </c>
    </row>
    <row r="24" spans="1:11" s="13" customFormat="1" ht="12.75" thickBot="1">
      <c r="A24" s="89" t="s">
        <v>332</v>
      </c>
      <c r="B24" s="818" t="s">
        <v>333</v>
      </c>
      <c r="C24" s="408"/>
      <c r="D24" s="43">
        <v>80175</v>
      </c>
      <c r="E24" s="43">
        <v>80175</v>
      </c>
      <c r="F24" s="1404">
        <f t="shared" si="0"/>
        <v>1</v>
      </c>
      <c r="G24" s="45">
        <v>80175</v>
      </c>
      <c r="H24" s="43"/>
      <c r="I24" s="44"/>
      <c r="K24" s="13">
        <f>+E24-G24-H24-I24</f>
        <v>0</v>
      </c>
    </row>
    <row r="25" spans="1:11" s="3" customFormat="1" ht="12.75" customHeight="1" thickBot="1">
      <c r="A25" s="83" t="s">
        <v>6</v>
      </c>
      <c r="B25" s="64" t="s">
        <v>835</v>
      </c>
      <c r="C25" s="132">
        <f>+C26+C27+C28+C29+C30+C31</f>
        <v>0</v>
      </c>
      <c r="D25" s="28">
        <f>+D26+D27+D28+D29+D30+D31</f>
        <v>10</v>
      </c>
      <c r="E25" s="28">
        <f>+E26+E27+E28+E29+E30+E31</f>
        <v>0</v>
      </c>
      <c r="F25" s="1400">
        <f t="shared" si="0"/>
        <v>0</v>
      </c>
      <c r="G25" s="27">
        <f>+G26+G27+G28+G29+G30+G31</f>
        <v>0</v>
      </c>
      <c r="H25" s="28">
        <f>+H26+H27+H28+H29+H30+H31</f>
        <v>0</v>
      </c>
      <c r="I25" s="29">
        <f>+I26+I27+I28+I29+I30+I31</f>
        <v>0</v>
      </c>
      <c r="K25" s="3">
        <f>+E25-G25-H25-I25</f>
        <v>0</v>
      </c>
    </row>
    <row r="26" spans="1:11" ht="12.75" customHeight="1">
      <c r="A26" s="84" t="s">
        <v>58</v>
      </c>
      <c r="B26" s="65" t="s">
        <v>102</v>
      </c>
      <c r="C26" s="411"/>
      <c r="D26" s="10"/>
      <c r="E26" s="10"/>
      <c r="F26" s="1401" t="str">
        <f t="shared" si="0"/>
        <v>-</v>
      </c>
      <c r="G26" s="34"/>
      <c r="H26" s="10"/>
      <c r="I26" s="35"/>
      <c r="K26" s="4">
        <f>+E26-G26-H26-I26</f>
        <v>0</v>
      </c>
    </row>
    <row r="27" spans="1:11" ht="12.75" customHeight="1">
      <c r="A27" s="85" t="s">
        <v>59</v>
      </c>
      <c r="B27" s="67" t="s">
        <v>103</v>
      </c>
      <c r="C27" s="409"/>
      <c r="D27" s="11"/>
      <c r="E27" s="11"/>
      <c r="F27" s="1402" t="str">
        <f t="shared" si="0"/>
        <v>-</v>
      </c>
      <c r="G27" s="20"/>
      <c r="H27" s="11"/>
      <c r="I27" s="16"/>
      <c r="K27" s="4">
        <f>+E27-G27-H27-I27</f>
        <v>0</v>
      </c>
    </row>
    <row r="28" spans="1:11" ht="12.75" customHeight="1">
      <c r="A28" s="85" t="s">
        <v>60</v>
      </c>
      <c r="B28" s="67" t="s">
        <v>104</v>
      </c>
      <c r="C28" s="409"/>
      <c r="D28" s="11"/>
      <c r="E28" s="11"/>
      <c r="F28" s="1402" t="str">
        <f t="shared" si="0"/>
        <v>-</v>
      </c>
      <c r="G28" s="20"/>
      <c r="H28" s="11"/>
      <c r="I28" s="16"/>
      <c r="K28" s="4">
        <f>+E28-G28-H28-I28</f>
        <v>0</v>
      </c>
    </row>
    <row r="29" spans="1:11" ht="12.75" customHeight="1">
      <c r="A29" s="85" t="s">
        <v>180</v>
      </c>
      <c r="B29" s="67" t="s">
        <v>105</v>
      </c>
      <c r="C29" s="409"/>
      <c r="D29" s="11"/>
      <c r="E29" s="11"/>
      <c r="F29" s="1402" t="str">
        <f t="shared" si="0"/>
        <v>-</v>
      </c>
      <c r="G29" s="20"/>
      <c r="H29" s="11"/>
      <c r="I29" s="16"/>
      <c r="K29" s="4">
        <f>+E29-G29-H29-I29</f>
        <v>0</v>
      </c>
    </row>
    <row r="30" spans="1:11" ht="12.75" customHeight="1">
      <c r="A30" s="78" t="s">
        <v>181</v>
      </c>
      <c r="B30" s="68" t="s">
        <v>106</v>
      </c>
      <c r="C30" s="410"/>
      <c r="D30" s="22"/>
      <c r="E30" s="22"/>
      <c r="F30" s="1404" t="str">
        <f t="shared" si="0"/>
        <v>-</v>
      </c>
      <c r="G30" s="20"/>
      <c r="H30" s="11"/>
      <c r="I30" s="16"/>
      <c r="K30" s="4">
        <f>+E30-G30-H30-I30</f>
        <v>0</v>
      </c>
    </row>
    <row r="31" spans="1:11" ht="12.75" customHeight="1" thickBot="1">
      <c r="A31" s="78" t="s">
        <v>834</v>
      </c>
      <c r="B31" s="68" t="s">
        <v>836</v>
      </c>
      <c r="C31" s="410"/>
      <c r="D31" s="22">
        <v>10</v>
      </c>
      <c r="E31" s="22"/>
      <c r="F31" s="1404">
        <f t="shared" si="0"/>
        <v>0</v>
      </c>
      <c r="G31" s="20"/>
      <c r="H31" s="11"/>
      <c r="I31" s="16"/>
      <c r="K31" s="4">
        <f>+E31-G31-H31-I31</f>
        <v>0</v>
      </c>
    </row>
    <row r="32" spans="1:11" s="3" customFormat="1" ht="12.75" customHeight="1" thickBot="1">
      <c r="A32" s="83" t="s">
        <v>3</v>
      </c>
      <c r="B32" s="64" t="s">
        <v>1040</v>
      </c>
      <c r="C32" s="132">
        <f>+C33+C34+C35+C36+C37+C38+C39+C40+C41+C42+C43</f>
        <v>36941</v>
      </c>
      <c r="D32" s="28">
        <f>+D33+D34+D35+D36+D37+D38+D39+D40+D41+D42+D43</f>
        <v>37273</v>
      </c>
      <c r="E32" s="28">
        <f>+E33+E34+E35+E36+E37+E38+E39+E40+E41+E42+E43</f>
        <v>35887</v>
      </c>
      <c r="F32" s="1400">
        <f t="shared" si="0"/>
        <v>0.96281490623239341</v>
      </c>
      <c r="G32" s="27">
        <f>+G33+G34+G35+G36+G37+G38+G39+G40+G41+G42+G43</f>
        <v>12172</v>
      </c>
      <c r="H32" s="28">
        <f>+H33+H34+H35+H36+H37+H38+H39+H40+H41+H42+H43</f>
        <v>23715</v>
      </c>
      <c r="I32" s="29">
        <f>+I33+I34+I35+I36+I37+I38+I39+I40+I41+I42+I43</f>
        <v>0</v>
      </c>
      <c r="K32" s="3">
        <f>+E32-G32-H32-I32</f>
        <v>0</v>
      </c>
    </row>
    <row r="33" spans="1:11" ht="12.75" customHeight="1">
      <c r="A33" s="84" t="s">
        <v>61</v>
      </c>
      <c r="B33" s="65" t="s">
        <v>107</v>
      </c>
      <c r="C33" s="411"/>
      <c r="D33" s="10"/>
      <c r="E33" s="10"/>
      <c r="F33" s="1401" t="str">
        <f t="shared" si="0"/>
        <v>-</v>
      </c>
      <c r="G33" s="34"/>
      <c r="H33" s="10"/>
      <c r="I33" s="35"/>
      <c r="K33" s="4">
        <f>+E33-G33-H33-I33</f>
        <v>0</v>
      </c>
    </row>
    <row r="34" spans="1:11" ht="12.75" customHeight="1">
      <c r="A34" s="85" t="s">
        <v>62</v>
      </c>
      <c r="B34" s="67" t="s">
        <v>108</v>
      </c>
      <c r="C34" s="409">
        <v>23727</v>
      </c>
      <c r="D34" s="11">
        <v>23992</v>
      </c>
      <c r="E34" s="11">
        <v>23105</v>
      </c>
      <c r="F34" s="1402">
        <f t="shared" si="0"/>
        <v>0.96302934311437149</v>
      </c>
      <c r="G34" s="20">
        <v>4422</v>
      </c>
      <c r="H34" s="11">
        <f>18684-1</f>
        <v>18683</v>
      </c>
      <c r="I34" s="16"/>
      <c r="K34" s="4">
        <f>+E34-G34-H34-I34</f>
        <v>0</v>
      </c>
    </row>
    <row r="35" spans="1:11" ht="12.75" customHeight="1">
      <c r="A35" s="85" t="s">
        <v>63</v>
      </c>
      <c r="B35" s="67" t="s">
        <v>109</v>
      </c>
      <c r="C35" s="409">
        <v>5584</v>
      </c>
      <c r="D35" s="11">
        <v>5582</v>
      </c>
      <c r="E35" s="11">
        <v>5269</v>
      </c>
      <c r="F35" s="1402">
        <f t="shared" si="0"/>
        <v>0.9439269079183088</v>
      </c>
      <c r="G35" s="20">
        <v>5269</v>
      </c>
      <c r="H35" s="11"/>
      <c r="I35" s="16"/>
      <c r="K35" s="4">
        <f>+E35-G35-H35-I35</f>
        <v>0</v>
      </c>
    </row>
    <row r="36" spans="1:11" ht="12.75" customHeight="1">
      <c r="A36" s="85" t="s">
        <v>64</v>
      </c>
      <c r="B36" s="67" t="s">
        <v>110</v>
      </c>
      <c r="C36" s="409"/>
      <c r="D36" s="11"/>
      <c r="E36" s="11"/>
      <c r="F36" s="1402" t="str">
        <f t="shared" si="0"/>
        <v>-</v>
      </c>
      <c r="G36" s="20"/>
      <c r="H36" s="11"/>
      <c r="I36" s="16"/>
      <c r="K36" s="4">
        <f>+E36-G36-H36-I36</f>
        <v>0</v>
      </c>
    </row>
    <row r="37" spans="1:11" ht="12.75" customHeight="1">
      <c r="A37" s="85" t="s">
        <v>65</v>
      </c>
      <c r="B37" s="67" t="s">
        <v>111</v>
      </c>
      <c r="C37" s="409"/>
      <c r="D37" s="11"/>
      <c r="E37" s="11"/>
      <c r="F37" s="1402" t="str">
        <f t="shared" si="0"/>
        <v>-</v>
      </c>
      <c r="G37" s="20"/>
      <c r="H37" s="11"/>
      <c r="I37" s="16"/>
      <c r="K37" s="4">
        <f>+E37-G37-H37-I37</f>
        <v>0</v>
      </c>
    </row>
    <row r="38" spans="1:11" ht="12.75" customHeight="1">
      <c r="A38" s="85" t="s">
        <v>222</v>
      </c>
      <c r="B38" s="67" t="s">
        <v>112</v>
      </c>
      <c r="C38" s="409">
        <v>7630</v>
      </c>
      <c r="D38" s="11">
        <v>7489</v>
      </c>
      <c r="E38" s="11">
        <v>7303</v>
      </c>
      <c r="F38" s="1402">
        <f t="shared" si="0"/>
        <v>0.97516357324075309</v>
      </c>
      <c r="G38" s="20">
        <v>2271</v>
      </c>
      <c r="H38" s="11">
        <v>5032</v>
      </c>
      <c r="I38" s="16"/>
      <c r="K38" s="4">
        <f>+E38-G38-H38-I38</f>
        <v>0</v>
      </c>
    </row>
    <row r="39" spans="1:11" ht="12.75" customHeight="1">
      <c r="A39" s="85" t="s">
        <v>223</v>
      </c>
      <c r="B39" s="67" t="s">
        <v>113</v>
      </c>
      <c r="C39" s="409"/>
      <c r="D39" s="11"/>
      <c r="E39" s="11"/>
      <c r="F39" s="1402" t="str">
        <f t="shared" si="0"/>
        <v>-</v>
      </c>
      <c r="G39" s="20"/>
      <c r="H39" s="11"/>
      <c r="I39" s="16"/>
      <c r="K39" s="4">
        <f>+E39-G39-H39-I39</f>
        <v>0</v>
      </c>
    </row>
    <row r="40" spans="1:11" ht="12.75" customHeight="1">
      <c r="A40" s="85" t="s">
        <v>224</v>
      </c>
      <c r="B40" s="67" t="s">
        <v>1050</v>
      </c>
      <c r="C40" s="409"/>
      <c r="D40" s="11"/>
      <c r="E40" s="11"/>
      <c r="F40" s="1402" t="str">
        <f t="shared" si="0"/>
        <v>-</v>
      </c>
      <c r="G40" s="20"/>
      <c r="H40" s="11"/>
      <c r="I40" s="16"/>
      <c r="K40" s="4">
        <f>+E40-G40-H40-I40</f>
        <v>0</v>
      </c>
    </row>
    <row r="41" spans="1:11" ht="12.75" customHeight="1">
      <c r="A41" s="85" t="s">
        <v>225</v>
      </c>
      <c r="B41" s="67" t="s">
        <v>114</v>
      </c>
      <c r="C41" s="409"/>
      <c r="D41" s="11"/>
      <c r="E41" s="11"/>
      <c r="F41" s="1402" t="str">
        <f t="shared" si="0"/>
        <v>-</v>
      </c>
      <c r="G41" s="20"/>
      <c r="H41" s="11"/>
      <c r="I41" s="16"/>
      <c r="K41" s="4">
        <f>+E41-G41-H41-I41</f>
        <v>0</v>
      </c>
    </row>
    <row r="42" spans="1:11" ht="12.75" customHeight="1">
      <c r="A42" s="78" t="s">
        <v>226</v>
      </c>
      <c r="B42" s="68" t="s">
        <v>962</v>
      </c>
      <c r="C42" s="409"/>
      <c r="D42" s="11"/>
      <c r="E42" s="11"/>
      <c r="F42" s="1402" t="str">
        <f t="shared" si="0"/>
        <v>-</v>
      </c>
      <c r="G42" s="20"/>
      <c r="H42" s="11"/>
      <c r="I42" s="16"/>
      <c r="K42" s="4">
        <f>+E42-G42-H42-I42</f>
        <v>0</v>
      </c>
    </row>
    <row r="43" spans="1:11" ht="12.75" customHeight="1" thickBot="1">
      <c r="A43" s="78" t="s">
        <v>961</v>
      </c>
      <c r="B43" s="68" t="s">
        <v>963</v>
      </c>
      <c r="C43" s="410"/>
      <c r="D43" s="22">
        <v>210</v>
      </c>
      <c r="E43" s="22">
        <v>210</v>
      </c>
      <c r="F43" s="1404">
        <f t="shared" si="0"/>
        <v>1</v>
      </c>
      <c r="G43" s="21">
        <v>210</v>
      </c>
      <c r="H43" s="22"/>
      <c r="I43" s="23"/>
      <c r="K43" s="4">
        <f>+E43-G43-H43-I43</f>
        <v>0</v>
      </c>
    </row>
    <row r="44" spans="1:11" s="3" customFormat="1" ht="12.75" thickBot="1">
      <c r="A44" s="83" t="s">
        <v>16</v>
      </c>
      <c r="B44" s="64" t="s">
        <v>1041</v>
      </c>
      <c r="C44" s="132">
        <f>+C45+C46+C47+C48+C49</f>
        <v>0</v>
      </c>
      <c r="D44" s="28">
        <f>+D45+D46+D47+D48+D49</f>
        <v>0</v>
      </c>
      <c r="E44" s="28">
        <f>+E45+E46+E47+E48+E49</f>
        <v>0</v>
      </c>
      <c r="F44" s="1400" t="str">
        <f t="shared" si="0"/>
        <v>-</v>
      </c>
      <c r="G44" s="27">
        <f>+G45+G46+G47+G48+G49</f>
        <v>0</v>
      </c>
      <c r="H44" s="28">
        <f>+H45+H46+H47+H48+H49</f>
        <v>0</v>
      </c>
      <c r="I44" s="29">
        <f>+I45+I46+I47+I48+I49</f>
        <v>0</v>
      </c>
      <c r="K44" s="3">
        <f>+E44-G44-H44-I44</f>
        <v>0</v>
      </c>
    </row>
    <row r="45" spans="1:11" ht="12.75" customHeight="1">
      <c r="A45" s="84" t="s">
        <v>227</v>
      </c>
      <c r="B45" s="65" t="s">
        <v>115</v>
      </c>
      <c r="C45" s="411"/>
      <c r="D45" s="10"/>
      <c r="E45" s="10"/>
      <c r="F45" s="1401" t="str">
        <f t="shared" si="0"/>
        <v>-</v>
      </c>
      <c r="G45" s="34"/>
      <c r="H45" s="10"/>
      <c r="I45" s="35"/>
      <c r="K45" s="4">
        <f>+E45-G45-H45-I45</f>
        <v>0</v>
      </c>
    </row>
    <row r="46" spans="1:11" ht="12.75" customHeight="1">
      <c r="A46" s="84" t="s">
        <v>228</v>
      </c>
      <c r="B46" s="65" t="s">
        <v>964</v>
      </c>
      <c r="C46" s="411"/>
      <c r="D46" s="10"/>
      <c r="E46" s="11"/>
      <c r="F46" s="1401" t="str">
        <f t="shared" si="0"/>
        <v>-</v>
      </c>
      <c r="G46" s="34"/>
      <c r="H46" s="10"/>
      <c r="I46" s="35"/>
      <c r="K46" s="4">
        <f>+E46-G46-H46-I46</f>
        <v>0</v>
      </c>
    </row>
    <row r="47" spans="1:11" ht="12.75" customHeight="1">
      <c r="A47" s="84" t="s">
        <v>229</v>
      </c>
      <c r="B47" s="65" t="s">
        <v>965</v>
      </c>
      <c r="C47" s="411"/>
      <c r="D47" s="10"/>
      <c r="E47" s="22"/>
      <c r="F47" s="1401" t="str">
        <f t="shared" si="0"/>
        <v>-</v>
      </c>
      <c r="G47" s="34"/>
      <c r="H47" s="10"/>
      <c r="I47" s="35"/>
      <c r="K47" s="4">
        <f>+E47-G47-H47-I47</f>
        <v>0</v>
      </c>
    </row>
    <row r="48" spans="1:11" ht="12.75" customHeight="1">
      <c r="A48" s="85" t="s">
        <v>257</v>
      </c>
      <c r="B48" s="67" t="s">
        <v>966</v>
      </c>
      <c r="C48" s="409"/>
      <c r="D48" s="11"/>
      <c r="E48" s="11"/>
      <c r="F48" s="1402" t="str">
        <f t="shared" si="0"/>
        <v>-</v>
      </c>
      <c r="G48" s="20"/>
      <c r="H48" s="11"/>
      <c r="I48" s="16"/>
      <c r="K48" s="4">
        <f>+E48-G48-H48-I48</f>
        <v>0</v>
      </c>
    </row>
    <row r="49" spans="1:11" ht="12.75" customHeight="1" thickBot="1">
      <c r="A49" s="78" t="s">
        <v>258</v>
      </c>
      <c r="B49" s="68" t="s">
        <v>967</v>
      </c>
      <c r="C49" s="410"/>
      <c r="D49" s="22"/>
      <c r="E49" s="22"/>
      <c r="F49" s="1404" t="str">
        <f t="shared" si="0"/>
        <v>-</v>
      </c>
      <c r="G49" s="21"/>
      <c r="H49" s="22"/>
      <c r="I49" s="23"/>
      <c r="K49" s="4">
        <f>+E49-G49-H49-I49</f>
        <v>0</v>
      </c>
    </row>
    <row r="50" spans="1:11" s="3" customFormat="1" ht="12.75" thickBot="1">
      <c r="A50" s="83" t="s">
        <v>15</v>
      </c>
      <c r="B50" s="69" t="s">
        <v>300</v>
      </c>
      <c r="C50" s="132">
        <f>+C51+C58+C64</f>
        <v>0</v>
      </c>
      <c r="D50" s="28">
        <f>+D51+D58+D64</f>
        <v>0</v>
      </c>
      <c r="E50" s="28">
        <f>+E51+E58+E64</f>
        <v>0</v>
      </c>
      <c r="F50" s="1400" t="str">
        <f t="shared" si="0"/>
        <v>-</v>
      </c>
      <c r="G50" s="27">
        <f>+G51+G58+G64</f>
        <v>0</v>
      </c>
      <c r="H50" s="28">
        <f>+H51+H58+H64</f>
        <v>0</v>
      </c>
      <c r="I50" s="29">
        <f>+I51+I58+I64</f>
        <v>0</v>
      </c>
      <c r="K50" s="3">
        <f>+E50-G50-H50-I50</f>
        <v>0</v>
      </c>
    </row>
    <row r="51" spans="1:11" s="3" customFormat="1" ht="12.75" customHeight="1" thickBot="1">
      <c r="A51" s="83" t="s">
        <v>14</v>
      </c>
      <c r="B51" s="64" t="s">
        <v>301</v>
      </c>
      <c r="C51" s="132">
        <f>+C52+C53+C54+C55+C56</f>
        <v>0</v>
      </c>
      <c r="D51" s="28">
        <f>+D52+D53+D54+D55+D56</f>
        <v>0</v>
      </c>
      <c r="E51" s="28">
        <f>+E52+E53+E54+E55+E56</f>
        <v>0</v>
      </c>
      <c r="F51" s="1400" t="str">
        <f t="shared" si="0"/>
        <v>-</v>
      </c>
      <c r="G51" s="27">
        <f>+G52+G53+G54+G55+G56</f>
        <v>0</v>
      </c>
      <c r="H51" s="28">
        <f>+H52+H53+H54+H55+H56</f>
        <v>0</v>
      </c>
      <c r="I51" s="29">
        <f>+I52+I53+I54+I55+I56</f>
        <v>0</v>
      </c>
      <c r="K51" s="3">
        <f>+E51-G51-H51-I51</f>
        <v>0</v>
      </c>
    </row>
    <row r="52" spans="1:11">
      <c r="A52" s="84" t="s">
        <v>185</v>
      </c>
      <c r="B52" s="113" t="s">
        <v>116</v>
      </c>
      <c r="C52" s="411"/>
      <c r="D52" s="10"/>
      <c r="E52" s="10"/>
      <c r="F52" s="1401" t="str">
        <f t="shared" si="0"/>
        <v>-</v>
      </c>
      <c r="G52" s="34"/>
      <c r="H52" s="10"/>
      <c r="I52" s="35"/>
      <c r="K52" s="4">
        <f>+E52-G52-H52-I52</f>
        <v>0</v>
      </c>
    </row>
    <row r="53" spans="1:11">
      <c r="A53" s="85" t="s">
        <v>186</v>
      </c>
      <c r="B53" s="67" t="s">
        <v>117</v>
      </c>
      <c r="C53" s="409"/>
      <c r="D53" s="11"/>
      <c r="E53" s="11"/>
      <c r="F53" s="1402" t="str">
        <f t="shared" si="0"/>
        <v>-</v>
      </c>
      <c r="G53" s="20"/>
      <c r="H53" s="11"/>
      <c r="I53" s="16"/>
      <c r="K53" s="4">
        <f>+E53-G53-H53-I53</f>
        <v>0</v>
      </c>
    </row>
    <row r="54" spans="1:11">
      <c r="A54" s="85" t="s">
        <v>187</v>
      </c>
      <c r="B54" s="67" t="s">
        <v>118</v>
      </c>
      <c r="C54" s="409"/>
      <c r="D54" s="11"/>
      <c r="E54" s="11"/>
      <c r="F54" s="1402" t="str">
        <f t="shared" si="0"/>
        <v>-</v>
      </c>
      <c r="G54" s="20"/>
      <c r="H54" s="11"/>
      <c r="I54" s="16"/>
      <c r="K54" s="4">
        <f>+E54-G54-H54-I54</f>
        <v>0</v>
      </c>
    </row>
    <row r="55" spans="1:11">
      <c r="A55" s="85" t="s">
        <v>188</v>
      </c>
      <c r="B55" s="67" t="s">
        <v>119</v>
      </c>
      <c r="C55" s="409"/>
      <c r="D55" s="11"/>
      <c r="E55" s="11"/>
      <c r="F55" s="1402" t="str">
        <f t="shared" si="0"/>
        <v>-</v>
      </c>
      <c r="G55" s="20"/>
      <c r="H55" s="11"/>
      <c r="I55" s="16"/>
      <c r="K55" s="4">
        <f>+E55-G55-H55-I55</f>
        <v>0</v>
      </c>
    </row>
    <row r="56" spans="1:11">
      <c r="A56" s="78" t="s">
        <v>189</v>
      </c>
      <c r="B56" s="68" t="s">
        <v>120</v>
      </c>
      <c r="C56" s="410"/>
      <c r="D56" s="22"/>
      <c r="E56" s="22"/>
      <c r="F56" s="1404" t="str">
        <f t="shared" si="0"/>
        <v>-</v>
      </c>
      <c r="G56" s="21"/>
      <c r="H56" s="22"/>
      <c r="I56" s="23"/>
      <c r="K56" s="4">
        <f>+E56-G56-H56-I56</f>
        <v>0</v>
      </c>
    </row>
    <row r="57" spans="1:11" s="13" customFormat="1" ht="12.75" thickBot="1">
      <c r="A57" s="89" t="s">
        <v>334</v>
      </c>
      <c r="B57" s="818" t="s">
        <v>338</v>
      </c>
      <c r="C57" s="408"/>
      <c r="D57" s="43"/>
      <c r="E57" s="43"/>
      <c r="F57" s="1404" t="str">
        <f t="shared" si="0"/>
        <v>-</v>
      </c>
      <c r="G57" s="45"/>
      <c r="H57" s="43"/>
      <c r="I57" s="44"/>
      <c r="K57" s="13">
        <f>+E57-G57-H57-I57</f>
        <v>0</v>
      </c>
    </row>
    <row r="58" spans="1:11" s="3" customFormat="1" ht="12.75" customHeight="1" thickBot="1">
      <c r="A58" s="83" t="s">
        <v>13</v>
      </c>
      <c r="B58" s="64" t="s">
        <v>302</v>
      </c>
      <c r="C58" s="132">
        <f>+C59+C60+C61+C62+C63</f>
        <v>0</v>
      </c>
      <c r="D58" s="28">
        <f>+D59+D60+D61+D62+D63</f>
        <v>0</v>
      </c>
      <c r="E58" s="28">
        <f>+E59+E60+E61+E62+E63</f>
        <v>0</v>
      </c>
      <c r="F58" s="1400" t="str">
        <f t="shared" si="0"/>
        <v>-</v>
      </c>
      <c r="G58" s="27">
        <f>+G59+G60+G61+G62+G63</f>
        <v>0</v>
      </c>
      <c r="H58" s="28">
        <f>+H59+H60+H61+H62+H63</f>
        <v>0</v>
      </c>
      <c r="I58" s="29">
        <f>+I59+I60+I61+I62+I63</f>
        <v>0</v>
      </c>
      <c r="K58" s="3">
        <f>+E58-G58-H58-I58</f>
        <v>0</v>
      </c>
    </row>
    <row r="59" spans="1:11" ht="12.75" customHeight="1">
      <c r="A59" s="84" t="s">
        <v>66</v>
      </c>
      <c r="B59" s="65" t="s">
        <v>121</v>
      </c>
      <c r="C59" s="411"/>
      <c r="D59" s="10"/>
      <c r="E59" s="10"/>
      <c r="F59" s="1401" t="str">
        <f t="shared" si="0"/>
        <v>-</v>
      </c>
      <c r="G59" s="34"/>
      <c r="H59" s="10"/>
      <c r="I59" s="35"/>
      <c r="K59" s="4">
        <f>+E59-G59-H59-I59</f>
        <v>0</v>
      </c>
    </row>
    <row r="60" spans="1:11" ht="12.75" customHeight="1">
      <c r="A60" s="85" t="s">
        <v>67</v>
      </c>
      <c r="B60" s="67" t="s">
        <v>122</v>
      </c>
      <c r="C60" s="409"/>
      <c r="D60" s="11"/>
      <c r="E60" s="11"/>
      <c r="F60" s="1402" t="str">
        <f t="shared" si="0"/>
        <v>-</v>
      </c>
      <c r="G60" s="20"/>
      <c r="H60" s="11"/>
      <c r="I60" s="16"/>
      <c r="K60" s="4">
        <f>+E60-G60-H60-I60</f>
        <v>0</v>
      </c>
    </row>
    <row r="61" spans="1:11" ht="12.75" customHeight="1">
      <c r="A61" s="85" t="s">
        <v>68</v>
      </c>
      <c r="B61" s="67" t="s">
        <v>123</v>
      </c>
      <c r="C61" s="409"/>
      <c r="D61" s="11"/>
      <c r="E61" s="11"/>
      <c r="F61" s="1402" t="str">
        <f t="shared" si="0"/>
        <v>-</v>
      </c>
      <c r="G61" s="20"/>
      <c r="H61" s="11"/>
      <c r="I61" s="16"/>
      <c r="K61" s="4">
        <f>+E61-G61-H61-I61</f>
        <v>0</v>
      </c>
    </row>
    <row r="62" spans="1:11" ht="12.75" customHeight="1">
      <c r="A62" s="85" t="s">
        <v>230</v>
      </c>
      <c r="B62" s="67" t="s">
        <v>124</v>
      </c>
      <c r="C62" s="409"/>
      <c r="D62" s="11"/>
      <c r="E62" s="11"/>
      <c r="F62" s="1402" t="str">
        <f t="shared" si="0"/>
        <v>-</v>
      </c>
      <c r="G62" s="20"/>
      <c r="H62" s="11"/>
      <c r="I62" s="16"/>
      <c r="K62" s="4">
        <f>+E62-G62-H62-I62</f>
        <v>0</v>
      </c>
    </row>
    <row r="63" spans="1:11" ht="12.75" customHeight="1" thickBot="1">
      <c r="A63" s="78" t="s">
        <v>231</v>
      </c>
      <c r="B63" s="68" t="s">
        <v>125</v>
      </c>
      <c r="C63" s="410"/>
      <c r="D63" s="22"/>
      <c r="E63" s="22"/>
      <c r="F63" s="1404" t="str">
        <f t="shared" si="0"/>
        <v>-</v>
      </c>
      <c r="G63" s="21"/>
      <c r="H63" s="22"/>
      <c r="I63" s="23"/>
      <c r="K63" s="4">
        <f>+E63-G63-H63-I63</f>
        <v>0</v>
      </c>
    </row>
    <row r="64" spans="1:11" s="3" customFormat="1" ht="12.75" thickBot="1">
      <c r="A64" s="83" t="s">
        <v>12</v>
      </c>
      <c r="B64" s="64" t="s">
        <v>971</v>
      </c>
      <c r="C64" s="132">
        <f>+C65+C66+C67+C68+C69</f>
        <v>0</v>
      </c>
      <c r="D64" s="28">
        <f>+D65+D66+D67+D68+D69</f>
        <v>0</v>
      </c>
      <c r="E64" s="28">
        <f>+E65+E66+E67+E68+E69</f>
        <v>0</v>
      </c>
      <c r="F64" s="1400" t="str">
        <f t="shared" si="0"/>
        <v>-</v>
      </c>
      <c r="G64" s="27">
        <f>+G65+G66+G67+G68+G69</f>
        <v>0</v>
      </c>
      <c r="H64" s="28">
        <f>+H65+H66+H67+H68+H69</f>
        <v>0</v>
      </c>
      <c r="I64" s="29">
        <f>+I65+I66+I67+I68+I69</f>
        <v>0</v>
      </c>
      <c r="K64" s="3">
        <f>+E64-G64-H64-I64</f>
        <v>0</v>
      </c>
    </row>
    <row r="65" spans="1:11">
      <c r="A65" s="84" t="s">
        <v>69</v>
      </c>
      <c r="B65" s="65" t="s">
        <v>126</v>
      </c>
      <c r="C65" s="411"/>
      <c r="D65" s="10"/>
      <c r="E65" s="10"/>
      <c r="F65" s="1401" t="str">
        <f t="shared" si="0"/>
        <v>-</v>
      </c>
      <c r="G65" s="34"/>
      <c r="H65" s="10"/>
      <c r="I65" s="35"/>
      <c r="K65" s="4">
        <f>+E65-G65-H65-I65</f>
        <v>0</v>
      </c>
    </row>
    <row r="66" spans="1:11">
      <c r="A66" s="84" t="s">
        <v>70</v>
      </c>
      <c r="B66" s="65" t="s">
        <v>972</v>
      </c>
      <c r="C66" s="411"/>
      <c r="D66" s="10"/>
      <c r="E66" s="11"/>
      <c r="F66" s="1401" t="str">
        <f t="shared" si="0"/>
        <v>-</v>
      </c>
      <c r="G66" s="34"/>
      <c r="H66" s="10"/>
      <c r="I66" s="35"/>
      <c r="K66" s="4">
        <f>+E66-G66-H66-I66</f>
        <v>0</v>
      </c>
    </row>
    <row r="67" spans="1:11">
      <c r="A67" s="84" t="s">
        <v>71</v>
      </c>
      <c r="B67" s="65" t="s">
        <v>973</v>
      </c>
      <c r="C67" s="411"/>
      <c r="D67" s="10"/>
      <c r="E67" s="22"/>
      <c r="F67" s="1401" t="str">
        <f t="shared" si="0"/>
        <v>-</v>
      </c>
      <c r="G67" s="34"/>
      <c r="H67" s="10"/>
      <c r="I67" s="35"/>
      <c r="K67" s="4">
        <f>+E67-G67-H67-I67</f>
        <v>0</v>
      </c>
    </row>
    <row r="68" spans="1:11">
      <c r="A68" s="85" t="s">
        <v>72</v>
      </c>
      <c r="B68" s="67" t="s">
        <v>969</v>
      </c>
      <c r="C68" s="409"/>
      <c r="D68" s="11"/>
      <c r="E68" s="11"/>
      <c r="F68" s="1402" t="str">
        <f t="shared" si="0"/>
        <v>-</v>
      </c>
      <c r="G68" s="20"/>
      <c r="H68" s="11"/>
      <c r="I68" s="16"/>
      <c r="K68" s="4">
        <f>+E68-G68-H68-I68</f>
        <v>0</v>
      </c>
    </row>
    <row r="69" spans="1:11" ht="12.75" thickBot="1">
      <c r="A69" s="78" t="s">
        <v>968</v>
      </c>
      <c r="B69" s="68" t="s">
        <v>970</v>
      </c>
      <c r="C69" s="410"/>
      <c r="D69" s="22"/>
      <c r="E69" s="22"/>
      <c r="F69" s="1404" t="str">
        <f t="shared" si="0"/>
        <v>-</v>
      </c>
      <c r="G69" s="21"/>
      <c r="H69" s="22"/>
      <c r="I69" s="23"/>
      <c r="K69" s="4">
        <f>+E69-G69-H69-I69</f>
        <v>0</v>
      </c>
    </row>
    <row r="70" spans="1:11" s="3" customFormat="1" ht="12.75" thickBot="1">
      <c r="A70" s="83" t="s">
        <v>11</v>
      </c>
      <c r="B70" s="69" t="s">
        <v>303</v>
      </c>
      <c r="C70" s="132">
        <f>+C10+C50</f>
        <v>36941</v>
      </c>
      <c r="D70" s="28">
        <f>+D10+D50</f>
        <v>120714</v>
      </c>
      <c r="E70" s="28">
        <f>+E10+E50</f>
        <v>119318</v>
      </c>
      <c r="F70" s="1400">
        <f t="shared" si="0"/>
        <v>0.98843547558692446</v>
      </c>
      <c r="G70" s="27">
        <f>+G10+G50</f>
        <v>92776</v>
      </c>
      <c r="H70" s="28">
        <f>+H10+H50</f>
        <v>23715</v>
      </c>
      <c r="I70" s="29">
        <f>+I10+I50</f>
        <v>2827</v>
      </c>
      <c r="K70" s="3">
        <f>+E70-G70-H70-I70</f>
        <v>0</v>
      </c>
    </row>
    <row r="71" spans="1:11" s="3" customFormat="1" ht="12.75" thickBot="1">
      <c r="A71" s="83" t="s">
        <v>10</v>
      </c>
      <c r="B71" s="70" t="s">
        <v>304</v>
      </c>
      <c r="C71" s="132">
        <f>+C72</f>
        <v>315545</v>
      </c>
      <c r="D71" s="28">
        <f>+D72</f>
        <v>264153</v>
      </c>
      <c r="E71" s="28">
        <f>+E72</f>
        <v>316313</v>
      </c>
      <c r="F71" s="1400">
        <f t="shared" si="0"/>
        <v>1.1974613197654389</v>
      </c>
      <c r="G71" s="27">
        <f>+G72</f>
        <v>310624</v>
      </c>
      <c r="H71" s="28">
        <f>+H72</f>
        <v>5180</v>
      </c>
      <c r="I71" s="29">
        <f>+I72</f>
        <v>509</v>
      </c>
      <c r="K71" s="3">
        <f>+E71-G71-H71-I71</f>
        <v>0</v>
      </c>
    </row>
    <row r="72" spans="1:11" s="3" customFormat="1" ht="12.75" thickBot="1">
      <c r="A72" s="83" t="s">
        <v>9</v>
      </c>
      <c r="B72" s="64" t="s">
        <v>980</v>
      </c>
      <c r="C72" s="132">
        <f>+C73+C83+C84+C85</f>
        <v>315545</v>
      </c>
      <c r="D72" s="28">
        <f>+D73+D83+D84+D85</f>
        <v>264153</v>
      </c>
      <c r="E72" s="28">
        <f>+E73+E83+E84+E85</f>
        <v>316313</v>
      </c>
      <c r="F72" s="1400">
        <f t="shared" si="0"/>
        <v>1.1974613197654389</v>
      </c>
      <c r="G72" s="27">
        <f>+G73+G83+G84+G85</f>
        <v>310624</v>
      </c>
      <c r="H72" s="28">
        <f>+H73+H83+H84+H85</f>
        <v>5180</v>
      </c>
      <c r="I72" s="29">
        <f>+I73+I83+I84+I85</f>
        <v>509</v>
      </c>
      <c r="K72" s="3">
        <f>+E72-G72-H72-I72</f>
        <v>0</v>
      </c>
    </row>
    <row r="73" spans="1:11">
      <c r="A73" s="84" t="s">
        <v>73</v>
      </c>
      <c r="B73" s="65" t="s">
        <v>975</v>
      </c>
      <c r="C73" s="411">
        <f>+C74+C75+C76+C77+C78+C79+C80+C81+C82</f>
        <v>315545</v>
      </c>
      <c r="D73" s="10">
        <f>+D74+D75+D76+D77+D78+D79+D80+D81+D82</f>
        <v>264153</v>
      </c>
      <c r="E73" s="10">
        <f>+E74+E75+E76+E77+E78+E79+E80+E81+E82</f>
        <v>316313</v>
      </c>
      <c r="F73" s="1401">
        <f t="shared" si="0"/>
        <v>1.1974613197654389</v>
      </c>
      <c r="G73" s="34">
        <f>+G74+G75+G76+G77+G78+G79+G80+G81+G82</f>
        <v>310624</v>
      </c>
      <c r="H73" s="10">
        <f>+H74+H75+H76+H77+H78+H79+H80+H81+H82</f>
        <v>5180</v>
      </c>
      <c r="I73" s="35">
        <f>+I74+I75+I76+I77+I78+I79+I80+I81+I82</f>
        <v>509</v>
      </c>
      <c r="K73" s="4">
        <f>+E73-G73-H73-I73</f>
        <v>0</v>
      </c>
    </row>
    <row r="74" spans="1:11" s="13" customFormat="1">
      <c r="A74" s="86" t="s">
        <v>196</v>
      </c>
      <c r="B74" s="66" t="s">
        <v>974</v>
      </c>
      <c r="C74" s="407"/>
      <c r="D74" s="12"/>
      <c r="E74" s="12"/>
      <c r="F74" s="1402" t="str">
        <f t="shared" ref="F74:F102" si="1">IF(ISERROR(E74/D74),"-",E74/D74)</f>
        <v>-</v>
      </c>
      <c r="G74" s="19"/>
      <c r="H74" s="12"/>
      <c r="I74" s="15"/>
      <c r="K74" s="13">
        <f>+E74-G74-H74-I74</f>
        <v>0</v>
      </c>
    </row>
    <row r="75" spans="1:11" s="13" customFormat="1">
      <c r="A75" s="86" t="s">
        <v>197</v>
      </c>
      <c r="B75" s="66" t="s">
        <v>247</v>
      </c>
      <c r="C75" s="407"/>
      <c r="D75" s="12"/>
      <c r="E75" s="12"/>
      <c r="F75" s="1402" t="str">
        <f t="shared" si="1"/>
        <v>-</v>
      </c>
      <c r="G75" s="19"/>
      <c r="H75" s="12"/>
      <c r="I75" s="15"/>
      <c r="K75" s="13">
        <f>+E75-G75-H75-I75</f>
        <v>0</v>
      </c>
    </row>
    <row r="76" spans="1:11" s="13" customFormat="1">
      <c r="A76" s="86" t="s">
        <v>198</v>
      </c>
      <c r="B76" s="66" t="s">
        <v>248</v>
      </c>
      <c r="C76" s="407"/>
      <c r="D76" s="12">
        <f>0+1298</f>
        <v>1298</v>
      </c>
      <c r="E76" s="12">
        <v>1298</v>
      </c>
      <c r="F76" s="1402">
        <f t="shared" si="1"/>
        <v>1</v>
      </c>
      <c r="G76" s="19">
        <f>0+1298</f>
        <v>1298</v>
      </c>
      <c r="H76" s="12"/>
      <c r="I76" s="15"/>
      <c r="K76" s="13">
        <f>+E76-G76-H76-I76</f>
        <v>0</v>
      </c>
    </row>
    <row r="77" spans="1:11" s="13" customFormat="1">
      <c r="A77" s="86" t="s">
        <v>199</v>
      </c>
      <c r="B77" s="66" t="s">
        <v>249</v>
      </c>
      <c r="C77" s="407"/>
      <c r="D77" s="12"/>
      <c r="E77" s="12"/>
      <c r="F77" s="1402" t="str">
        <f t="shared" si="1"/>
        <v>-</v>
      </c>
      <c r="G77" s="19"/>
      <c r="H77" s="12"/>
      <c r="I77" s="15"/>
      <c r="K77" s="13">
        <f>+E77-G77-H77-I77</f>
        <v>0</v>
      </c>
    </row>
    <row r="78" spans="1:11" s="13" customFormat="1">
      <c r="A78" s="86" t="s">
        <v>200</v>
      </c>
      <c r="B78" s="66" t="s">
        <v>250</v>
      </c>
      <c r="C78" s="407"/>
      <c r="D78" s="12"/>
      <c r="E78" s="12"/>
      <c r="F78" s="1402" t="str">
        <f t="shared" si="1"/>
        <v>-</v>
      </c>
      <c r="G78" s="19"/>
      <c r="H78" s="12"/>
      <c r="I78" s="15"/>
      <c r="K78" s="13">
        <f>+E78-G78-H78-I78</f>
        <v>0</v>
      </c>
    </row>
    <row r="79" spans="1:11" s="13" customFormat="1">
      <c r="A79" s="108" t="s">
        <v>201</v>
      </c>
      <c r="B79" s="109" t="s">
        <v>251</v>
      </c>
      <c r="C79" s="407">
        <f t="shared" ref="C79:F79" si="2">+C109-C10+C178-C74-C75-C76-C77-C78-C80-C81-C83-C84-C85</f>
        <v>315545</v>
      </c>
      <c r="D79" s="12">
        <f>277343-D94</f>
        <v>262855</v>
      </c>
      <c r="E79" s="12">
        <f>329459-E94+1</f>
        <v>315015</v>
      </c>
      <c r="F79" s="1402">
        <f t="shared" si="1"/>
        <v>1.1984364002967416</v>
      </c>
      <c r="G79" s="19">
        <f>309835-509</f>
        <v>309326</v>
      </c>
      <c r="H79" s="12">
        <f>+H109-H10+H178-H74-H75-H76-H77-H78-H80-H81-H83-H84-H85</f>
        <v>5180</v>
      </c>
      <c r="I79" s="15">
        <f>+I109-I10+I178-I74-I75-I76-I77-I78-I80-I81-I83-I84-I85</f>
        <v>509</v>
      </c>
      <c r="K79" s="117">
        <f>+E79-G79-H79-I79</f>
        <v>0</v>
      </c>
    </row>
    <row r="80" spans="1:11" s="13" customFormat="1">
      <c r="A80" s="86" t="s">
        <v>204</v>
      </c>
      <c r="B80" s="66" t="s">
        <v>252</v>
      </c>
      <c r="C80" s="407"/>
      <c r="D80" s="12"/>
      <c r="E80" s="744"/>
      <c r="F80" s="1402" t="str">
        <f t="shared" si="1"/>
        <v>-</v>
      </c>
      <c r="G80" s="19"/>
      <c r="H80" s="12"/>
      <c r="I80" s="15"/>
      <c r="K80" s="117">
        <f>+E80-G80-H80-I80</f>
        <v>0</v>
      </c>
    </row>
    <row r="81" spans="1:11" s="13" customFormat="1">
      <c r="A81" s="86" t="s">
        <v>202</v>
      </c>
      <c r="B81" s="66" t="s">
        <v>245</v>
      </c>
      <c r="C81" s="407"/>
      <c r="D81" s="12"/>
      <c r="E81" s="744"/>
      <c r="F81" s="1402" t="str">
        <f t="shared" si="1"/>
        <v>-</v>
      </c>
      <c r="G81" s="19"/>
      <c r="H81" s="12"/>
      <c r="I81" s="15"/>
      <c r="K81" s="117">
        <f>+E81-G81-H81-I81</f>
        <v>0</v>
      </c>
    </row>
    <row r="82" spans="1:11" s="13" customFormat="1">
      <c r="A82" s="86" t="s">
        <v>976</v>
      </c>
      <c r="B82" s="66" t="s">
        <v>977</v>
      </c>
      <c r="C82" s="407"/>
      <c r="D82" s="12"/>
      <c r="E82" s="744"/>
      <c r="F82" s="1402" t="str">
        <f t="shared" si="1"/>
        <v>-</v>
      </c>
      <c r="G82" s="19"/>
      <c r="H82" s="12"/>
      <c r="I82" s="15"/>
      <c r="K82" s="117">
        <f>+E82-G82-H82-I82</f>
        <v>0</v>
      </c>
    </row>
    <row r="83" spans="1:11">
      <c r="A83" s="85" t="s">
        <v>74</v>
      </c>
      <c r="B83" s="67" t="s">
        <v>243</v>
      </c>
      <c r="C83" s="409"/>
      <c r="D83" s="11"/>
      <c r="E83" s="988"/>
      <c r="F83" s="1402" t="str">
        <f t="shared" si="1"/>
        <v>-</v>
      </c>
      <c r="G83" s="20"/>
      <c r="H83" s="11"/>
      <c r="I83" s="16"/>
      <c r="K83" s="118">
        <f>+E83-G83-H83-I83</f>
        <v>0</v>
      </c>
    </row>
    <row r="84" spans="1:11">
      <c r="A84" s="78" t="s">
        <v>203</v>
      </c>
      <c r="B84" s="68" t="s">
        <v>244</v>
      </c>
      <c r="C84" s="410"/>
      <c r="D84" s="22"/>
      <c r="E84" s="991"/>
      <c r="F84" s="1404" t="str">
        <f t="shared" si="1"/>
        <v>-</v>
      </c>
      <c r="G84" s="21"/>
      <c r="H84" s="22"/>
      <c r="I84" s="23"/>
      <c r="K84" s="118">
        <f>+E84-G84-H84-I84</f>
        <v>0</v>
      </c>
    </row>
    <row r="85" spans="1:11" ht="12.75" thickBot="1">
      <c r="A85" s="78" t="s">
        <v>978</v>
      </c>
      <c r="B85" s="68" t="s">
        <v>979</v>
      </c>
      <c r="C85" s="410"/>
      <c r="D85" s="22"/>
      <c r="E85" s="991"/>
      <c r="F85" s="1404" t="str">
        <f t="shared" si="1"/>
        <v>-</v>
      </c>
      <c r="G85" s="21"/>
      <c r="H85" s="22"/>
      <c r="I85" s="23"/>
      <c r="K85" s="118">
        <f>+E85-G85-H85-I85</f>
        <v>0</v>
      </c>
    </row>
    <row r="86" spans="1:11" s="3" customFormat="1" ht="12.75" thickBot="1">
      <c r="A86" s="83" t="s">
        <v>45</v>
      </c>
      <c r="B86" s="70" t="s">
        <v>305</v>
      </c>
      <c r="C86" s="132">
        <f>+C87</f>
        <v>0</v>
      </c>
      <c r="D86" s="28">
        <f>+D87</f>
        <v>14488</v>
      </c>
      <c r="E86" s="111">
        <f>+E87</f>
        <v>14445</v>
      </c>
      <c r="F86" s="1400">
        <f t="shared" si="1"/>
        <v>0.99703202650469358</v>
      </c>
      <c r="G86" s="27">
        <f>+G87</f>
        <v>14023</v>
      </c>
      <c r="H86" s="28">
        <f>+H87</f>
        <v>422</v>
      </c>
      <c r="I86" s="29">
        <f>+I87</f>
        <v>0</v>
      </c>
      <c r="K86" s="119">
        <f>+E86-G86-H86-I86</f>
        <v>0</v>
      </c>
    </row>
    <row r="87" spans="1:11" s="3" customFormat="1" ht="12.75" thickBot="1">
      <c r="A87" s="83" t="s">
        <v>44</v>
      </c>
      <c r="B87" s="64" t="s">
        <v>982</v>
      </c>
      <c r="C87" s="132">
        <f>+C88+C98+C99+C100</f>
        <v>0</v>
      </c>
      <c r="D87" s="28">
        <f>+D88+D98+D99+D100</f>
        <v>14488</v>
      </c>
      <c r="E87" s="111">
        <f>+E88+E98+E99+E100</f>
        <v>14445</v>
      </c>
      <c r="F87" s="1400">
        <f t="shared" si="1"/>
        <v>0.99703202650469358</v>
      </c>
      <c r="G87" s="27">
        <f>+G88+G98+G99+G100</f>
        <v>14023</v>
      </c>
      <c r="H87" s="28">
        <f>+H88+H98+H99+H100</f>
        <v>422</v>
      </c>
      <c r="I87" s="29">
        <f>+I88+I98+I99+I100</f>
        <v>0</v>
      </c>
      <c r="K87" s="119">
        <f>+E87-G87-H87-I87</f>
        <v>0</v>
      </c>
    </row>
    <row r="88" spans="1:11">
      <c r="A88" s="84" t="s">
        <v>232</v>
      </c>
      <c r="B88" s="65" t="s">
        <v>1042</v>
      </c>
      <c r="C88" s="411">
        <f>+C89+C90+C91+C92+C93+C94+C95+C96+C97</f>
        <v>0</v>
      </c>
      <c r="D88" s="10">
        <f>+D89+D90+D91+D92+D93+D94+D95+D96+D97</f>
        <v>14488</v>
      </c>
      <c r="E88" s="115">
        <f>+E89+E90+E91+E92+E93+E94+E95+E96+E97</f>
        <v>14445</v>
      </c>
      <c r="F88" s="1401">
        <f t="shared" si="1"/>
        <v>0.99703202650469358</v>
      </c>
      <c r="G88" s="34">
        <f>+G89+G90+G91+G92+G93+G94+G95+G96+G97</f>
        <v>14023</v>
      </c>
      <c r="H88" s="10">
        <f>+H89+H90+H91+H92+H93+H94+H95+H96+H97</f>
        <v>422</v>
      </c>
      <c r="I88" s="35">
        <f>+I89+I90+I91+I92+I93+I94+I95+I96+I97</f>
        <v>0</v>
      </c>
      <c r="K88" s="118">
        <f>+E88-G88-H88-I88</f>
        <v>0</v>
      </c>
    </row>
    <row r="89" spans="1:11" s="13" customFormat="1">
      <c r="A89" s="86" t="s">
        <v>233</v>
      </c>
      <c r="B89" s="66" t="s">
        <v>974</v>
      </c>
      <c r="C89" s="407"/>
      <c r="D89" s="12"/>
      <c r="E89" s="744"/>
      <c r="F89" s="1402" t="str">
        <f t="shared" si="1"/>
        <v>-</v>
      </c>
      <c r="G89" s="19"/>
      <c r="H89" s="12"/>
      <c r="I89" s="15"/>
      <c r="K89" s="117">
        <f>+E89-G89-H89-I89</f>
        <v>0</v>
      </c>
    </row>
    <row r="90" spans="1:11" s="13" customFormat="1">
      <c r="A90" s="86" t="s">
        <v>234</v>
      </c>
      <c r="B90" s="66" t="s">
        <v>247</v>
      </c>
      <c r="C90" s="407"/>
      <c r="D90" s="12"/>
      <c r="E90" s="744"/>
      <c r="F90" s="1402" t="str">
        <f t="shared" si="1"/>
        <v>-</v>
      </c>
      <c r="G90" s="19"/>
      <c r="H90" s="12"/>
      <c r="I90" s="15"/>
      <c r="K90" s="117">
        <f>+E90-G90-H90-I90</f>
        <v>0</v>
      </c>
    </row>
    <row r="91" spans="1:11" s="13" customFormat="1">
      <c r="A91" s="86" t="s">
        <v>235</v>
      </c>
      <c r="B91" s="66" t="s">
        <v>248</v>
      </c>
      <c r="C91" s="407"/>
      <c r="D91" s="12"/>
      <c r="E91" s="744"/>
      <c r="F91" s="1402" t="str">
        <f t="shared" si="1"/>
        <v>-</v>
      </c>
      <c r="G91" s="19"/>
      <c r="H91" s="12"/>
      <c r="I91" s="15"/>
      <c r="K91" s="117">
        <f>+E91-G91-H91-I91</f>
        <v>0</v>
      </c>
    </row>
    <row r="92" spans="1:11" s="13" customFormat="1">
      <c r="A92" s="86" t="s">
        <v>236</v>
      </c>
      <c r="B92" s="66" t="s">
        <v>249</v>
      </c>
      <c r="C92" s="407"/>
      <c r="D92" s="12"/>
      <c r="E92" s="744"/>
      <c r="F92" s="1402" t="str">
        <f t="shared" si="1"/>
        <v>-</v>
      </c>
      <c r="G92" s="19"/>
      <c r="H92" s="12"/>
      <c r="I92" s="15"/>
      <c r="K92" s="117">
        <f>+E92-G92-H92-I92</f>
        <v>0</v>
      </c>
    </row>
    <row r="93" spans="1:11" s="13" customFormat="1">
      <c r="A93" s="86" t="s">
        <v>237</v>
      </c>
      <c r="B93" s="66" t="s">
        <v>250</v>
      </c>
      <c r="C93" s="407"/>
      <c r="D93" s="12"/>
      <c r="E93" s="744"/>
      <c r="F93" s="1402" t="str">
        <f t="shared" si="1"/>
        <v>-</v>
      </c>
      <c r="G93" s="19"/>
      <c r="H93" s="12"/>
      <c r="I93" s="15"/>
      <c r="K93" s="117">
        <f>+E93-G93-H93-I93</f>
        <v>0</v>
      </c>
    </row>
    <row r="94" spans="1:11" s="13" customFormat="1">
      <c r="A94" s="108" t="s">
        <v>238</v>
      </c>
      <c r="B94" s="109" t="s">
        <v>251</v>
      </c>
      <c r="C94" s="407">
        <f t="shared" ref="C94:F94" si="3">+C149-C50+C192-C89-C90-C91-C92-C93-C95-C96-C98-C99-C100</f>
        <v>0</v>
      </c>
      <c r="D94" s="12">
        <f t="shared" si="3"/>
        <v>14488</v>
      </c>
      <c r="E94" s="12">
        <f t="shared" si="3"/>
        <v>14445</v>
      </c>
      <c r="F94" s="1403">
        <f t="shared" si="1"/>
        <v>0.99703202650469358</v>
      </c>
      <c r="G94" s="19">
        <f>+G149-G50+G192-G89-G90-G91-G92-G93-G95-G96-G98-G99-G100</f>
        <v>14023</v>
      </c>
      <c r="H94" s="12">
        <f>+H149-H50+H192-H89-H90-H91-H92-H93-H95-H96-H98-H99-H100</f>
        <v>422</v>
      </c>
      <c r="I94" s="15">
        <f>+I149-I50+I192-I89-I90-I91-I92-I93-I95-I96-I98-I99-I100</f>
        <v>0</v>
      </c>
      <c r="K94" s="117">
        <f>+E94-G94-H94-I94</f>
        <v>0</v>
      </c>
    </row>
    <row r="95" spans="1:11" s="13" customFormat="1">
      <c r="A95" s="86" t="s">
        <v>239</v>
      </c>
      <c r="B95" s="66" t="s">
        <v>252</v>
      </c>
      <c r="C95" s="407"/>
      <c r="D95" s="12"/>
      <c r="E95" s="12"/>
      <c r="F95" s="1402" t="str">
        <f t="shared" si="1"/>
        <v>-</v>
      </c>
      <c r="G95" s="19"/>
      <c r="H95" s="12"/>
      <c r="I95" s="15"/>
      <c r="K95" s="13">
        <f>+E95-G95-H95-I95</f>
        <v>0</v>
      </c>
    </row>
    <row r="96" spans="1:11" s="13" customFormat="1">
      <c r="A96" s="86" t="s">
        <v>240</v>
      </c>
      <c r="B96" s="66" t="s">
        <v>245</v>
      </c>
      <c r="C96" s="407"/>
      <c r="D96" s="12"/>
      <c r="E96" s="12"/>
      <c r="F96" s="1402" t="str">
        <f t="shared" si="1"/>
        <v>-</v>
      </c>
      <c r="G96" s="19"/>
      <c r="H96" s="12"/>
      <c r="I96" s="15"/>
      <c r="K96" s="13">
        <f>+E96-G96-H96-I96</f>
        <v>0</v>
      </c>
    </row>
    <row r="97" spans="1:11" s="13" customFormat="1">
      <c r="A97" s="86" t="s">
        <v>981</v>
      </c>
      <c r="B97" s="66" t="s">
        <v>977</v>
      </c>
      <c r="C97" s="407"/>
      <c r="D97" s="12"/>
      <c r="E97" s="12"/>
      <c r="F97" s="1402" t="str">
        <f t="shared" si="1"/>
        <v>-</v>
      </c>
      <c r="G97" s="19"/>
      <c r="H97" s="12"/>
      <c r="I97" s="15"/>
      <c r="K97" s="13">
        <f>+E97-G97-H97-I97</f>
        <v>0</v>
      </c>
    </row>
    <row r="98" spans="1:11">
      <c r="A98" s="85" t="s">
        <v>241</v>
      </c>
      <c r="B98" s="67" t="s">
        <v>243</v>
      </c>
      <c r="C98" s="409"/>
      <c r="D98" s="11"/>
      <c r="E98" s="11"/>
      <c r="F98" s="1402" t="str">
        <f t="shared" si="1"/>
        <v>-</v>
      </c>
      <c r="G98" s="20"/>
      <c r="H98" s="11"/>
      <c r="I98" s="16"/>
      <c r="K98" s="4">
        <f>+E98-G98-H98-I98</f>
        <v>0</v>
      </c>
    </row>
    <row r="99" spans="1:11">
      <c r="A99" s="78" t="s">
        <v>242</v>
      </c>
      <c r="B99" s="68" t="s">
        <v>244</v>
      </c>
      <c r="C99" s="410"/>
      <c r="D99" s="22"/>
      <c r="E99" s="22"/>
      <c r="F99" s="1404" t="str">
        <f t="shared" si="1"/>
        <v>-</v>
      </c>
      <c r="G99" s="21"/>
      <c r="H99" s="22"/>
      <c r="I99" s="23"/>
      <c r="K99" s="4">
        <f>+E99-G99-H99-I99</f>
        <v>0</v>
      </c>
    </row>
    <row r="100" spans="1:11" ht="12.75" thickBot="1">
      <c r="A100" s="78" t="s">
        <v>983</v>
      </c>
      <c r="B100" s="68" t="s">
        <v>979</v>
      </c>
      <c r="C100" s="410"/>
      <c r="D100" s="22"/>
      <c r="E100" s="22"/>
      <c r="F100" s="1404" t="str">
        <f t="shared" si="1"/>
        <v>-</v>
      </c>
      <c r="G100" s="21"/>
      <c r="H100" s="22"/>
      <c r="I100" s="23"/>
      <c r="K100" s="4">
        <f>+E100-G100-H100-I100</f>
        <v>0</v>
      </c>
    </row>
    <row r="101" spans="1:11" s="3" customFormat="1" ht="12.75" thickBot="1">
      <c r="A101" s="83" t="s">
        <v>43</v>
      </c>
      <c r="B101" s="69" t="s">
        <v>306</v>
      </c>
      <c r="C101" s="132">
        <f>+C71+C86</f>
        <v>315545</v>
      </c>
      <c r="D101" s="28">
        <f>+D71+D86</f>
        <v>278641</v>
      </c>
      <c r="E101" s="28">
        <f>+E71+E86</f>
        <v>330758</v>
      </c>
      <c r="F101" s="1400">
        <f t="shared" si="1"/>
        <v>1.1870399546369701</v>
      </c>
      <c r="G101" s="27">
        <f>+G71+G86</f>
        <v>324647</v>
      </c>
      <c r="H101" s="28">
        <f>+H71+H86</f>
        <v>5602</v>
      </c>
      <c r="I101" s="29">
        <f>+I71+I86</f>
        <v>509</v>
      </c>
      <c r="K101" s="3">
        <f>+E101-G101-H101-I101</f>
        <v>0</v>
      </c>
    </row>
    <row r="102" spans="1:11" s="3" customFormat="1" ht="12.75" thickBot="1">
      <c r="A102" s="87" t="s">
        <v>40</v>
      </c>
      <c r="B102" s="71" t="s">
        <v>307</v>
      </c>
      <c r="C102" s="405">
        <f>+C70+C101</f>
        <v>352486</v>
      </c>
      <c r="D102" s="25">
        <f>+D70+D101</f>
        <v>399355</v>
      </c>
      <c r="E102" s="25">
        <f>+E70+E101</f>
        <v>450076</v>
      </c>
      <c r="F102" s="1406">
        <f t="shared" si="1"/>
        <v>1.127007299270073</v>
      </c>
      <c r="G102" s="24">
        <f>+G70+G101</f>
        <v>417423</v>
      </c>
      <c r="H102" s="25">
        <f>+H70+H101</f>
        <v>29317</v>
      </c>
      <c r="I102" s="26">
        <f>+I70+I101</f>
        <v>3336</v>
      </c>
      <c r="K102" s="3">
        <f>+E102-G102-H102-I102</f>
        <v>0</v>
      </c>
    </row>
    <row r="103" spans="1:11" s="3" customFormat="1">
      <c r="A103" s="53"/>
      <c r="B103" s="30"/>
      <c r="C103" s="30"/>
      <c r="D103" s="30"/>
      <c r="E103" s="30"/>
      <c r="F103" s="1397"/>
      <c r="G103" s="30"/>
      <c r="H103" s="30"/>
      <c r="I103" s="30"/>
    </row>
    <row r="104" spans="1:11" s="3" customFormat="1">
      <c r="A104" s="53"/>
      <c r="B104" s="30"/>
      <c r="C104" s="30"/>
      <c r="D104" s="30"/>
      <c r="E104" s="30"/>
      <c r="F104" s="1407"/>
      <c r="G104" s="30"/>
      <c r="H104" s="30"/>
      <c r="I104" s="30"/>
    </row>
    <row r="105" spans="1:11" s="52" customFormat="1" ht="15.75">
      <c r="A105" s="1216" t="s">
        <v>80</v>
      </c>
      <c r="B105" s="1216"/>
      <c r="C105" s="1216"/>
      <c r="D105" s="1216"/>
      <c r="E105" s="1216"/>
      <c r="F105" s="1216"/>
      <c r="G105" s="1216"/>
      <c r="H105" s="1216"/>
      <c r="I105" s="1216"/>
    </row>
    <row r="106" spans="1:11" s="36" customFormat="1" ht="12.75" thickBot="1">
      <c r="A106" s="38" t="s">
        <v>279</v>
      </c>
      <c r="F106" s="1397"/>
      <c r="I106" s="37" t="s">
        <v>281</v>
      </c>
    </row>
    <row r="107" spans="1:11" s="3" customFormat="1" ht="48.75" thickBot="1">
      <c r="A107" s="79" t="s">
        <v>17</v>
      </c>
      <c r="B107" s="80" t="s">
        <v>329</v>
      </c>
      <c r="C107" s="412" t="s">
        <v>1474</v>
      </c>
      <c r="D107" s="1047" t="s">
        <v>1475</v>
      </c>
      <c r="E107" s="6" t="s">
        <v>1529</v>
      </c>
      <c r="F107" s="1398" t="s">
        <v>1527</v>
      </c>
      <c r="G107" s="5" t="s">
        <v>51</v>
      </c>
      <c r="H107" s="6" t="s">
        <v>52</v>
      </c>
      <c r="I107" s="7" t="s">
        <v>53</v>
      </c>
    </row>
    <row r="108" spans="1:11" s="3" customFormat="1" ht="13.5" customHeight="1" thickBot="1">
      <c r="A108" s="81" t="s">
        <v>253</v>
      </c>
      <c r="B108" s="82" t="s">
        <v>254</v>
      </c>
      <c r="C108" s="1225" t="s">
        <v>255</v>
      </c>
      <c r="D108" s="1226"/>
      <c r="E108" s="1226"/>
      <c r="F108" s="1226"/>
      <c r="G108" s="1226"/>
      <c r="H108" s="1226"/>
      <c r="I108" s="1227"/>
    </row>
    <row r="109" spans="1:11" s="3" customFormat="1" ht="12.75" thickBot="1">
      <c r="A109" s="83" t="s">
        <v>4</v>
      </c>
      <c r="B109" s="69" t="s">
        <v>308</v>
      </c>
      <c r="C109" s="1049">
        <f>+C110+C114+C116+C123+C132</f>
        <v>352486</v>
      </c>
      <c r="D109" s="28">
        <f>+D110+D114+D116+D123+D132</f>
        <v>384867</v>
      </c>
      <c r="E109" s="28">
        <f>+E110+E114+E116+E123+E132</f>
        <v>381995</v>
      </c>
      <c r="F109" s="1408">
        <f t="shared" ref="F109:F172" si="4">IF(ISERROR(E109/D109),"-",E109/D109)</f>
        <v>0.99253768184853464</v>
      </c>
      <c r="G109" s="27">
        <f>+G110+G114+G116+G123+G132</f>
        <v>349764</v>
      </c>
      <c r="H109" s="28">
        <f>+H110+H114+H116+H123+H132</f>
        <v>28895</v>
      </c>
      <c r="I109" s="29">
        <f>+I110+I114+I116+I123+I132</f>
        <v>3336</v>
      </c>
      <c r="K109" s="3">
        <f>+E109-G109-H109-I109</f>
        <v>0</v>
      </c>
    </row>
    <row r="110" spans="1:11" s="3" customFormat="1" ht="12.75" thickBot="1">
      <c r="A110" s="83" t="s">
        <v>5</v>
      </c>
      <c r="B110" s="64" t="s">
        <v>309</v>
      </c>
      <c r="C110" s="1049">
        <f>+C112+C113</f>
        <v>243653</v>
      </c>
      <c r="D110" s="28">
        <f>+D112+D113</f>
        <v>254215</v>
      </c>
      <c r="E110" s="28">
        <f>+E112+E113</f>
        <v>254215</v>
      </c>
      <c r="F110" s="1408">
        <f t="shared" si="4"/>
        <v>1</v>
      </c>
      <c r="G110" s="27">
        <f>+G112+G113</f>
        <v>246129</v>
      </c>
      <c r="H110" s="28">
        <f>+H112+H113</f>
        <v>5583</v>
      </c>
      <c r="I110" s="29">
        <f>+I112+I113</f>
        <v>2503</v>
      </c>
      <c r="K110" s="3">
        <f>+E110-G110-H110-I110</f>
        <v>0</v>
      </c>
    </row>
    <row r="111" spans="1:11" s="36" customFormat="1">
      <c r="A111" s="819" t="s">
        <v>349</v>
      </c>
      <c r="B111" s="820" t="s">
        <v>350</v>
      </c>
      <c r="C111" s="1058"/>
      <c r="D111" s="97">
        <v>12648</v>
      </c>
      <c r="E111" s="97">
        <v>12648</v>
      </c>
      <c r="F111" s="1409">
        <f t="shared" si="4"/>
        <v>1</v>
      </c>
      <c r="G111" s="96">
        <v>12648</v>
      </c>
      <c r="H111" s="97"/>
      <c r="I111" s="98"/>
      <c r="K111" s="36">
        <f>+E111-G111-H111-I111</f>
        <v>0</v>
      </c>
    </row>
    <row r="112" spans="1:11">
      <c r="A112" s="84" t="s">
        <v>54</v>
      </c>
      <c r="B112" s="65" t="s">
        <v>127</v>
      </c>
      <c r="C112" s="1051">
        <v>242113</v>
      </c>
      <c r="D112" s="10">
        <v>248224</v>
      </c>
      <c r="E112" s="10">
        <v>248224</v>
      </c>
      <c r="F112" s="1410">
        <f t="shared" si="4"/>
        <v>1</v>
      </c>
      <c r="G112" s="34">
        <v>242706</v>
      </c>
      <c r="H112" s="10">
        <v>5518</v>
      </c>
      <c r="I112" s="35"/>
      <c r="K112" s="4">
        <f>+E112-G112-H112-I112</f>
        <v>0</v>
      </c>
    </row>
    <row r="113" spans="1:11" ht="12.75" thickBot="1">
      <c r="A113" s="78" t="s">
        <v>55</v>
      </c>
      <c r="B113" s="68" t="s">
        <v>128</v>
      </c>
      <c r="C113" s="500">
        <v>1540</v>
      </c>
      <c r="D113" s="22">
        <v>5991</v>
      </c>
      <c r="E113" s="22">
        <v>5991</v>
      </c>
      <c r="F113" s="1411">
        <f t="shared" si="4"/>
        <v>1</v>
      </c>
      <c r="G113" s="21">
        <f>5926-2503</f>
        <v>3423</v>
      </c>
      <c r="H113" s="22">
        <v>65</v>
      </c>
      <c r="I113" s="23">
        <v>2503</v>
      </c>
      <c r="K113" s="4">
        <f>+E113-G113-H113-I113</f>
        <v>0</v>
      </c>
    </row>
    <row r="114" spans="1:11" s="3" customFormat="1" ht="12.75" thickBot="1">
      <c r="A114" s="83" t="s">
        <v>6</v>
      </c>
      <c r="B114" s="64" t="s">
        <v>256</v>
      </c>
      <c r="C114" s="1049">
        <v>50215</v>
      </c>
      <c r="D114" s="28">
        <v>54733</v>
      </c>
      <c r="E114" s="28">
        <v>54733</v>
      </c>
      <c r="F114" s="1408">
        <f t="shared" si="4"/>
        <v>1</v>
      </c>
      <c r="G114" s="27">
        <f>53542-561</f>
        <v>52981</v>
      </c>
      <c r="H114" s="28">
        <v>1191</v>
      </c>
      <c r="I114" s="29">
        <v>561</v>
      </c>
      <c r="K114" s="3">
        <f>+E114-G114-H114-I114</f>
        <v>0</v>
      </c>
    </row>
    <row r="115" spans="1:11" s="36" customFormat="1" ht="12.75" thickBot="1">
      <c r="A115" s="819" t="s">
        <v>346</v>
      </c>
      <c r="B115" s="820" t="s">
        <v>347</v>
      </c>
      <c r="C115" s="1058"/>
      <c r="D115" s="97">
        <v>2380</v>
      </c>
      <c r="E115" s="97">
        <v>2380</v>
      </c>
      <c r="F115" s="1409">
        <f t="shared" si="4"/>
        <v>1</v>
      </c>
      <c r="G115" s="96">
        <v>2380</v>
      </c>
      <c r="H115" s="97"/>
      <c r="I115" s="98"/>
      <c r="K115" s="36">
        <f>+E115-G115-H115-I115</f>
        <v>0</v>
      </c>
    </row>
    <row r="116" spans="1:11" s="3" customFormat="1" ht="12.75" thickBot="1">
      <c r="A116" s="83" t="s">
        <v>3</v>
      </c>
      <c r="B116" s="64" t="s">
        <v>343</v>
      </c>
      <c r="C116" s="1049">
        <f>+C118+C119+C120+C121+C122</f>
        <v>58618</v>
      </c>
      <c r="D116" s="28">
        <f>+D118+D119+D120+D121+D122</f>
        <v>74621</v>
      </c>
      <c r="E116" s="28">
        <f>+E118+E119+E120+E121+E122</f>
        <v>71749</v>
      </c>
      <c r="F116" s="1408">
        <f t="shared" si="4"/>
        <v>0.96151217485694374</v>
      </c>
      <c r="G116" s="27">
        <f>+G118+G119+G120+G121+G122</f>
        <v>49356</v>
      </c>
      <c r="H116" s="28">
        <f>+H118+H119+H120+H121+H122</f>
        <v>22121</v>
      </c>
      <c r="I116" s="29">
        <f>+I118+I119+I120+I121+I122</f>
        <v>272</v>
      </c>
      <c r="K116" s="3">
        <f>+E116-G116-H116-I116</f>
        <v>0</v>
      </c>
    </row>
    <row r="117" spans="1:11" s="36" customFormat="1" ht="13.5" customHeight="1">
      <c r="A117" s="819" t="s">
        <v>341</v>
      </c>
      <c r="B117" s="820" t="s">
        <v>348</v>
      </c>
      <c r="C117" s="1058"/>
      <c r="D117" s="97">
        <v>962</v>
      </c>
      <c r="E117" s="97">
        <v>962</v>
      </c>
      <c r="F117" s="1409">
        <f t="shared" si="4"/>
        <v>1</v>
      </c>
      <c r="G117" s="96">
        <v>962</v>
      </c>
      <c r="H117" s="97"/>
      <c r="I117" s="98"/>
      <c r="K117" s="36">
        <f>+E117-G117-H117-I117</f>
        <v>0</v>
      </c>
    </row>
    <row r="118" spans="1:11">
      <c r="A118" s="84" t="s">
        <v>61</v>
      </c>
      <c r="B118" s="65" t="s">
        <v>129</v>
      </c>
      <c r="C118" s="1051">
        <v>19914</v>
      </c>
      <c r="D118" s="10">
        <v>24926</v>
      </c>
      <c r="E118" s="10">
        <v>23955</v>
      </c>
      <c r="F118" s="1410">
        <f t="shared" si="4"/>
        <v>0.96104469228917599</v>
      </c>
      <c r="G118" s="34">
        <f>8250-147</f>
        <v>8103</v>
      </c>
      <c r="H118" s="10">
        <v>15705</v>
      </c>
      <c r="I118" s="35">
        <v>147</v>
      </c>
      <c r="K118" s="4">
        <f>+E118-G118-H118-I118</f>
        <v>0</v>
      </c>
    </row>
    <row r="119" spans="1:11">
      <c r="A119" s="85" t="s">
        <v>62</v>
      </c>
      <c r="B119" s="67" t="s">
        <v>130</v>
      </c>
      <c r="C119" s="501">
        <v>7233</v>
      </c>
      <c r="D119" s="11">
        <v>5663</v>
      </c>
      <c r="E119" s="11">
        <v>5380</v>
      </c>
      <c r="F119" s="1412">
        <f t="shared" si="4"/>
        <v>0.95002648772735299</v>
      </c>
      <c r="G119" s="20">
        <v>5372</v>
      </c>
      <c r="H119" s="11">
        <v>8</v>
      </c>
      <c r="I119" s="16"/>
      <c r="K119" s="4">
        <f>+E119-G119-H119-I119</f>
        <v>0</v>
      </c>
    </row>
    <row r="120" spans="1:11">
      <c r="A120" s="85" t="s">
        <v>63</v>
      </c>
      <c r="B120" s="67" t="s">
        <v>131</v>
      </c>
      <c r="C120" s="501">
        <v>16876</v>
      </c>
      <c r="D120" s="11">
        <v>19607</v>
      </c>
      <c r="E120" s="11">
        <v>18483</v>
      </c>
      <c r="F120" s="1412">
        <f t="shared" si="4"/>
        <v>0.94267353496200335</v>
      </c>
      <c r="G120" s="20">
        <f>15783-29</f>
        <v>15754</v>
      </c>
      <c r="H120" s="11">
        <v>2700</v>
      </c>
      <c r="I120" s="16">
        <v>29</v>
      </c>
      <c r="K120" s="4">
        <f>+E120-G120-H120-I120</f>
        <v>0</v>
      </c>
    </row>
    <row r="121" spans="1:11">
      <c r="A121" s="85" t="s">
        <v>64</v>
      </c>
      <c r="B121" s="67" t="s">
        <v>132</v>
      </c>
      <c r="C121" s="501">
        <v>200</v>
      </c>
      <c r="D121" s="11">
        <v>63</v>
      </c>
      <c r="E121" s="11">
        <v>63</v>
      </c>
      <c r="F121" s="1412">
        <f t="shared" si="4"/>
        <v>1</v>
      </c>
      <c r="G121" s="20">
        <v>63</v>
      </c>
      <c r="H121" s="11"/>
      <c r="I121" s="16"/>
      <c r="K121" s="4">
        <f>+E121-G121-H121-I121</f>
        <v>0</v>
      </c>
    </row>
    <row r="122" spans="1:11" ht="12.75" thickBot="1">
      <c r="A122" s="78" t="s">
        <v>65</v>
      </c>
      <c r="B122" s="68" t="s">
        <v>133</v>
      </c>
      <c r="C122" s="500">
        <v>14395</v>
      </c>
      <c r="D122" s="22">
        <v>24362</v>
      </c>
      <c r="E122" s="22">
        <v>23868</v>
      </c>
      <c r="F122" s="1411">
        <f t="shared" si="4"/>
        <v>0.97972251867662752</v>
      </c>
      <c r="G122" s="21">
        <f>20160-96</f>
        <v>20064</v>
      </c>
      <c r="H122" s="22">
        <v>3708</v>
      </c>
      <c r="I122" s="23">
        <v>96</v>
      </c>
      <c r="K122" s="4">
        <f>+E122-G122-H122-I122</f>
        <v>0</v>
      </c>
    </row>
    <row r="123" spans="1:11" s="3" customFormat="1" ht="12.75" thickBot="1">
      <c r="A123" s="83" t="s">
        <v>16</v>
      </c>
      <c r="B123" s="64" t="s">
        <v>310</v>
      </c>
      <c r="C123" s="1049">
        <f>+C124+C125+C126+C127+C128+C129+C130+C131</f>
        <v>0</v>
      </c>
      <c r="D123" s="28">
        <f>+D124+D125+D126+D127+D128+D129+D130+D131</f>
        <v>0</v>
      </c>
      <c r="E123" s="28">
        <f>+E124+E125+E126+E127+E128+E129+E130+E131</f>
        <v>0</v>
      </c>
      <c r="F123" s="1408" t="str">
        <f t="shared" si="4"/>
        <v>-</v>
      </c>
      <c r="G123" s="27">
        <f>+G124+G125+G126+G127+G128+G129+G130+G131</f>
        <v>0</v>
      </c>
      <c r="H123" s="28">
        <f>+H124+H125+H126+H127+H128+H129+H130+H131</f>
        <v>0</v>
      </c>
      <c r="I123" s="29">
        <f>+I124+I125+I126+I127+I128+I129+I130+I131</f>
        <v>0</v>
      </c>
      <c r="K123" s="3">
        <f>+E123-G123-H123-I123</f>
        <v>0</v>
      </c>
    </row>
    <row r="124" spans="1:11">
      <c r="A124" s="84" t="s">
        <v>227</v>
      </c>
      <c r="B124" s="65" t="s">
        <v>134</v>
      </c>
      <c r="C124" s="1051"/>
      <c r="D124" s="10"/>
      <c r="E124" s="10"/>
      <c r="F124" s="1410" t="str">
        <f t="shared" si="4"/>
        <v>-</v>
      </c>
      <c r="G124" s="34"/>
      <c r="H124" s="10"/>
      <c r="I124" s="35"/>
      <c r="K124" s="4">
        <f>+E124-G124-H124-I124</f>
        <v>0</v>
      </c>
    </row>
    <row r="125" spans="1:11">
      <c r="A125" s="85" t="s">
        <v>228</v>
      </c>
      <c r="B125" s="67" t="s">
        <v>135</v>
      </c>
      <c r="C125" s="501"/>
      <c r="D125" s="11"/>
      <c r="E125" s="11"/>
      <c r="F125" s="1412" t="str">
        <f t="shared" si="4"/>
        <v>-</v>
      </c>
      <c r="G125" s="20"/>
      <c r="H125" s="11"/>
      <c r="I125" s="16"/>
      <c r="K125" s="4">
        <f>+E125-G125-H125-I125</f>
        <v>0</v>
      </c>
    </row>
    <row r="126" spans="1:11">
      <c r="A126" s="85" t="s">
        <v>229</v>
      </c>
      <c r="B126" s="67" t="s">
        <v>136</v>
      </c>
      <c r="C126" s="501"/>
      <c r="D126" s="11"/>
      <c r="E126" s="11"/>
      <c r="F126" s="1412" t="str">
        <f t="shared" si="4"/>
        <v>-</v>
      </c>
      <c r="G126" s="20"/>
      <c r="H126" s="11"/>
      <c r="I126" s="16"/>
      <c r="K126" s="4">
        <f>+E126-G126-H126-I126</f>
        <v>0</v>
      </c>
    </row>
    <row r="127" spans="1:11">
      <c r="A127" s="85" t="s">
        <v>257</v>
      </c>
      <c r="B127" s="67" t="s">
        <v>137</v>
      </c>
      <c r="C127" s="501"/>
      <c r="D127" s="11"/>
      <c r="E127" s="11"/>
      <c r="F127" s="1412" t="str">
        <f t="shared" si="4"/>
        <v>-</v>
      </c>
      <c r="G127" s="20"/>
      <c r="H127" s="11"/>
      <c r="I127" s="16"/>
      <c r="K127" s="4">
        <f>+E127-G127-H127-I127</f>
        <v>0</v>
      </c>
    </row>
    <row r="128" spans="1:11">
      <c r="A128" s="85" t="s">
        <v>258</v>
      </c>
      <c r="B128" s="67" t="s">
        <v>138</v>
      </c>
      <c r="C128" s="501"/>
      <c r="D128" s="11"/>
      <c r="E128" s="11"/>
      <c r="F128" s="1412" t="str">
        <f t="shared" si="4"/>
        <v>-</v>
      </c>
      <c r="G128" s="20"/>
      <c r="H128" s="11"/>
      <c r="I128" s="16"/>
      <c r="K128" s="4">
        <f>+E128-G128-H128-I128</f>
        <v>0</v>
      </c>
    </row>
    <row r="129" spans="1:11">
      <c r="A129" s="85" t="s">
        <v>259</v>
      </c>
      <c r="B129" s="67" t="s">
        <v>139</v>
      </c>
      <c r="C129" s="501"/>
      <c r="D129" s="11"/>
      <c r="E129" s="11"/>
      <c r="F129" s="1412" t="str">
        <f t="shared" si="4"/>
        <v>-</v>
      </c>
      <c r="G129" s="20"/>
      <c r="H129" s="11"/>
      <c r="I129" s="16"/>
      <c r="K129" s="4">
        <f>+E129-G129-H129-I129</f>
        <v>0</v>
      </c>
    </row>
    <row r="130" spans="1:11">
      <c r="A130" s="85" t="s">
        <v>260</v>
      </c>
      <c r="B130" s="67" t="s">
        <v>140</v>
      </c>
      <c r="C130" s="501"/>
      <c r="D130" s="11"/>
      <c r="E130" s="11"/>
      <c r="F130" s="1412" t="str">
        <f t="shared" si="4"/>
        <v>-</v>
      </c>
      <c r="G130" s="20"/>
      <c r="H130" s="11"/>
      <c r="I130" s="16"/>
      <c r="K130" s="4">
        <f>+E130-G130-H130-I130</f>
        <v>0</v>
      </c>
    </row>
    <row r="131" spans="1:11" ht="12.75" thickBot="1">
      <c r="A131" s="78" t="s">
        <v>261</v>
      </c>
      <c r="B131" s="68" t="s">
        <v>141</v>
      </c>
      <c r="C131" s="500"/>
      <c r="D131" s="22"/>
      <c r="E131" s="22"/>
      <c r="F131" s="1411" t="str">
        <f t="shared" si="4"/>
        <v>-</v>
      </c>
      <c r="G131" s="21"/>
      <c r="H131" s="22"/>
      <c r="I131" s="23"/>
      <c r="K131" s="4">
        <f>+E131-G131-H131-I131</f>
        <v>0</v>
      </c>
    </row>
    <row r="132" spans="1:11" s="3" customFormat="1" ht="12.75" thickBot="1">
      <c r="A132" s="83" t="s">
        <v>15</v>
      </c>
      <c r="B132" s="64" t="s">
        <v>987</v>
      </c>
      <c r="C132" s="1049">
        <f>+C133+C134+C135+C136+C137+C138+C140+C141+C142+C143+C144+C145+C146</f>
        <v>0</v>
      </c>
      <c r="D132" s="28">
        <f>+D133+D134+D135+D136+D137+D138+D140+D141+D142+D143+D144+D145+D146</f>
        <v>1298</v>
      </c>
      <c r="E132" s="28">
        <f>+E133+E134+E135+E136+E137+E138+E144+E140+E141+E142+E143+E145+E146</f>
        <v>1298</v>
      </c>
      <c r="F132" s="1408">
        <f t="shared" si="4"/>
        <v>1</v>
      </c>
      <c r="G132" s="27">
        <f>+G133+G134+G135+G136+G137+G138+G140+G141+G142+G143+G144+G145+G146</f>
        <v>1298</v>
      </c>
      <c r="H132" s="28">
        <f>+H133+H134+H135+H136+H137+H138+H140+H141+H142+H143+H144+H145+H146</f>
        <v>0</v>
      </c>
      <c r="I132" s="29">
        <f>+I133+I134+I135+I136+I137+I138+I140+I141+I142+I143+I144+I145+I146</f>
        <v>0</v>
      </c>
      <c r="K132" s="3">
        <f>+E132-G132-H132-I132</f>
        <v>0</v>
      </c>
    </row>
    <row r="133" spans="1:11">
      <c r="A133" s="84" t="s">
        <v>87</v>
      </c>
      <c r="B133" s="65" t="s">
        <v>142</v>
      </c>
      <c r="C133" s="1051"/>
      <c r="D133" s="10"/>
      <c r="E133" s="10"/>
      <c r="F133" s="1410" t="str">
        <f t="shared" si="4"/>
        <v>-</v>
      </c>
      <c r="G133" s="34"/>
      <c r="H133" s="10"/>
      <c r="I133" s="35"/>
      <c r="K133" s="4">
        <f>+E133-G133-H133-I133</f>
        <v>0</v>
      </c>
    </row>
    <row r="134" spans="1:11">
      <c r="A134" s="85" t="s">
        <v>88</v>
      </c>
      <c r="B134" s="67" t="s">
        <v>143</v>
      </c>
      <c r="C134" s="501"/>
      <c r="D134" s="11">
        <f>0+1298</f>
        <v>1298</v>
      </c>
      <c r="E134" s="11">
        <v>1298</v>
      </c>
      <c r="F134" s="1412">
        <f t="shared" si="4"/>
        <v>1</v>
      </c>
      <c r="G134" s="20">
        <f>0+1298</f>
        <v>1298</v>
      </c>
      <c r="H134" s="11"/>
      <c r="I134" s="16"/>
      <c r="K134" s="4">
        <f>+E134-G134-H134-I134</f>
        <v>0</v>
      </c>
    </row>
    <row r="135" spans="1:11">
      <c r="A135" s="85" t="s">
        <v>182</v>
      </c>
      <c r="B135" s="67" t="s">
        <v>144</v>
      </c>
      <c r="C135" s="501"/>
      <c r="D135" s="11"/>
      <c r="E135" s="11"/>
      <c r="F135" s="1412" t="str">
        <f t="shared" si="4"/>
        <v>-</v>
      </c>
      <c r="G135" s="20"/>
      <c r="H135" s="11"/>
      <c r="I135" s="16"/>
      <c r="K135" s="4">
        <f>+E135-G135-H135-I135</f>
        <v>0</v>
      </c>
    </row>
    <row r="136" spans="1:11">
      <c r="A136" s="85" t="s">
        <v>183</v>
      </c>
      <c r="B136" s="67" t="s">
        <v>145</v>
      </c>
      <c r="C136" s="501"/>
      <c r="D136" s="11"/>
      <c r="E136" s="11"/>
      <c r="F136" s="1412" t="str">
        <f t="shared" si="4"/>
        <v>-</v>
      </c>
      <c r="G136" s="20"/>
      <c r="H136" s="11"/>
      <c r="I136" s="16"/>
      <c r="K136" s="4">
        <f>+E136-G136-H136-I136</f>
        <v>0</v>
      </c>
    </row>
    <row r="137" spans="1:11">
      <c r="A137" s="85" t="s">
        <v>184</v>
      </c>
      <c r="B137" s="67" t="s">
        <v>146</v>
      </c>
      <c r="C137" s="501"/>
      <c r="D137" s="11"/>
      <c r="E137" s="11"/>
      <c r="F137" s="1412" t="str">
        <f t="shared" si="4"/>
        <v>-</v>
      </c>
      <c r="G137" s="20"/>
      <c r="H137" s="11"/>
      <c r="I137" s="16"/>
      <c r="K137" s="4">
        <f>+E137-G137-H137-I137</f>
        <v>0</v>
      </c>
    </row>
    <row r="138" spans="1:11">
      <c r="A138" s="85" t="s">
        <v>262</v>
      </c>
      <c r="B138" s="67" t="s">
        <v>147</v>
      </c>
      <c r="C138" s="501"/>
      <c r="D138" s="11"/>
      <c r="E138" s="11"/>
      <c r="F138" s="1412" t="str">
        <f t="shared" si="4"/>
        <v>-</v>
      </c>
      <c r="G138" s="20"/>
      <c r="H138" s="11"/>
      <c r="I138" s="16"/>
      <c r="K138" s="4">
        <f>+E138-G138-H138-I138</f>
        <v>0</v>
      </c>
    </row>
    <row r="139" spans="1:11" s="13" customFormat="1">
      <c r="A139" s="89" t="s">
        <v>336</v>
      </c>
      <c r="B139" s="818" t="s">
        <v>993</v>
      </c>
      <c r="C139" s="1050"/>
      <c r="D139" s="43"/>
      <c r="E139" s="43"/>
      <c r="F139" s="1411" t="str">
        <f t="shared" si="4"/>
        <v>-</v>
      </c>
      <c r="G139" s="45"/>
      <c r="H139" s="43"/>
      <c r="I139" s="44"/>
      <c r="K139" s="13">
        <f>+E139-G139-H139-I139</f>
        <v>0</v>
      </c>
    </row>
    <row r="140" spans="1:11">
      <c r="A140" s="85" t="s">
        <v>263</v>
      </c>
      <c r="B140" s="67" t="s">
        <v>148</v>
      </c>
      <c r="C140" s="501"/>
      <c r="D140" s="11"/>
      <c r="E140" s="11"/>
      <c r="F140" s="1412" t="str">
        <f t="shared" si="4"/>
        <v>-</v>
      </c>
      <c r="G140" s="20"/>
      <c r="H140" s="11"/>
      <c r="I140" s="16"/>
      <c r="K140" s="4">
        <f>+E140-G140-H140-I140</f>
        <v>0</v>
      </c>
    </row>
    <row r="141" spans="1:11">
      <c r="A141" s="85" t="s">
        <v>264</v>
      </c>
      <c r="B141" s="67" t="s">
        <v>149</v>
      </c>
      <c r="C141" s="501"/>
      <c r="D141" s="11"/>
      <c r="E141" s="11"/>
      <c r="F141" s="1412" t="str">
        <f t="shared" si="4"/>
        <v>-</v>
      </c>
      <c r="G141" s="20"/>
      <c r="H141" s="11"/>
      <c r="I141" s="16"/>
      <c r="K141" s="4">
        <f>+E141-G141-H141-I141</f>
        <v>0</v>
      </c>
    </row>
    <row r="142" spans="1:11">
      <c r="A142" s="85" t="s">
        <v>265</v>
      </c>
      <c r="B142" s="67" t="s">
        <v>150</v>
      </c>
      <c r="C142" s="501"/>
      <c r="D142" s="11"/>
      <c r="E142" s="11"/>
      <c r="F142" s="1412" t="str">
        <f t="shared" si="4"/>
        <v>-</v>
      </c>
      <c r="G142" s="20"/>
      <c r="H142" s="11"/>
      <c r="I142" s="16"/>
      <c r="K142" s="4">
        <f>+E142-G142-H142-I142</f>
        <v>0</v>
      </c>
    </row>
    <row r="143" spans="1:11">
      <c r="A143" s="85" t="s">
        <v>266</v>
      </c>
      <c r="B143" s="67" t="s">
        <v>151</v>
      </c>
      <c r="C143" s="501"/>
      <c r="D143" s="11"/>
      <c r="E143" s="11"/>
      <c r="F143" s="1412" t="str">
        <f t="shared" si="4"/>
        <v>-</v>
      </c>
      <c r="G143" s="20"/>
      <c r="H143" s="11"/>
      <c r="I143" s="16"/>
      <c r="K143" s="4">
        <f>+E143-G143-H143-I143</f>
        <v>0</v>
      </c>
    </row>
    <row r="144" spans="1:11">
      <c r="A144" s="85" t="s">
        <v>267</v>
      </c>
      <c r="B144" s="67" t="s">
        <v>988</v>
      </c>
      <c r="C144" s="501"/>
      <c r="D144" s="11"/>
      <c r="E144" s="11"/>
      <c r="F144" s="1412" t="str">
        <f t="shared" si="4"/>
        <v>-</v>
      </c>
      <c r="G144" s="20"/>
      <c r="H144" s="11"/>
      <c r="I144" s="16"/>
      <c r="K144" s="4">
        <f>+E144-G144-H144-I144</f>
        <v>0</v>
      </c>
    </row>
    <row r="145" spans="1:11">
      <c r="A145" s="85" t="s">
        <v>268</v>
      </c>
      <c r="B145" s="67" t="s">
        <v>989</v>
      </c>
      <c r="C145" s="501"/>
      <c r="D145" s="11"/>
      <c r="E145" s="11"/>
      <c r="F145" s="1412" t="str">
        <f t="shared" si="4"/>
        <v>-</v>
      </c>
      <c r="G145" s="20"/>
      <c r="H145" s="11"/>
      <c r="I145" s="16"/>
      <c r="K145" s="4">
        <f>+E145-G145-H145-I145</f>
        <v>0</v>
      </c>
    </row>
    <row r="146" spans="1:11">
      <c r="A146" s="78" t="s">
        <v>984</v>
      </c>
      <c r="B146" s="68" t="s">
        <v>990</v>
      </c>
      <c r="C146" s="500">
        <f>+C147+C148</f>
        <v>0</v>
      </c>
      <c r="D146" s="22">
        <f>+D147+D148</f>
        <v>0</v>
      </c>
      <c r="E146" s="22">
        <f>+E147+E148</f>
        <v>0</v>
      </c>
      <c r="F146" s="1411" t="str">
        <f t="shared" si="4"/>
        <v>-</v>
      </c>
      <c r="G146" s="21">
        <f>+G147+G148</f>
        <v>0</v>
      </c>
      <c r="H146" s="22">
        <f>+H147+H148</f>
        <v>0</v>
      </c>
      <c r="I146" s="23">
        <f>+I147+I148</f>
        <v>0</v>
      </c>
      <c r="K146" s="4">
        <f>+E146-G146-H146-I146</f>
        <v>0</v>
      </c>
    </row>
    <row r="147" spans="1:11" s="13" customFormat="1">
      <c r="A147" s="89" t="s">
        <v>985</v>
      </c>
      <c r="B147" s="74" t="s">
        <v>991</v>
      </c>
      <c r="C147" s="1050"/>
      <c r="D147" s="43"/>
      <c r="E147" s="43"/>
      <c r="F147" s="1411" t="str">
        <f t="shared" si="4"/>
        <v>-</v>
      </c>
      <c r="G147" s="45"/>
      <c r="H147" s="43"/>
      <c r="I147" s="44"/>
      <c r="K147" s="13">
        <f>+E147-G147-H147-I147</f>
        <v>0</v>
      </c>
    </row>
    <row r="148" spans="1:11" s="13" customFormat="1" ht="12.75" thickBot="1">
      <c r="A148" s="89" t="s">
        <v>986</v>
      </c>
      <c r="B148" s="74" t="s">
        <v>992</v>
      </c>
      <c r="C148" s="1050"/>
      <c r="D148" s="43"/>
      <c r="E148" s="43"/>
      <c r="F148" s="1411" t="str">
        <f t="shared" si="4"/>
        <v>-</v>
      </c>
      <c r="G148" s="45"/>
      <c r="H148" s="43"/>
      <c r="I148" s="44"/>
      <c r="K148" s="13">
        <f>+E148-G148-H148-I148</f>
        <v>0</v>
      </c>
    </row>
    <row r="149" spans="1:11" s="3" customFormat="1" ht="12.75" thickBot="1">
      <c r="A149" s="83" t="s">
        <v>14</v>
      </c>
      <c r="B149" s="69" t="s">
        <v>311</v>
      </c>
      <c r="C149" s="1049">
        <f>+C150+C159+C165</f>
        <v>0</v>
      </c>
      <c r="D149" s="28">
        <f>+D150+D159+D165</f>
        <v>14488</v>
      </c>
      <c r="E149" s="28">
        <f>+E150+E159+E165</f>
        <v>14445</v>
      </c>
      <c r="F149" s="1408">
        <f t="shared" si="4"/>
        <v>0.99703202650469358</v>
      </c>
      <c r="G149" s="27">
        <f>+G150+G159+G165</f>
        <v>14023</v>
      </c>
      <c r="H149" s="28">
        <f>+H150+H159+H165</f>
        <v>422</v>
      </c>
      <c r="I149" s="29">
        <f>+I150+I159+I165</f>
        <v>0</v>
      </c>
      <c r="K149" s="3">
        <f>+E149-G149-H149-I149</f>
        <v>0</v>
      </c>
    </row>
    <row r="150" spans="1:11" s="3" customFormat="1" ht="12.75" thickBot="1">
      <c r="A150" s="83" t="s">
        <v>13</v>
      </c>
      <c r="B150" s="64" t="s">
        <v>312</v>
      </c>
      <c r="C150" s="1049">
        <f>+C152+C153+C154+C155+C156+C157+C158</f>
        <v>0</v>
      </c>
      <c r="D150" s="28">
        <f>+D152+D153+D154+D155+D156+D157+D158</f>
        <v>14488</v>
      </c>
      <c r="E150" s="28">
        <f>+E152+E153+E154+E155+E156+E157+E158</f>
        <v>14445</v>
      </c>
      <c r="F150" s="1408">
        <f t="shared" si="4"/>
        <v>0.99703202650469358</v>
      </c>
      <c r="G150" s="27">
        <f>+G152+G153+G154+G155+G156+G157+G158</f>
        <v>14023</v>
      </c>
      <c r="H150" s="28">
        <f>+H152+H153+H154+H155+H156+H157+H158</f>
        <v>422</v>
      </c>
      <c r="I150" s="29">
        <f>+I152+I153+I154+I155+I156+I157+I158</f>
        <v>0</v>
      </c>
      <c r="K150" s="3">
        <f>+E150-G150-H150-I150</f>
        <v>0</v>
      </c>
    </row>
    <row r="151" spans="1:11" s="36" customFormat="1">
      <c r="A151" s="819" t="s">
        <v>994</v>
      </c>
      <c r="B151" s="820" t="s">
        <v>342</v>
      </c>
      <c r="C151" s="1058"/>
      <c r="D151" s="97">
        <v>13002</v>
      </c>
      <c r="E151" s="97">
        <v>13002</v>
      </c>
      <c r="F151" s="1409">
        <f t="shared" si="4"/>
        <v>1</v>
      </c>
      <c r="G151" s="96">
        <v>13002</v>
      </c>
      <c r="H151" s="97"/>
      <c r="I151" s="98"/>
      <c r="K151" s="36">
        <f>+E151-G151-H151-I151</f>
        <v>0</v>
      </c>
    </row>
    <row r="152" spans="1:11">
      <c r="A152" s="84" t="s">
        <v>66</v>
      </c>
      <c r="B152" s="65" t="s">
        <v>152</v>
      </c>
      <c r="C152" s="1051"/>
      <c r="D152" s="10">
        <v>236</v>
      </c>
      <c r="E152" s="10">
        <v>236</v>
      </c>
      <c r="F152" s="1410">
        <f t="shared" si="4"/>
        <v>1</v>
      </c>
      <c r="G152" s="34">
        <v>236</v>
      </c>
      <c r="H152" s="10"/>
      <c r="I152" s="35"/>
      <c r="K152" s="4">
        <f>+E152-G152-H152-I152</f>
        <v>0</v>
      </c>
    </row>
    <row r="153" spans="1:11">
      <c r="A153" s="85" t="s">
        <v>67</v>
      </c>
      <c r="B153" s="67" t="s">
        <v>153</v>
      </c>
      <c r="C153" s="501"/>
      <c r="D153" s="11"/>
      <c r="E153" s="11"/>
      <c r="F153" s="1412" t="str">
        <f t="shared" si="4"/>
        <v>-</v>
      </c>
      <c r="G153" s="20"/>
      <c r="H153" s="11"/>
      <c r="I153" s="16"/>
      <c r="K153" s="4">
        <f>+E153-G153-H153-I153</f>
        <v>0</v>
      </c>
    </row>
    <row r="154" spans="1:11">
      <c r="A154" s="85" t="s">
        <v>68</v>
      </c>
      <c r="B154" s="67" t="s">
        <v>154</v>
      </c>
      <c r="C154" s="501"/>
      <c r="D154" s="11">
        <v>7119</v>
      </c>
      <c r="E154" s="11">
        <v>7119</v>
      </c>
      <c r="F154" s="1412">
        <f t="shared" si="4"/>
        <v>1</v>
      </c>
      <c r="G154" s="20">
        <v>7119</v>
      </c>
      <c r="H154" s="11"/>
      <c r="I154" s="16"/>
      <c r="K154" s="4">
        <f>+E154-G154-H154-I154</f>
        <v>0</v>
      </c>
    </row>
    <row r="155" spans="1:11">
      <c r="A155" s="85" t="s">
        <v>230</v>
      </c>
      <c r="B155" s="67" t="s">
        <v>155</v>
      </c>
      <c r="C155" s="501"/>
      <c r="D155" s="11">
        <v>4054</v>
      </c>
      <c r="E155" s="11">
        <v>4020</v>
      </c>
      <c r="F155" s="1412">
        <f t="shared" si="4"/>
        <v>0.99161322150962017</v>
      </c>
      <c r="G155" s="20">
        <v>3688</v>
      </c>
      <c r="H155" s="11">
        <v>332</v>
      </c>
      <c r="I155" s="16"/>
      <c r="K155" s="4">
        <f>+E155-G155-H155-I155</f>
        <v>0</v>
      </c>
    </row>
    <row r="156" spans="1:11">
      <c r="A156" s="85" t="s">
        <v>231</v>
      </c>
      <c r="B156" s="67" t="s">
        <v>156</v>
      </c>
      <c r="C156" s="501"/>
      <c r="D156" s="11"/>
      <c r="E156" s="11"/>
      <c r="F156" s="1412" t="str">
        <f t="shared" si="4"/>
        <v>-</v>
      </c>
      <c r="G156" s="20"/>
      <c r="H156" s="11"/>
      <c r="I156" s="16"/>
      <c r="K156" s="4">
        <f>+E156-G156-H156-I156</f>
        <v>0</v>
      </c>
    </row>
    <row r="157" spans="1:11">
      <c r="A157" s="85" t="s">
        <v>269</v>
      </c>
      <c r="B157" s="67" t="s">
        <v>157</v>
      </c>
      <c r="C157" s="501"/>
      <c r="D157" s="11"/>
      <c r="E157" s="11"/>
      <c r="F157" s="1412" t="str">
        <f t="shared" si="4"/>
        <v>-</v>
      </c>
      <c r="G157" s="20"/>
      <c r="H157" s="11"/>
      <c r="I157" s="16"/>
      <c r="K157" s="4">
        <f>+E157-G157-H157-I157</f>
        <v>0</v>
      </c>
    </row>
    <row r="158" spans="1:11" ht="12.75" thickBot="1">
      <c r="A158" s="78" t="s">
        <v>270</v>
      </c>
      <c r="B158" s="68" t="s">
        <v>158</v>
      </c>
      <c r="C158" s="500"/>
      <c r="D158" s="22">
        <v>3079</v>
      </c>
      <c r="E158" s="22">
        <v>3070</v>
      </c>
      <c r="F158" s="1411">
        <f t="shared" si="4"/>
        <v>0.99707697304319587</v>
      </c>
      <c r="G158" s="21">
        <v>2980</v>
      </c>
      <c r="H158" s="22">
        <v>90</v>
      </c>
      <c r="I158" s="23"/>
      <c r="K158" s="4">
        <f>+E158-G158-H158-I158</f>
        <v>0</v>
      </c>
    </row>
    <row r="159" spans="1:11" s="3" customFormat="1" ht="12.75" thickBot="1">
      <c r="A159" s="83" t="s">
        <v>12</v>
      </c>
      <c r="B159" s="64" t="s">
        <v>313</v>
      </c>
      <c r="C159" s="1049">
        <f>+C161+C162+C163+C164</f>
        <v>0</v>
      </c>
      <c r="D159" s="28">
        <f>+D161+D162+D163+D164</f>
        <v>0</v>
      </c>
      <c r="E159" s="28">
        <f>+E161+E162+E163+E164</f>
        <v>0</v>
      </c>
      <c r="F159" s="1408" t="str">
        <f t="shared" si="4"/>
        <v>-</v>
      </c>
      <c r="G159" s="27">
        <f>+G161+G162+G163+G164</f>
        <v>0</v>
      </c>
      <c r="H159" s="28">
        <f>+H161+H162+H163+H164</f>
        <v>0</v>
      </c>
      <c r="I159" s="29">
        <f>+I161+I162+I163+I164</f>
        <v>0</v>
      </c>
      <c r="K159" s="3">
        <f>+E159-G159-H159-I159</f>
        <v>0</v>
      </c>
    </row>
    <row r="160" spans="1:11" s="36" customFormat="1">
      <c r="A160" s="819" t="s">
        <v>344</v>
      </c>
      <c r="B160" s="820" t="s">
        <v>345</v>
      </c>
      <c r="C160" s="1058"/>
      <c r="D160" s="97"/>
      <c r="E160" s="97"/>
      <c r="F160" s="1409" t="str">
        <f t="shared" si="4"/>
        <v>-</v>
      </c>
      <c r="G160" s="96"/>
      <c r="H160" s="97"/>
      <c r="I160" s="98"/>
      <c r="K160" s="36">
        <f>+E160-G160-H160-I160</f>
        <v>0</v>
      </c>
    </row>
    <row r="161" spans="1:11">
      <c r="A161" s="84" t="s">
        <v>69</v>
      </c>
      <c r="B161" s="65" t="s">
        <v>159</v>
      </c>
      <c r="C161" s="1051"/>
      <c r="D161" s="10"/>
      <c r="E161" s="10"/>
      <c r="F161" s="1410" t="str">
        <f t="shared" si="4"/>
        <v>-</v>
      </c>
      <c r="G161" s="34"/>
      <c r="H161" s="10"/>
      <c r="I161" s="35"/>
      <c r="K161" s="4">
        <f>+E161-G161-H161-I161</f>
        <v>0</v>
      </c>
    </row>
    <row r="162" spans="1:11">
      <c r="A162" s="85" t="s">
        <v>70</v>
      </c>
      <c r="B162" s="67" t="s">
        <v>160</v>
      </c>
      <c r="C162" s="501"/>
      <c r="D162" s="11"/>
      <c r="E162" s="11"/>
      <c r="F162" s="1412" t="str">
        <f t="shared" si="4"/>
        <v>-</v>
      </c>
      <c r="G162" s="20"/>
      <c r="H162" s="11"/>
      <c r="I162" s="16"/>
      <c r="K162" s="4">
        <f>+E162-G162-H162-I162</f>
        <v>0</v>
      </c>
    </row>
    <row r="163" spans="1:11">
      <c r="A163" s="85" t="s">
        <v>71</v>
      </c>
      <c r="B163" s="67" t="s">
        <v>161</v>
      </c>
      <c r="C163" s="501"/>
      <c r="D163" s="11"/>
      <c r="E163" s="11"/>
      <c r="F163" s="1412" t="str">
        <f t="shared" si="4"/>
        <v>-</v>
      </c>
      <c r="G163" s="20"/>
      <c r="H163" s="11"/>
      <c r="I163" s="16"/>
      <c r="K163" s="4">
        <f>+E163-G163-H163-I163</f>
        <v>0</v>
      </c>
    </row>
    <row r="164" spans="1:11" ht="12.75" thickBot="1">
      <c r="A164" s="78" t="s">
        <v>72</v>
      </c>
      <c r="B164" s="68" t="s">
        <v>162</v>
      </c>
      <c r="C164" s="500"/>
      <c r="D164" s="22"/>
      <c r="E164" s="22"/>
      <c r="F164" s="1411" t="str">
        <f t="shared" si="4"/>
        <v>-</v>
      </c>
      <c r="G164" s="21"/>
      <c r="H164" s="22"/>
      <c r="I164" s="23"/>
      <c r="K164" s="4">
        <f>+E164-G164-H164-I164</f>
        <v>0</v>
      </c>
    </row>
    <row r="165" spans="1:11" s="3" customFormat="1" ht="12.75" thickBot="1">
      <c r="A165" s="83" t="s">
        <v>11</v>
      </c>
      <c r="B165" s="64" t="s">
        <v>996</v>
      </c>
      <c r="C165" s="1049">
        <f>+C166+C167+C168+C169+C171+C172+C173+C174+C175</f>
        <v>0</v>
      </c>
      <c r="D165" s="28">
        <f>+D166+D167+D168+D169+D171+D172+D173+D174+D175</f>
        <v>0</v>
      </c>
      <c r="E165" s="28">
        <f>+E166+E167+E168+E169+E171+E172+E173+E174+E175</f>
        <v>0</v>
      </c>
      <c r="F165" s="1408" t="str">
        <f t="shared" si="4"/>
        <v>-</v>
      </c>
      <c r="G165" s="27">
        <f>+G166+G167+G168+G169+G171+G172+G173+G174+G175</f>
        <v>0</v>
      </c>
      <c r="H165" s="28">
        <f>+H166+H167+H168+H169+H171+H172+H173+H174+H175</f>
        <v>0</v>
      </c>
      <c r="I165" s="29">
        <f>+I166+I167+I168+I169+I171+I172+I173+I174+I175</f>
        <v>0</v>
      </c>
      <c r="K165" s="3">
        <f>+E165-G165-H165-I165</f>
        <v>0</v>
      </c>
    </row>
    <row r="166" spans="1:11">
      <c r="A166" s="84" t="s">
        <v>271</v>
      </c>
      <c r="B166" s="65" t="s">
        <v>163</v>
      </c>
      <c r="C166" s="1051"/>
      <c r="D166" s="10"/>
      <c r="E166" s="10"/>
      <c r="F166" s="1410" t="str">
        <f t="shared" si="4"/>
        <v>-</v>
      </c>
      <c r="G166" s="34"/>
      <c r="H166" s="10"/>
      <c r="I166" s="35"/>
      <c r="K166" s="4">
        <f>+E166-G166-H166-I166</f>
        <v>0</v>
      </c>
    </row>
    <row r="167" spans="1:11">
      <c r="A167" s="85" t="s">
        <v>272</v>
      </c>
      <c r="B167" s="67" t="s">
        <v>164</v>
      </c>
      <c r="C167" s="501"/>
      <c r="D167" s="11"/>
      <c r="E167" s="11"/>
      <c r="F167" s="1412" t="str">
        <f t="shared" si="4"/>
        <v>-</v>
      </c>
      <c r="G167" s="20"/>
      <c r="H167" s="11"/>
      <c r="I167" s="16"/>
      <c r="K167" s="4">
        <f>+E167-G167-H167-I167</f>
        <v>0</v>
      </c>
    </row>
    <row r="168" spans="1:11">
      <c r="A168" s="85" t="s">
        <v>273</v>
      </c>
      <c r="B168" s="67" t="s">
        <v>165</v>
      </c>
      <c r="C168" s="501"/>
      <c r="D168" s="11"/>
      <c r="E168" s="11"/>
      <c r="F168" s="1412" t="str">
        <f t="shared" si="4"/>
        <v>-</v>
      </c>
      <c r="G168" s="20"/>
      <c r="H168" s="11"/>
      <c r="I168" s="16"/>
      <c r="K168" s="4">
        <f>+E168-G168-H168-I168</f>
        <v>0</v>
      </c>
    </row>
    <row r="169" spans="1:11">
      <c r="A169" s="85" t="s">
        <v>274</v>
      </c>
      <c r="B169" s="67" t="s">
        <v>166</v>
      </c>
      <c r="C169" s="501"/>
      <c r="D169" s="11"/>
      <c r="E169" s="11"/>
      <c r="F169" s="1412" t="str">
        <f t="shared" si="4"/>
        <v>-</v>
      </c>
      <c r="G169" s="20"/>
      <c r="H169" s="11"/>
      <c r="I169" s="16"/>
      <c r="K169" s="4">
        <f>+E169-G169-H169-I169</f>
        <v>0</v>
      </c>
    </row>
    <row r="170" spans="1:11" s="13" customFormat="1">
      <c r="A170" s="89" t="s">
        <v>339</v>
      </c>
      <c r="B170" s="818" t="s">
        <v>340</v>
      </c>
      <c r="C170" s="1050"/>
      <c r="D170" s="43"/>
      <c r="E170" s="43"/>
      <c r="F170" s="1411" t="str">
        <f t="shared" si="4"/>
        <v>-</v>
      </c>
      <c r="G170" s="45"/>
      <c r="H170" s="43"/>
      <c r="I170" s="44"/>
      <c r="K170" s="13">
        <f>+E170-G170-H170-I170</f>
        <v>0</v>
      </c>
    </row>
    <row r="171" spans="1:11">
      <c r="A171" s="85" t="s">
        <v>275</v>
      </c>
      <c r="B171" s="67" t="s">
        <v>167</v>
      </c>
      <c r="C171" s="501"/>
      <c r="D171" s="11"/>
      <c r="E171" s="11"/>
      <c r="F171" s="1412" t="str">
        <f t="shared" si="4"/>
        <v>-</v>
      </c>
      <c r="G171" s="20"/>
      <c r="H171" s="11"/>
      <c r="I171" s="16"/>
      <c r="K171" s="4">
        <f>+E171-G171-H171-I171</f>
        <v>0</v>
      </c>
    </row>
    <row r="172" spans="1:11">
      <c r="A172" s="85" t="s">
        <v>276</v>
      </c>
      <c r="B172" s="67" t="s">
        <v>168</v>
      </c>
      <c r="C172" s="501"/>
      <c r="D172" s="11"/>
      <c r="E172" s="11"/>
      <c r="F172" s="1412" t="str">
        <f t="shared" si="4"/>
        <v>-</v>
      </c>
      <c r="G172" s="20"/>
      <c r="H172" s="11"/>
      <c r="I172" s="16"/>
      <c r="K172" s="4">
        <f>+E172-G172-H172-I172</f>
        <v>0</v>
      </c>
    </row>
    <row r="173" spans="1:11">
      <c r="A173" s="85" t="s">
        <v>277</v>
      </c>
      <c r="B173" s="67" t="s">
        <v>169</v>
      </c>
      <c r="C173" s="501"/>
      <c r="D173" s="11"/>
      <c r="E173" s="11"/>
      <c r="F173" s="1412" t="str">
        <f t="shared" ref="F173:F208" si="5">IF(ISERROR(E173/D173),"-",E173/D173)</f>
        <v>-</v>
      </c>
      <c r="G173" s="20"/>
      <c r="H173" s="11"/>
      <c r="I173" s="16"/>
      <c r="K173" s="4">
        <f>+E173-G173-H173-I173</f>
        <v>0</v>
      </c>
    </row>
    <row r="174" spans="1:11">
      <c r="A174" s="85" t="s">
        <v>278</v>
      </c>
      <c r="B174" s="67" t="s">
        <v>997</v>
      </c>
      <c r="C174" s="501"/>
      <c r="D174" s="11"/>
      <c r="E174" s="11"/>
      <c r="F174" s="1412" t="str">
        <f t="shared" si="5"/>
        <v>-</v>
      </c>
      <c r="G174" s="20"/>
      <c r="H174" s="11"/>
      <c r="I174" s="16"/>
      <c r="K174" s="4">
        <f>+E174-G174-H174-I174</f>
        <v>0</v>
      </c>
    </row>
    <row r="175" spans="1:11" ht="12.75" thickBot="1">
      <c r="A175" s="78" t="s">
        <v>995</v>
      </c>
      <c r="B175" s="68" t="s">
        <v>998</v>
      </c>
      <c r="C175" s="500"/>
      <c r="D175" s="22"/>
      <c r="E175" s="22"/>
      <c r="F175" s="1411" t="str">
        <f t="shared" si="5"/>
        <v>-</v>
      </c>
      <c r="G175" s="21"/>
      <c r="H175" s="22"/>
      <c r="I175" s="23"/>
      <c r="K175" s="4">
        <f>+E175-G175-H175-I175</f>
        <v>0</v>
      </c>
    </row>
    <row r="176" spans="1:11" s="3" customFormat="1" ht="12.75" thickBot="1">
      <c r="A176" s="83" t="s">
        <v>10</v>
      </c>
      <c r="B176" s="69" t="s">
        <v>314</v>
      </c>
      <c r="C176" s="1049">
        <f>+C109+C149</f>
        <v>352486</v>
      </c>
      <c r="D176" s="28">
        <f>+D109+D149</f>
        <v>399355</v>
      </c>
      <c r="E176" s="28">
        <f>+E109+E149</f>
        <v>396440</v>
      </c>
      <c r="F176" s="1408">
        <f t="shared" si="5"/>
        <v>0.99270072992700731</v>
      </c>
      <c r="G176" s="27">
        <f>+G109+G149</f>
        <v>363787</v>
      </c>
      <c r="H176" s="28">
        <f>+H109+H149</f>
        <v>29317</v>
      </c>
      <c r="I176" s="29">
        <f>+I109+I149</f>
        <v>3336</v>
      </c>
      <c r="K176" s="3">
        <f>+E176-G176-H176-I176</f>
        <v>0</v>
      </c>
    </row>
    <row r="177" spans="1:11" s="3" customFormat="1" ht="12.75" thickBot="1">
      <c r="A177" s="83" t="s">
        <v>9</v>
      </c>
      <c r="B177" s="70" t="s">
        <v>315</v>
      </c>
      <c r="C177" s="1049">
        <f>+C178</f>
        <v>0</v>
      </c>
      <c r="D177" s="28">
        <f>+D178</f>
        <v>0</v>
      </c>
      <c r="E177" s="28">
        <f>+E178</f>
        <v>0</v>
      </c>
      <c r="F177" s="1408" t="str">
        <f t="shared" si="5"/>
        <v>-</v>
      </c>
      <c r="G177" s="27">
        <f>+G178</f>
        <v>0</v>
      </c>
      <c r="H177" s="28">
        <f>+H178</f>
        <v>0</v>
      </c>
      <c r="I177" s="29">
        <f>+I178</f>
        <v>0</v>
      </c>
      <c r="K177" s="3">
        <f>+E177-G177-H177-I177</f>
        <v>0</v>
      </c>
    </row>
    <row r="178" spans="1:11" s="3" customFormat="1" ht="12.75" thickBot="1">
      <c r="A178" s="83" t="s">
        <v>45</v>
      </c>
      <c r="B178" s="64" t="s">
        <v>1005</v>
      </c>
      <c r="C178" s="1049">
        <f>+C179+C189+C190+C191</f>
        <v>0</v>
      </c>
      <c r="D178" s="28">
        <f>+D179+D189+D190+D191</f>
        <v>0</v>
      </c>
      <c r="E178" s="28">
        <f>+E179+E189+E190+E191</f>
        <v>0</v>
      </c>
      <c r="F178" s="1408" t="str">
        <f t="shared" si="5"/>
        <v>-</v>
      </c>
      <c r="G178" s="27">
        <f>+G179+G189+G190+G191</f>
        <v>0</v>
      </c>
      <c r="H178" s="28">
        <f>+H179+H189+H190+H191</f>
        <v>0</v>
      </c>
      <c r="I178" s="29">
        <f>+I179+I189+I190+I191</f>
        <v>0</v>
      </c>
      <c r="K178" s="3">
        <f>+E178-G178-H178-I178</f>
        <v>0</v>
      </c>
    </row>
    <row r="179" spans="1:11">
      <c r="A179" s="84" t="s">
        <v>75</v>
      </c>
      <c r="B179" s="65" t="s">
        <v>1006</v>
      </c>
      <c r="C179" s="1051">
        <f>+C180+C181+C182+C183+C184+C185+C186+C187+C188</f>
        <v>0</v>
      </c>
      <c r="D179" s="10">
        <f>+D180+D181+D182+D183+D184+D185+D186+D187+D188</f>
        <v>0</v>
      </c>
      <c r="E179" s="47">
        <f>+E180+E181+E182+E183+E184+E185+E186+E187+E188</f>
        <v>0</v>
      </c>
      <c r="F179" s="1410" t="str">
        <f t="shared" si="5"/>
        <v>-</v>
      </c>
      <c r="G179" s="34">
        <f>+G180+G181+G182+G183+G184+G185+G186+G187+G188</f>
        <v>0</v>
      </c>
      <c r="H179" s="10">
        <f>+H180+H181+H182+H183+H184+H185+H186+H187+H188</f>
        <v>0</v>
      </c>
      <c r="I179" s="35">
        <f>+I180+I181+I182+I183+I184+I185+I186+I187+I188</f>
        <v>0</v>
      </c>
      <c r="K179" s="4">
        <f>+E179-G179-H179-I179</f>
        <v>0</v>
      </c>
    </row>
    <row r="180" spans="1:11" s="13" customFormat="1">
      <c r="A180" s="86" t="s">
        <v>205</v>
      </c>
      <c r="B180" s="66" t="s">
        <v>170</v>
      </c>
      <c r="C180" s="502"/>
      <c r="D180" s="12"/>
      <c r="E180" s="12"/>
      <c r="F180" s="1412" t="str">
        <f t="shared" si="5"/>
        <v>-</v>
      </c>
      <c r="G180" s="19"/>
      <c r="H180" s="12"/>
      <c r="I180" s="15"/>
      <c r="K180" s="13">
        <f>+E180-G180-H180-I180</f>
        <v>0</v>
      </c>
    </row>
    <row r="181" spans="1:11" s="13" customFormat="1">
      <c r="A181" s="86" t="s">
        <v>206</v>
      </c>
      <c r="B181" s="66" t="s">
        <v>171</v>
      </c>
      <c r="C181" s="502"/>
      <c r="D181" s="12"/>
      <c r="E181" s="12"/>
      <c r="F181" s="1412" t="str">
        <f t="shared" si="5"/>
        <v>-</v>
      </c>
      <c r="G181" s="19"/>
      <c r="H181" s="12"/>
      <c r="I181" s="15"/>
      <c r="K181" s="13">
        <f>+E181-G181-H181-I181</f>
        <v>0</v>
      </c>
    </row>
    <row r="182" spans="1:11" s="13" customFormat="1">
      <c r="A182" s="86" t="s">
        <v>207</v>
      </c>
      <c r="B182" s="66" t="s">
        <v>172</v>
      </c>
      <c r="C182" s="502"/>
      <c r="D182" s="12"/>
      <c r="E182" s="12"/>
      <c r="F182" s="1412" t="str">
        <f t="shared" si="5"/>
        <v>-</v>
      </c>
      <c r="G182" s="19"/>
      <c r="H182" s="12"/>
      <c r="I182" s="15"/>
      <c r="K182" s="13">
        <f>+E182-G182-H182-I182</f>
        <v>0</v>
      </c>
    </row>
    <row r="183" spans="1:11" s="13" customFormat="1">
      <c r="A183" s="86" t="s">
        <v>208</v>
      </c>
      <c r="B183" s="66" t="s">
        <v>173</v>
      </c>
      <c r="C183" s="502"/>
      <c r="D183" s="12"/>
      <c r="E183" s="12"/>
      <c r="F183" s="1412" t="str">
        <f t="shared" si="5"/>
        <v>-</v>
      </c>
      <c r="G183" s="19"/>
      <c r="H183" s="12"/>
      <c r="I183" s="15"/>
      <c r="K183" s="13">
        <f>+E183-G183-H183-I183</f>
        <v>0</v>
      </c>
    </row>
    <row r="184" spans="1:11" s="117" customFormat="1">
      <c r="A184" s="108" t="s">
        <v>209</v>
      </c>
      <c r="B184" s="109" t="s">
        <v>174</v>
      </c>
      <c r="C184" s="876"/>
      <c r="D184" s="744"/>
      <c r="E184" s="744"/>
      <c r="F184" s="1418" t="str">
        <f t="shared" si="5"/>
        <v>-</v>
      </c>
      <c r="G184" s="743"/>
      <c r="H184" s="744"/>
      <c r="I184" s="745"/>
      <c r="K184" s="117">
        <f>+E184-G184-H184-I184</f>
        <v>0</v>
      </c>
    </row>
    <row r="185" spans="1:11" s="117" customFormat="1">
      <c r="A185" s="86" t="s">
        <v>210</v>
      </c>
      <c r="B185" s="66" t="s">
        <v>179</v>
      </c>
      <c r="C185" s="876"/>
      <c r="D185" s="744"/>
      <c r="E185" s="12"/>
      <c r="F185" s="1412" t="str">
        <f t="shared" si="5"/>
        <v>-</v>
      </c>
      <c r="G185" s="743"/>
      <c r="H185" s="744"/>
      <c r="I185" s="745"/>
      <c r="K185" s="13">
        <f>+E185-G185-H185-I185</f>
        <v>0</v>
      </c>
    </row>
    <row r="186" spans="1:11" s="117" customFormat="1">
      <c r="A186" s="86" t="s">
        <v>211</v>
      </c>
      <c r="B186" s="66" t="s">
        <v>175</v>
      </c>
      <c r="C186" s="876"/>
      <c r="D186" s="744"/>
      <c r="E186" s="12"/>
      <c r="F186" s="1412" t="str">
        <f t="shared" si="5"/>
        <v>-</v>
      </c>
      <c r="G186" s="743"/>
      <c r="H186" s="744"/>
      <c r="I186" s="745"/>
      <c r="K186" s="13">
        <f>+E186-G186-H186-I186</f>
        <v>0</v>
      </c>
    </row>
    <row r="187" spans="1:11" s="117" customFormat="1">
      <c r="A187" s="86" t="s">
        <v>212</v>
      </c>
      <c r="B187" s="66" t="s">
        <v>176</v>
      </c>
      <c r="C187" s="876"/>
      <c r="D187" s="744"/>
      <c r="E187" s="12"/>
      <c r="F187" s="1412" t="str">
        <f t="shared" si="5"/>
        <v>-</v>
      </c>
      <c r="G187" s="743"/>
      <c r="H187" s="744"/>
      <c r="I187" s="745"/>
      <c r="K187" s="13">
        <f>+E187-G187-H187-I187</f>
        <v>0</v>
      </c>
    </row>
    <row r="188" spans="1:11" s="117" customFormat="1">
      <c r="A188" s="86" t="s">
        <v>999</v>
      </c>
      <c r="B188" s="66" t="s">
        <v>1001</v>
      </c>
      <c r="C188" s="876"/>
      <c r="D188" s="744"/>
      <c r="E188" s="12"/>
      <c r="F188" s="1412" t="str">
        <f t="shared" si="5"/>
        <v>-</v>
      </c>
      <c r="G188" s="743"/>
      <c r="H188" s="744"/>
      <c r="I188" s="745"/>
      <c r="K188" s="13">
        <f>+E188-G188-H188-I188</f>
        <v>0</v>
      </c>
    </row>
    <row r="189" spans="1:11" s="118" customFormat="1">
      <c r="A189" s="85" t="s">
        <v>76</v>
      </c>
      <c r="B189" s="67" t="s">
        <v>177</v>
      </c>
      <c r="C189" s="1052"/>
      <c r="D189" s="988"/>
      <c r="E189" s="11"/>
      <c r="F189" s="1412" t="str">
        <f t="shared" si="5"/>
        <v>-</v>
      </c>
      <c r="G189" s="987"/>
      <c r="H189" s="988"/>
      <c r="I189" s="989"/>
      <c r="K189" s="4">
        <f>+E189-G189-H189-I189</f>
        <v>0</v>
      </c>
    </row>
    <row r="190" spans="1:11" s="118" customFormat="1">
      <c r="A190" s="78" t="s">
        <v>77</v>
      </c>
      <c r="B190" s="68" t="s">
        <v>178</v>
      </c>
      <c r="C190" s="1053"/>
      <c r="D190" s="991"/>
      <c r="E190" s="22"/>
      <c r="F190" s="1411" t="str">
        <f t="shared" si="5"/>
        <v>-</v>
      </c>
      <c r="G190" s="990"/>
      <c r="H190" s="991"/>
      <c r="I190" s="992"/>
      <c r="K190" s="4">
        <f>+E190-G190-H190-I190</f>
        <v>0</v>
      </c>
    </row>
    <row r="191" spans="1:11" s="118" customFormat="1" ht="12.75" thickBot="1">
      <c r="A191" s="78" t="s">
        <v>1004</v>
      </c>
      <c r="B191" s="68" t="s">
        <v>1002</v>
      </c>
      <c r="C191" s="1053"/>
      <c r="D191" s="991"/>
      <c r="E191" s="17"/>
      <c r="F191" s="1411" t="str">
        <f t="shared" si="5"/>
        <v>-</v>
      </c>
      <c r="G191" s="990"/>
      <c r="H191" s="991"/>
      <c r="I191" s="992"/>
      <c r="K191" s="4">
        <f>+E191-G191-H191-I191</f>
        <v>0</v>
      </c>
    </row>
    <row r="192" spans="1:11" s="119" customFormat="1" ht="12.75" thickBot="1">
      <c r="A192" s="83" t="s">
        <v>44</v>
      </c>
      <c r="B192" s="69" t="s">
        <v>316</v>
      </c>
      <c r="C192" s="1054">
        <f>+C193</f>
        <v>0</v>
      </c>
      <c r="D192" s="111">
        <f>+D193</f>
        <v>0</v>
      </c>
      <c r="E192" s="28">
        <f>+E193</f>
        <v>0</v>
      </c>
      <c r="F192" s="1408" t="str">
        <f t="shared" si="5"/>
        <v>-</v>
      </c>
      <c r="G192" s="110">
        <f>+G193</f>
        <v>0</v>
      </c>
      <c r="H192" s="111">
        <f>+H193</f>
        <v>0</v>
      </c>
      <c r="I192" s="112">
        <f>+I193</f>
        <v>0</v>
      </c>
      <c r="K192" s="3">
        <f>+E192-G192-H192-I192</f>
        <v>0</v>
      </c>
    </row>
    <row r="193" spans="1:11" s="119" customFormat="1" ht="12.75" thickBot="1">
      <c r="A193" s="83" t="s">
        <v>43</v>
      </c>
      <c r="B193" s="64" t="s">
        <v>1000</v>
      </c>
      <c r="C193" s="1049">
        <f>+C194+C204+C205+C206</f>
        <v>0</v>
      </c>
      <c r="D193" s="28">
        <f>+D194+D204+D205+D206</f>
        <v>0</v>
      </c>
      <c r="E193" s="28">
        <f>+E194+E204+E205+E206</f>
        <v>0</v>
      </c>
      <c r="F193" s="1408" t="str">
        <f t="shared" si="5"/>
        <v>-</v>
      </c>
      <c r="G193" s="27">
        <f>+G194+G204+G205+G206</f>
        <v>0</v>
      </c>
      <c r="H193" s="28">
        <f>+H194+H204+H205+H206</f>
        <v>0</v>
      </c>
      <c r="I193" s="29">
        <f>+I194+I204+I205+I206</f>
        <v>0</v>
      </c>
      <c r="K193" s="3">
        <f>+E193-G193-H193-I193</f>
        <v>0</v>
      </c>
    </row>
    <row r="194" spans="1:11" s="118" customFormat="1">
      <c r="A194" s="84" t="s">
        <v>78</v>
      </c>
      <c r="B194" s="65" t="s">
        <v>1043</v>
      </c>
      <c r="C194" s="1051">
        <f>+C195+C196+C197+C198+C199+C200+C201+C202+C203</f>
        <v>0</v>
      </c>
      <c r="D194" s="10">
        <f>+D195+D196+D197+D198+D199+D200+D201+D202+D203</f>
        <v>0</v>
      </c>
      <c r="E194" s="47">
        <f>+E195+E196+E197+E198+E199+E200+E201+E202+E203</f>
        <v>0</v>
      </c>
      <c r="F194" s="1410" t="str">
        <f t="shared" si="5"/>
        <v>-</v>
      </c>
      <c r="G194" s="34">
        <f>+G195+G196+G197+G198+G199+G200+G201+G202+G203</f>
        <v>0</v>
      </c>
      <c r="H194" s="10">
        <f>+H195+H196+H197+H198+H199+H200+H201+H202+H203</f>
        <v>0</v>
      </c>
      <c r="I194" s="35">
        <f>+I195+I196+I197+I198+I199+I200+I201+I202+I203</f>
        <v>0</v>
      </c>
      <c r="K194" s="4">
        <f>+E194-G194-H194-I194</f>
        <v>0</v>
      </c>
    </row>
    <row r="195" spans="1:11" s="117" customFormat="1">
      <c r="A195" s="86" t="s">
        <v>213</v>
      </c>
      <c r="B195" s="66" t="s">
        <v>170</v>
      </c>
      <c r="C195" s="876"/>
      <c r="D195" s="744"/>
      <c r="E195" s="12"/>
      <c r="F195" s="1412" t="str">
        <f t="shared" si="5"/>
        <v>-</v>
      </c>
      <c r="G195" s="743"/>
      <c r="H195" s="744"/>
      <c r="I195" s="745"/>
      <c r="K195" s="13">
        <f>+E195-G195-H195-I195</f>
        <v>0</v>
      </c>
    </row>
    <row r="196" spans="1:11" s="117" customFormat="1">
      <c r="A196" s="86" t="s">
        <v>214</v>
      </c>
      <c r="B196" s="66" t="s">
        <v>171</v>
      </c>
      <c r="C196" s="876"/>
      <c r="D196" s="744"/>
      <c r="E196" s="12"/>
      <c r="F196" s="1412" t="str">
        <f t="shared" si="5"/>
        <v>-</v>
      </c>
      <c r="G196" s="743"/>
      <c r="H196" s="744"/>
      <c r="I196" s="745"/>
      <c r="K196" s="13">
        <f>+E196-G196-H196-I196</f>
        <v>0</v>
      </c>
    </row>
    <row r="197" spans="1:11" s="117" customFormat="1">
      <c r="A197" s="86" t="s">
        <v>215</v>
      </c>
      <c r="B197" s="66" t="s">
        <v>172</v>
      </c>
      <c r="C197" s="876"/>
      <c r="D197" s="744"/>
      <c r="E197" s="12"/>
      <c r="F197" s="1412" t="str">
        <f t="shared" si="5"/>
        <v>-</v>
      </c>
      <c r="G197" s="743"/>
      <c r="H197" s="744"/>
      <c r="I197" s="745"/>
      <c r="K197" s="13">
        <f>+E197-G197-H197-I197</f>
        <v>0</v>
      </c>
    </row>
    <row r="198" spans="1:11" s="117" customFormat="1">
      <c r="A198" s="86" t="s">
        <v>216</v>
      </c>
      <c r="B198" s="66" t="s">
        <v>173</v>
      </c>
      <c r="C198" s="876"/>
      <c r="D198" s="744"/>
      <c r="E198" s="12"/>
      <c r="F198" s="1412" t="str">
        <f t="shared" si="5"/>
        <v>-</v>
      </c>
      <c r="G198" s="743"/>
      <c r="H198" s="744"/>
      <c r="I198" s="745"/>
      <c r="K198" s="13">
        <f>+E198-G198-H198-I198</f>
        <v>0</v>
      </c>
    </row>
    <row r="199" spans="1:11" s="117" customFormat="1">
      <c r="A199" s="108" t="s">
        <v>217</v>
      </c>
      <c r="B199" s="109" t="s">
        <v>174</v>
      </c>
      <c r="C199" s="876"/>
      <c r="D199" s="744"/>
      <c r="E199" s="744"/>
      <c r="F199" s="1418" t="str">
        <f t="shared" si="5"/>
        <v>-</v>
      </c>
      <c r="G199" s="743"/>
      <c r="H199" s="744"/>
      <c r="I199" s="745"/>
      <c r="K199" s="117">
        <f>+E199-G199-H199-I199</f>
        <v>0</v>
      </c>
    </row>
    <row r="200" spans="1:11" s="117" customFormat="1">
      <c r="A200" s="86" t="s">
        <v>218</v>
      </c>
      <c r="B200" s="66" t="s">
        <v>179</v>
      </c>
      <c r="C200" s="876"/>
      <c r="D200" s="744"/>
      <c r="E200" s="12"/>
      <c r="F200" s="1412" t="str">
        <f t="shared" si="5"/>
        <v>-</v>
      </c>
      <c r="G200" s="743"/>
      <c r="H200" s="744"/>
      <c r="I200" s="745"/>
      <c r="K200" s="13">
        <f>+E200-G200-H200-I200</f>
        <v>0</v>
      </c>
    </row>
    <row r="201" spans="1:11" s="13" customFormat="1">
      <c r="A201" s="86" t="s">
        <v>219</v>
      </c>
      <c r="B201" s="66" t="s">
        <v>175</v>
      </c>
      <c r="C201" s="502"/>
      <c r="D201" s="12"/>
      <c r="E201" s="12"/>
      <c r="F201" s="1412" t="str">
        <f t="shared" si="5"/>
        <v>-</v>
      </c>
      <c r="G201" s="19"/>
      <c r="H201" s="12"/>
      <c r="I201" s="15"/>
      <c r="K201" s="13">
        <f>+E201-G201-H201-I201</f>
        <v>0</v>
      </c>
    </row>
    <row r="202" spans="1:11" s="13" customFormat="1">
      <c r="A202" s="86" t="s">
        <v>220</v>
      </c>
      <c r="B202" s="66" t="s">
        <v>176</v>
      </c>
      <c r="C202" s="502"/>
      <c r="D202" s="12"/>
      <c r="E202" s="12"/>
      <c r="F202" s="1412" t="str">
        <f t="shared" si="5"/>
        <v>-</v>
      </c>
      <c r="G202" s="19"/>
      <c r="H202" s="12"/>
      <c r="I202" s="15"/>
      <c r="K202" s="13">
        <f>+E202-G202-H202-I202</f>
        <v>0</v>
      </c>
    </row>
    <row r="203" spans="1:11" s="13" customFormat="1">
      <c r="A203" s="86" t="s">
        <v>999</v>
      </c>
      <c r="B203" s="66" t="s">
        <v>1001</v>
      </c>
      <c r="C203" s="502"/>
      <c r="D203" s="12"/>
      <c r="E203" s="12"/>
      <c r="F203" s="1412" t="str">
        <f t="shared" si="5"/>
        <v>-</v>
      </c>
      <c r="G203" s="19"/>
      <c r="H203" s="12"/>
      <c r="I203" s="15"/>
      <c r="K203" s="13">
        <f>+E203-G203-H203-I203</f>
        <v>0</v>
      </c>
    </row>
    <row r="204" spans="1:11">
      <c r="A204" s="85" t="s">
        <v>79</v>
      </c>
      <c r="B204" s="67" t="s">
        <v>177</v>
      </c>
      <c r="C204" s="501"/>
      <c r="D204" s="11"/>
      <c r="E204" s="11"/>
      <c r="F204" s="1412" t="str">
        <f t="shared" si="5"/>
        <v>-</v>
      </c>
      <c r="G204" s="20"/>
      <c r="H204" s="11"/>
      <c r="I204" s="16"/>
      <c r="K204" s="4">
        <f>+E204-G204-H204-I204</f>
        <v>0</v>
      </c>
    </row>
    <row r="205" spans="1:11">
      <c r="A205" s="78" t="s">
        <v>221</v>
      </c>
      <c r="B205" s="68" t="s">
        <v>178</v>
      </c>
      <c r="C205" s="500"/>
      <c r="D205" s="22"/>
      <c r="E205" s="22"/>
      <c r="F205" s="1411" t="str">
        <f t="shared" si="5"/>
        <v>-</v>
      </c>
      <c r="G205" s="21"/>
      <c r="H205" s="22"/>
      <c r="I205" s="23"/>
      <c r="K205" s="4">
        <f>+E205-G205-H205-I205</f>
        <v>0</v>
      </c>
    </row>
    <row r="206" spans="1:11" ht="12.75" thickBot="1">
      <c r="A206" s="78" t="s">
        <v>1003</v>
      </c>
      <c r="B206" s="68" t="s">
        <v>1002</v>
      </c>
      <c r="C206" s="500"/>
      <c r="D206" s="22"/>
      <c r="E206" s="17"/>
      <c r="F206" s="1411" t="str">
        <f t="shared" si="5"/>
        <v>-</v>
      </c>
      <c r="G206" s="21"/>
      <c r="H206" s="22"/>
      <c r="I206" s="23"/>
      <c r="K206" s="4">
        <f>+E206-G206-H206-I206</f>
        <v>0</v>
      </c>
    </row>
    <row r="207" spans="1:11" s="3" customFormat="1" ht="12.75" thickBot="1">
      <c r="A207" s="83" t="s">
        <v>40</v>
      </c>
      <c r="B207" s="69" t="s">
        <v>317</v>
      </c>
      <c r="C207" s="1049">
        <f>+C177+C192</f>
        <v>0</v>
      </c>
      <c r="D207" s="28">
        <f>+D177+D192</f>
        <v>0</v>
      </c>
      <c r="E207" s="28">
        <f>+E177+E192</f>
        <v>0</v>
      </c>
      <c r="F207" s="1408" t="str">
        <f t="shared" si="5"/>
        <v>-</v>
      </c>
      <c r="G207" s="27">
        <f>+G177+G192</f>
        <v>0</v>
      </c>
      <c r="H207" s="28">
        <f>+H177+H192</f>
        <v>0</v>
      </c>
      <c r="I207" s="29">
        <f>+I177+I192</f>
        <v>0</v>
      </c>
      <c r="K207" s="3">
        <f>+E207-G207-H207-I207</f>
        <v>0</v>
      </c>
    </row>
    <row r="208" spans="1:11" s="3" customFormat="1" ht="12.75" thickBot="1">
      <c r="A208" s="87" t="s">
        <v>39</v>
      </c>
      <c r="B208" s="71" t="s">
        <v>335</v>
      </c>
      <c r="C208" s="1056">
        <f>+C176+C207</f>
        <v>352486</v>
      </c>
      <c r="D208" s="25">
        <f>+D176+D207</f>
        <v>399355</v>
      </c>
      <c r="E208" s="25">
        <f>+E176+E207</f>
        <v>396440</v>
      </c>
      <c r="F208" s="1414">
        <f t="shared" si="5"/>
        <v>0.99270072992700731</v>
      </c>
      <c r="G208" s="24">
        <f>+G176+G207</f>
        <v>363787</v>
      </c>
      <c r="H208" s="25">
        <f>+H176+H207</f>
        <v>29317</v>
      </c>
      <c r="I208" s="26">
        <f>+I176+I207</f>
        <v>3336</v>
      </c>
      <c r="K208" s="3">
        <f>+E208-G208-H208-I208</f>
        <v>0</v>
      </c>
    </row>
    <row r="211" spans="1:31" s="1" customFormat="1" ht="15.75">
      <c r="A211" s="1217" t="s">
        <v>89</v>
      </c>
      <c r="B211" s="1217"/>
      <c r="C211" s="1217"/>
      <c r="D211" s="1217"/>
      <c r="E211" s="1217"/>
      <c r="F211" s="1217"/>
      <c r="G211" s="1217"/>
      <c r="H211" s="1217"/>
      <c r="I211" s="1217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</row>
    <row r="212" spans="1:31" s="36" customFormat="1" ht="12.75" thickBot="1">
      <c r="A212" s="38" t="s">
        <v>282</v>
      </c>
      <c r="F212" s="1397"/>
      <c r="I212" s="37" t="s">
        <v>281</v>
      </c>
    </row>
    <row r="213" spans="1:31" s="3" customFormat="1" ht="12.75" thickBot="1">
      <c r="A213" s="83" t="s">
        <v>4</v>
      </c>
      <c r="B213" s="69" t="s">
        <v>318</v>
      </c>
      <c r="C213" s="1049">
        <f>+C214+C215</f>
        <v>-315545</v>
      </c>
      <c r="D213" s="28">
        <f>+D214+D215</f>
        <v>-278641</v>
      </c>
      <c r="E213" s="28">
        <f>+E214+E215</f>
        <v>-277122</v>
      </c>
      <c r="F213" s="1408">
        <f>IF(ISERROR(E213/D213),"-",E213/D213)</f>
        <v>0.99454854095413092</v>
      </c>
      <c r="G213" s="27">
        <f>+G214+G215</f>
        <v>-271011</v>
      </c>
      <c r="H213" s="28">
        <f>+H214+H215</f>
        <v>-5602</v>
      </c>
      <c r="I213" s="29">
        <f>+I214+I215</f>
        <v>-509</v>
      </c>
      <c r="K213" s="3">
        <f>+E213-G213-H213-I213</f>
        <v>0</v>
      </c>
    </row>
    <row r="214" spans="1:31">
      <c r="A214" s="84" t="s">
        <v>81</v>
      </c>
      <c r="B214" s="72" t="s">
        <v>319</v>
      </c>
      <c r="C214" s="1051">
        <f>+C10-C109</f>
        <v>-315545</v>
      </c>
      <c r="D214" s="10">
        <f>+D10-D109</f>
        <v>-264153</v>
      </c>
      <c r="E214" s="10">
        <f>+E10-E109</f>
        <v>-262677</v>
      </c>
      <c r="F214" s="1410">
        <f>IF(ISERROR(E214/D214),"-",E214/D214)</f>
        <v>0.99441232921829392</v>
      </c>
      <c r="G214" s="34">
        <f>+G10-G109</f>
        <v>-256988</v>
      </c>
      <c r="H214" s="10">
        <f>+H10-H109</f>
        <v>-5180</v>
      </c>
      <c r="I214" s="35">
        <f>+I10-I109</f>
        <v>-509</v>
      </c>
      <c r="K214" s="4">
        <f>+E214-G214-H214-I214</f>
        <v>0</v>
      </c>
    </row>
    <row r="215" spans="1:31" ht="12.75" thickBot="1">
      <c r="A215" s="88" t="s">
        <v>82</v>
      </c>
      <c r="B215" s="73" t="s">
        <v>320</v>
      </c>
      <c r="C215" s="503">
        <f>+C50-C149</f>
        <v>0</v>
      </c>
      <c r="D215" s="17">
        <f>+D50-D149</f>
        <v>-14488</v>
      </c>
      <c r="E215" s="17">
        <f>+E50-E149</f>
        <v>-14445</v>
      </c>
      <c r="F215" s="1416">
        <f>IF(ISERROR(E215/D215),"-",E215/D215)</f>
        <v>0.99703202650469358</v>
      </c>
      <c r="G215" s="40">
        <f>+G50-G149</f>
        <v>-14023</v>
      </c>
      <c r="H215" s="17">
        <f>+H50-H149</f>
        <v>-422</v>
      </c>
      <c r="I215" s="39">
        <f>+I50-I149</f>
        <v>0</v>
      </c>
      <c r="K215" s="4">
        <f>+E215-G215-H215-I215</f>
        <v>0</v>
      </c>
    </row>
    <row r="218" spans="1:31" s="1" customFormat="1" ht="15.75">
      <c r="A218" s="1217" t="s">
        <v>90</v>
      </c>
      <c r="B218" s="1217"/>
      <c r="C218" s="1217"/>
      <c r="D218" s="1217"/>
      <c r="E218" s="1217"/>
      <c r="F218" s="1217"/>
      <c r="G218" s="1217"/>
      <c r="H218" s="1217"/>
      <c r="I218" s="1217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</row>
    <row r="219" spans="1:31" s="36" customFormat="1" ht="12.75" thickBot="1">
      <c r="A219" s="38" t="s">
        <v>283</v>
      </c>
      <c r="F219" s="1397"/>
      <c r="I219" s="37" t="s">
        <v>281</v>
      </c>
    </row>
    <row r="220" spans="1:31" s="3" customFormat="1" ht="12.75" thickBot="1">
      <c r="A220" s="83" t="s">
        <v>4</v>
      </c>
      <c r="B220" s="69" t="s">
        <v>321</v>
      </c>
      <c r="C220" s="1049">
        <f>+C221+C228</f>
        <v>315545</v>
      </c>
      <c r="D220" s="28">
        <f>+D221+D228</f>
        <v>278641</v>
      </c>
      <c r="E220" s="28">
        <f>+E221+E228</f>
        <v>330758</v>
      </c>
      <c r="F220" s="1408">
        <f t="shared" ref="F220:F234" si="6">IF(ISERROR(E220/D220),"-",E220/D220)</f>
        <v>1.1870399546369701</v>
      </c>
      <c r="G220" s="27">
        <f>+G221+G228</f>
        <v>324647</v>
      </c>
      <c r="H220" s="28">
        <f>+H221+H228</f>
        <v>5602</v>
      </c>
      <c r="I220" s="29">
        <f>+I221+I228</f>
        <v>509</v>
      </c>
      <c r="K220" s="3">
        <f>+E220-G220-H220-I220</f>
        <v>0</v>
      </c>
    </row>
    <row r="221" spans="1:31" s="3" customFormat="1" ht="12.75" thickBot="1">
      <c r="A221" s="83" t="s">
        <v>5</v>
      </c>
      <c r="B221" s="64" t="s">
        <v>322</v>
      </c>
      <c r="C221" s="1049">
        <f>+C222-C225</f>
        <v>315545</v>
      </c>
      <c r="D221" s="28">
        <f>+D222-D225</f>
        <v>264153</v>
      </c>
      <c r="E221" s="28">
        <f>+E222-E225</f>
        <v>316313</v>
      </c>
      <c r="F221" s="1408">
        <f t="shared" si="6"/>
        <v>1.1974613197654389</v>
      </c>
      <c r="G221" s="27">
        <f>+G222-G225</f>
        <v>310624</v>
      </c>
      <c r="H221" s="28">
        <f>+H222-H225</f>
        <v>5180</v>
      </c>
      <c r="I221" s="29">
        <f>+I222-I225</f>
        <v>509</v>
      </c>
      <c r="K221" s="3">
        <f>+E221-G221-H221-I221</f>
        <v>0</v>
      </c>
    </row>
    <row r="222" spans="1:31">
      <c r="A222" s="84" t="s">
        <v>54</v>
      </c>
      <c r="B222" s="65" t="s">
        <v>323</v>
      </c>
      <c r="C222" s="1051">
        <f>+C223+C224</f>
        <v>315545</v>
      </c>
      <c r="D222" s="10">
        <f>+D223+D224</f>
        <v>264153</v>
      </c>
      <c r="E222" s="10">
        <f>+E223+E224</f>
        <v>316313</v>
      </c>
      <c r="F222" s="1410">
        <f t="shared" si="6"/>
        <v>1.1974613197654389</v>
      </c>
      <c r="G222" s="34">
        <f>+G223+G224</f>
        <v>310624</v>
      </c>
      <c r="H222" s="10">
        <f>+H223+H224</f>
        <v>5180</v>
      </c>
      <c r="I222" s="35">
        <f>+I223+I224</f>
        <v>509</v>
      </c>
      <c r="K222" s="4">
        <f>+E222-G222-H222-I222</f>
        <v>0</v>
      </c>
    </row>
    <row r="223" spans="1:31" s="13" customFormat="1">
      <c r="A223" s="86" t="s">
        <v>190</v>
      </c>
      <c r="B223" s="66" t="s">
        <v>285</v>
      </c>
      <c r="C223" s="502">
        <f>+C76+C80</f>
        <v>0</v>
      </c>
      <c r="D223" s="12">
        <f>+D76+D80</f>
        <v>1298</v>
      </c>
      <c r="E223" s="12">
        <f>+E76+E80</f>
        <v>1298</v>
      </c>
      <c r="F223" s="1412">
        <f t="shared" si="6"/>
        <v>1</v>
      </c>
      <c r="G223" s="19">
        <f>+G76+G80</f>
        <v>1298</v>
      </c>
      <c r="H223" s="12">
        <f>+H76+H80</f>
        <v>0</v>
      </c>
      <c r="I223" s="15">
        <f>+I76+I80</f>
        <v>0</v>
      </c>
      <c r="K223" s="13">
        <f>+E223-G223-H223-I223</f>
        <v>0</v>
      </c>
    </row>
    <row r="224" spans="1:31" s="13" customFormat="1">
      <c r="A224" s="86" t="s">
        <v>191</v>
      </c>
      <c r="B224" s="66" t="s">
        <v>286</v>
      </c>
      <c r="C224" s="502">
        <f>+C74+C75+C77+C78+C79+C81</f>
        <v>315545</v>
      </c>
      <c r="D224" s="12">
        <f>+D74+D75+D77+D78+D79+D81</f>
        <v>262855</v>
      </c>
      <c r="E224" s="12">
        <f>+E74+E75+E77+E78+E79+E81</f>
        <v>315015</v>
      </c>
      <c r="F224" s="1412">
        <f t="shared" si="6"/>
        <v>1.1984364002967416</v>
      </c>
      <c r="G224" s="19">
        <f>+G74+G75+G77+G78+G79+G81</f>
        <v>309326</v>
      </c>
      <c r="H224" s="12">
        <f>+H74+H75+H77+H78+H79+H81</f>
        <v>5180</v>
      </c>
      <c r="I224" s="15">
        <f>+I74+I75+I77+I78+I79+I81</f>
        <v>509</v>
      </c>
      <c r="K224" s="13">
        <f>+E224-G224-H224-I224</f>
        <v>0</v>
      </c>
    </row>
    <row r="225" spans="1:31">
      <c r="A225" s="85" t="s">
        <v>55</v>
      </c>
      <c r="B225" s="67" t="s">
        <v>324</v>
      </c>
      <c r="C225" s="501">
        <f>+C227</f>
        <v>0</v>
      </c>
      <c r="D225" s="11">
        <f>+D227</f>
        <v>0</v>
      </c>
      <c r="E225" s="11">
        <f>+E227</f>
        <v>0</v>
      </c>
      <c r="F225" s="1412" t="str">
        <f t="shared" si="6"/>
        <v>-</v>
      </c>
      <c r="G225" s="20">
        <f>+G227</f>
        <v>0</v>
      </c>
      <c r="H225" s="11">
        <f>+H227</f>
        <v>0</v>
      </c>
      <c r="I225" s="16">
        <f>+I227</f>
        <v>0</v>
      </c>
      <c r="K225" s="4">
        <f>+E225-G225-H225-I225</f>
        <v>0</v>
      </c>
    </row>
    <row r="226" spans="1:31" s="13" customFormat="1">
      <c r="A226" s="86" t="s">
        <v>56</v>
      </c>
      <c r="B226" s="66" t="s">
        <v>287</v>
      </c>
      <c r="C226" s="502">
        <f>+C185</f>
        <v>0</v>
      </c>
      <c r="D226" s="12">
        <f>+D185</f>
        <v>0</v>
      </c>
      <c r="E226" s="12">
        <f>+E185</f>
        <v>0</v>
      </c>
      <c r="F226" s="1412" t="str">
        <f t="shared" si="6"/>
        <v>-</v>
      </c>
      <c r="G226" s="19">
        <f>+G185</f>
        <v>0</v>
      </c>
      <c r="H226" s="12">
        <f>+H185</f>
        <v>0</v>
      </c>
      <c r="I226" s="15">
        <f>+I185</f>
        <v>0</v>
      </c>
      <c r="K226" s="13">
        <f>+E226-G226-H226-I226</f>
        <v>0</v>
      </c>
    </row>
    <row r="227" spans="1:31" s="13" customFormat="1" ht="12.75" thickBot="1">
      <c r="A227" s="89" t="s">
        <v>57</v>
      </c>
      <c r="B227" s="74" t="s">
        <v>288</v>
      </c>
      <c r="C227" s="1050">
        <f>+C180+C181+C182+C183+C184+C186+C187</f>
        <v>0</v>
      </c>
      <c r="D227" s="43">
        <f>+D180+D181+D182+D183+D184+D186+D187</f>
        <v>0</v>
      </c>
      <c r="E227" s="43">
        <f>+E180+E181+E182+E183+E184+E186+E187</f>
        <v>0</v>
      </c>
      <c r="F227" s="1411" t="str">
        <f t="shared" si="6"/>
        <v>-</v>
      </c>
      <c r="G227" s="45">
        <f>+G180+G181+G182+G183+G184+G186+G187</f>
        <v>0</v>
      </c>
      <c r="H227" s="43">
        <f>+H180+H181+H182+H183+H184+H186+H187</f>
        <v>0</v>
      </c>
      <c r="I227" s="44">
        <f>+I180+I181+I182+I183+I184+I186+I187</f>
        <v>0</v>
      </c>
      <c r="K227" s="13">
        <f>+E227-G227-H227-I227</f>
        <v>0</v>
      </c>
    </row>
    <row r="228" spans="1:31" s="3" customFormat="1" ht="12.75" thickBot="1">
      <c r="A228" s="83" t="s">
        <v>6</v>
      </c>
      <c r="B228" s="64" t="s">
        <v>325</v>
      </c>
      <c r="C228" s="1049">
        <f>+C229-C232</f>
        <v>0</v>
      </c>
      <c r="D228" s="28">
        <f>+D229-D232</f>
        <v>14488</v>
      </c>
      <c r="E228" s="28">
        <f>+E229-E232</f>
        <v>14445</v>
      </c>
      <c r="F228" s="1408">
        <f t="shared" si="6"/>
        <v>0.99703202650469358</v>
      </c>
      <c r="G228" s="27">
        <f>+G229-G232</f>
        <v>14023</v>
      </c>
      <c r="H228" s="28">
        <f>+H229-H232</f>
        <v>422</v>
      </c>
      <c r="I228" s="29">
        <f>+I229-I232</f>
        <v>0</v>
      </c>
      <c r="K228" s="3">
        <f>+E228-G228-H228-I228</f>
        <v>0</v>
      </c>
    </row>
    <row r="229" spans="1:31">
      <c r="A229" s="84" t="s">
        <v>58</v>
      </c>
      <c r="B229" s="65" t="s">
        <v>326</v>
      </c>
      <c r="C229" s="1051">
        <f>+C230+C231</f>
        <v>0</v>
      </c>
      <c r="D229" s="10">
        <f>+D230+D231</f>
        <v>14488</v>
      </c>
      <c r="E229" s="10">
        <f>+E230+E231</f>
        <v>14445</v>
      </c>
      <c r="F229" s="1410">
        <f t="shared" si="6"/>
        <v>0.99703202650469358</v>
      </c>
      <c r="G229" s="34">
        <f>+G230+G231</f>
        <v>14023</v>
      </c>
      <c r="H229" s="10">
        <f>+H230+H231</f>
        <v>422</v>
      </c>
      <c r="I229" s="35">
        <f>+I230+I231</f>
        <v>0</v>
      </c>
      <c r="K229" s="4">
        <f>+E229-G229-H229-I229</f>
        <v>0</v>
      </c>
    </row>
    <row r="230" spans="1:31" s="13" customFormat="1">
      <c r="A230" s="86" t="s">
        <v>293</v>
      </c>
      <c r="B230" s="66" t="s">
        <v>291</v>
      </c>
      <c r="C230" s="502">
        <f>+C91+C95</f>
        <v>0</v>
      </c>
      <c r="D230" s="12">
        <f>+D91+D95</f>
        <v>0</v>
      </c>
      <c r="E230" s="12">
        <f>+E91+E95</f>
        <v>0</v>
      </c>
      <c r="F230" s="1412" t="str">
        <f t="shared" si="6"/>
        <v>-</v>
      </c>
      <c r="G230" s="19">
        <f>+G91+G95</f>
        <v>0</v>
      </c>
      <c r="H230" s="12">
        <f>+H91+H95</f>
        <v>0</v>
      </c>
      <c r="I230" s="15">
        <f>+I91+I95</f>
        <v>0</v>
      </c>
      <c r="K230" s="13">
        <f>+E230-G230-H230-I230</f>
        <v>0</v>
      </c>
    </row>
    <row r="231" spans="1:31" s="13" customFormat="1">
      <c r="A231" s="86" t="s">
        <v>294</v>
      </c>
      <c r="B231" s="66" t="s">
        <v>292</v>
      </c>
      <c r="C231" s="502">
        <f>+C89+C90+C92+C93+C94+C96</f>
        <v>0</v>
      </c>
      <c r="D231" s="12">
        <f>+D89+D90+D92+D93+D94+D96</f>
        <v>14488</v>
      </c>
      <c r="E231" s="12">
        <f>+E89+E90+E92+E93+E94+E96</f>
        <v>14445</v>
      </c>
      <c r="F231" s="1412">
        <f t="shared" si="6"/>
        <v>0.99703202650469358</v>
      </c>
      <c r="G231" s="19">
        <f>+G89+G90+G92+G93+G94+G96</f>
        <v>14023</v>
      </c>
      <c r="H231" s="12">
        <f>+H89+H90+H92+H93+H94+H96</f>
        <v>422</v>
      </c>
      <c r="I231" s="15">
        <f>+I89+I90+I92+I93+I94+I96</f>
        <v>0</v>
      </c>
      <c r="K231" s="13">
        <f>+E231-G231-H231-I231</f>
        <v>0</v>
      </c>
    </row>
    <row r="232" spans="1:31">
      <c r="A232" s="85" t="s">
        <v>59</v>
      </c>
      <c r="B232" s="67" t="s">
        <v>327</v>
      </c>
      <c r="C232" s="501">
        <f>+C233+C234</f>
        <v>0</v>
      </c>
      <c r="D232" s="11">
        <f>+D233+D234</f>
        <v>0</v>
      </c>
      <c r="E232" s="11">
        <f>+E233+E234</f>
        <v>0</v>
      </c>
      <c r="F232" s="1412" t="str">
        <f t="shared" si="6"/>
        <v>-</v>
      </c>
      <c r="G232" s="20">
        <f>+G233+G234</f>
        <v>0</v>
      </c>
      <c r="H232" s="11">
        <f>+H233+H234</f>
        <v>0</v>
      </c>
      <c r="I232" s="16">
        <f>+I233+I234</f>
        <v>0</v>
      </c>
      <c r="K232" s="4">
        <f>+E232-G232-H232-I232</f>
        <v>0</v>
      </c>
    </row>
    <row r="233" spans="1:31" s="13" customFormat="1">
      <c r="A233" s="86" t="s">
        <v>295</v>
      </c>
      <c r="B233" s="66" t="s">
        <v>289</v>
      </c>
      <c r="C233" s="502">
        <f>+C200</f>
        <v>0</v>
      </c>
      <c r="D233" s="12">
        <f>+D200</f>
        <v>0</v>
      </c>
      <c r="E233" s="12">
        <f>+E200</f>
        <v>0</v>
      </c>
      <c r="F233" s="1412" t="str">
        <f t="shared" si="6"/>
        <v>-</v>
      </c>
      <c r="G233" s="19">
        <f>+G200</f>
        <v>0</v>
      </c>
      <c r="H233" s="12">
        <f>+H200</f>
        <v>0</v>
      </c>
      <c r="I233" s="15">
        <f>+I200</f>
        <v>0</v>
      </c>
      <c r="K233" s="13">
        <f>+E233-G233-H233-I233</f>
        <v>0</v>
      </c>
    </row>
    <row r="234" spans="1:31" s="13" customFormat="1" ht="12.75" thickBot="1">
      <c r="A234" s="90" t="s">
        <v>296</v>
      </c>
      <c r="B234" s="75" t="s">
        <v>290</v>
      </c>
      <c r="C234" s="1059">
        <f>+C195+C196+C197+C198+C199+C201+C202</f>
        <v>0</v>
      </c>
      <c r="D234" s="41">
        <f>+D195+D196+D197+D198+D199+D201+D202</f>
        <v>0</v>
      </c>
      <c r="E234" s="41">
        <f>+E195+E196+E197+E198+E199+E201+E202</f>
        <v>0</v>
      </c>
      <c r="F234" s="1416" t="str">
        <f t="shared" si="6"/>
        <v>-</v>
      </c>
      <c r="G234" s="46">
        <f>+G195+G196+G197+G198+G199+G201+G202</f>
        <v>0</v>
      </c>
      <c r="H234" s="41">
        <f>+H195+H196+H197+H198+H199+H201+H202</f>
        <v>0</v>
      </c>
      <c r="I234" s="42">
        <f>+I195+I196+I197+I198+I199+I201+I202</f>
        <v>0</v>
      </c>
      <c r="K234" s="13">
        <f>+E234-G234-H234-I234</f>
        <v>0</v>
      </c>
    </row>
    <row r="237" spans="1:31" s="1" customFormat="1" ht="15.75">
      <c r="A237" s="1217" t="s">
        <v>1323</v>
      </c>
      <c r="B237" s="1217"/>
      <c r="C237" s="1217"/>
      <c r="D237" s="1217"/>
      <c r="E237" s="1217"/>
      <c r="F237" s="1217"/>
      <c r="G237" s="1217"/>
      <c r="H237" s="1217"/>
      <c r="I237" s="1217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</row>
    <row r="238" spans="1:31" s="36" customFormat="1" ht="12.75" thickBot="1">
      <c r="A238" s="38" t="s">
        <v>284</v>
      </c>
      <c r="F238" s="1397"/>
      <c r="I238" s="37"/>
    </row>
    <row r="239" spans="1:31" s="3" customFormat="1">
      <c r="A239" s="91" t="s">
        <v>4</v>
      </c>
      <c r="B239" s="76" t="s">
        <v>91</v>
      </c>
      <c r="C239" s="1060">
        <v>90</v>
      </c>
      <c r="D239" s="55">
        <v>92</v>
      </c>
      <c r="E239" s="55">
        <v>85</v>
      </c>
      <c r="F239" s="1409">
        <f>IF(ISERROR(E239/D239),"-",E239/D239)</f>
        <v>0.92391304347826086</v>
      </c>
      <c r="G239" s="54">
        <v>82</v>
      </c>
      <c r="H239" s="55">
        <v>3</v>
      </c>
      <c r="I239" s="56"/>
      <c r="K239" s="3">
        <f>+E239-G239-H239-I239</f>
        <v>0</v>
      </c>
    </row>
    <row r="240" spans="1:31" s="13" customFormat="1">
      <c r="A240" s="89" t="s">
        <v>351</v>
      </c>
      <c r="B240" s="99" t="s">
        <v>352</v>
      </c>
      <c r="C240" s="1061"/>
      <c r="D240" s="101">
        <v>2</v>
      </c>
      <c r="E240" s="101">
        <v>2</v>
      </c>
      <c r="F240" s="1411">
        <f>IF(ISERROR(E240/D240),"-",E240/D240)</f>
        <v>1</v>
      </c>
      <c r="G240" s="100">
        <v>2</v>
      </c>
      <c r="H240" s="101"/>
      <c r="I240" s="102"/>
      <c r="K240" s="13">
        <f>+E240-G240-H240-I240</f>
        <v>0</v>
      </c>
    </row>
    <row r="241" spans="1:11" s="3" customFormat="1" ht="12.75" thickBot="1">
      <c r="A241" s="92" t="s">
        <v>5</v>
      </c>
      <c r="B241" s="77" t="s">
        <v>92</v>
      </c>
      <c r="C241" s="1062"/>
      <c r="D241" s="58"/>
      <c r="E241" s="58"/>
      <c r="F241" s="1417" t="str">
        <f>IF(ISERROR(E241/D241),"-",E241/D241)</f>
        <v>-</v>
      </c>
      <c r="G241" s="57"/>
      <c r="H241" s="58"/>
      <c r="I241" s="59"/>
      <c r="K241" s="3">
        <f>+E241-G241-H241-I241</f>
        <v>0</v>
      </c>
    </row>
    <row r="242" spans="1:11" s="3" customFormat="1" ht="12.75" thickBot="1">
      <c r="A242" s="83" t="s">
        <v>6</v>
      </c>
      <c r="B242" s="69" t="s">
        <v>330</v>
      </c>
      <c r="C242" s="1063">
        <f>+C239+C241</f>
        <v>90</v>
      </c>
      <c r="D242" s="61">
        <f>+D239+D241</f>
        <v>92</v>
      </c>
      <c r="E242" s="61">
        <f>+E239+E241</f>
        <v>85</v>
      </c>
      <c r="F242" s="1408">
        <f>IF(ISERROR(E242/D242),"-",E242/D242)</f>
        <v>0.92391304347826086</v>
      </c>
      <c r="G242" s="60">
        <f>+G239+G241</f>
        <v>82</v>
      </c>
      <c r="H242" s="61">
        <f>+H239+H241</f>
        <v>3</v>
      </c>
      <c r="I242" s="62">
        <f>+I239+I241</f>
        <v>0</v>
      </c>
      <c r="K242" s="3">
        <f>+E242-G242-H242-I242</f>
        <v>0</v>
      </c>
    </row>
  </sheetData>
  <mergeCells count="9">
    <mergeCell ref="A211:I211"/>
    <mergeCell ref="A218:I218"/>
    <mergeCell ref="A237:I237"/>
    <mergeCell ref="A3:I3"/>
    <mergeCell ref="A4:I4"/>
    <mergeCell ref="A6:I6"/>
    <mergeCell ref="A105:I105"/>
    <mergeCell ref="C9:I9"/>
    <mergeCell ref="C108:I108"/>
  </mergeCells>
  <conditionalFormatting sqref="F26:F31 F89:F100 F65:F69 F59:F63 F52:F57 F45:F49 F33:F43 F13:F24 F195:F206 F180:F191 F166:F175 F151:F158 F147:F148 F133:F145 F124:F131 F117:F122 F111:F115 F160:F164 F74:F85">
    <cfRule type="cellIs" dxfId="13" priority="2" stopIfTrue="1" operator="equal">
      <formula>0</formula>
    </cfRule>
  </conditionalFormatting>
  <conditionalFormatting sqref="F65:F69 F59:F63 F52:F57 F45:F49 F33:F43 F13:F24 F195:F206 F180:F191 F166:F175 F160:F164 F151:F158 F147:F148 F133:F145 F124:F131 F117:F122 F111:F115 F26:F31 F89:F100 F74:F85">
    <cfRule type="cellIs" dxfId="12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44" fitToHeight="2" orientation="portrait" r:id="rId1"/>
  <headerFooter>
    <oddHeader>&amp;C 1.2. melléklet - &amp;P. oldal</oddHeader>
  </headerFooter>
  <rowBreaks count="1" manualBreakCount="1">
    <brk id="104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11">
    <tabColor rgb="FF00B0F0"/>
  </sheetPr>
  <dimension ref="A1:AE242"/>
  <sheetViews>
    <sheetView zoomScaleNormal="100" workbookViewId="0"/>
  </sheetViews>
  <sheetFormatPr defaultRowHeight="12"/>
  <cols>
    <col min="1" max="1" width="6.5703125" style="4" customWidth="1"/>
    <col min="2" max="2" width="109.5703125" style="4" bestFit="1" customWidth="1"/>
    <col min="3" max="5" width="9.28515625" style="4" customWidth="1"/>
    <col min="6" max="6" width="9.28515625" style="1415" customWidth="1"/>
    <col min="7" max="9" width="9.28515625" style="4" customWidth="1"/>
    <col min="10" max="10" width="9.140625" style="4"/>
    <col min="11" max="11" width="9.140625" style="4" hidden="1" customWidth="1"/>
    <col min="12" max="16384" width="9.140625" style="4"/>
  </cols>
  <sheetData>
    <row r="1" spans="1:11" s="50" customFormat="1" ht="15.75">
      <c r="F1" s="1396"/>
      <c r="I1" s="51" t="s">
        <v>356</v>
      </c>
    </row>
    <row r="2" spans="1:11" s="50" customFormat="1" ht="15.75">
      <c r="F2" s="1396"/>
    </row>
    <row r="3" spans="1:11" s="52" customFormat="1" ht="15.75">
      <c r="A3" s="1216" t="s">
        <v>357</v>
      </c>
      <c r="B3" s="1216"/>
      <c r="C3" s="1216"/>
      <c r="D3" s="1216"/>
      <c r="E3" s="1216"/>
      <c r="F3" s="1216"/>
      <c r="G3" s="1216"/>
      <c r="H3" s="1216"/>
      <c r="I3" s="1216"/>
    </row>
    <row r="4" spans="1:11" s="52" customFormat="1" ht="15.75">
      <c r="A4" s="1216" t="s">
        <v>1324</v>
      </c>
      <c r="B4" s="1216"/>
      <c r="C4" s="1216"/>
      <c r="D4" s="1216"/>
      <c r="E4" s="1216"/>
      <c r="F4" s="1216"/>
      <c r="G4" s="1216"/>
      <c r="H4" s="1216"/>
      <c r="I4" s="1216"/>
    </row>
    <row r="5" spans="1:11" s="50" customFormat="1" ht="15.75">
      <c r="F5" s="1396"/>
    </row>
    <row r="6" spans="1:11" s="52" customFormat="1" ht="15.75">
      <c r="A6" s="1216" t="s">
        <v>48</v>
      </c>
      <c r="B6" s="1216"/>
      <c r="C6" s="1216"/>
      <c r="D6" s="1216"/>
      <c r="E6" s="1216"/>
      <c r="F6" s="1216"/>
      <c r="G6" s="1216"/>
      <c r="H6" s="1216"/>
      <c r="I6" s="1216"/>
    </row>
    <row r="7" spans="1:11" s="36" customFormat="1" ht="12.75" thickBot="1">
      <c r="A7" s="38" t="s">
        <v>280</v>
      </c>
      <c r="F7" s="1397"/>
      <c r="I7" s="37" t="s">
        <v>281</v>
      </c>
    </row>
    <row r="8" spans="1:11" s="8" customFormat="1" ht="48.75" thickBot="1">
      <c r="A8" s="79" t="s">
        <v>17</v>
      </c>
      <c r="B8" s="93" t="s">
        <v>328</v>
      </c>
      <c r="C8" s="1046" t="s">
        <v>1474</v>
      </c>
      <c r="D8" s="1047" t="s">
        <v>1475</v>
      </c>
      <c r="E8" s="6" t="s">
        <v>1529</v>
      </c>
      <c r="F8" s="1398" t="s">
        <v>1527</v>
      </c>
      <c r="G8" s="5" t="s">
        <v>51</v>
      </c>
      <c r="H8" s="6" t="s">
        <v>52</v>
      </c>
      <c r="I8" s="7" t="s">
        <v>53</v>
      </c>
    </row>
    <row r="9" spans="1:11" s="3" customFormat="1" ht="12.75" thickBot="1">
      <c r="A9" s="83" t="s">
        <v>253</v>
      </c>
      <c r="B9" s="94" t="s">
        <v>254</v>
      </c>
      <c r="C9" s="1225" t="s">
        <v>255</v>
      </c>
      <c r="D9" s="1226"/>
      <c r="E9" s="1226"/>
      <c r="F9" s="1226"/>
      <c r="G9" s="1226"/>
      <c r="H9" s="1226"/>
      <c r="I9" s="1227"/>
    </row>
    <row r="10" spans="1:11" s="3" customFormat="1" ht="12.75" thickBot="1">
      <c r="A10" s="95" t="s">
        <v>4</v>
      </c>
      <c r="B10" s="63" t="s">
        <v>297</v>
      </c>
      <c r="C10" s="1048">
        <f>+C11+C25+C32+C44</f>
        <v>20813</v>
      </c>
      <c r="D10" s="134">
        <f>+D11+D25+D32+D44</f>
        <v>19404</v>
      </c>
      <c r="E10" s="134">
        <f>+E11+E25+E32+E44</f>
        <v>19368</v>
      </c>
      <c r="F10" s="1399">
        <f t="shared" ref="F10:F73" si="0">IF(ISERROR(E10/D10),"-",E10/D10)</f>
        <v>0.99814471243042668</v>
      </c>
      <c r="G10" s="31">
        <f>+G11+G25+G32+G44</f>
        <v>19368</v>
      </c>
      <c r="H10" s="32">
        <f>+H11+H25+H32+H44</f>
        <v>0</v>
      </c>
      <c r="I10" s="33">
        <f>+I11+I25+I32+I44</f>
        <v>0</v>
      </c>
      <c r="K10" s="3">
        <f>+E10-G10-H10-I10</f>
        <v>0</v>
      </c>
    </row>
    <row r="11" spans="1:11" s="3" customFormat="1" ht="12.75" thickBot="1">
      <c r="A11" s="83" t="s">
        <v>5</v>
      </c>
      <c r="B11" s="64" t="s">
        <v>298</v>
      </c>
      <c r="C11" s="1049">
        <f>+C12+C19+C20+C21+C22+C23</f>
        <v>0</v>
      </c>
      <c r="D11" s="28">
        <f>+D12+D19+D20+D21+D22+D23</f>
        <v>0</v>
      </c>
      <c r="E11" s="28">
        <f>+E12+E19+E20+E21+E22+E23</f>
        <v>0</v>
      </c>
      <c r="F11" s="1400" t="str">
        <f t="shared" si="0"/>
        <v>-</v>
      </c>
      <c r="G11" s="27">
        <f>+G12+G19+G20+G21+G22+G23</f>
        <v>0</v>
      </c>
      <c r="H11" s="28">
        <f>+H12+H19+H20+H21+H22+H23</f>
        <v>0</v>
      </c>
      <c r="I11" s="29">
        <f>+I12+I19+I20+I21+I22+I23</f>
        <v>0</v>
      </c>
      <c r="K11" s="3">
        <f>+E11-G11-H11-I11</f>
        <v>0</v>
      </c>
    </row>
    <row r="12" spans="1:11" s="3" customFormat="1">
      <c r="A12" s="84" t="s">
        <v>54</v>
      </c>
      <c r="B12" s="65" t="s">
        <v>299</v>
      </c>
      <c r="C12" s="1051">
        <f>+C13+C14+C15+C16+C17+C18</f>
        <v>0</v>
      </c>
      <c r="D12" s="10">
        <f>+D13+D14+D15+D16+D17+D18</f>
        <v>0</v>
      </c>
      <c r="E12" s="9">
        <f>+E13+E14+E15+E16+E17+E18</f>
        <v>0</v>
      </c>
      <c r="F12" s="1401" t="str">
        <f t="shared" si="0"/>
        <v>-</v>
      </c>
      <c r="G12" s="18">
        <f>+G13+G14+G15+G16+G17+G18</f>
        <v>0</v>
      </c>
      <c r="H12" s="9">
        <f>+H13+H14+H15+H16+H17+H18</f>
        <v>0</v>
      </c>
      <c r="I12" s="14">
        <f>+I13+I14+I15+I16+I17+I18</f>
        <v>0</v>
      </c>
      <c r="K12" s="4">
        <f>+E12-G12-H12-I12</f>
        <v>0</v>
      </c>
    </row>
    <row r="13" spans="1:11" s="13" customFormat="1">
      <c r="A13" s="86" t="s">
        <v>190</v>
      </c>
      <c r="B13" s="66" t="s">
        <v>93</v>
      </c>
      <c r="C13" s="502"/>
      <c r="D13" s="12"/>
      <c r="E13" s="12"/>
      <c r="F13" s="1402" t="str">
        <f t="shared" si="0"/>
        <v>-</v>
      </c>
      <c r="G13" s="19"/>
      <c r="H13" s="12"/>
      <c r="I13" s="15"/>
      <c r="K13" s="13">
        <f>+E13-G13-H13-I13</f>
        <v>0</v>
      </c>
    </row>
    <row r="14" spans="1:11" s="13" customFormat="1">
      <c r="A14" s="86" t="s">
        <v>191</v>
      </c>
      <c r="B14" s="66" t="s">
        <v>94</v>
      </c>
      <c r="C14" s="502"/>
      <c r="D14" s="12"/>
      <c r="E14" s="12"/>
      <c r="F14" s="1402" t="str">
        <f t="shared" si="0"/>
        <v>-</v>
      </c>
      <c r="G14" s="19"/>
      <c r="H14" s="12"/>
      <c r="I14" s="15"/>
      <c r="K14" s="13">
        <f>+E14-G14-H14-I14</f>
        <v>0</v>
      </c>
    </row>
    <row r="15" spans="1:11" s="13" customFormat="1">
      <c r="A15" s="86" t="s">
        <v>192</v>
      </c>
      <c r="B15" s="66" t="s">
        <v>95</v>
      </c>
      <c r="C15" s="502"/>
      <c r="D15" s="12"/>
      <c r="E15" s="12"/>
      <c r="F15" s="1402" t="str">
        <f t="shared" si="0"/>
        <v>-</v>
      </c>
      <c r="G15" s="19"/>
      <c r="H15" s="12"/>
      <c r="I15" s="15"/>
      <c r="K15" s="13">
        <f>+E15-G15-H15-I15</f>
        <v>0</v>
      </c>
    </row>
    <row r="16" spans="1:11" s="13" customFormat="1">
      <c r="A16" s="86" t="s">
        <v>193</v>
      </c>
      <c r="B16" s="66" t="s">
        <v>96</v>
      </c>
      <c r="C16" s="502"/>
      <c r="D16" s="12"/>
      <c r="E16" s="12"/>
      <c r="F16" s="1402" t="str">
        <f t="shared" si="0"/>
        <v>-</v>
      </c>
      <c r="G16" s="19"/>
      <c r="H16" s="12"/>
      <c r="I16" s="15"/>
      <c r="K16" s="13">
        <f>+E16-G16-H16-I16</f>
        <v>0</v>
      </c>
    </row>
    <row r="17" spans="1:11" s="13" customFormat="1">
      <c r="A17" s="86" t="s">
        <v>194</v>
      </c>
      <c r="B17" s="66" t="s">
        <v>959</v>
      </c>
      <c r="C17" s="502"/>
      <c r="D17" s="12"/>
      <c r="E17" s="12"/>
      <c r="F17" s="1403" t="str">
        <f t="shared" si="0"/>
        <v>-</v>
      </c>
      <c r="G17" s="19"/>
      <c r="H17" s="12"/>
      <c r="I17" s="15"/>
      <c r="K17" s="13">
        <f>+E17-G17-H17-I17</f>
        <v>0</v>
      </c>
    </row>
    <row r="18" spans="1:11" s="13" customFormat="1">
      <c r="A18" s="86" t="s">
        <v>195</v>
      </c>
      <c r="B18" s="66" t="s">
        <v>960</v>
      </c>
      <c r="C18" s="502"/>
      <c r="D18" s="12"/>
      <c r="E18" s="12"/>
      <c r="F18" s="1403" t="str">
        <f t="shared" si="0"/>
        <v>-</v>
      </c>
      <c r="G18" s="19"/>
      <c r="H18" s="12"/>
      <c r="I18" s="15"/>
      <c r="K18" s="13">
        <f>+E18-G18-H18-I18</f>
        <v>0</v>
      </c>
    </row>
    <row r="19" spans="1:11">
      <c r="A19" s="85" t="s">
        <v>55</v>
      </c>
      <c r="B19" s="67" t="s">
        <v>97</v>
      </c>
      <c r="C19" s="501"/>
      <c r="D19" s="11"/>
      <c r="E19" s="11"/>
      <c r="F19" s="1402" t="str">
        <f t="shared" si="0"/>
        <v>-</v>
      </c>
      <c r="G19" s="20"/>
      <c r="H19" s="11"/>
      <c r="I19" s="16"/>
      <c r="K19" s="4">
        <f>+E19-G19-H19-I19</f>
        <v>0</v>
      </c>
    </row>
    <row r="20" spans="1:11">
      <c r="A20" s="85" t="s">
        <v>83</v>
      </c>
      <c r="B20" s="67" t="s">
        <v>98</v>
      </c>
      <c r="C20" s="501"/>
      <c r="D20" s="11"/>
      <c r="E20" s="11"/>
      <c r="F20" s="1402" t="str">
        <f t="shared" si="0"/>
        <v>-</v>
      </c>
      <c r="G20" s="20"/>
      <c r="H20" s="11"/>
      <c r="I20" s="16"/>
      <c r="K20" s="4">
        <f>+E20-G20-H20-I20</f>
        <v>0</v>
      </c>
    </row>
    <row r="21" spans="1:11">
      <c r="A21" s="85" t="s">
        <v>84</v>
      </c>
      <c r="B21" s="67" t="s">
        <v>99</v>
      </c>
      <c r="C21" s="501"/>
      <c r="D21" s="11"/>
      <c r="E21" s="11"/>
      <c r="F21" s="1402" t="str">
        <f t="shared" si="0"/>
        <v>-</v>
      </c>
      <c r="G21" s="20"/>
      <c r="H21" s="11"/>
      <c r="I21" s="16"/>
      <c r="K21" s="4">
        <f>+E21-G21-H21-I21</f>
        <v>0</v>
      </c>
    </row>
    <row r="22" spans="1:11">
      <c r="A22" s="85" t="s">
        <v>85</v>
      </c>
      <c r="B22" s="67" t="s">
        <v>100</v>
      </c>
      <c r="C22" s="501"/>
      <c r="D22" s="11"/>
      <c r="E22" s="11"/>
      <c r="F22" s="1402" t="str">
        <f t="shared" si="0"/>
        <v>-</v>
      </c>
      <c r="G22" s="20"/>
      <c r="H22" s="11"/>
      <c r="I22" s="16"/>
      <c r="K22" s="4">
        <f>+E22-G22-H22-I22</f>
        <v>0</v>
      </c>
    </row>
    <row r="23" spans="1:11">
      <c r="A23" s="78" t="s">
        <v>86</v>
      </c>
      <c r="B23" s="68" t="s">
        <v>101</v>
      </c>
      <c r="C23" s="500"/>
      <c r="D23" s="22"/>
      <c r="E23" s="22"/>
      <c r="F23" s="1404" t="str">
        <f t="shared" si="0"/>
        <v>-</v>
      </c>
      <c r="G23" s="21"/>
      <c r="H23" s="22"/>
      <c r="I23" s="23"/>
      <c r="K23" s="4">
        <f>+E23-G23-H23-I23</f>
        <v>0</v>
      </c>
    </row>
    <row r="24" spans="1:11" s="13" customFormat="1" ht="12.75" thickBot="1">
      <c r="A24" s="89" t="s">
        <v>332</v>
      </c>
      <c r="B24" s="818" t="s">
        <v>333</v>
      </c>
      <c r="C24" s="1050"/>
      <c r="D24" s="43"/>
      <c r="E24" s="43"/>
      <c r="F24" s="1404" t="str">
        <f t="shared" si="0"/>
        <v>-</v>
      </c>
      <c r="G24" s="45"/>
      <c r="H24" s="43"/>
      <c r="I24" s="44"/>
      <c r="K24" s="13">
        <f>+E24-G24-H24-I24</f>
        <v>0</v>
      </c>
    </row>
    <row r="25" spans="1:11" s="3" customFormat="1" ht="12.75" thickBot="1">
      <c r="A25" s="83" t="s">
        <v>6</v>
      </c>
      <c r="B25" s="64" t="s">
        <v>835</v>
      </c>
      <c r="C25" s="1049">
        <f>+C26+C27+C28+C29+C30+C31</f>
        <v>0</v>
      </c>
      <c r="D25" s="28">
        <f>+D26+D27+D28+D29+D30+D31</f>
        <v>0</v>
      </c>
      <c r="E25" s="28">
        <f>+E26+E27+E28+E29+E30+E31</f>
        <v>0</v>
      </c>
      <c r="F25" s="1400" t="str">
        <f t="shared" si="0"/>
        <v>-</v>
      </c>
      <c r="G25" s="27">
        <f>+G26+G27+G28+G29+G30+G31</f>
        <v>0</v>
      </c>
      <c r="H25" s="28">
        <f>+H26+H27+H28+H29+H30+H31</f>
        <v>0</v>
      </c>
      <c r="I25" s="29">
        <f>+I26+I27+I28+I29+I30+I31</f>
        <v>0</v>
      </c>
      <c r="K25" s="3">
        <f>+E25-G25-H25-I25</f>
        <v>0</v>
      </c>
    </row>
    <row r="26" spans="1:11">
      <c r="A26" s="84" t="s">
        <v>58</v>
      </c>
      <c r="B26" s="65" t="s">
        <v>102</v>
      </c>
      <c r="C26" s="1051"/>
      <c r="D26" s="10"/>
      <c r="E26" s="10"/>
      <c r="F26" s="1401" t="str">
        <f t="shared" si="0"/>
        <v>-</v>
      </c>
      <c r="G26" s="34"/>
      <c r="H26" s="10"/>
      <c r="I26" s="35"/>
      <c r="K26" s="4">
        <f>+E26-G26-H26-I26</f>
        <v>0</v>
      </c>
    </row>
    <row r="27" spans="1:11">
      <c r="A27" s="85" t="s">
        <v>59</v>
      </c>
      <c r="B27" s="67" t="s">
        <v>103</v>
      </c>
      <c r="C27" s="501"/>
      <c r="D27" s="11"/>
      <c r="E27" s="11"/>
      <c r="F27" s="1402" t="str">
        <f t="shared" si="0"/>
        <v>-</v>
      </c>
      <c r="G27" s="20"/>
      <c r="H27" s="11"/>
      <c r="I27" s="16"/>
      <c r="K27" s="4">
        <f>+E27-G27-H27-I27</f>
        <v>0</v>
      </c>
    </row>
    <row r="28" spans="1:11">
      <c r="A28" s="85" t="s">
        <v>60</v>
      </c>
      <c r="B28" s="67" t="s">
        <v>104</v>
      </c>
      <c r="C28" s="501"/>
      <c r="D28" s="11"/>
      <c r="E28" s="11"/>
      <c r="F28" s="1402" t="str">
        <f t="shared" si="0"/>
        <v>-</v>
      </c>
      <c r="G28" s="20"/>
      <c r="H28" s="11"/>
      <c r="I28" s="16"/>
      <c r="K28" s="4">
        <f>+E28-G28-H28-I28</f>
        <v>0</v>
      </c>
    </row>
    <row r="29" spans="1:11">
      <c r="A29" s="85" t="s">
        <v>180</v>
      </c>
      <c r="B29" s="67" t="s">
        <v>105</v>
      </c>
      <c r="C29" s="501"/>
      <c r="D29" s="11"/>
      <c r="E29" s="11"/>
      <c r="F29" s="1402" t="str">
        <f t="shared" si="0"/>
        <v>-</v>
      </c>
      <c r="G29" s="20"/>
      <c r="H29" s="11"/>
      <c r="I29" s="16"/>
      <c r="K29" s="4">
        <f>+E29-G29-H29-I29</f>
        <v>0</v>
      </c>
    </row>
    <row r="30" spans="1:11">
      <c r="A30" s="78" t="s">
        <v>181</v>
      </c>
      <c r="B30" s="68" t="s">
        <v>106</v>
      </c>
      <c r="C30" s="500"/>
      <c r="D30" s="22"/>
      <c r="E30" s="22"/>
      <c r="F30" s="1404" t="str">
        <f t="shared" si="0"/>
        <v>-</v>
      </c>
      <c r="G30" s="20"/>
      <c r="H30" s="11"/>
      <c r="I30" s="16"/>
      <c r="K30" s="4">
        <f>+E30-G30-H30-I30</f>
        <v>0</v>
      </c>
    </row>
    <row r="31" spans="1:11" ht="12.75" thickBot="1">
      <c r="A31" s="78" t="s">
        <v>834</v>
      </c>
      <c r="B31" s="68" t="s">
        <v>836</v>
      </c>
      <c r="C31" s="500"/>
      <c r="D31" s="22"/>
      <c r="E31" s="22"/>
      <c r="F31" s="1404" t="str">
        <f t="shared" si="0"/>
        <v>-</v>
      </c>
      <c r="G31" s="20"/>
      <c r="H31" s="11"/>
      <c r="I31" s="16"/>
      <c r="K31" s="4">
        <f>+E31-G31-H31-I31</f>
        <v>0</v>
      </c>
    </row>
    <row r="32" spans="1:11" s="3" customFormat="1" ht="12.75" thickBot="1">
      <c r="A32" s="83" t="s">
        <v>3</v>
      </c>
      <c r="B32" s="64" t="s">
        <v>1040</v>
      </c>
      <c r="C32" s="1049">
        <f>+C33+C34+C35+C36+C37+C38+C39+C40+C41+C42+C43</f>
        <v>20813</v>
      </c>
      <c r="D32" s="28">
        <f>+D33+D34+D35+D36+D37+D38+D39+D40+D41+D42+D43</f>
        <v>19404</v>
      </c>
      <c r="E32" s="28">
        <f>+E33+E34+E35+E36+E37+E38+E39+E40+E41+E42+E43</f>
        <v>19368</v>
      </c>
      <c r="F32" s="1400">
        <f t="shared" si="0"/>
        <v>0.99814471243042668</v>
      </c>
      <c r="G32" s="27">
        <f>+G33+G34+G35+G36+G37+G38+G39+G40+G41+G42+G43</f>
        <v>19368</v>
      </c>
      <c r="H32" s="28">
        <f>+H33+H34+H35+H36+H37+H38+H39+H40+H41+H42+H43</f>
        <v>0</v>
      </c>
      <c r="I32" s="29">
        <f>+I33+I34+I35+I36+I37+I38+I39+I40+I41+I42+I43</f>
        <v>0</v>
      </c>
      <c r="K32" s="3">
        <f>+E32-G32-H32-I32</f>
        <v>0</v>
      </c>
    </row>
    <row r="33" spans="1:11">
      <c r="A33" s="84" t="s">
        <v>61</v>
      </c>
      <c r="B33" s="65" t="s">
        <v>107</v>
      </c>
      <c r="C33" s="1051"/>
      <c r="D33" s="10"/>
      <c r="E33" s="10"/>
      <c r="F33" s="1401" t="str">
        <f t="shared" si="0"/>
        <v>-</v>
      </c>
      <c r="G33" s="34"/>
      <c r="H33" s="10"/>
      <c r="I33" s="35"/>
      <c r="K33" s="4">
        <f>+E33-G33-H33-I33</f>
        <v>0</v>
      </c>
    </row>
    <row r="34" spans="1:11">
      <c r="A34" s="85" t="s">
        <v>62</v>
      </c>
      <c r="B34" s="67" t="s">
        <v>108</v>
      </c>
      <c r="C34" s="501">
        <v>4415</v>
      </c>
      <c r="D34" s="11">
        <v>2634</v>
      </c>
      <c r="E34" s="11">
        <v>2598</v>
      </c>
      <c r="F34" s="1402">
        <f t="shared" si="0"/>
        <v>0.98633257403189067</v>
      </c>
      <c r="G34" s="20">
        <v>2598</v>
      </c>
      <c r="H34" s="11"/>
      <c r="I34" s="16"/>
      <c r="K34" s="4">
        <f>+E34-G34-H34-I34</f>
        <v>0</v>
      </c>
    </row>
    <row r="35" spans="1:11">
      <c r="A35" s="85" t="s">
        <v>63</v>
      </c>
      <c r="B35" s="67" t="s">
        <v>109</v>
      </c>
      <c r="C35" s="501">
        <v>2000</v>
      </c>
      <c r="D35" s="11">
        <v>3470</v>
      </c>
      <c r="E35" s="11">
        <v>3470</v>
      </c>
      <c r="F35" s="1402">
        <f t="shared" si="0"/>
        <v>1</v>
      </c>
      <c r="G35" s="20">
        <v>3470</v>
      </c>
      <c r="H35" s="11"/>
      <c r="I35" s="16"/>
      <c r="K35" s="4">
        <f>+E35-G35-H35-I35</f>
        <v>0</v>
      </c>
    </row>
    <row r="36" spans="1:11">
      <c r="A36" s="85" t="s">
        <v>64</v>
      </c>
      <c r="B36" s="67" t="s">
        <v>110</v>
      </c>
      <c r="C36" s="501"/>
      <c r="D36" s="11"/>
      <c r="E36" s="11"/>
      <c r="F36" s="1402" t="str">
        <f t="shared" si="0"/>
        <v>-</v>
      </c>
      <c r="G36" s="20"/>
      <c r="H36" s="11"/>
      <c r="I36" s="16"/>
      <c r="K36" s="4">
        <f>+E36-G36-H36-I36</f>
        <v>0</v>
      </c>
    </row>
    <row r="37" spans="1:11">
      <c r="A37" s="85" t="s">
        <v>65</v>
      </c>
      <c r="B37" s="67" t="s">
        <v>111</v>
      </c>
      <c r="C37" s="501">
        <v>9347</v>
      </c>
      <c r="D37" s="11">
        <v>8465</v>
      </c>
      <c r="E37" s="11">
        <v>8465</v>
      </c>
      <c r="F37" s="1402">
        <f t="shared" si="0"/>
        <v>1</v>
      </c>
      <c r="G37" s="20">
        <v>8465</v>
      </c>
      <c r="H37" s="11"/>
      <c r="I37" s="16"/>
      <c r="K37" s="4">
        <f>+E37-G37-H37-I37</f>
        <v>0</v>
      </c>
    </row>
    <row r="38" spans="1:11">
      <c r="A38" s="85" t="s">
        <v>222</v>
      </c>
      <c r="B38" s="67" t="s">
        <v>112</v>
      </c>
      <c r="C38" s="501">
        <v>4255</v>
      </c>
      <c r="D38" s="11">
        <v>3918</v>
      </c>
      <c r="E38" s="11">
        <v>3918</v>
      </c>
      <c r="F38" s="1402">
        <f t="shared" si="0"/>
        <v>1</v>
      </c>
      <c r="G38" s="20">
        <v>3918</v>
      </c>
      <c r="H38" s="11"/>
      <c r="I38" s="16"/>
      <c r="K38" s="4">
        <f>+E38-G38-H38-I38</f>
        <v>0</v>
      </c>
    </row>
    <row r="39" spans="1:11">
      <c r="A39" s="85" t="s">
        <v>223</v>
      </c>
      <c r="B39" s="67" t="s">
        <v>113</v>
      </c>
      <c r="C39" s="501">
        <v>796</v>
      </c>
      <c r="D39" s="11">
        <v>879</v>
      </c>
      <c r="E39" s="11">
        <v>879</v>
      </c>
      <c r="F39" s="1402">
        <f t="shared" si="0"/>
        <v>1</v>
      </c>
      <c r="G39" s="20">
        <v>879</v>
      </c>
      <c r="H39" s="11"/>
      <c r="I39" s="16"/>
      <c r="K39" s="4">
        <f>+E39-G39-H39-I39</f>
        <v>0</v>
      </c>
    </row>
    <row r="40" spans="1:11">
      <c r="A40" s="85" t="s">
        <v>224</v>
      </c>
      <c r="B40" s="67" t="s">
        <v>1050</v>
      </c>
      <c r="C40" s="501"/>
      <c r="D40" s="11"/>
      <c r="E40" s="11"/>
      <c r="F40" s="1402" t="str">
        <f t="shared" si="0"/>
        <v>-</v>
      </c>
      <c r="G40" s="20"/>
      <c r="H40" s="11"/>
      <c r="I40" s="16"/>
      <c r="K40" s="4">
        <f>+E40-G40-H40-I40</f>
        <v>0</v>
      </c>
    </row>
    <row r="41" spans="1:11">
      <c r="A41" s="85" t="s">
        <v>225</v>
      </c>
      <c r="B41" s="67" t="s">
        <v>114</v>
      </c>
      <c r="C41" s="501"/>
      <c r="D41" s="11"/>
      <c r="E41" s="11"/>
      <c r="F41" s="1402" t="str">
        <f t="shared" si="0"/>
        <v>-</v>
      </c>
      <c r="G41" s="20"/>
      <c r="H41" s="11"/>
      <c r="I41" s="16"/>
      <c r="K41" s="4">
        <f>+E41-G41-H41-I41</f>
        <v>0</v>
      </c>
    </row>
    <row r="42" spans="1:11">
      <c r="A42" s="78" t="s">
        <v>226</v>
      </c>
      <c r="B42" s="68" t="s">
        <v>962</v>
      </c>
      <c r="C42" s="501"/>
      <c r="D42" s="11"/>
      <c r="E42" s="11"/>
      <c r="F42" s="1402" t="str">
        <f t="shared" si="0"/>
        <v>-</v>
      </c>
      <c r="G42" s="20"/>
      <c r="H42" s="11"/>
      <c r="I42" s="16"/>
      <c r="K42" s="4">
        <f>+E42-G42-H42-I42</f>
        <v>0</v>
      </c>
    </row>
    <row r="43" spans="1:11" ht="12.75" thickBot="1">
      <c r="A43" s="78" t="s">
        <v>961</v>
      </c>
      <c r="B43" s="68" t="s">
        <v>963</v>
      </c>
      <c r="C43" s="500"/>
      <c r="D43" s="22">
        <v>38</v>
      </c>
      <c r="E43" s="22">
        <v>38</v>
      </c>
      <c r="F43" s="1404">
        <f t="shared" si="0"/>
        <v>1</v>
      </c>
      <c r="G43" s="21">
        <v>38</v>
      </c>
      <c r="H43" s="22"/>
      <c r="I43" s="23"/>
      <c r="K43" s="4">
        <f>+E43-G43-H43-I43</f>
        <v>0</v>
      </c>
    </row>
    <row r="44" spans="1:11" s="3" customFormat="1" ht="12.75" thickBot="1">
      <c r="A44" s="83" t="s">
        <v>16</v>
      </c>
      <c r="B44" s="64" t="s">
        <v>1041</v>
      </c>
      <c r="C44" s="1049">
        <f>+C45+C46+C47+C48+C49</f>
        <v>0</v>
      </c>
      <c r="D44" s="28">
        <f>+D45+D46+D47+D48+D49</f>
        <v>0</v>
      </c>
      <c r="E44" s="28">
        <f>+E45+E46+E47+E48+E49</f>
        <v>0</v>
      </c>
      <c r="F44" s="1400" t="str">
        <f t="shared" si="0"/>
        <v>-</v>
      </c>
      <c r="G44" s="27">
        <f>+G45+G46+G47+G48+G49</f>
        <v>0</v>
      </c>
      <c r="H44" s="28">
        <f>+H45+H46+H47+H48+H49</f>
        <v>0</v>
      </c>
      <c r="I44" s="29">
        <f>+I45+I46+I47+I48+I49</f>
        <v>0</v>
      </c>
      <c r="K44" s="3">
        <f>+E44-G44-H44-I44</f>
        <v>0</v>
      </c>
    </row>
    <row r="45" spans="1:11">
      <c r="A45" s="84" t="s">
        <v>227</v>
      </c>
      <c r="B45" s="65" t="s">
        <v>115</v>
      </c>
      <c r="C45" s="1051"/>
      <c r="D45" s="10"/>
      <c r="E45" s="10"/>
      <c r="F45" s="1401" t="str">
        <f t="shared" si="0"/>
        <v>-</v>
      </c>
      <c r="G45" s="34"/>
      <c r="H45" s="10"/>
      <c r="I45" s="35"/>
      <c r="K45" s="4">
        <f>+E45-G45-H45-I45</f>
        <v>0</v>
      </c>
    </row>
    <row r="46" spans="1:11">
      <c r="A46" s="84" t="s">
        <v>228</v>
      </c>
      <c r="B46" s="65" t="s">
        <v>964</v>
      </c>
      <c r="C46" s="1051"/>
      <c r="D46" s="10"/>
      <c r="E46" s="11"/>
      <c r="F46" s="1401" t="str">
        <f t="shared" si="0"/>
        <v>-</v>
      </c>
      <c r="G46" s="34"/>
      <c r="H46" s="10"/>
      <c r="I46" s="35"/>
      <c r="K46" s="4">
        <f>+E46-G46-H46-I46</f>
        <v>0</v>
      </c>
    </row>
    <row r="47" spans="1:11">
      <c r="A47" s="84" t="s">
        <v>229</v>
      </c>
      <c r="B47" s="65" t="s">
        <v>965</v>
      </c>
      <c r="C47" s="1051"/>
      <c r="D47" s="10"/>
      <c r="E47" s="22"/>
      <c r="F47" s="1401" t="str">
        <f t="shared" si="0"/>
        <v>-</v>
      </c>
      <c r="G47" s="34"/>
      <c r="H47" s="10"/>
      <c r="I47" s="35"/>
      <c r="K47" s="4">
        <f>+E47-G47-H47-I47</f>
        <v>0</v>
      </c>
    </row>
    <row r="48" spans="1:11">
      <c r="A48" s="85" t="s">
        <v>257</v>
      </c>
      <c r="B48" s="67" t="s">
        <v>966</v>
      </c>
      <c r="C48" s="501"/>
      <c r="D48" s="11"/>
      <c r="E48" s="11"/>
      <c r="F48" s="1402" t="str">
        <f t="shared" si="0"/>
        <v>-</v>
      </c>
      <c r="G48" s="20"/>
      <c r="H48" s="11"/>
      <c r="I48" s="16"/>
      <c r="K48" s="4">
        <f>+E48-G48-H48-I48</f>
        <v>0</v>
      </c>
    </row>
    <row r="49" spans="1:11" ht="12.75" thickBot="1">
      <c r="A49" s="78" t="s">
        <v>258</v>
      </c>
      <c r="B49" s="68" t="s">
        <v>967</v>
      </c>
      <c r="C49" s="500"/>
      <c r="D49" s="22"/>
      <c r="E49" s="22"/>
      <c r="F49" s="1404" t="str">
        <f t="shared" si="0"/>
        <v>-</v>
      </c>
      <c r="G49" s="21"/>
      <c r="H49" s="22"/>
      <c r="I49" s="23"/>
      <c r="K49" s="4">
        <f>+E49-G49-H49-I49</f>
        <v>0</v>
      </c>
    </row>
    <row r="50" spans="1:11" s="3" customFormat="1" ht="12.75" thickBot="1">
      <c r="A50" s="83" t="s">
        <v>15</v>
      </c>
      <c r="B50" s="69" t="s">
        <v>300</v>
      </c>
      <c r="C50" s="1049">
        <f>+C51+C58+C64</f>
        <v>0</v>
      </c>
      <c r="D50" s="28">
        <f>+D51+D58+D64</f>
        <v>0</v>
      </c>
      <c r="E50" s="28">
        <f>+E51+E58+E64</f>
        <v>0</v>
      </c>
      <c r="F50" s="1400" t="str">
        <f t="shared" si="0"/>
        <v>-</v>
      </c>
      <c r="G50" s="27">
        <f>+G51+G58+G64</f>
        <v>0</v>
      </c>
      <c r="H50" s="28">
        <f>+H51+H58+H64</f>
        <v>0</v>
      </c>
      <c r="I50" s="29">
        <f>+I51+I58+I64</f>
        <v>0</v>
      </c>
      <c r="K50" s="3">
        <f>+E50-G50-H50-I50</f>
        <v>0</v>
      </c>
    </row>
    <row r="51" spans="1:11" s="3" customFormat="1" ht="12.75" thickBot="1">
      <c r="A51" s="83" t="s">
        <v>14</v>
      </c>
      <c r="B51" s="64" t="s">
        <v>301</v>
      </c>
      <c r="C51" s="1049">
        <f>+C52+C53+C54+C55+C56</f>
        <v>0</v>
      </c>
      <c r="D51" s="28">
        <f>+D52+D53+D54+D55+D56</f>
        <v>0</v>
      </c>
      <c r="E51" s="28">
        <f>+E52+E53+E54+E55+E56</f>
        <v>0</v>
      </c>
      <c r="F51" s="1400" t="str">
        <f t="shared" si="0"/>
        <v>-</v>
      </c>
      <c r="G51" s="27">
        <f>+G52+G53+G54+G55+G56</f>
        <v>0</v>
      </c>
      <c r="H51" s="28">
        <f>+H52+H53+H54+H55+H56</f>
        <v>0</v>
      </c>
      <c r="I51" s="29">
        <f>+I52+I53+I54+I55+I56</f>
        <v>0</v>
      </c>
      <c r="K51" s="3">
        <f>+E51-G51-H51-I51</f>
        <v>0</v>
      </c>
    </row>
    <row r="52" spans="1:11">
      <c r="A52" s="84" t="s">
        <v>185</v>
      </c>
      <c r="B52" s="113" t="s">
        <v>116</v>
      </c>
      <c r="C52" s="1051"/>
      <c r="D52" s="10"/>
      <c r="E52" s="10"/>
      <c r="F52" s="1401" t="str">
        <f t="shared" si="0"/>
        <v>-</v>
      </c>
      <c r="G52" s="34"/>
      <c r="H52" s="10"/>
      <c r="I52" s="35"/>
      <c r="K52" s="4">
        <f>+E52-G52-H52-I52</f>
        <v>0</v>
      </c>
    </row>
    <row r="53" spans="1:11">
      <c r="A53" s="85" t="s">
        <v>186</v>
      </c>
      <c r="B53" s="67" t="s">
        <v>117</v>
      </c>
      <c r="C53" s="501"/>
      <c r="D53" s="11"/>
      <c r="E53" s="11"/>
      <c r="F53" s="1402" t="str">
        <f t="shared" si="0"/>
        <v>-</v>
      </c>
      <c r="G53" s="20"/>
      <c r="H53" s="11"/>
      <c r="I53" s="16"/>
      <c r="K53" s="4">
        <f>+E53-G53-H53-I53</f>
        <v>0</v>
      </c>
    </row>
    <row r="54" spans="1:11">
      <c r="A54" s="85" t="s">
        <v>187</v>
      </c>
      <c r="B54" s="67" t="s">
        <v>118</v>
      </c>
      <c r="C54" s="501"/>
      <c r="D54" s="11"/>
      <c r="E54" s="11"/>
      <c r="F54" s="1402" t="str">
        <f t="shared" si="0"/>
        <v>-</v>
      </c>
      <c r="G54" s="20"/>
      <c r="H54" s="11"/>
      <c r="I54" s="16"/>
      <c r="K54" s="4">
        <f>+E54-G54-H54-I54</f>
        <v>0</v>
      </c>
    </row>
    <row r="55" spans="1:11">
      <c r="A55" s="85" t="s">
        <v>188</v>
      </c>
      <c r="B55" s="67" t="s">
        <v>119</v>
      </c>
      <c r="C55" s="501"/>
      <c r="D55" s="11"/>
      <c r="E55" s="11"/>
      <c r="F55" s="1402" t="str">
        <f t="shared" si="0"/>
        <v>-</v>
      </c>
      <c r="G55" s="20"/>
      <c r="H55" s="11"/>
      <c r="I55" s="16"/>
      <c r="K55" s="4">
        <f>+E55-G55-H55-I55</f>
        <v>0</v>
      </c>
    </row>
    <row r="56" spans="1:11">
      <c r="A56" s="78" t="s">
        <v>189</v>
      </c>
      <c r="B56" s="68" t="s">
        <v>120</v>
      </c>
      <c r="C56" s="500"/>
      <c r="D56" s="22"/>
      <c r="E56" s="22"/>
      <c r="F56" s="1404" t="str">
        <f t="shared" si="0"/>
        <v>-</v>
      </c>
      <c r="G56" s="21"/>
      <c r="H56" s="22"/>
      <c r="I56" s="23"/>
      <c r="K56" s="4">
        <f>+E56-G56-H56-I56</f>
        <v>0</v>
      </c>
    </row>
    <row r="57" spans="1:11" s="13" customFormat="1" ht="12.75" thickBot="1">
      <c r="A57" s="89" t="s">
        <v>334</v>
      </c>
      <c r="B57" s="818" t="s">
        <v>338</v>
      </c>
      <c r="C57" s="1050"/>
      <c r="D57" s="43"/>
      <c r="E57" s="43"/>
      <c r="F57" s="1404" t="str">
        <f t="shared" si="0"/>
        <v>-</v>
      </c>
      <c r="G57" s="45"/>
      <c r="H57" s="43"/>
      <c r="I57" s="44"/>
      <c r="K57" s="13">
        <f>+E57-G57-H57-I57</f>
        <v>0</v>
      </c>
    </row>
    <row r="58" spans="1:11" s="3" customFormat="1" ht="12.75" thickBot="1">
      <c r="A58" s="83" t="s">
        <v>13</v>
      </c>
      <c r="B58" s="64" t="s">
        <v>302</v>
      </c>
      <c r="C58" s="1049">
        <f>+C59+C60+C61+C62+C63</f>
        <v>0</v>
      </c>
      <c r="D58" s="28">
        <f>+D59+D60+D61+D62+D63</f>
        <v>0</v>
      </c>
      <c r="E58" s="28">
        <f>+E59+E60+E61+E62+E63</f>
        <v>0</v>
      </c>
      <c r="F58" s="1400" t="str">
        <f t="shared" si="0"/>
        <v>-</v>
      </c>
      <c r="G58" s="27">
        <f>+G59+G60+G61+G62+G63</f>
        <v>0</v>
      </c>
      <c r="H58" s="28">
        <f>+H59+H60+H61+H62+H63</f>
        <v>0</v>
      </c>
      <c r="I58" s="29">
        <f>+I59+I60+I61+I62+I63</f>
        <v>0</v>
      </c>
      <c r="K58" s="3">
        <f>+E58-G58-H58-I58</f>
        <v>0</v>
      </c>
    </row>
    <row r="59" spans="1:11">
      <c r="A59" s="84" t="s">
        <v>66</v>
      </c>
      <c r="B59" s="65" t="s">
        <v>121</v>
      </c>
      <c r="C59" s="1051"/>
      <c r="D59" s="10"/>
      <c r="E59" s="10"/>
      <c r="F59" s="1401" t="str">
        <f t="shared" si="0"/>
        <v>-</v>
      </c>
      <c r="G59" s="34"/>
      <c r="H59" s="10"/>
      <c r="I59" s="35"/>
      <c r="K59" s="4">
        <f>+E59-G59-H59-I59</f>
        <v>0</v>
      </c>
    </row>
    <row r="60" spans="1:11">
      <c r="A60" s="85" t="s">
        <v>67</v>
      </c>
      <c r="B60" s="67" t="s">
        <v>122</v>
      </c>
      <c r="C60" s="501"/>
      <c r="D60" s="11"/>
      <c r="E60" s="11"/>
      <c r="F60" s="1402" t="str">
        <f t="shared" si="0"/>
        <v>-</v>
      </c>
      <c r="G60" s="20"/>
      <c r="H60" s="11"/>
      <c r="I60" s="16"/>
      <c r="K60" s="4">
        <f>+E60-G60-H60-I60</f>
        <v>0</v>
      </c>
    </row>
    <row r="61" spans="1:11">
      <c r="A61" s="85" t="s">
        <v>68</v>
      </c>
      <c r="B61" s="67" t="s">
        <v>123</v>
      </c>
      <c r="C61" s="501"/>
      <c r="D61" s="11"/>
      <c r="E61" s="11"/>
      <c r="F61" s="1402" t="str">
        <f t="shared" si="0"/>
        <v>-</v>
      </c>
      <c r="G61" s="20"/>
      <c r="H61" s="11"/>
      <c r="I61" s="16"/>
      <c r="K61" s="4">
        <f>+E61-G61-H61-I61</f>
        <v>0</v>
      </c>
    </row>
    <row r="62" spans="1:11">
      <c r="A62" s="85" t="s">
        <v>230</v>
      </c>
      <c r="B62" s="67" t="s">
        <v>124</v>
      </c>
      <c r="C62" s="501"/>
      <c r="D62" s="11"/>
      <c r="E62" s="11"/>
      <c r="F62" s="1402" t="str">
        <f t="shared" si="0"/>
        <v>-</v>
      </c>
      <c r="G62" s="20"/>
      <c r="H62" s="11"/>
      <c r="I62" s="16"/>
      <c r="K62" s="4">
        <f>+E62-G62-H62-I62</f>
        <v>0</v>
      </c>
    </row>
    <row r="63" spans="1:11" ht="12.75" thickBot="1">
      <c r="A63" s="78" t="s">
        <v>231</v>
      </c>
      <c r="B63" s="68" t="s">
        <v>125</v>
      </c>
      <c r="C63" s="500"/>
      <c r="D63" s="22"/>
      <c r="E63" s="22"/>
      <c r="F63" s="1404" t="str">
        <f t="shared" si="0"/>
        <v>-</v>
      </c>
      <c r="G63" s="21"/>
      <c r="H63" s="22"/>
      <c r="I63" s="23"/>
      <c r="K63" s="4">
        <f>+E63-G63-H63-I63</f>
        <v>0</v>
      </c>
    </row>
    <row r="64" spans="1:11" s="3" customFormat="1" ht="12.75" thickBot="1">
      <c r="A64" s="83" t="s">
        <v>12</v>
      </c>
      <c r="B64" s="64" t="s">
        <v>971</v>
      </c>
      <c r="C64" s="1049">
        <f>+C65+C66+C67+C68+C69</f>
        <v>0</v>
      </c>
      <c r="D64" s="28">
        <f>+D65+D66+D67+D68+D69</f>
        <v>0</v>
      </c>
      <c r="E64" s="28">
        <f>+E65+E66+E67+E68+E69</f>
        <v>0</v>
      </c>
      <c r="F64" s="1400" t="str">
        <f t="shared" si="0"/>
        <v>-</v>
      </c>
      <c r="G64" s="27">
        <f>+G65+G66+G67+G68+G69</f>
        <v>0</v>
      </c>
      <c r="H64" s="28">
        <f>+H65+H66+H67+H68+H69</f>
        <v>0</v>
      </c>
      <c r="I64" s="29">
        <f>+I65+I66+I67+I68+I69</f>
        <v>0</v>
      </c>
      <c r="K64" s="3">
        <f>+E64-G64-H64-I64</f>
        <v>0</v>
      </c>
    </row>
    <row r="65" spans="1:11">
      <c r="A65" s="84" t="s">
        <v>69</v>
      </c>
      <c r="B65" s="65" t="s">
        <v>126</v>
      </c>
      <c r="C65" s="1051"/>
      <c r="D65" s="10"/>
      <c r="E65" s="10"/>
      <c r="F65" s="1401" t="str">
        <f t="shared" si="0"/>
        <v>-</v>
      </c>
      <c r="G65" s="34"/>
      <c r="H65" s="10"/>
      <c r="I65" s="35"/>
      <c r="K65" s="4">
        <f>+E65-G65-H65-I65</f>
        <v>0</v>
      </c>
    </row>
    <row r="66" spans="1:11">
      <c r="A66" s="84" t="s">
        <v>70</v>
      </c>
      <c r="B66" s="65" t="s">
        <v>972</v>
      </c>
      <c r="C66" s="1051"/>
      <c r="D66" s="10"/>
      <c r="E66" s="11"/>
      <c r="F66" s="1401" t="str">
        <f t="shared" si="0"/>
        <v>-</v>
      </c>
      <c r="G66" s="34"/>
      <c r="H66" s="10"/>
      <c r="I66" s="35"/>
      <c r="K66" s="4">
        <f>+E66-G66-H66-I66</f>
        <v>0</v>
      </c>
    </row>
    <row r="67" spans="1:11">
      <c r="A67" s="84" t="s">
        <v>71</v>
      </c>
      <c r="B67" s="65" t="s">
        <v>973</v>
      </c>
      <c r="C67" s="1051"/>
      <c r="D67" s="10"/>
      <c r="E67" s="22"/>
      <c r="F67" s="1401" t="str">
        <f t="shared" si="0"/>
        <v>-</v>
      </c>
      <c r="G67" s="34"/>
      <c r="H67" s="10"/>
      <c r="I67" s="35"/>
      <c r="K67" s="4">
        <f>+E67-G67-H67-I67</f>
        <v>0</v>
      </c>
    </row>
    <row r="68" spans="1:11">
      <c r="A68" s="85" t="s">
        <v>72</v>
      </c>
      <c r="B68" s="67" t="s">
        <v>969</v>
      </c>
      <c r="C68" s="501"/>
      <c r="D68" s="11"/>
      <c r="E68" s="11"/>
      <c r="F68" s="1402" t="str">
        <f t="shared" si="0"/>
        <v>-</v>
      </c>
      <c r="G68" s="20"/>
      <c r="H68" s="11"/>
      <c r="I68" s="16"/>
      <c r="K68" s="4">
        <f>+E68-G68-H68-I68</f>
        <v>0</v>
      </c>
    </row>
    <row r="69" spans="1:11" ht="12.75" thickBot="1">
      <c r="A69" s="78" t="s">
        <v>968</v>
      </c>
      <c r="B69" s="68" t="s">
        <v>970</v>
      </c>
      <c r="C69" s="500"/>
      <c r="D69" s="22"/>
      <c r="E69" s="22"/>
      <c r="F69" s="1404" t="str">
        <f t="shared" si="0"/>
        <v>-</v>
      </c>
      <c r="G69" s="21"/>
      <c r="H69" s="22"/>
      <c r="I69" s="23"/>
      <c r="K69" s="4">
        <f>+E69-G69-H69-I69</f>
        <v>0</v>
      </c>
    </row>
    <row r="70" spans="1:11" s="3" customFormat="1" ht="12.75" thickBot="1">
      <c r="A70" s="83" t="s">
        <v>11</v>
      </c>
      <c r="B70" s="69" t="s">
        <v>303</v>
      </c>
      <c r="C70" s="1049">
        <f>+C10+C50</f>
        <v>20813</v>
      </c>
      <c r="D70" s="28">
        <f>+D10+D50</f>
        <v>19404</v>
      </c>
      <c r="E70" s="28">
        <f>+E10+E50</f>
        <v>19368</v>
      </c>
      <c r="F70" s="1400">
        <f t="shared" si="0"/>
        <v>0.99814471243042668</v>
      </c>
      <c r="G70" s="27">
        <f>+G10+G50</f>
        <v>19368</v>
      </c>
      <c r="H70" s="28">
        <f>+H10+H50</f>
        <v>0</v>
      </c>
      <c r="I70" s="29">
        <f>+I10+I50</f>
        <v>0</v>
      </c>
      <c r="K70" s="3">
        <f>+E70-G70-H70-I70</f>
        <v>0</v>
      </c>
    </row>
    <row r="71" spans="1:11" s="3" customFormat="1" ht="12.75" thickBot="1">
      <c r="A71" s="83" t="s">
        <v>10</v>
      </c>
      <c r="B71" s="70" t="s">
        <v>304</v>
      </c>
      <c r="C71" s="1049">
        <f>+C72</f>
        <v>366021</v>
      </c>
      <c r="D71" s="28">
        <f>+D72</f>
        <v>355422</v>
      </c>
      <c r="E71" s="28">
        <f>+E72</f>
        <v>344458</v>
      </c>
      <c r="F71" s="1400">
        <f t="shared" si="0"/>
        <v>0.96915216278114469</v>
      </c>
      <c r="G71" s="27">
        <f>+G72</f>
        <v>344458</v>
      </c>
      <c r="H71" s="28">
        <f>+H72</f>
        <v>0</v>
      </c>
      <c r="I71" s="29">
        <f>+I72</f>
        <v>0</v>
      </c>
      <c r="K71" s="3">
        <f>+E71-G71-H71-I71</f>
        <v>0</v>
      </c>
    </row>
    <row r="72" spans="1:11" s="3" customFormat="1" ht="12.75" thickBot="1">
      <c r="A72" s="83" t="s">
        <v>9</v>
      </c>
      <c r="B72" s="64" t="s">
        <v>980</v>
      </c>
      <c r="C72" s="1049">
        <f>+C73+C83+C84+C85</f>
        <v>366021</v>
      </c>
      <c r="D72" s="28">
        <f>+D73+D83+D84+D85</f>
        <v>355422</v>
      </c>
      <c r="E72" s="28">
        <f>+E73+E83+E84+E85</f>
        <v>344458</v>
      </c>
      <c r="F72" s="1400">
        <f t="shared" si="0"/>
        <v>0.96915216278114469</v>
      </c>
      <c r="G72" s="27">
        <f>+G73+G83+G84+G85</f>
        <v>344458</v>
      </c>
      <c r="H72" s="28">
        <f>+H73+H83+H84+H85</f>
        <v>0</v>
      </c>
      <c r="I72" s="29">
        <f>+I73+I83+I84+I85</f>
        <v>0</v>
      </c>
      <c r="K72" s="3">
        <f>+E72-G72-H72-I72</f>
        <v>0</v>
      </c>
    </row>
    <row r="73" spans="1:11">
      <c r="A73" s="84" t="s">
        <v>73</v>
      </c>
      <c r="B73" s="65" t="s">
        <v>975</v>
      </c>
      <c r="C73" s="1051">
        <f>+C74+C75+C76+C77+C78+C79+C80+C81+C82</f>
        <v>366021</v>
      </c>
      <c r="D73" s="10">
        <f>+D74+D75+D76+D77+D78+D79+D80+D81+D82</f>
        <v>355422</v>
      </c>
      <c r="E73" s="10">
        <f>+E74+E75+E76+E77+E78+E79+E80+E81+E82</f>
        <v>344458</v>
      </c>
      <c r="F73" s="1401">
        <f t="shared" si="0"/>
        <v>0.96915216278114469</v>
      </c>
      <c r="G73" s="34">
        <f>+G74+G75+G76+G77+G78+G79+G80+G81+G82</f>
        <v>344458</v>
      </c>
      <c r="H73" s="10">
        <f>+H74+H75+H76+H77+H78+H79+H80+H81+H82</f>
        <v>0</v>
      </c>
      <c r="I73" s="35">
        <f>+I74+I75+I76+I77+I78+I79+I80+I81+I82</f>
        <v>0</v>
      </c>
      <c r="K73" s="4">
        <f>+E73-G73-H73-I73</f>
        <v>0</v>
      </c>
    </row>
    <row r="74" spans="1:11" s="13" customFormat="1">
      <c r="A74" s="86" t="s">
        <v>196</v>
      </c>
      <c r="B74" s="66" t="s">
        <v>974</v>
      </c>
      <c r="C74" s="502"/>
      <c r="D74" s="12"/>
      <c r="E74" s="12"/>
      <c r="F74" s="1402" t="str">
        <f t="shared" ref="F74:F102" si="1">IF(ISERROR(E74/D74),"-",E74/D74)</f>
        <v>-</v>
      </c>
      <c r="G74" s="19"/>
      <c r="H74" s="12"/>
      <c r="I74" s="15"/>
      <c r="K74" s="13">
        <f>+E74-G74-H74-I74</f>
        <v>0</v>
      </c>
    </row>
    <row r="75" spans="1:11" s="13" customFormat="1">
      <c r="A75" s="86" t="s">
        <v>197</v>
      </c>
      <c r="B75" s="66" t="s">
        <v>247</v>
      </c>
      <c r="C75" s="502"/>
      <c r="D75" s="12"/>
      <c r="E75" s="12"/>
      <c r="F75" s="1402" t="str">
        <f t="shared" si="1"/>
        <v>-</v>
      </c>
      <c r="G75" s="19"/>
      <c r="H75" s="12"/>
      <c r="I75" s="15"/>
      <c r="K75" s="13">
        <f>+E75-G75-H75-I75</f>
        <v>0</v>
      </c>
    </row>
    <row r="76" spans="1:11" s="13" customFormat="1">
      <c r="A76" s="86" t="s">
        <v>198</v>
      </c>
      <c r="B76" s="66" t="s">
        <v>248</v>
      </c>
      <c r="C76" s="502"/>
      <c r="D76" s="12">
        <f>0+73</f>
        <v>73</v>
      </c>
      <c r="E76" s="12">
        <v>73</v>
      </c>
      <c r="F76" s="1402">
        <f t="shared" si="1"/>
        <v>1</v>
      </c>
      <c r="G76" s="19">
        <v>73</v>
      </c>
      <c r="H76" s="12"/>
      <c r="I76" s="15"/>
      <c r="K76" s="13">
        <f>+E76-G76-H76-I76</f>
        <v>0</v>
      </c>
    </row>
    <row r="77" spans="1:11" s="13" customFormat="1">
      <c r="A77" s="86" t="s">
        <v>199</v>
      </c>
      <c r="B77" s="66" t="s">
        <v>249</v>
      </c>
      <c r="C77" s="502"/>
      <c r="D77" s="12"/>
      <c r="E77" s="12"/>
      <c r="F77" s="1402" t="str">
        <f t="shared" si="1"/>
        <v>-</v>
      </c>
      <c r="G77" s="19"/>
      <c r="H77" s="12"/>
      <c r="I77" s="15"/>
      <c r="K77" s="13">
        <f>+E77-G77-H77-I77</f>
        <v>0</v>
      </c>
    </row>
    <row r="78" spans="1:11" s="13" customFormat="1">
      <c r="A78" s="86" t="s">
        <v>200</v>
      </c>
      <c r="B78" s="66" t="s">
        <v>250</v>
      </c>
      <c r="C78" s="502"/>
      <c r="D78" s="12"/>
      <c r="E78" s="12"/>
      <c r="F78" s="1402" t="str">
        <f t="shared" si="1"/>
        <v>-</v>
      </c>
      <c r="G78" s="19"/>
      <c r="H78" s="12"/>
      <c r="I78" s="15"/>
      <c r="K78" s="13">
        <f>+E78-G78-H78-I78</f>
        <v>0</v>
      </c>
    </row>
    <row r="79" spans="1:11" s="13" customFormat="1">
      <c r="A79" s="108" t="s">
        <v>201</v>
      </c>
      <c r="B79" s="109" t="s">
        <v>251</v>
      </c>
      <c r="C79" s="502">
        <f t="shared" ref="C79:F79" si="2">+C109-C10+C178-C74-C75-C76-C77-C78-C80-C81-C83-C84-C85</f>
        <v>366021</v>
      </c>
      <c r="D79" s="1419">
        <f>355668-D94</f>
        <v>355349</v>
      </c>
      <c r="E79" s="1419">
        <f>344704-E94</f>
        <v>344385</v>
      </c>
      <c r="F79" s="1402">
        <f t="shared" si="1"/>
        <v>0.96914582565309038</v>
      </c>
      <c r="G79" s="19">
        <v>344385</v>
      </c>
      <c r="H79" s="12"/>
      <c r="I79" s="15"/>
      <c r="K79" s="117">
        <f>+E79-G79-H79-I79</f>
        <v>0</v>
      </c>
    </row>
    <row r="80" spans="1:11" s="13" customFormat="1">
      <c r="A80" s="86" t="s">
        <v>204</v>
      </c>
      <c r="B80" s="66" t="s">
        <v>252</v>
      </c>
      <c r="C80" s="502"/>
      <c r="D80" s="12"/>
      <c r="E80" s="744"/>
      <c r="F80" s="1402" t="str">
        <f t="shared" si="1"/>
        <v>-</v>
      </c>
      <c r="G80" s="19"/>
      <c r="H80" s="12"/>
      <c r="I80" s="15"/>
      <c r="K80" s="117">
        <f>+E80-G80-H80-I80</f>
        <v>0</v>
      </c>
    </row>
    <row r="81" spans="1:11" s="13" customFormat="1">
      <c r="A81" s="86" t="s">
        <v>202</v>
      </c>
      <c r="B81" s="66" t="s">
        <v>245</v>
      </c>
      <c r="C81" s="502"/>
      <c r="D81" s="12"/>
      <c r="E81" s="744"/>
      <c r="F81" s="1402" t="str">
        <f t="shared" si="1"/>
        <v>-</v>
      </c>
      <c r="G81" s="19"/>
      <c r="H81" s="12"/>
      <c r="I81" s="15"/>
      <c r="K81" s="117">
        <f>+E81-G81-H81-I81</f>
        <v>0</v>
      </c>
    </row>
    <row r="82" spans="1:11" s="13" customFormat="1">
      <c r="A82" s="86" t="s">
        <v>976</v>
      </c>
      <c r="B82" s="66" t="s">
        <v>977</v>
      </c>
      <c r="C82" s="502"/>
      <c r="D82" s="12"/>
      <c r="E82" s="744"/>
      <c r="F82" s="1402" t="str">
        <f t="shared" si="1"/>
        <v>-</v>
      </c>
      <c r="G82" s="19"/>
      <c r="H82" s="12"/>
      <c r="I82" s="15"/>
      <c r="K82" s="117">
        <f>+E82-G82-H82-I82</f>
        <v>0</v>
      </c>
    </row>
    <row r="83" spans="1:11">
      <c r="A83" s="85" t="s">
        <v>74</v>
      </c>
      <c r="B83" s="67" t="s">
        <v>243</v>
      </c>
      <c r="C83" s="501"/>
      <c r="D83" s="11"/>
      <c r="E83" s="988"/>
      <c r="F83" s="1402" t="str">
        <f t="shared" si="1"/>
        <v>-</v>
      </c>
      <c r="G83" s="20"/>
      <c r="H83" s="11"/>
      <c r="I83" s="16"/>
      <c r="K83" s="118">
        <f>+E83-G83-H83-I83</f>
        <v>0</v>
      </c>
    </row>
    <row r="84" spans="1:11">
      <c r="A84" s="78" t="s">
        <v>203</v>
      </c>
      <c r="B84" s="68" t="s">
        <v>244</v>
      </c>
      <c r="C84" s="500"/>
      <c r="D84" s="22"/>
      <c r="E84" s="991"/>
      <c r="F84" s="1404" t="str">
        <f t="shared" si="1"/>
        <v>-</v>
      </c>
      <c r="G84" s="21"/>
      <c r="H84" s="22"/>
      <c r="I84" s="23"/>
      <c r="K84" s="118">
        <f>+E84-G84-H84-I84</f>
        <v>0</v>
      </c>
    </row>
    <row r="85" spans="1:11" ht="12.75" thickBot="1">
      <c r="A85" s="78" t="s">
        <v>978</v>
      </c>
      <c r="B85" s="68" t="s">
        <v>979</v>
      </c>
      <c r="C85" s="500"/>
      <c r="D85" s="22"/>
      <c r="E85" s="991"/>
      <c r="F85" s="1404" t="str">
        <f t="shared" si="1"/>
        <v>-</v>
      </c>
      <c r="G85" s="21"/>
      <c r="H85" s="22"/>
      <c r="I85" s="23"/>
      <c r="K85" s="118">
        <f>+E85-G85-H85-I85</f>
        <v>0</v>
      </c>
    </row>
    <row r="86" spans="1:11" s="3" customFormat="1" ht="12.75" thickBot="1">
      <c r="A86" s="83" t="s">
        <v>45</v>
      </c>
      <c r="B86" s="70" t="s">
        <v>305</v>
      </c>
      <c r="C86" s="1049">
        <f>+C87</f>
        <v>1000</v>
      </c>
      <c r="D86" s="28">
        <f>+D87</f>
        <v>319</v>
      </c>
      <c r="E86" s="111">
        <f>+E87</f>
        <v>319</v>
      </c>
      <c r="F86" s="1400">
        <f t="shared" si="1"/>
        <v>1</v>
      </c>
      <c r="G86" s="27">
        <f>+G87</f>
        <v>319</v>
      </c>
      <c r="H86" s="28">
        <f>+H87</f>
        <v>0</v>
      </c>
      <c r="I86" s="29">
        <f>+I87</f>
        <v>0</v>
      </c>
      <c r="K86" s="119">
        <f>+E86-G86-H86-I86</f>
        <v>0</v>
      </c>
    </row>
    <row r="87" spans="1:11" s="3" customFormat="1" ht="12.75" thickBot="1">
      <c r="A87" s="83" t="s">
        <v>44</v>
      </c>
      <c r="B87" s="64" t="s">
        <v>982</v>
      </c>
      <c r="C87" s="1049">
        <f>+C88+C98+C99+C100</f>
        <v>1000</v>
      </c>
      <c r="D87" s="28">
        <f>+D88+D98+D99+D100</f>
        <v>319</v>
      </c>
      <c r="E87" s="111">
        <f>+E88+E98+E99+E100</f>
        <v>319</v>
      </c>
      <c r="F87" s="1400">
        <f t="shared" si="1"/>
        <v>1</v>
      </c>
      <c r="G87" s="27">
        <f>+G88+G98+G99+G100</f>
        <v>319</v>
      </c>
      <c r="H87" s="28">
        <f>+H88+H98+H99+H100</f>
        <v>0</v>
      </c>
      <c r="I87" s="29">
        <f>+I88+I98+I99+I100</f>
        <v>0</v>
      </c>
      <c r="K87" s="119">
        <f>+E87-G87-H87-I87</f>
        <v>0</v>
      </c>
    </row>
    <row r="88" spans="1:11">
      <c r="A88" s="84" t="s">
        <v>232</v>
      </c>
      <c r="B88" s="65" t="s">
        <v>1042</v>
      </c>
      <c r="C88" s="1051">
        <f>+C89+C90+C91+C92+C93+C94+C95+C96+C97</f>
        <v>1000</v>
      </c>
      <c r="D88" s="10">
        <f>+D89+D90+D91+D92+D93+D94+D95+D96+D97</f>
        <v>319</v>
      </c>
      <c r="E88" s="115">
        <f>+E89+E90+E91+E92+E93+E94+E95+E96+E97</f>
        <v>319</v>
      </c>
      <c r="F88" s="1401">
        <f t="shared" si="1"/>
        <v>1</v>
      </c>
      <c r="G88" s="34">
        <f>+G89+G90+G91+G92+G93+G94+G95+G96+G97</f>
        <v>319</v>
      </c>
      <c r="H88" s="10">
        <f>+H89+H90+H91+H92+H93+H94+H95+H96+H97</f>
        <v>0</v>
      </c>
      <c r="I88" s="35">
        <f>+I89+I90+I91+I92+I93+I94+I95+I96+I97</f>
        <v>0</v>
      </c>
      <c r="K88" s="118">
        <f>+E88-G88-H88-I88</f>
        <v>0</v>
      </c>
    </row>
    <row r="89" spans="1:11" s="13" customFormat="1">
      <c r="A89" s="86" t="s">
        <v>233</v>
      </c>
      <c r="B89" s="66" t="s">
        <v>974</v>
      </c>
      <c r="C89" s="502"/>
      <c r="D89" s="12"/>
      <c r="E89" s="744"/>
      <c r="F89" s="1402" t="str">
        <f t="shared" si="1"/>
        <v>-</v>
      </c>
      <c r="G89" s="19"/>
      <c r="H89" s="12"/>
      <c r="I89" s="15"/>
      <c r="K89" s="117">
        <f>+E89-G89-H89-I89</f>
        <v>0</v>
      </c>
    </row>
    <row r="90" spans="1:11" s="13" customFormat="1">
      <c r="A90" s="86" t="s">
        <v>234</v>
      </c>
      <c r="B90" s="66" t="s">
        <v>247</v>
      </c>
      <c r="C90" s="502"/>
      <c r="D90" s="12"/>
      <c r="E90" s="744"/>
      <c r="F90" s="1402" t="str">
        <f t="shared" si="1"/>
        <v>-</v>
      </c>
      <c r="G90" s="19"/>
      <c r="H90" s="12"/>
      <c r="I90" s="15"/>
      <c r="K90" s="117">
        <f>+E90-G90-H90-I90</f>
        <v>0</v>
      </c>
    </row>
    <row r="91" spans="1:11" s="13" customFormat="1">
      <c r="A91" s="86" t="s">
        <v>235</v>
      </c>
      <c r="B91" s="66" t="s">
        <v>248</v>
      </c>
      <c r="C91" s="502"/>
      <c r="D91" s="12"/>
      <c r="E91" s="744"/>
      <c r="F91" s="1402" t="str">
        <f t="shared" si="1"/>
        <v>-</v>
      </c>
      <c r="G91" s="19"/>
      <c r="H91" s="12"/>
      <c r="I91" s="15"/>
      <c r="K91" s="117">
        <f>+E91-G91-H91-I91</f>
        <v>0</v>
      </c>
    </row>
    <row r="92" spans="1:11" s="13" customFormat="1">
      <c r="A92" s="86" t="s">
        <v>236</v>
      </c>
      <c r="B92" s="66" t="s">
        <v>249</v>
      </c>
      <c r="C92" s="502"/>
      <c r="D92" s="12"/>
      <c r="E92" s="744"/>
      <c r="F92" s="1402" t="str">
        <f t="shared" si="1"/>
        <v>-</v>
      </c>
      <c r="G92" s="19"/>
      <c r="H92" s="12"/>
      <c r="I92" s="15"/>
      <c r="K92" s="117">
        <f>+E92-G92-H92-I92</f>
        <v>0</v>
      </c>
    </row>
    <row r="93" spans="1:11" s="13" customFormat="1">
      <c r="A93" s="86" t="s">
        <v>237</v>
      </c>
      <c r="B93" s="66" t="s">
        <v>250</v>
      </c>
      <c r="C93" s="502"/>
      <c r="D93" s="12"/>
      <c r="E93" s="744"/>
      <c r="F93" s="1402" t="str">
        <f t="shared" si="1"/>
        <v>-</v>
      </c>
      <c r="G93" s="19"/>
      <c r="H93" s="12"/>
      <c r="I93" s="15"/>
      <c r="K93" s="117">
        <f>+E93-G93-H93-I93</f>
        <v>0</v>
      </c>
    </row>
    <row r="94" spans="1:11" s="13" customFormat="1">
      <c r="A94" s="108" t="s">
        <v>238</v>
      </c>
      <c r="B94" s="109" t="s">
        <v>251</v>
      </c>
      <c r="C94" s="502">
        <f t="shared" ref="C94:F94" si="3">+C149-C50+C192-C89-C90-C91-C92-C93-C95-C96-C98-C99-C100</f>
        <v>1000</v>
      </c>
      <c r="D94" s="12">
        <f t="shared" si="3"/>
        <v>319</v>
      </c>
      <c r="E94" s="12">
        <f t="shared" si="3"/>
        <v>319</v>
      </c>
      <c r="F94" s="1403">
        <f t="shared" si="1"/>
        <v>1</v>
      </c>
      <c r="G94" s="19">
        <f>+G149-G50+G192-G89-G90-G91-G92-G93-G95-G96-G98-G99-G100</f>
        <v>319</v>
      </c>
      <c r="H94" s="12">
        <f>+H149-H50+H192-H89-H90-H91-H92-H93-H95-H96-H98-H99-H100</f>
        <v>0</v>
      </c>
      <c r="I94" s="15">
        <f>+I149-I50+I192-I89-I90-I91-I92-I93-I95-I96-I98-I99-I100</f>
        <v>0</v>
      </c>
      <c r="K94" s="117">
        <f>+E94-G94-H94-I94</f>
        <v>0</v>
      </c>
    </row>
    <row r="95" spans="1:11" s="13" customFormat="1">
      <c r="A95" s="86" t="s">
        <v>239</v>
      </c>
      <c r="B95" s="66" t="s">
        <v>252</v>
      </c>
      <c r="C95" s="502"/>
      <c r="D95" s="12"/>
      <c r="E95" s="12"/>
      <c r="F95" s="1402" t="str">
        <f t="shared" si="1"/>
        <v>-</v>
      </c>
      <c r="G95" s="19"/>
      <c r="H95" s="12"/>
      <c r="I95" s="15"/>
      <c r="K95" s="13">
        <f>+E95-G95-H95-I95</f>
        <v>0</v>
      </c>
    </row>
    <row r="96" spans="1:11" s="13" customFormat="1">
      <c r="A96" s="86" t="s">
        <v>240</v>
      </c>
      <c r="B96" s="66" t="s">
        <v>245</v>
      </c>
      <c r="C96" s="502"/>
      <c r="D96" s="12"/>
      <c r="E96" s="12"/>
      <c r="F96" s="1402" t="str">
        <f t="shared" si="1"/>
        <v>-</v>
      </c>
      <c r="G96" s="19"/>
      <c r="H96" s="12"/>
      <c r="I96" s="15"/>
      <c r="K96" s="13">
        <f>+E96-G96-H96-I96</f>
        <v>0</v>
      </c>
    </row>
    <row r="97" spans="1:11" s="13" customFormat="1">
      <c r="A97" s="86" t="s">
        <v>981</v>
      </c>
      <c r="B97" s="66" t="s">
        <v>977</v>
      </c>
      <c r="C97" s="502"/>
      <c r="D97" s="12"/>
      <c r="E97" s="12"/>
      <c r="F97" s="1402" t="str">
        <f t="shared" si="1"/>
        <v>-</v>
      </c>
      <c r="G97" s="19"/>
      <c r="H97" s="12"/>
      <c r="I97" s="15"/>
      <c r="K97" s="13">
        <f>+E97-G97-H97-I97</f>
        <v>0</v>
      </c>
    </row>
    <row r="98" spans="1:11">
      <c r="A98" s="85" t="s">
        <v>241</v>
      </c>
      <c r="B98" s="67" t="s">
        <v>243</v>
      </c>
      <c r="C98" s="501"/>
      <c r="D98" s="11"/>
      <c r="E98" s="11"/>
      <c r="F98" s="1402" t="str">
        <f t="shared" si="1"/>
        <v>-</v>
      </c>
      <c r="G98" s="20"/>
      <c r="H98" s="11"/>
      <c r="I98" s="16"/>
      <c r="K98" s="4">
        <f>+E98-G98-H98-I98</f>
        <v>0</v>
      </c>
    </row>
    <row r="99" spans="1:11">
      <c r="A99" s="78" t="s">
        <v>242</v>
      </c>
      <c r="B99" s="68" t="s">
        <v>244</v>
      </c>
      <c r="C99" s="500"/>
      <c r="D99" s="22"/>
      <c r="E99" s="22"/>
      <c r="F99" s="1404" t="str">
        <f t="shared" si="1"/>
        <v>-</v>
      </c>
      <c r="G99" s="21"/>
      <c r="H99" s="22"/>
      <c r="I99" s="23"/>
      <c r="K99" s="4">
        <f>+E99-G99-H99-I99</f>
        <v>0</v>
      </c>
    </row>
    <row r="100" spans="1:11" ht="12.75" thickBot="1">
      <c r="A100" s="78" t="s">
        <v>983</v>
      </c>
      <c r="B100" s="68" t="s">
        <v>979</v>
      </c>
      <c r="C100" s="500"/>
      <c r="D100" s="22"/>
      <c r="E100" s="22"/>
      <c r="F100" s="1404" t="str">
        <f t="shared" si="1"/>
        <v>-</v>
      </c>
      <c r="G100" s="21"/>
      <c r="H100" s="22"/>
      <c r="I100" s="23"/>
      <c r="K100" s="4">
        <f>+E100-G100-H100-I100</f>
        <v>0</v>
      </c>
    </row>
    <row r="101" spans="1:11" s="3" customFormat="1" ht="12.75" thickBot="1">
      <c r="A101" s="83" t="s">
        <v>43</v>
      </c>
      <c r="B101" s="69" t="s">
        <v>306</v>
      </c>
      <c r="C101" s="1049">
        <f>+C71+C86</f>
        <v>367021</v>
      </c>
      <c r="D101" s="28">
        <f>+D71+D86</f>
        <v>355741</v>
      </c>
      <c r="E101" s="28">
        <f>+E71+E86</f>
        <v>344777</v>
      </c>
      <c r="F101" s="1400">
        <f t="shared" si="1"/>
        <v>0.96917982464770713</v>
      </c>
      <c r="G101" s="27">
        <f>+G71+G86</f>
        <v>344777</v>
      </c>
      <c r="H101" s="28">
        <f>+H71+H86</f>
        <v>0</v>
      </c>
      <c r="I101" s="29">
        <f>+I71+I86</f>
        <v>0</v>
      </c>
      <c r="K101" s="3">
        <f>+E101-G101-H101-I101</f>
        <v>0</v>
      </c>
    </row>
    <row r="102" spans="1:11" s="3" customFormat="1" ht="12.75" thickBot="1">
      <c r="A102" s="87" t="s">
        <v>40</v>
      </c>
      <c r="B102" s="71" t="s">
        <v>307</v>
      </c>
      <c r="C102" s="1056">
        <f>+C70+C101</f>
        <v>387834</v>
      </c>
      <c r="D102" s="25">
        <f>+D70+D101</f>
        <v>375145</v>
      </c>
      <c r="E102" s="25">
        <f>+E70+E101</f>
        <v>364145</v>
      </c>
      <c r="F102" s="1406">
        <f t="shared" si="1"/>
        <v>0.97067800450492481</v>
      </c>
      <c r="G102" s="24">
        <f>+G70+G101</f>
        <v>364145</v>
      </c>
      <c r="H102" s="25">
        <f>+H70+H101</f>
        <v>0</v>
      </c>
      <c r="I102" s="26">
        <f>+I70+I101</f>
        <v>0</v>
      </c>
      <c r="K102" s="3">
        <f>+E102-G102-H102-I102</f>
        <v>0</v>
      </c>
    </row>
    <row r="103" spans="1:11" s="3" customFormat="1">
      <c r="A103" s="53"/>
      <c r="B103" s="30"/>
      <c r="C103" s="30"/>
      <c r="D103" s="30"/>
      <c r="E103" s="30"/>
      <c r="F103" s="1397"/>
      <c r="G103" s="30"/>
      <c r="H103" s="30"/>
      <c r="I103" s="30"/>
    </row>
    <row r="104" spans="1:11" s="3" customFormat="1">
      <c r="A104" s="53"/>
      <c r="B104" s="30"/>
      <c r="C104" s="30"/>
      <c r="D104" s="30"/>
      <c r="E104" s="30"/>
      <c r="F104" s="1407"/>
      <c r="G104" s="30"/>
      <c r="H104" s="30"/>
      <c r="I104" s="30"/>
    </row>
    <row r="105" spans="1:11" s="52" customFormat="1" ht="15.75">
      <c r="A105" s="1216" t="s">
        <v>80</v>
      </c>
      <c r="B105" s="1216"/>
      <c r="C105" s="1216"/>
      <c r="D105" s="1216"/>
      <c r="E105" s="1216"/>
      <c r="F105" s="1216"/>
      <c r="G105" s="1216"/>
      <c r="H105" s="1216"/>
      <c r="I105" s="1216"/>
    </row>
    <row r="106" spans="1:11" s="36" customFormat="1" ht="12.75" thickBot="1">
      <c r="A106" s="38" t="s">
        <v>279</v>
      </c>
      <c r="F106" s="1397"/>
      <c r="I106" s="37" t="s">
        <v>281</v>
      </c>
    </row>
    <row r="107" spans="1:11" s="3" customFormat="1" ht="48.75" thickBot="1">
      <c r="A107" s="79" t="s">
        <v>17</v>
      </c>
      <c r="B107" s="80" t="s">
        <v>329</v>
      </c>
      <c r="C107" s="1057" t="s">
        <v>1474</v>
      </c>
      <c r="D107" s="6" t="s">
        <v>1475</v>
      </c>
      <c r="E107" s="6" t="s">
        <v>1529</v>
      </c>
      <c r="F107" s="1398" t="s">
        <v>1527</v>
      </c>
      <c r="G107" s="5" t="s">
        <v>51</v>
      </c>
      <c r="H107" s="6" t="s">
        <v>52</v>
      </c>
      <c r="I107" s="7" t="s">
        <v>53</v>
      </c>
    </row>
    <row r="108" spans="1:11" s="3" customFormat="1" ht="12.75" thickBot="1">
      <c r="A108" s="81" t="s">
        <v>253</v>
      </c>
      <c r="B108" s="82" t="s">
        <v>254</v>
      </c>
      <c r="C108" s="1225" t="s">
        <v>255</v>
      </c>
      <c r="D108" s="1226"/>
      <c r="E108" s="1226"/>
      <c r="F108" s="1226"/>
      <c r="G108" s="1226"/>
      <c r="H108" s="1226"/>
      <c r="I108" s="1227"/>
    </row>
    <row r="109" spans="1:11" s="3" customFormat="1" ht="12.75" thickBot="1">
      <c r="A109" s="83" t="s">
        <v>4</v>
      </c>
      <c r="B109" s="69" t="s">
        <v>308</v>
      </c>
      <c r="C109" s="1049">
        <f>+C110+C114+C116+C123+C132</f>
        <v>386834</v>
      </c>
      <c r="D109" s="28">
        <f>+D110+D114+D116+D123+D132</f>
        <v>374826</v>
      </c>
      <c r="E109" s="28">
        <f>+E110+E114+E116+E123+E132</f>
        <v>363620</v>
      </c>
      <c r="F109" s="1408">
        <f t="shared" ref="F109:F172" si="4">IF(ISERROR(E109/D109),"-",E109/D109)</f>
        <v>0.97010346133939485</v>
      </c>
      <c r="G109" s="27">
        <f>+G110+G114+G116+G123+G132</f>
        <v>363620</v>
      </c>
      <c r="H109" s="28">
        <f>+H110+H114+H116+H123+H132</f>
        <v>0</v>
      </c>
      <c r="I109" s="29">
        <f>+I110+I114+I116+I123+I132</f>
        <v>0</v>
      </c>
      <c r="K109" s="3">
        <f>+E109-G109-H109-I109</f>
        <v>0</v>
      </c>
    </row>
    <row r="110" spans="1:11" s="3" customFormat="1" ht="12.75" thickBot="1">
      <c r="A110" s="83" t="s">
        <v>5</v>
      </c>
      <c r="B110" s="64" t="s">
        <v>309</v>
      </c>
      <c r="C110" s="1049">
        <f>+C112+C113</f>
        <v>220782</v>
      </c>
      <c r="D110" s="28">
        <f>+D112+D113</f>
        <v>212628</v>
      </c>
      <c r="E110" s="28">
        <f>+E112+E113</f>
        <v>212628</v>
      </c>
      <c r="F110" s="1408">
        <f t="shared" si="4"/>
        <v>1</v>
      </c>
      <c r="G110" s="27">
        <f>+G112+G113</f>
        <v>212628</v>
      </c>
      <c r="H110" s="28">
        <f>+H112+H113</f>
        <v>0</v>
      </c>
      <c r="I110" s="29">
        <f>+I112+I113</f>
        <v>0</v>
      </c>
      <c r="K110" s="3">
        <f>+E110-G110-H110-I110</f>
        <v>0</v>
      </c>
    </row>
    <row r="111" spans="1:11" s="36" customFormat="1">
      <c r="A111" s="819" t="s">
        <v>349</v>
      </c>
      <c r="B111" s="820" t="s">
        <v>350</v>
      </c>
      <c r="C111" s="1058"/>
      <c r="D111" s="97"/>
      <c r="E111" s="97"/>
      <c r="F111" s="1409" t="str">
        <f t="shared" si="4"/>
        <v>-</v>
      </c>
      <c r="G111" s="96"/>
      <c r="H111" s="97"/>
      <c r="I111" s="98"/>
      <c r="K111" s="36">
        <f>+E111-G111-H111-I111</f>
        <v>0</v>
      </c>
    </row>
    <row r="112" spans="1:11">
      <c r="A112" s="84" t="s">
        <v>54</v>
      </c>
      <c r="B112" s="65" t="s">
        <v>127</v>
      </c>
      <c r="C112" s="1051">
        <v>220702</v>
      </c>
      <c r="D112" s="10">
        <v>211860</v>
      </c>
      <c r="E112" s="10">
        <v>211860</v>
      </c>
      <c r="F112" s="1410">
        <f t="shared" si="4"/>
        <v>1</v>
      </c>
      <c r="G112" s="34">
        <v>211860</v>
      </c>
      <c r="H112" s="10"/>
      <c r="I112" s="35"/>
      <c r="K112" s="4">
        <f>+E112-G112-H112-I112</f>
        <v>0</v>
      </c>
    </row>
    <row r="113" spans="1:11" ht="12.75" thickBot="1">
      <c r="A113" s="78" t="s">
        <v>55</v>
      </c>
      <c r="B113" s="68" t="s">
        <v>128</v>
      </c>
      <c r="C113" s="500">
        <v>80</v>
      </c>
      <c r="D113" s="22">
        <v>768</v>
      </c>
      <c r="E113" s="22">
        <v>768</v>
      </c>
      <c r="F113" s="1411">
        <f t="shared" si="4"/>
        <v>1</v>
      </c>
      <c r="G113" s="21">
        <v>768</v>
      </c>
      <c r="H113" s="22"/>
      <c r="I113" s="23"/>
      <c r="K113" s="4">
        <f>+E113-G113-H113-I113</f>
        <v>0</v>
      </c>
    </row>
    <row r="114" spans="1:11" s="3" customFormat="1" ht="12.75" thickBot="1">
      <c r="A114" s="83" t="s">
        <v>6</v>
      </c>
      <c r="B114" s="64" t="s">
        <v>256</v>
      </c>
      <c r="C114" s="1049">
        <v>47493</v>
      </c>
      <c r="D114" s="28">
        <v>45752</v>
      </c>
      <c r="E114" s="28">
        <v>44925</v>
      </c>
      <c r="F114" s="1408">
        <f t="shared" si="4"/>
        <v>0.9819242874628431</v>
      </c>
      <c r="G114" s="27">
        <v>44925</v>
      </c>
      <c r="H114" s="28"/>
      <c r="I114" s="29"/>
      <c r="K114" s="3">
        <f>+E114-G114-H114-I114</f>
        <v>0</v>
      </c>
    </row>
    <row r="115" spans="1:11" s="36" customFormat="1" ht="12.75" thickBot="1">
      <c r="A115" s="819" t="s">
        <v>346</v>
      </c>
      <c r="B115" s="820" t="s">
        <v>347</v>
      </c>
      <c r="C115" s="1058"/>
      <c r="D115" s="97"/>
      <c r="E115" s="97"/>
      <c r="F115" s="1409" t="str">
        <f t="shared" si="4"/>
        <v>-</v>
      </c>
      <c r="G115" s="96"/>
      <c r="H115" s="97"/>
      <c r="I115" s="98"/>
      <c r="K115" s="36">
        <f>+E115-G115-H115-I115</f>
        <v>0</v>
      </c>
    </row>
    <row r="116" spans="1:11" s="3" customFormat="1" ht="12.75" thickBot="1">
      <c r="A116" s="83" t="s">
        <v>3</v>
      </c>
      <c r="B116" s="64" t="s">
        <v>343</v>
      </c>
      <c r="C116" s="1049">
        <f>+C118+C119+C120+C121+C122</f>
        <v>118559</v>
      </c>
      <c r="D116" s="28">
        <f>+D118+D119+D120+D121+D122</f>
        <v>116373</v>
      </c>
      <c r="E116" s="28">
        <f>+E118+E119+E120+E121+E122</f>
        <v>105994</v>
      </c>
      <c r="F116" s="1408">
        <f t="shared" si="4"/>
        <v>0.9108126455449288</v>
      </c>
      <c r="G116" s="27">
        <f>+G118+G119+G120+G121+G122</f>
        <v>105994</v>
      </c>
      <c r="H116" s="28">
        <f>+H118+H119+H120+H121+H122</f>
        <v>0</v>
      </c>
      <c r="I116" s="29">
        <f>+I118+I119+I120+I121+I122</f>
        <v>0</v>
      </c>
      <c r="K116" s="3">
        <f>+E116-G116-H116-I116</f>
        <v>0</v>
      </c>
    </row>
    <row r="117" spans="1:11" s="36" customFormat="1">
      <c r="A117" s="819" t="s">
        <v>341</v>
      </c>
      <c r="B117" s="820" t="s">
        <v>348</v>
      </c>
      <c r="C117" s="1058"/>
      <c r="D117" s="97"/>
      <c r="E117" s="97"/>
      <c r="F117" s="1409" t="str">
        <f t="shared" si="4"/>
        <v>-</v>
      </c>
      <c r="G117" s="96"/>
      <c r="H117" s="97"/>
      <c r="I117" s="98"/>
      <c r="K117" s="36">
        <f>+E117-G117-H117-I117</f>
        <v>0</v>
      </c>
    </row>
    <row r="118" spans="1:11">
      <c r="A118" s="84" t="s">
        <v>61</v>
      </c>
      <c r="B118" s="65" t="s">
        <v>129</v>
      </c>
      <c r="C118" s="1051">
        <v>5900</v>
      </c>
      <c r="D118" s="10">
        <v>3990</v>
      </c>
      <c r="E118" s="10">
        <v>3884</v>
      </c>
      <c r="F118" s="1410">
        <f t="shared" si="4"/>
        <v>0.97343358395989976</v>
      </c>
      <c r="G118" s="34">
        <v>3884</v>
      </c>
      <c r="H118" s="10"/>
      <c r="I118" s="35"/>
      <c r="K118" s="4">
        <f>+E118-G118-H118-I118</f>
        <v>0</v>
      </c>
    </row>
    <row r="119" spans="1:11">
      <c r="A119" s="85" t="s">
        <v>62</v>
      </c>
      <c r="B119" s="67" t="s">
        <v>130</v>
      </c>
      <c r="C119" s="501">
        <v>1343</v>
      </c>
      <c r="D119" s="11">
        <v>1362</v>
      </c>
      <c r="E119" s="11">
        <v>1317</v>
      </c>
      <c r="F119" s="1412">
        <f t="shared" si="4"/>
        <v>0.96696035242290745</v>
      </c>
      <c r="G119" s="20">
        <v>1317</v>
      </c>
      <c r="H119" s="11"/>
      <c r="I119" s="16"/>
      <c r="K119" s="4">
        <f>+E119-G119-H119-I119</f>
        <v>0</v>
      </c>
    </row>
    <row r="120" spans="1:11">
      <c r="A120" s="85" t="s">
        <v>63</v>
      </c>
      <c r="B120" s="67" t="s">
        <v>131</v>
      </c>
      <c r="C120" s="501">
        <v>86815</v>
      </c>
      <c r="D120" s="1420">
        <f>86743+1</f>
        <v>86744</v>
      </c>
      <c r="E120" s="11">
        <v>78712</v>
      </c>
      <c r="F120" s="1412">
        <f t="shared" si="4"/>
        <v>0.90740569952965044</v>
      </c>
      <c r="G120" s="20">
        <v>78712</v>
      </c>
      <c r="H120" s="11"/>
      <c r="I120" s="16"/>
      <c r="K120" s="4">
        <f>+E120-G120-H120-I120</f>
        <v>0</v>
      </c>
    </row>
    <row r="121" spans="1:11">
      <c r="A121" s="85" t="s">
        <v>64</v>
      </c>
      <c r="B121" s="67" t="s">
        <v>132</v>
      </c>
      <c r="C121" s="501"/>
      <c r="D121" s="11"/>
      <c r="E121" s="11"/>
      <c r="F121" s="1412" t="str">
        <f t="shared" si="4"/>
        <v>-</v>
      </c>
      <c r="G121" s="20"/>
      <c r="H121" s="11"/>
      <c r="I121" s="16"/>
      <c r="K121" s="4">
        <f>+E121-G121-H121-I121</f>
        <v>0</v>
      </c>
    </row>
    <row r="122" spans="1:11" ht="12.75" thickBot="1">
      <c r="A122" s="78" t="s">
        <v>65</v>
      </c>
      <c r="B122" s="68" t="s">
        <v>133</v>
      </c>
      <c r="C122" s="500">
        <v>24501</v>
      </c>
      <c r="D122" s="22">
        <v>24277</v>
      </c>
      <c r="E122" s="22">
        <v>22081</v>
      </c>
      <c r="F122" s="1411">
        <f t="shared" si="4"/>
        <v>0.9095440128516703</v>
      </c>
      <c r="G122" s="21">
        <v>22081</v>
      </c>
      <c r="H122" s="22"/>
      <c r="I122" s="23"/>
      <c r="K122" s="4">
        <f>+E122-G122-H122-I122</f>
        <v>0</v>
      </c>
    </row>
    <row r="123" spans="1:11" s="3" customFormat="1" ht="12.75" thickBot="1">
      <c r="A123" s="83" t="s">
        <v>16</v>
      </c>
      <c r="B123" s="64" t="s">
        <v>310</v>
      </c>
      <c r="C123" s="1049">
        <f>+C124+C125+C126+C127+C128+C129+C130+C131</f>
        <v>0</v>
      </c>
      <c r="D123" s="28">
        <f>+D124+D125+D126+D127+D128+D129+D130+D131</f>
        <v>0</v>
      </c>
      <c r="E123" s="28">
        <f>+E124+E125+E126+E127+E128+E129+E130+E131</f>
        <v>0</v>
      </c>
      <c r="F123" s="1408" t="str">
        <f t="shared" si="4"/>
        <v>-</v>
      </c>
      <c r="G123" s="27">
        <f>+G124+G125+G126+G127+G128+G129+G130+G131</f>
        <v>0</v>
      </c>
      <c r="H123" s="28">
        <f>+H124+H125+H126+H127+H128+H129+H130+H131</f>
        <v>0</v>
      </c>
      <c r="I123" s="29">
        <f>+I124+I125+I126+I127+I128+I129+I130+I131</f>
        <v>0</v>
      </c>
      <c r="K123" s="3">
        <f>+E123-G123-H123-I123</f>
        <v>0</v>
      </c>
    </row>
    <row r="124" spans="1:11">
      <c r="A124" s="84" t="s">
        <v>227</v>
      </c>
      <c r="B124" s="65" t="s">
        <v>134</v>
      </c>
      <c r="C124" s="1051"/>
      <c r="D124" s="10"/>
      <c r="E124" s="10"/>
      <c r="F124" s="1410" t="str">
        <f t="shared" si="4"/>
        <v>-</v>
      </c>
      <c r="G124" s="34"/>
      <c r="H124" s="10"/>
      <c r="I124" s="35"/>
      <c r="K124" s="4">
        <f>+E124-G124-H124-I124</f>
        <v>0</v>
      </c>
    </row>
    <row r="125" spans="1:11">
      <c r="A125" s="85" t="s">
        <v>228</v>
      </c>
      <c r="B125" s="67" t="s">
        <v>135</v>
      </c>
      <c r="C125" s="501"/>
      <c r="D125" s="11"/>
      <c r="E125" s="11"/>
      <c r="F125" s="1412" t="str">
        <f t="shared" si="4"/>
        <v>-</v>
      </c>
      <c r="G125" s="20"/>
      <c r="H125" s="11"/>
      <c r="I125" s="16"/>
      <c r="K125" s="4">
        <f>+E125-G125-H125-I125</f>
        <v>0</v>
      </c>
    </row>
    <row r="126" spans="1:11">
      <c r="A126" s="85" t="s">
        <v>229</v>
      </c>
      <c r="B126" s="67" t="s">
        <v>136</v>
      </c>
      <c r="C126" s="501"/>
      <c r="D126" s="11"/>
      <c r="E126" s="11"/>
      <c r="F126" s="1412" t="str">
        <f t="shared" si="4"/>
        <v>-</v>
      </c>
      <c r="G126" s="20"/>
      <c r="H126" s="11"/>
      <c r="I126" s="16"/>
      <c r="K126" s="4">
        <f>+E126-G126-H126-I126</f>
        <v>0</v>
      </c>
    </row>
    <row r="127" spans="1:11">
      <c r="A127" s="85" t="s">
        <v>257</v>
      </c>
      <c r="B127" s="67" t="s">
        <v>137</v>
      </c>
      <c r="C127" s="501"/>
      <c r="D127" s="11"/>
      <c r="E127" s="11"/>
      <c r="F127" s="1412" t="str">
        <f t="shared" si="4"/>
        <v>-</v>
      </c>
      <c r="G127" s="20"/>
      <c r="H127" s="11"/>
      <c r="I127" s="16"/>
      <c r="K127" s="4">
        <f>+E127-G127-H127-I127</f>
        <v>0</v>
      </c>
    </row>
    <row r="128" spans="1:11">
      <c r="A128" s="85" t="s">
        <v>258</v>
      </c>
      <c r="B128" s="67" t="s">
        <v>138</v>
      </c>
      <c r="C128" s="501"/>
      <c r="D128" s="11"/>
      <c r="E128" s="11"/>
      <c r="F128" s="1412" t="str">
        <f t="shared" si="4"/>
        <v>-</v>
      </c>
      <c r="G128" s="20"/>
      <c r="H128" s="11"/>
      <c r="I128" s="16"/>
      <c r="K128" s="4">
        <f>+E128-G128-H128-I128</f>
        <v>0</v>
      </c>
    </row>
    <row r="129" spans="1:11">
      <c r="A129" s="85" t="s">
        <v>259</v>
      </c>
      <c r="B129" s="67" t="s">
        <v>139</v>
      </c>
      <c r="C129" s="501"/>
      <c r="D129" s="11"/>
      <c r="E129" s="11"/>
      <c r="F129" s="1412" t="str">
        <f t="shared" si="4"/>
        <v>-</v>
      </c>
      <c r="G129" s="20"/>
      <c r="H129" s="11"/>
      <c r="I129" s="16"/>
      <c r="K129" s="4">
        <f>+E129-G129-H129-I129</f>
        <v>0</v>
      </c>
    </row>
    <row r="130" spans="1:11">
      <c r="A130" s="85" t="s">
        <v>260</v>
      </c>
      <c r="B130" s="67" t="s">
        <v>140</v>
      </c>
      <c r="C130" s="501"/>
      <c r="D130" s="11"/>
      <c r="E130" s="11"/>
      <c r="F130" s="1412" t="str">
        <f t="shared" si="4"/>
        <v>-</v>
      </c>
      <c r="G130" s="20"/>
      <c r="H130" s="11"/>
      <c r="I130" s="16"/>
      <c r="K130" s="4">
        <f>+E130-G130-H130-I130</f>
        <v>0</v>
      </c>
    </row>
    <row r="131" spans="1:11" ht="12.75" thickBot="1">
      <c r="A131" s="78" t="s">
        <v>261</v>
      </c>
      <c r="B131" s="68" t="s">
        <v>141</v>
      </c>
      <c r="C131" s="500"/>
      <c r="D131" s="22"/>
      <c r="E131" s="22"/>
      <c r="F131" s="1411" t="str">
        <f t="shared" si="4"/>
        <v>-</v>
      </c>
      <c r="G131" s="21"/>
      <c r="H131" s="22"/>
      <c r="I131" s="23"/>
      <c r="K131" s="4">
        <f>+E131-G131-H131-I131</f>
        <v>0</v>
      </c>
    </row>
    <row r="132" spans="1:11" s="3" customFormat="1" ht="12.75" thickBot="1">
      <c r="A132" s="83" t="s">
        <v>15</v>
      </c>
      <c r="B132" s="64" t="s">
        <v>987</v>
      </c>
      <c r="C132" s="1049">
        <f>+C133+C134+C135+C136+C137+C138+C140+C141+C142+C143+C144+C145+C146</f>
        <v>0</v>
      </c>
      <c r="D132" s="28">
        <f>+D133+D134+D135+D136+D137+D138+D140+D141+D142+D143+D144+D145+D146</f>
        <v>73</v>
      </c>
      <c r="E132" s="28">
        <f>+E133+E134+E135+E136+E137+E138+E144+E140+E141+E142+E143+E145+E146</f>
        <v>73</v>
      </c>
      <c r="F132" s="1408">
        <f t="shared" si="4"/>
        <v>1</v>
      </c>
      <c r="G132" s="27">
        <f>+G133+G134+G135+G136+G137+G138+G140+G141+G142+G143+G144+G145+G146</f>
        <v>73</v>
      </c>
      <c r="H132" s="28">
        <f>+H133+H134+H135+H136+H137+H138+H140+H141+H142+H143+H144+H145+H146</f>
        <v>0</v>
      </c>
      <c r="I132" s="29">
        <f>+I133+I134+I135+I136+I137+I138+I140+I141+I142+I143+I144+I145+I146</f>
        <v>0</v>
      </c>
      <c r="K132" s="3">
        <f>+E132-G132-H132-I132</f>
        <v>0</v>
      </c>
    </row>
    <row r="133" spans="1:11">
      <c r="A133" s="84" t="s">
        <v>87</v>
      </c>
      <c r="B133" s="65" t="s">
        <v>142</v>
      </c>
      <c r="C133" s="1051"/>
      <c r="D133" s="10"/>
      <c r="E133" s="10"/>
      <c r="F133" s="1410" t="str">
        <f t="shared" si="4"/>
        <v>-</v>
      </c>
      <c r="G133" s="34"/>
      <c r="H133" s="10"/>
      <c r="I133" s="35"/>
      <c r="K133" s="4">
        <f>+E133-G133-H133-I133</f>
        <v>0</v>
      </c>
    </row>
    <row r="134" spans="1:11">
      <c r="A134" s="85" t="s">
        <v>88</v>
      </c>
      <c r="B134" s="67" t="s">
        <v>143</v>
      </c>
      <c r="C134" s="501"/>
      <c r="D134" s="11">
        <f>0+73</f>
        <v>73</v>
      </c>
      <c r="E134" s="11">
        <v>73</v>
      </c>
      <c r="F134" s="1412">
        <f t="shared" si="4"/>
        <v>1</v>
      </c>
      <c r="G134" s="20">
        <v>73</v>
      </c>
      <c r="H134" s="11"/>
      <c r="I134" s="16"/>
      <c r="K134" s="4">
        <f>+E134-G134-H134-I134</f>
        <v>0</v>
      </c>
    </row>
    <row r="135" spans="1:11">
      <c r="A135" s="85" t="s">
        <v>182</v>
      </c>
      <c r="B135" s="67" t="s">
        <v>144</v>
      </c>
      <c r="C135" s="501"/>
      <c r="D135" s="11"/>
      <c r="E135" s="11"/>
      <c r="F135" s="1412" t="str">
        <f t="shared" si="4"/>
        <v>-</v>
      </c>
      <c r="G135" s="20"/>
      <c r="H135" s="11"/>
      <c r="I135" s="16"/>
      <c r="K135" s="4">
        <f>+E135-G135-H135-I135</f>
        <v>0</v>
      </c>
    </row>
    <row r="136" spans="1:11">
      <c r="A136" s="85" t="s">
        <v>183</v>
      </c>
      <c r="B136" s="67" t="s">
        <v>145</v>
      </c>
      <c r="C136" s="501"/>
      <c r="D136" s="11"/>
      <c r="E136" s="11"/>
      <c r="F136" s="1412" t="str">
        <f t="shared" si="4"/>
        <v>-</v>
      </c>
      <c r="G136" s="20"/>
      <c r="H136" s="11"/>
      <c r="I136" s="16"/>
      <c r="K136" s="4">
        <f>+E136-G136-H136-I136</f>
        <v>0</v>
      </c>
    </row>
    <row r="137" spans="1:11">
      <c r="A137" s="85" t="s">
        <v>184</v>
      </c>
      <c r="B137" s="67" t="s">
        <v>146</v>
      </c>
      <c r="C137" s="501"/>
      <c r="D137" s="11"/>
      <c r="E137" s="11"/>
      <c r="F137" s="1412" t="str">
        <f t="shared" si="4"/>
        <v>-</v>
      </c>
      <c r="G137" s="20"/>
      <c r="H137" s="11"/>
      <c r="I137" s="16"/>
      <c r="K137" s="4">
        <f>+E137-G137-H137-I137</f>
        <v>0</v>
      </c>
    </row>
    <row r="138" spans="1:11">
      <c r="A138" s="85" t="s">
        <v>262</v>
      </c>
      <c r="B138" s="67" t="s">
        <v>147</v>
      </c>
      <c r="C138" s="501"/>
      <c r="D138" s="11"/>
      <c r="E138" s="11"/>
      <c r="F138" s="1412" t="str">
        <f t="shared" si="4"/>
        <v>-</v>
      </c>
      <c r="G138" s="20"/>
      <c r="H138" s="11"/>
      <c r="I138" s="16"/>
      <c r="K138" s="4">
        <f>+E138-G138-H138-I138</f>
        <v>0</v>
      </c>
    </row>
    <row r="139" spans="1:11" s="13" customFormat="1">
      <c r="A139" s="89" t="s">
        <v>336</v>
      </c>
      <c r="B139" s="818" t="s">
        <v>993</v>
      </c>
      <c r="C139" s="1050"/>
      <c r="D139" s="43"/>
      <c r="E139" s="43"/>
      <c r="F139" s="1411" t="str">
        <f t="shared" si="4"/>
        <v>-</v>
      </c>
      <c r="G139" s="45"/>
      <c r="H139" s="43"/>
      <c r="I139" s="44"/>
      <c r="K139" s="13">
        <f>+E139-G139-H139-I139</f>
        <v>0</v>
      </c>
    </row>
    <row r="140" spans="1:11">
      <c r="A140" s="85" t="s">
        <v>263</v>
      </c>
      <c r="B140" s="67" t="s">
        <v>148</v>
      </c>
      <c r="C140" s="501"/>
      <c r="D140" s="11"/>
      <c r="E140" s="11"/>
      <c r="F140" s="1412" t="str">
        <f t="shared" si="4"/>
        <v>-</v>
      </c>
      <c r="G140" s="20"/>
      <c r="H140" s="11"/>
      <c r="I140" s="16"/>
      <c r="K140" s="4">
        <f>+E140-G140-H140-I140</f>
        <v>0</v>
      </c>
    </row>
    <row r="141" spans="1:11">
      <c r="A141" s="85" t="s">
        <v>264</v>
      </c>
      <c r="B141" s="67" t="s">
        <v>149</v>
      </c>
      <c r="C141" s="501"/>
      <c r="D141" s="11"/>
      <c r="E141" s="11"/>
      <c r="F141" s="1412" t="str">
        <f t="shared" si="4"/>
        <v>-</v>
      </c>
      <c r="G141" s="20"/>
      <c r="H141" s="11"/>
      <c r="I141" s="16"/>
      <c r="K141" s="4">
        <f>+E141-G141-H141-I141</f>
        <v>0</v>
      </c>
    </row>
    <row r="142" spans="1:11">
      <c r="A142" s="85" t="s">
        <v>265</v>
      </c>
      <c r="B142" s="67" t="s">
        <v>150</v>
      </c>
      <c r="C142" s="501"/>
      <c r="D142" s="11"/>
      <c r="E142" s="11"/>
      <c r="F142" s="1412" t="str">
        <f t="shared" si="4"/>
        <v>-</v>
      </c>
      <c r="G142" s="20"/>
      <c r="H142" s="11"/>
      <c r="I142" s="16"/>
      <c r="K142" s="4">
        <f>+E142-G142-H142-I142</f>
        <v>0</v>
      </c>
    </row>
    <row r="143" spans="1:11">
      <c r="A143" s="85" t="s">
        <v>266</v>
      </c>
      <c r="B143" s="67" t="s">
        <v>151</v>
      </c>
      <c r="C143" s="501"/>
      <c r="D143" s="11"/>
      <c r="E143" s="11"/>
      <c r="F143" s="1412" t="str">
        <f t="shared" si="4"/>
        <v>-</v>
      </c>
      <c r="G143" s="20"/>
      <c r="H143" s="11"/>
      <c r="I143" s="16"/>
      <c r="K143" s="4">
        <f>+E143-G143-H143-I143</f>
        <v>0</v>
      </c>
    </row>
    <row r="144" spans="1:11">
      <c r="A144" s="85" t="s">
        <v>267</v>
      </c>
      <c r="B144" s="67" t="s">
        <v>988</v>
      </c>
      <c r="C144" s="501"/>
      <c r="D144" s="11"/>
      <c r="E144" s="11"/>
      <c r="F144" s="1412" t="str">
        <f t="shared" si="4"/>
        <v>-</v>
      </c>
      <c r="G144" s="20"/>
      <c r="H144" s="11"/>
      <c r="I144" s="16"/>
      <c r="K144" s="4">
        <f>+E144-G144-H144-I144</f>
        <v>0</v>
      </c>
    </row>
    <row r="145" spans="1:11">
      <c r="A145" s="85" t="s">
        <v>268</v>
      </c>
      <c r="B145" s="67" t="s">
        <v>989</v>
      </c>
      <c r="C145" s="501"/>
      <c r="D145" s="11"/>
      <c r="E145" s="11"/>
      <c r="F145" s="1412" t="str">
        <f t="shared" si="4"/>
        <v>-</v>
      </c>
      <c r="G145" s="20"/>
      <c r="H145" s="11"/>
      <c r="I145" s="16"/>
      <c r="K145" s="4">
        <f>+E145-G145-H145-I145</f>
        <v>0</v>
      </c>
    </row>
    <row r="146" spans="1:11">
      <c r="A146" s="78" t="s">
        <v>984</v>
      </c>
      <c r="B146" s="68" t="s">
        <v>990</v>
      </c>
      <c r="C146" s="500">
        <f>+C147+C148</f>
        <v>0</v>
      </c>
      <c r="D146" s="22">
        <f>+D147+D148</f>
        <v>0</v>
      </c>
      <c r="E146" s="22">
        <f>+E147+E148</f>
        <v>0</v>
      </c>
      <c r="F146" s="1411" t="str">
        <f t="shared" si="4"/>
        <v>-</v>
      </c>
      <c r="G146" s="21">
        <f>+G147+G148</f>
        <v>0</v>
      </c>
      <c r="H146" s="22">
        <f>+H147+H148</f>
        <v>0</v>
      </c>
      <c r="I146" s="23">
        <f>+I147+I148</f>
        <v>0</v>
      </c>
      <c r="K146" s="4">
        <f>+E146-G146-H146-I146</f>
        <v>0</v>
      </c>
    </row>
    <row r="147" spans="1:11" s="13" customFormat="1">
      <c r="A147" s="89" t="s">
        <v>985</v>
      </c>
      <c r="B147" s="74" t="s">
        <v>991</v>
      </c>
      <c r="C147" s="1050"/>
      <c r="D147" s="43"/>
      <c r="E147" s="43"/>
      <c r="F147" s="1411" t="str">
        <f t="shared" si="4"/>
        <v>-</v>
      </c>
      <c r="G147" s="45"/>
      <c r="H147" s="43"/>
      <c r="I147" s="44"/>
      <c r="K147" s="13">
        <f>+E147-G147-H147-I147</f>
        <v>0</v>
      </c>
    </row>
    <row r="148" spans="1:11" s="13" customFormat="1" ht="12.75" thickBot="1">
      <c r="A148" s="89" t="s">
        <v>986</v>
      </c>
      <c r="B148" s="74" t="s">
        <v>992</v>
      </c>
      <c r="C148" s="1050"/>
      <c r="D148" s="43"/>
      <c r="E148" s="43"/>
      <c r="F148" s="1411" t="str">
        <f t="shared" si="4"/>
        <v>-</v>
      </c>
      <c r="G148" s="45"/>
      <c r="H148" s="43"/>
      <c r="I148" s="44"/>
      <c r="K148" s="13">
        <f>+E148-G148-H148-I148</f>
        <v>0</v>
      </c>
    </row>
    <row r="149" spans="1:11" s="3" customFormat="1" ht="12.75" thickBot="1">
      <c r="A149" s="83" t="s">
        <v>14</v>
      </c>
      <c r="B149" s="69" t="s">
        <v>311</v>
      </c>
      <c r="C149" s="1049">
        <f>+C150+C159+C165</f>
        <v>1000</v>
      </c>
      <c r="D149" s="28">
        <f>+D150+D159+D165</f>
        <v>319</v>
      </c>
      <c r="E149" s="28">
        <f>+E150+E159+E165</f>
        <v>319</v>
      </c>
      <c r="F149" s="1408">
        <f t="shared" si="4"/>
        <v>1</v>
      </c>
      <c r="G149" s="27">
        <f>+G150+G159+G165</f>
        <v>319</v>
      </c>
      <c r="H149" s="28">
        <f>+H150+H159+H165</f>
        <v>0</v>
      </c>
      <c r="I149" s="29">
        <f>+I150+I159+I165</f>
        <v>0</v>
      </c>
      <c r="K149" s="3">
        <f>+E149-G149-H149-I149</f>
        <v>0</v>
      </c>
    </row>
    <row r="150" spans="1:11" s="3" customFormat="1" ht="12.75" thickBot="1">
      <c r="A150" s="83" t="s">
        <v>13</v>
      </c>
      <c r="B150" s="64" t="s">
        <v>312</v>
      </c>
      <c r="C150" s="1049">
        <f>+C152+C153+C154+C155+C156+C157+C158</f>
        <v>1000</v>
      </c>
      <c r="D150" s="28">
        <f>+D152+D153+D154+D155+D156+D157+D158</f>
        <v>319</v>
      </c>
      <c r="E150" s="28">
        <f>+E152+E153+E154+E155+E156+E157+E158</f>
        <v>319</v>
      </c>
      <c r="F150" s="1408">
        <f t="shared" si="4"/>
        <v>1</v>
      </c>
      <c r="G150" s="27">
        <f>+G152+G153+G154+G155+G156+G157+G158</f>
        <v>319</v>
      </c>
      <c r="H150" s="28">
        <f>+H152+H153+H154+H155+H156+H157+H158</f>
        <v>0</v>
      </c>
      <c r="I150" s="29">
        <f>+I152+I153+I154+I155+I156+I157+I158</f>
        <v>0</v>
      </c>
      <c r="K150" s="3">
        <f>+E150-G150-H150-I150</f>
        <v>0</v>
      </c>
    </row>
    <row r="151" spans="1:11" s="36" customFormat="1">
      <c r="A151" s="819" t="s">
        <v>994</v>
      </c>
      <c r="B151" s="820" t="s">
        <v>342</v>
      </c>
      <c r="C151" s="1058"/>
      <c r="D151" s="97"/>
      <c r="E151" s="97"/>
      <c r="F151" s="1409" t="str">
        <f t="shared" si="4"/>
        <v>-</v>
      </c>
      <c r="G151" s="96"/>
      <c r="H151" s="97"/>
      <c r="I151" s="98"/>
      <c r="K151" s="36">
        <f>+E151-G151-H151-I151</f>
        <v>0</v>
      </c>
    </row>
    <row r="152" spans="1:11">
      <c r="A152" s="84" t="s">
        <v>66</v>
      </c>
      <c r="B152" s="65" t="s">
        <v>152</v>
      </c>
      <c r="C152" s="1051"/>
      <c r="D152" s="10"/>
      <c r="E152" s="10"/>
      <c r="F152" s="1410" t="str">
        <f t="shared" si="4"/>
        <v>-</v>
      </c>
      <c r="G152" s="34"/>
      <c r="H152" s="10"/>
      <c r="I152" s="35"/>
      <c r="K152" s="4">
        <f>+E152-G152-H152-I152</f>
        <v>0</v>
      </c>
    </row>
    <row r="153" spans="1:11">
      <c r="A153" s="85" t="s">
        <v>67</v>
      </c>
      <c r="B153" s="67" t="s">
        <v>153</v>
      </c>
      <c r="C153" s="501"/>
      <c r="D153" s="11"/>
      <c r="E153" s="11"/>
      <c r="F153" s="1412" t="str">
        <f t="shared" si="4"/>
        <v>-</v>
      </c>
      <c r="G153" s="20"/>
      <c r="H153" s="11"/>
      <c r="I153" s="16"/>
      <c r="K153" s="4">
        <f>+E153-G153-H153-I153</f>
        <v>0</v>
      </c>
    </row>
    <row r="154" spans="1:11">
      <c r="A154" s="85" t="s">
        <v>68</v>
      </c>
      <c r="B154" s="67" t="s">
        <v>154</v>
      </c>
      <c r="C154" s="501"/>
      <c r="D154" s="11"/>
      <c r="E154" s="11"/>
      <c r="F154" s="1412" t="str">
        <f t="shared" si="4"/>
        <v>-</v>
      </c>
      <c r="G154" s="20"/>
      <c r="H154" s="11"/>
      <c r="I154" s="16"/>
      <c r="K154" s="4">
        <f>+E154-G154-H154-I154</f>
        <v>0</v>
      </c>
    </row>
    <row r="155" spans="1:11">
      <c r="A155" s="85" t="s">
        <v>230</v>
      </c>
      <c r="B155" s="67" t="s">
        <v>155</v>
      </c>
      <c r="C155" s="501">
        <v>787</v>
      </c>
      <c r="D155" s="11">
        <v>251</v>
      </c>
      <c r="E155" s="11">
        <v>251</v>
      </c>
      <c r="F155" s="1412">
        <f t="shared" si="4"/>
        <v>1</v>
      </c>
      <c r="G155" s="20">
        <v>251</v>
      </c>
      <c r="H155" s="11"/>
      <c r="I155" s="16"/>
      <c r="K155" s="4">
        <f>+E155-G155-H155-I155</f>
        <v>0</v>
      </c>
    </row>
    <row r="156" spans="1:11">
      <c r="A156" s="85" t="s">
        <v>231</v>
      </c>
      <c r="B156" s="67" t="s">
        <v>156</v>
      </c>
      <c r="C156" s="501"/>
      <c r="D156" s="11"/>
      <c r="E156" s="11"/>
      <c r="F156" s="1412" t="str">
        <f t="shared" si="4"/>
        <v>-</v>
      </c>
      <c r="G156" s="20"/>
      <c r="H156" s="11"/>
      <c r="I156" s="16"/>
      <c r="K156" s="4">
        <f>+E156-G156-H156-I156</f>
        <v>0</v>
      </c>
    </row>
    <row r="157" spans="1:11">
      <c r="A157" s="85" t="s">
        <v>269</v>
      </c>
      <c r="B157" s="67" t="s">
        <v>157</v>
      </c>
      <c r="C157" s="501"/>
      <c r="D157" s="11"/>
      <c r="E157" s="11"/>
      <c r="F157" s="1412" t="str">
        <f t="shared" si="4"/>
        <v>-</v>
      </c>
      <c r="G157" s="20"/>
      <c r="H157" s="11"/>
      <c r="I157" s="16"/>
      <c r="K157" s="4">
        <f>+E157-G157-H157-I157</f>
        <v>0</v>
      </c>
    </row>
    <row r="158" spans="1:11" ht="12.75" thickBot="1">
      <c r="A158" s="78" t="s">
        <v>270</v>
      </c>
      <c r="B158" s="68" t="s">
        <v>158</v>
      </c>
      <c r="C158" s="500">
        <v>213</v>
      </c>
      <c r="D158" s="22">
        <v>68</v>
      </c>
      <c r="E158" s="22">
        <v>68</v>
      </c>
      <c r="F158" s="1411">
        <f t="shared" si="4"/>
        <v>1</v>
      </c>
      <c r="G158" s="21">
        <v>68</v>
      </c>
      <c r="H158" s="22"/>
      <c r="I158" s="23"/>
      <c r="K158" s="4">
        <f>+E158-G158-H158-I158</f>
        <v>0</v>
      </c>
    </row>
    <row r="159" spans="1:11" s="3" customFormat="1" ht="12.75" thickBot="1">
      <c r="A159" s="83" t="s">
        <v>12</v>
      </c>
      <c r="B159" s="64" t="s">
        <v>313</v>
      </c>
      <c r="C159" s="1049">
        <f>+C161+C162+C163+C164</f>
        <v>0</v>
      </c>
      <c r="D159" s="28">
        <f>+D161+D162+D163+D164</f>
        <v>0</v>
      </c>
      <c r="E159" s="28">
        <f>+E161+E162+E163+E164</f>
        <v>0</v>
      </c>
      <c r="F159" s="1408" t="str">
        <f t="shared" si="4"/>
        <v>-</v>
      </c>
      <c r="G159" s="27">
        <f>+G161+G162+G163+G164</f>
        <v>0</v>
      </c>
      <c r="H159" s="28">
        <f>+H161+H162+H163+H164</f>
        <v>0</v>
      </c>
      <c r="I159" s="29">
        <f>+I161+I162+I163+I164</f>
        <v>0</v>
      </c>
      <c r="K159" s="3">
        <f>+E159-G159-H159-I159</f>
        <v>0</v>
      </c>
    </row>
    <row r="160" spans="1:11" s="36" customFormat="1">
      <c r="A160" s="819" t="s">
        <v>344</v>
      </c>
      <c r="B160" s="820" t="s">
        <v>345</v>
      </c>
      <c r="C160" s="1058"/>
      <c r="D160" s="97"/>
      <c r="E160" s="97"/>
      <c r="F160" s="1409" t="str">
        <f t="shared" si="4"/>
        <v>-</v>
      </c>
      <c r="G160" s="96"/>
      <c r="H160" s="97"/>
      <c r="I160" s="98"/>
      <c r="K160" s="36">
        <f>+E160-G160-H160-I160</f>
        <v>0</v>
      </c>
    </row>
    <row r="161" spans="1:11">
      <c r="A161" s="84" t="s">
        <v>69</v>
      </c>
      <c r="B161" s="65" t="s">
        <v>159</v>
      </c>
      <c r="C161" s="1051"/>
      <c r="D161" s="10"/>
      <c r="E161" s="10"/>
      <c r="F161" s="1410" t="str">
        <f t="shared" si="4"/>
        <v>-</v>
      </c>
      <c r="G161" s="34"/>
      <c r="H161" s="10"/>
      <c r="I161" s="35"/>
      <c r="K161" s="4">
        <f>+E161-G161-H161-I161</f>
        <v>0</v>
      </c>
    </row>
    <row r="162" spans="1:11">
      <c r="A162" s="85" t="s">
        <v>70</v>
      </c>
      <c r="B162" s="67" t="s">
        <v>160</v>
      </c>
      <c r="C162" s="501"/>
      <c r="D162" s="11"/>
      <c r="E162" s="11"/>
      <c r="F162" s="1412" t="str">
        <f t="shared" si="4"/>
        <v>-</v>
      </c>
      <c r="G162" s="20"/>
      <c r="H162" s="11"/>
      <c r="I162" s="16"/>
      <c r="K162" s="4">
        <f>+E162-G162-H162-I162</f>
        <v>0</v>
      </c>
    </row>
    <row r="163" spans="1:11">
      <c r="A163" s="85" t="s">
        <v>71</v>
      </c>
      <c r="B163" s="67" t="s">
        <v>161</v>
      </c>
      <c r="C163" s="501"/>
      <c r="D163" s="11"/>
      <c r="E163" s="11"/>
      <c r="F163" s="1412" t="str">
        <f t="shared" si="4"/>
        <v>-</v>
      </c>
      <c r="G163" s="20"/>
      <c r="H163" s="11"/>
      <c r="I163" s="16"/>
      <c r="K163" s="4">
        <f>+E163-G163-H163-I163</f>
        <v>0</v>
      </c>
    </row>
    <row r="164" spans="1:11" ht="12.75" thickBot="1">
      <c r="A164" s="78" t="s">
        <v>72</v>
      </c>
      <c r="B164" s="68" t="s">
        <v>162</v>
      </c>
      <c r="C164" s="500"/>
      <c r="D164" s="22"/>
      <c r="E164" s="22"/>
      <c r="F164" s="1411" t="str">
        <f t="shared" si="4"/>
        <v>-</v>
      </c>
      <c r="G164" s="21"/>
      <c r="H164" s="22"/>
      <c r="I164" s="23"/>
      <c r="K164" s="4">
        <f>+E164-G164-H164-I164</f>
        <v>0</v>
      </c>
    </row>
    <row r="165" spans="1:11" s="3" customFormat="1" ht="12.75" thickBot="1">
      <c r="A165" s="83" t="s">
        <v>11</v>
      </c>
      <c r="B165" s="64" t="s">
        <v>996</v>
      </c>
      <c r="C165" s="1049">
        <f>+C166+C167+C168+C169+C171+C172+C173+C174+C175</f>
        <v>0</v>
      </c>
      <c r="D165" s="28">
        <f>+D166+D167+D168+D169+D171+D172+D173+D174+D175</f>
        <v>0</v>
      </c>
      <c r="E165" s="28">
        <f>+E166+E167+E168+E169+E171+E172+E173+E174+E175</f>
        <v>0</v>
      </c>
      <c r="F165" s="1408" t="str">
        <f t="shared" si="4"/>
        <v>-</v>
      </c>
      <c r="G165" s="27">
        <f>+G166+G167+G168+G169+G171+G172+G173+G174+G175</f>
        <v>0</v>
      </c>
      <c r="H165" s="28">
        <f>+H166+H167+H168+H169+H171+H172+H173+H174+H175</f>
        <v>0</v>
      </c>
      <c r="I165" s="29">
        <f>+I166+I167+I168+I169+I171+I172+I173+I174+I175</f>
        <v>0</v>
      </c>
      <c r="K165" s="3">
        <f>+E165-G165-H165-I165</f>
        <v>0</v>
      </c>
    </row>
    <row r="166" spans="1:11">
      <c r="A166" s="84" t="s">
        <v>271</v>
      </c>
      <c r="B166" s="65" t="s">
        <v>163</v>
      </c>
      <c r="C166" s="1051"/>
      <c r="D166" s="10"/>
      <c r="E166" s="10"/>
      <c r="F166" s="1410" t="str">
        <f t="shared" si="4"/>
        <v>-</v>
      </c>
      <c r="G166" s="34"/>
      <c r="H166" s="10"/>
      <c r="I166" s="35"/>
      <c r="K166" s="4">
        <f>+E166-G166-H166-I166</f>
        <v>0</v>
      </c>
    </row>
    <row r="167" spans="1:11">
      <c r="A167" s="85" t="s">
        <v>272</v>
      </c>
      <c r="B167" s="67" t="s">
        <v>164</v>
      </c>
      <c r="C167" s="501"/>
      <c r="D167" s="11"/>
      <c r="E167" s="11"/>
      <c r="F167" s="1412" t="str">
        <f t="shared" si="4"/>
        <v>-</v>
      </c>
      <c r="G167" s="20"/>
      <c r="H167" s="11"/>
      <c r="I167" s="16"/>
      <c r="K167" s="4">
        <f>+E167-G167-H167-I167</f>
        <v>0</v>
      </c>
    </row>
    <row r="168" spans="1:11">
      <c r="A168" s="85" t="s">
        <v>273</v>
      </c>
      <c r="B168" s="67" t="s">
        <v>165</v>
      </c>
      <c r="C168" s="501"/>
      <c r="D168" s="11"/>
      <c r="E168" s="11"/>
      <c r="F168" s="1412" t="str">
        <f t="shared" si="4"/>
        <v>-</v>
      </c>
      <c r="G168" s="20"/>
      <c r="H168" s="11"/>
      <c r="I168" s="16"/>
      <c r="K168" s="4">
        <f>+E168-G168-H168-I168</f>
        <v>0</v>
      </c>
    </row>
    <row r="169" spans="1:11">
      <c r="A169" s="85" t="s">
        <v>274</v>
      </c>
      <c r="B169" s="67" t="s">
        <v>166</v>
      </c>
      <c r="C169" s="501"/>
      <c r="D169" s="11"/>
      <c r="E169" s="11"/>
      <c r="F169" s="1412" t="str">
        <f t="shared" si="4"/>
        <v>-</v>
      </c>
      <c r="G169" s="20"/>
      <c r="H169" s="11"/>
      <c r="I169" s="16"/>
      <c r="K169" s="4">
        <f>+E169-G169-H169-I169</f>
        <v>0</v>
      </c>
    </row>
    <row r="170" spans="1:11" s="13" customFormat="1">
      <c r="A170" s="89" t="s">
        <v>339</v>
      </c>
      <c r="B170" s="818" t="s">
        <v>340</v>
      </c>
      <c r="C170" s="1050"/>
      <c r="D170" s="43"/>
      <c r="E170" s="43"/>
      <c r="F170" s="1411" t="str">
        <f t="shared" si="4"/>
        <v>-</v>
      </c>
      <c r="G170" s="45"/>
      <c r="H170" s="43"/>
      <c r="I170" s="44"/>
      <c r="K170" s="13">
        <f>+E170-G170-H170-I170</f>
        <v>0</v>
      </c>
    </row>
    <row r="171" spans="1:11">
      <c r="A171" s="85" t="s">
        <v>275</v>
      </c>
      <c r="B171" s="67" t="s">
        <v>167</v>
      </c>
      <c r="C171" s="501"/>
      <c r="D171" s="11"/>
      <c r="E171" s="11"/>
      <c r="F171" s="1412" t="str">
        <f t="shared" si="4"/>
        <v>-</v>
      </c>
      <c r="G171" s="20"/>
      <c r="H171" s="11"/>
      <c r="I171" s="16"/>
      <c r="K171" s="4">
        <f>+E171-G171-H171-I171</f>
        <v>0</v>
      </c>
    </row>
    <row r="172" spans="1:11">
      <c r="A172" s="85" t="s">
        <v>276</v>
      </c>
      <c r="B172" s="67" t="s">
        <v>168</v>
      </c>
      <c r="C172" s="501"/>
      <c r="D172" s="11"/>
      <c r="E172" s="11"/>
      <c r="F172" s="1412" t="str">
        <f t="shared" si="4"/>
        <v>-</v>
      </c>
      <c r="G172" s="20"/>
      <c r="H172" s="11"/>
      <c r="I172" s="16"/>
      <c r="K172" s="4">
        <f>+E172-G172-H172-I172</f>
        <v>0</v>
      </c>
    </row>
    <row r="173" spans="1:11">
      <c r="A173" s="85" t="s">
        <v>277</v>
      </c>
      <c r="B173" s="67" t="s">
        <v>169</v>
      </c>
      <c r="C173" s="501"/>
      <c r="D173" s="11"/>
      <c r="E173" s="11"/>
      <c r="F173" s="1412" t="str">
        <f t="shared" ref="F173:F208" si="5">IF(ISERROR(E173/D173),"-",E173/D173)</f>
        <v>-</v>
      </c>
      <c r="G173" s="20"/>
      <c r="H173" s="11"/>
      <c r="I173" s="16"/>
      <c r="K173" s="4">
        <f>+E173-G173-H173-I173</f>
        <v>0</v>
      </c>
    </row>
    <row r="174" spans="1:11">
      <c r="A174" s="85" t="s">
        <v>278</v>
      </c>
      <c r="B174" s="67" t="s">
        <v>997</v>
      </c>
      <c r="C174" s="501"/>
      <c r="D174" s="11"/>
      <c r="E174" s="11"/>
      <c r="F174" s="1412" t="str">
        <f t="shared" si="5"/>
        <v>-</v>
      </c>
      <c r="G174" s="20"/>
      <c r="H174" s="11"/>
      <c r="I174" s="16"/>
      <c r="K174" s="4">
        <f>+E174-G174-H174-I174</f>
        <v>0</v>
      </c>
    </row>
    <row r="175" spans="1:11" ht="12.75" thickBot="1">
      <c r="A175" s="78" t="s">
        <v>995</v>
      </c>
      <c r="B175" s="68" t="s">
        <v>998</v>
      </c>
      <c r="C175" s="500"/>
      <c r="D175" s="22"/>
      <c r="E175" s="22"/>
      <c r="F175" s="1411" t="str">
        <f t="shared" si="5"/>
        <v>-</v>
      </c>
      <c r="G175" s="21"/>
      <c r="H175" s="22"/>
      <c r="I175" s="23"/>
      <c r="K175" s="4">
        <f>+E175-G175-H175-I175</f>
        <v>0</v>
      </c>
    </row>
    <row r="176" spans="1:11" s="3" customFormat="1" ht="12.75" thickBot="1">
      <c r="A176" s="83" t="s">
        <v>10</v>
      </c>
      <c r="B176" s="69" t="s">
        <v>314</v>
      </c>
      <c r="C176" s="1049">
        <f>+C109+C149</f>
        <v>387834</v>
      </c>
      <c r="D176" s="28">
        <f>+D109+D149</f>
        <v>375145</v>
      </c>
      <c r="E176" s="28">
        <f>+E109+E149</f>
        <v>363939</v>
      </c>
      <c r="F176" s="1408">
        <f t="shared" si="5"/>
        <v>0.97012888349838067</v>
      </c>
      <c r="G176" s="27">
        <f>+G109+G149</f>
        <v>363939</v>
      </c>
      <c r="H176" s="28">
        <f>+H109+H149</f>
        <v>0</v>
      </c>
      <c r="I176" s="29">
        <f>+I109+I149</f>
        <v>0</v>
      </c>
      <c r="K176" s="3">
        <f>+E176-G176-H176-I176</f>
        <v>0</v>
      </c>
    </row>
    <row r="177" spans="1:11" s="3" customFormat="1" ht="12.75" thickBot="1">
      <c r="A177" s="83" t="s">
        <v>9</v>
      </c>
      <c r="B177" s="70" t="s">
        <v>315</v>
      </c>
      <c r="C177" s="1049"/>
      <c r="D177" s="28"/>
      <c r="E177" s="28">
        <f>+E178</f>
        <v>0</v>
      </c>
      <c r="F177" s="1408" t="str">
        <f t="shared" si="5"/>
        <v>-</v>
      </c>
      <c r="G177" s="27">
        <f>+G178</f>
        <v>0</v>
      </c>
      <c r="H177" s="28">
        <f>+H178</f>
        <v>0</v>
      </c>
      <c r="I177" s="29">
        <f>+I178</f>
        <v>0</v>
      </c>
      <c r="K177" s="3">
        <f>+E177-G177-H177-I177</f>
        <v>0</v>
      </c>
    </row>
    <row r="178" spans="1:11" s="3" customFormat="1" ht="12.75" thickBot="1">
      <c r="A178" s="83" t="s">
        <v>45</v>
      </c>
      <c r="B178" s="64" t="s">
        <v>1005</v>
      </c>
      <c r="C178" s="1049">
        <f>+C179+C189+C190+C191</f>
        <v>0</v>
      </c>
      <c r="D178" s="28">
        <f>+D179+D189+D190+D191</f>
        <v>0</v>
      </c>
      <c r="E178" s="28">
        <f>+E179+E189+E190+E191</f>
        <v>0</v>
      </c>
      <c r="F178" s="1408" t="str">
        <f t="shared" si="5"/>
        <v>-</v>
      </c>
      <c r="G178" s="27">
        <f>+G179+G189+G190+G191</f>
        <v>0</v>
      </c>
      <c r="H178" s="28">
        <f>+H179+H189+H190+H191</f>
        <v>0</v>
      </c>
      <c r="I178" s="29">
        <f>+I179+I189+I190+I191</f>
        <v>0</v>
      </c>
      <c r="K178" s="3">
        <f>+E178-G178-H178-I178</f>
        <v>0</v>
      </c>
    </row>
    <row r="179" spans="1:11">
      <c r="A179" s="84" t="s">
        <v>75</v>
      </c>
      <c r="B179" s="65" t="s">
        <v>1006</v>
      </c>
      <c r="C179" s="1051">
        <f>+C180+C181+C182+C183+C184+C185+C186+C187+C188</f>
        <v>0</v>
      </c>
      <c r="D179" s="10">
        <f>+D180+D181+D182+D183+D184+D185+D186+D187+D188</f>
        <v>0</v>
      </c>
      <c r="E179" s="47">
        <f>+E180+E181+E182+E183+E184+E185+E186+E187+E188</f>
        <v>0</v>
      </c>
      <c r="F179" s="1410" t="str">
        <f t="shared" si="5"/>
        <v>-</v>
      </c>
      <c r="G179" s="34">
        <f>+G180+G181+G182+G183+G184+G185+G186+G187+G188</f>
        <v>0</v>
      </c>
      <c r="H179" s="10">
        <f>+H180+H181+H182+H183+H184+H185+H186+H187+H188</f>
        <v>0</v>
      </c>
      <c r="I179" s="35">
        <f>+I180+I181+I182+I183+I184+I185+I186+I187+I188</f>
        <v>0</v>
      </c>
      <c r="K179" s="4">
        <f>+E179-G179-H179-I179</f>
        <v>0</v>
      </c>
    </row>
    <row r="180" spans="1:11" s="13" customFormat="1">
      <c r="A180" s="86" t="s">
        <v>205</v>
      </c>
      <c r="B180" s="66" t="s">
        <v>170</v>
      </c>
      <c r="C180" s="502"/>
      <c r="D180" s="12"/>
      <c r="E180" s="12"/>
      <c r="F180" s="1412" t="str">
        <f t="shared" si="5"/>
        <v>-</v>
      </c>
      <c r="G180" s="19"/>
      <c r="H180" s="12"/>
      <c r="I180" s="15"/>
      <c r="K180" s="13">
        <f>+E180-G180-H180-I180</f>
        <v>0</v>
      </c>
    </row>
    <row r="181" spans="1:11" s="13" customFormat="1">
      <c r="A181" s="86" t="s">
        <v>206</v>
      </c>
      <c r="B181" s="66" t="s">
        <v>171</v>
      </c>
      <c r="C181" s="502"/>
      <c r="D181" s="12"/>
      <c r="E181" s="12"/>
      <c r="F181" s="1412" t="str">
        <f t="shared" si="5"/>
        <v>-</v>
      </c>
      <c r="G181" s="19"/>
      <c r="H181" s="12"/>
      <c r="I181" s="15"/>
      <c r="K181" s="13">
        <f>+E181-G181-H181-I181</f>
        <v>0</v>
      </c>
    </row>
    <row r="182" spans="1:11" s="13" customFormat="1">
      <c r="A182" s="86" t="s">
        <v>207</v>
      </c>
      <c r="B182" s="66" t="s">
        <v>172</v>
      </c>
      <c r="C182" s="502"/>
      <c r="D182" s="12"/>
      <c r="E182" s="12"/>
      <c r="F182" s="1412" t="str">
        <f t="shared" si="5"/>
        <v>-</v>
      </c>
      <c r="G182" s="19"/>
      <c r="H182" s="12"/>
      <c r="I182" s="15"/>
      <c r="K182" s="13">
        <f>+E182-G182-H182-I182</f>
        <v>0</v>
      </c>
    </row>
    <row r="183" spans="1:11" s="13" customFormat="1">
      <c r="A183" s="86" t="s">
        <v>208</v>
      </c>
      <c r="B183" s="66" t="s">
        <v>173</v>
      </c>
      <c r="C183" s="502"/>
      <c r="D183" s="12"/>
      <c r="E183" s="12"/>
      <c r="F183" s="1412" t="str">
        <f t="shared" si="5"/>
        <v>-</v>
      </c>
      <c r="G183" s="19"/>
      <c r="H183" s="12"/>
      <c r="I183" s="15"/>
      <c r="K183" s="13">
        <f>+E183-G183-H183-I183</f>
        <v>0</v>
      </c>
    </row>
    <row r="184" spans="1:11" s="13" customFormat="1">
      <c r="A184" s="108" t="s">
        <v>209</v>
      </c>
      <c r="B184" s="109" t="s">
        <v>174</v>
      </c>
      <c r="C184" s="502"/>
      <c r="D184" s="12"/>
      <c r="E184" s="744"/>
      <c r="F184" s="1418" t="str">
        <f t="shared" si="5"/>
        <v>-</v>
      </c>
      <c r="G184" s="743"/>
      <c r="H184" s="744"/>
      <c r="I184" s="745"/>
      <c r="K184" s="117">
        <f>+E184-G184-H184-I184</f>
        <v>0</v>
      </c>
    </row>
    <row r="185" spans="1:11" s="13" customFormat="1">
      <c r="A185" s="86" t="s">
        <v>210</v>
      </c>
      <c r="B185" s="66" t="s">
        <v>179</v>
      </c>
      <c r="C185" s="502"/>
      <c r="D185" s="12"/>
      <c r="E185" s="12"/>
      <c r="F185" s="1412" t="str">
        <f t="shared" si="5"/>
        <v>-</v>
      </c>
      <c r="G185" s="743"/>
      <c r="H185" s="744"/>
      <c r="I185" s="745"/>
      <c r="K185" s="13">
        <f>+E185-G185-H185-I185</f>
        <v>0</v>
      </c>
    </row>
    <row r="186" spans="1:11" s="13" customFormat="1">
      <c r="A186" s="86" t="s">
        <v>211</v>
      </c>
      <c r="B186" s="66" t="s">
        <v>175</v>
      </c>
      <c r="C186" s="502"/>
      <c r="D186" s="12"/>
      <c r="E186" s="12"/>
      <c r="F186" s="1412" t="str">
        <f t="shared" si="5"/>
        <v>-</v>
      </c>
      <c r="G186" s="743"/>
      <c r="H186" s="744"/>
      <c r="I186" s="745"/>
      <c r="K186" s="13">
        <f>+E186-G186-H186-I186</f>
        <v>0</v>
      </c>
    </row>
    <row r="187" spans="1:11" s="13" customFormat="1">
      <c r="A187" s="86" t="s">
        <v>212</v>
      </c>
      <c r="B187" s="66" t="s">
        <v>176</v>
      </c>
      <c r="C187" s="502"/>
      <c r="D187" s="12"/>
      <c r="E187" s="12"/>
      <c r="F187" s="1412" t="str">
        <f t="shared" si="5"/>
        <v>-</v>
      </c>
      <c r="G187" s="743"/>
      <c r="H187" s="744"/>
      <c r="I187" s="745"/>
      <c r="K187" s="13">
        <f>+E187-G187-H187-I187</f>
        <v>0</v>
      </c>
    </row>
    <row r="188" spans="1:11" s="13" customFormat="1">
      <c r="A188" s="86" t="s">
        <v>999</v>
      </c>
      <c r="B188" s="66" t="s">
        <v>1001</v>
      </c>
      <c r="C188" s="502"/>
      <c r="D188" s="12"/>
      <c r="E188" s="12"/>
      <c r="F188" s="1412" t="str">
        <f t="shared" si="5"/>
        <v>-</v>
      </c>
      <c r="G188" s="743"/>
      <c r="H188" s="744"/>
      <c r="I188" s="745"/>
      <c r="K188" s="13">
        <f>+E188-G188-H188-I188</f>
        <v>0</v>
      </c>
    </row>
    <row r="189" spans="1:11">
      <c r="A189" s="85" t="s">
        <v>76</v>
      </c>
      <c r="B189" s="67" t="s">
        <v>177</v>
      </c>
      <c r="C189" s="501"/>
      <c r="D189" s="11"/>
      <c r="E189" s="11"/>
      <c r="F189" s="1412" t="str">
        <f t="shared" si="5"/>
        <v>-</v>
      </c>
      <c r="G189" s="987"/>
      <c r="H189" s="988"/>
      <c r="I189" s="989"/>
      <c r="K189" s="4">
        <f>+E189-G189-H189-I189</f>
        <v>0</v>
      </c>
    </row>
    <row r="190" spans="1:11">
      <c r="A190" s="78" t="s">
        <v>77</v>
      </c>
      <c r="B190" s="68" t="s">
        <v>178</v>
      </c>
      <c r="C190" s="500"/>
      <c r="D190" s="22"/>
      <c r="E190" s="22"/>
      <c r="F190" s="1411" t="str">
        <f t="shared" si="5"/>
        <v>-</v>
      </c>
      <c r="G190" s="990"/>
      <c r="H190" s="991"/>
      <c r="I190" s="992"/>
      <c r="K190" s="4">
        <f>+E190-G190-H190-I190</f>
        <v>0</v>
      </c>
    </row>
    <row r="191" spans="1:11" ht="12.75" thickBot="1">
      <c r="A191" s="78" t="s">
        <v>1004</v>
      </c>
      <c r="B191" s="68" t="s">
        <v>1002</v>
      </c>
      <c r="C191" s="500"/>
      <c r="D191" s="22"/>
      <c r="E191" s="17"/>
      <c r="F191" s="1411" t="str">
        <f t="shared" si="5"/>
        <v>-</v>
      </c>
      <c r="G191" s="990"/>
      <c r="H191" s="991"/>
      <c r="I191" s="992"/>
      <c r="K191" s="4">
        <f>+E191-G191-H191-I191</f>
        <v>0</v>
      </c>
    </row>
    <row r="192" spans="1:11" s="3" customFormat="1" ht="12.75" thickBot="1">
      <c r="A192" s="83" t="s">
        <v>44</v>
      </c>
      <c r="B192" s="69" t="s">
        <v>316</v>
      </c>
      <c r="C192" s="1049">
        <f>+C193</f>
        <v>0</v>
      </c>
      <c r="D192" s="28">
        <f>+D193</f>
        <v>0</v>
      </c>
      <c r="E192" s="28">
        <f>+E193</f>
        <v>0</v>
      </c>
      <c r="F192" s="1408" t="str">
        <f t="shared" si="5"/>
        <v>-</v>
      </c>
      <c r="G192" s="110">
        <f>+G193</f>
        <v>0</v>
      </c>
      <c r="H192" s="111">
        <f>+H193</f>
        <v>0</v>
      </c>
      <c r="I192" s="112">
        <f>+I193</f>
        <v>0</v>
      </c>
      <c r="K192" s="3">
        <f>+E192-G192-H192-I192</f>
        <v>0</v>
      </c>
    </row>
    <row r="193" spans="1:11" s="3" customFormat="1" ht="12.75" thickBot="1">
      <c r="A193" s="83" t="s">
        <v>43</v>
      </c>
      <c r="B193" s="64" t="s">
        <v>1000</v>
      </c>
      <c r="C193" s="1049">
        <f>+C194+C204+C205+C206</f>
        <v>0</v>
      </c>
      <c r="D193" s="28">
        <f>+D194+D204+D205+D206</f>
        <v>0</v>
      </c>
      <c r="E193" s="28">
        <f>+E194+E204+E205+E206</f>
        <v>0</v>
      </c>
      <c r="F193" s="1408" t="str">
        <f t="shared" si="5"/>
        <v>-</v>
      </c>
      <c r="G193" s="27">
        <f>+G194+G204+G205+G206</f>
        <v>0</v>
      </c>
      <c r="H193" s="28">
        <f>+H194+H204+H205+H206</f>
        <v>0</v>
      </c>
      <c r="I193" s="29">
        <f>+I194+I204+I205+I206</f>
        <v>0</v>
      </c>
      <c r="K193" s="3">
        <f>+E193-G193-H193-I193</f>
        <v>0</v>
      </c>
    </row>
    <row r="194" spans="1:11">
      <c r="A194" s="84" t="s">
        <v>78</v>
      </c>
      <c r="B194" s="65" t="s">
        <v>1043</v>
      </c>
      <c r="C194" s="1051">
        <f>+C195+C196+C197+C198+C199+C200+C201+C202+C203</f>
        <v>0</v>
      </c>
      <c r="D194" s="10">
        <f>+D195+D196+D197+D198+D199+D200+D201+D202+D203</f>
        <v>0</v>
      </c>
      <c r="E194" s="47">
        <f>+E195+E196+E197+E198+E199+E200+E201+E202+E203</f>
        <v>0</v>
      </c>
      <c r="F194" s="1410" t="str">
        <f t="shared" si="5"/>
        <v>-</v>
      </c>
      <c r="G194" s="34">
        <f>+G195+G196+G197+G198+G199+G200+G201+G202+G203</f>
        <v>0</v>
      </c>
      <c r="H194" s="10">
        <f>+H195+H196+H197+H198+H199+H200+H201+H202+H203</f>
        <v>0</v>
      </c>
      <c r="I194" s="35">
        <f>+I195+I196+I197+I198+I199+I200+I201+I202+I203</f>
        <v>0</v>
      </c>
      <c r="K194" s="4">
        <f>+E194-G194-H194-I194</f>
        <v>0</v>
      </c>
    </row>
    <row r="195" spans="1:11" s="13" customFormat="1">
      <c r="A195" s="86" t="s">
        <v>213</v>
      </c>
      <c r="B195" s="66" t="s">
        <v>170</v>
      </c>
      <c r="C195" s="502"/>
      <c r="D195" s="12"/>
      <c r="E195" s="12"/>
      <c r="F195" s="1412" t="str">
        <f t="shared" si="5"/>
        <v>-</v>
      </c>
      <c r="G195" s="743"/>
      <c r="H195" s="744"/>
      <c r="I195" s="745"/>
      <c r="K195" s="13">
        <f>+E195-G195-H195-I195</f>
        <v>0</v>
      </c>
    </row>
    <row r="196" spans="1:11" s="13" customFormat="1">
      <c r="A196" s="86" t="s">
        <v>214</v>
      </c>
      <c r="B196" s="66" t="s">
        <v>171</v>
      </c>
      <c r="C196" s="502"/>
      <c r="D196" s="12"/>
      <c r="E196" s="12"/>
      <c r="F196" s="1412" t="str">
        <f t="shared" si="5"/>
        <v>-</v>
      </c>
      <c r="G196" s="743"/>
      <c r="H196" s="744"/>
      <c r="I196" s="745"/>
      <c r="K196" s="13">
        <f>+E196-G196-H196-I196</f>
        <v>0</v>
      </c>
    </row>
    <row r="197" spans="1:11" s="13" customFormat="1">
      <c r="A197" s="86" t="s">
        <v>215</v>
      </c>
      <c r="B197" s="66" t="s">
        <v>172</v>
      </c>
      <c r="C197" s="502"/>
      <c r="D197" s="12"/>
      <c r="E197" s="12"/>
      <c r="F197" s="1412" t="str">
        <f t="shared" si="5"/>
        <v>-</v>
      </c>
      <c r="G197" s="743"/>
      <c r="H197" s="744"/>
      <c r="I197" s="745"/>
      <c r="K197" s="13">
        <f>+E197-G197-H197-I197</f>
        <v>0</v>
      </c>
    </row>
    <row r="198" spans="1:11" s="13" customFormat="1">
      <c r="A198" s="86" t="s">
        <v>216</v>
      </c>
      <c r="B198" s="66" t="s">
        <v>173</v>
      </c>
      <c r="C198" s="502"/>
      <c r="D198" s="12"/>
      <c r="E198" s="12"/>
      <c r="F198" s="1412" t="str">
        <f t="shared" si="5"/>
        <v>-</v>
      </c>
      <c r="G198" s="743"/>
      <c r="H198" s="744"/>
      <c r="I198" s="745"/>
      <c r="K198" s="13">
        <f>+E198-G198-H198-I198</f>
        <v>0</v>
      </c>
    </row>
    <row r="199" spans="1:11" s="13" customFormat="1">
      <c r="A199" s="108" t="s">
        <v>217</v>
      </c>
      <c r="B199" s="109" t="s">
        <v>174</v>
      </c>
      <c r="C199" s="502"/>
      <c r="D199" s="12"/>
      <c r="E199" s="744"/>
      <c r="F199" s="1418" t="str">
        <f t="shared" si="5"/>
        <v>-</v>
      </c>
      <c r="G199" s="743"/>
      <c r="H199" s="744"/>
      <c r="I199" s="745"/>
      <c r="K199" s="117">
        <f>+E199-G199-H199-I199</f>
        <v>0</v>
      </c>
    </row>
    <row r="200" spans="1:11" s="13" customFormat="1">
      <c r="A200" s="86" t="s">
        <v>218</v>
      </c>
      <c r="B200" s="66" t="s">
        <v>179</v>
      </c>
      <c r="C200" s="502"/>
      <c r="D200" s="12"/>
      <c r="E200" s="12"/>
      <c r="F200" s="1412" t="str">
        <f t="shared" si="5"/>
        <v>-</v>
      </c>
      <c r="G200" s="743"/>
      <c r="H200" s="744"/>
      <c r="I200" s="745"/>
      <c r="K200" s="13">
        <f>+E200-G200-H200-I200</f>
        <v>0</v>
      </c>
    </row>
    <row r="201" spans="1:11" s="13" customFormat="1">
      <c r="A201" s="86" t="s">
        <v>219</v>
      </c>
      <c r="B201" s="66" t="s">
        <v>175</v>
      </c>
      <c r="C201" s="502"/>
      <c r="D201" s="12"/>
      <c r="E201" s="12"/>
      <c r="F201" s="1412" t="str">
        <f t="shared" si="5"/>
        <v>-</v>
      </c>
      <c r="G201" s="19"/>
      <c r="H201" s="12"/>
      <c r="I201" s="15"/>
      <c r="K201" s="13">
        <f>+E201-G201-H201-I201</f>
        <v>0</v>
      </c>
    </row>
    <row r="202" spans="1:11" s="13" customFormat="1">
      <c r="A202" s="86" t="s">
        <v>220</v>
      </c>
      <c r="B202" s="66" t="s">
        <v>176</v>
      </c>
      <c r="C202" s="502"/>
      <c r="D202" s="12"/>
      <c r="E202" s="12"/>
      <c r="F202" s="1412" t="str">
        <f t="shared" si="5"/>
        <v>-</v>
      </c>
      <c r="G202" s="19"/>
      <c r="H202" s="12"/>
      <c r="I202" s="15"/>
      <c r="K202" s="13">
        <f>+E202-G202-H202-I202</f>
        <v>0</v>
      </c>
    </row>
    <row r="203" spans="1:11" s="13" customFormat="1">
      <c r="A203" s="86" t="s">
        <v>999</v>
      </c>
      <c r="B203" s="66" t="s">
        <v>1001</v>
      </c>
      <c r="C203" s="502"/>
      <c r="D203" s="12"/>
      <c r="E203" s="12"/>
      <c r="F203" s="1412" t="str">
        <f t="shared" si="5"/>
        <v>-</v>
      </c>
      <c r="G203" s="19"/>
      <c r="H203" s="12"/>
      <c r="I203" s="15"/>
      <c r="K203" s="13">
        <f>+E203-G203-H203-I203</f>
        <v>0</v>
      </c>
    </row>
    <row r="204" spans="1:11">
      <c r="A204" s="85" t="s">
        <v>79</v>
      </c>
      <c r="B204" s="67" t="s">
        <v>177</v>
      </c>
      <c r="C204" s="501"/>
      <c r="D204" s="11"/>
      <c r="E204" s="11"/>
      <c r="F204" s="1412" t="str">
        <f t="shared" si="5"/>
        <v>-</v>
      </c>
      <c r="G204" s="20"/>
      <c r="H204" s="11"/>
      <c r="I204" s="16"/>
      <c r="K204" s="4">
        <f>+E204-G204-H204-I204</f>
        <v>0</v>
      </c>
    </row>
    <row r="205" spans="1:11">
      <c r="A205" s="78" t="s">
        <v>221</v>
      </c>
      <c r="B205" s="68" t="s">
        <v>178</v>
      </c>
      <c r="C205" s="500"/>
      <c r="D205" s="22"/>
      <c r="E205" s="22"/>
      <c r="F205" s="1411" t="str">
        <f t="shared" si="5"/>
        <v>-</v>
      </c>
      <c r="G205" s="21"/>
      <c r="H205" s="22"/>
      <c r="I205" s="23"/>
      <c r="K205" s="4">
        <f>+E205-G205-H205-I205</f>
        <v>0</v>
      </c>
    </row>
    <row r="206" spans="1:11" ht="12.75" thickBot="1">
      <c r="A206" s="78" t="s">
        <v>1003</v>
      </c>
      <c r="B206" s="68" t="s">
        <v>1002</v>
      </c>
      <c r="C206" s="500"/>
      <c r="D206" s="22"/>
      <c r="E206" s="17"/>
      <c r="F206" s="1411" t="str">
        <f t="shared" si="5"/>
        <v>-</v>
      </c>
      <c r="G206" s="21"/>
      <c r="H206" s="22"/>
      <c r="I206" s="23"/>
      <c r="K206" s="4">
        <f>+E206-G206-H206-I206</f>
        <v>0</v>
      </c>
    </row>
    <row r="207" spans="1:11" s="3" customFormat="1" ht="12.75" thickBot="1">
      <c r="A207" s="83" t="s">
        <v>40</v>
      </c>
      <c r="B207" s="69" t="s">
        <v>317</v>
      </c>
      <c r="C207" s="1049">
        <f>+C177+C192</f>
        <v>0</v>
      </c>
      <c r="D207" s="28">
        <f>+D177+D192</f>
        <v>0</v>
      </c>
      <c r="E207" s="28">
        <f>+E177+E192</f>
        <v>0</v>
      </c>
      <c r="F207" s="1408" t="str">
        <f t="shared" si="5"/>
        <v>-</v>
      </c>
      <c r="G207" s="27">
        <f>+G177+G192</f>
        <v>0</v>
      </c>
      <c r="H207" s="28">
        <f>+H177+H192</f>
        <v>0</v>
      </c>
      <c r="I207" s="29">
        <f>+I177+I192</f>
        <v>0</v>
      </c>
      <c r="K207" s="3">
        <f>+E207-G207-H207-I207</f>
        <v>0</v>
      </c>
    </row>
    <row r="208" spans="1:11" s="3" customFormat="1" ht="12.75" thickBot="1">
      <c r="A208" s="87" t="s">
        <v>39</v>
      </c>
      <c r="B208" s="71" t="s">
        <v>335</v>
      </c>
      <c r="C208" s="1056">
        <f>+C176+C207</f>
        <v>387834</v>
      </c>
      <c r="D208" s="25">
        <f>+D176+D207</f>
        <v>375145</v>
      </c>
      <c r="E208" s="25">
        <f>+E176+E207</f>
        <v>363939</v>
      </c>
      <c r="F208" s="1414">
        <f t="shared" si="5"/>
        <v>0.97012888349838067</v>
      </c>
      <c r="G208" s="24">
        <f>+G176+G207</f>
        <v>363939</v>
      </c>
      <c r="H208" s="25">
        <f>+H176+H207</f>
        <v>0</v>
      </c>
      <c r="I208" s="26">
        <f>+I176+I207</f>
        <v>0</v>
      </c>
      <c r="K208" s="3">
        <f>+E208-G208-H208-I208</f>
        <v>0</v>
      </c>
    </row>
    <row r="211" spans="1:31" s="1" customFormat="1" ht="15.75">
      <c r="A211" s="1217" t="s">
        <v>89</v>
      </c>
      <c r="B211" s="1217"/>
      <c r="C211" s="1217"/>
      <c r="D211" s="1217"/>
      <c r="E211" s="1217"/>
      <c r="F211" s="1217"/>
      <c r="G211" s="1217"/>
      <c r="H211" s="1217"/>
      <c r="I211" s="1217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</row>
    <row r="212" spans="1:31" s="36" customFormat="1" ht="12.75" thickBot="1">
      <c r="A212" s="38" t="s">
        <v>282</v>
      </c>
      <c r="F212" s="1397"/>
      <c r="I212" s="37" t="s">
        <v>281</v>
      </c>
    </row>
    <row r="213" spans="1:31" s="3" customFormat="1" ht="12.75" thickBot="1">
      <c r="A213" s="83" t="s">
        <v>4</v>
      </c>
      <c r="B213" s="69" t="s">
        <v>318</v>
      </c>
      <c r="C213" s="1049">
        <f>+C214+C215</f>
        <v>-367021</v>
      </c>
      <c r="D213" s="28">
        <f>+D214+D215</f>
        <v>-355741</v>
      </c>
      <c r="E213" s="28">
        <f>+E214+E215</f>
        <v>-344571</v>
      </c>
      <c r="F213" s="1408">
        <f>IF(ISERROR(E213/D213),"-",E213/D213)</f>
        <v>0.96860075167045689</v>
      </c>
      <c r="G213" s="27">
        <f>+G214+G215</f>
        <v>-344571</v>
      </c>
      <c r="H213" s="28">
        <f>+H214+H215</f>
        <v>0</v>
      </c>
      <c r="I213" s="29">
        <f>+I214+I215</f>
        <v>0</v>
      </c>
      <c r="K213" s="3">
        <f>+E213-G213-H213-I213</f>
        <v>0</v>
      </c>
    </row>
    <row r="214" spans="1:31">
      <c r="A214" s="84" t="s">
        <v>81</v>
      </c>
      <c r="B214" s="72" t="s">
        <v>319</v>
      </c>
      <c r="C214" s="1051">
        <f>+C10-C109</f>
        <v>-366021</v>
      </c>
      <c r="D214" s="10">
        <f>+D10-D109</f>
        <v>-355422</v>
      </c>
      <c r="E214" s="10">
        <f>+E10-E109</f>
        <v>-344252</v>
      </c>
      <c r="F214" s="1410">
        <f>IF(ISERROR(E214/D214),"-",E214/D214)</f>
        <v>0.96857257007163311</v>
      </c>
      <c r="G214" s="34">
        <f>+G10-G109</f>
        <v>-344252</v>
      </c>
      <c r="H214" s="10">
        <f>+H10-H109</f>
        <v>0</v>
      </c>
      <c r="I214" s="35">
        <f>+I10-I109</f>
        <v>0</v>
      </c>
      <c r="K214" s="4">
        <f>+E214-G214-H214-I214</f>
        <v>0</v>
      </c>
    </row>
    <row r="215" spans="1:31" ht="12.75" thickBot="1">
      <c r="A215" s="88" t="s">
        <v>82</v>
      </c>
      <c r="B215" s="73" t="s">
        <v>320</v>
      </c>
      <c r="C215" s="503">
        <f>+C50-C149</f>
        <v>-1000</v>
      </c>
      <c r="D215" s="17">
        <f>+D50-D149</f>
        <v>-319</v>
      </c>
      <c r="E215" s="17">
        <f>+E50-E149</f>
        <v>-319</v>
      </c>
      <c r="F215" s="1416">
        <f>IF(ISERROR(E215/D215),"-",E215/D215)</f>
        <v>1</v>
      </c>
      <c r="G215" s="40">
        <f>+G50-G149</f>
        <v>-319</v>
      </c>
      <c r="H215" s="17">
        <f>+H50-H149</f>
        <v>0</v>
      </c>
      <c r="I215" s="39">
        <f>+I50-I149</f>
        <v>0</v>
      </c>
      <c r="K215" s="4">
        <f>+E215-G215-H215-I215</f>
        <v>0</v>
      </c>
    </row>
    <row r="218" spans="1:31" s="1" customFormat="1" ht="15.75">
      <c r="A218" s="1217" t="s">
        <v>90</v>
      </c>
      <c r="B218" s="1217"/>
      <c r="C218" s="1217"/>
      <c r="D218" s="1217"/>
      <c r="E218" s="1217"/>
      <c r="F218" s="1217"/>
      <c r="G218" s="1217"/>
      <c r="H218" s="1217"/>
      <c r="I218" s="1217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</row>
    <row r="219" spans="1:31" s="36" customFormat="1" ht="12.75" thickBot="1">
      <c r="A219" s="38" t="s">
        <v>283</v>
      </c>
      <c r="F219" s="1397"/>
      <c r="I219" s="37" t="s">
        <v>281</v>
      </c>
    </row>
    <row r="220" spans="1:31" s="3" customFormat="1" ht="12.75" thickBot="1">
      <c r="A220" s="83" t="s">
        <v>4</v>
      </c>
      <c r="B220" s="69" t="s">
        <v>321</v>
      </c>
      <c r="C220" s="1049">
        <f>+C221+C228</f>
        <v>367021</v>
      </c>
      <c r="D220" s="28">
        <f>+D221+D228</f>
        <v>355741</v>
      </c>
      <c r="E220" s="28">
        <f>+E221+E228</f>
        <v>344777</v>
      </c>
      <c r="F220" s="1408">
        <f t="shared" ref="F220:F234" si="6">IF(ISERROR(E220/D220),"-",E220/D220)</f>
        <v>0.96917982464770713</v>
      </c>
      <c r="G220" s="27">
        <f>+G221+G228</f>
        <v>344777</v>
      </c>
      <c r="H220" s="28">
        <f>+H221+H228</f>
        <v>0</v>
      </c>
      <c r="I220" s="29">
        <f>+I221+I228</f>
        <v>0</v>
      </c>
      <c r="K220" s="3">
        <f>+E220-G220-H220-I220</f>
        <v>0</v>
      </c>
    </row>
    <row r="221" spans="1:31" s="3" customFormat="1" ht="12.75" thickBot="1">
      <c r="A221" s="83" t="s">
        <v>5</v>
      </c>
      <c r="B221" s="64" t="s">
        <v>322</v>
      </c>
      <c r="C221" s="1049">
        <f>+C222-C225</f>
        <v>366021</v>
      </c>
      <c r="D221" s="28">
        <f>+D222-D225</f>
        <v>355422</v>
      </c>
      <c r="E221" s="28">
        <f>+E222-E225</f>
        <v>344458</v>
      </c>
      <c r="F221" s="1408">
        <f t="shared" si="6"/>
        <v>0.96915216278114469</v>
      </c>
      <c r="G221" s="27">
        <f>+G222-G225</f>
        <v>344458</v>
      </c>
      <c r="H221" s="28">
        <f>+H222-H225</f>
        <v>0</v>
      </c>
      <c r="I221" s="29">
        <f>+I222-I225</f>
        <v>0</v>
      </c>
      <c r="K221" s="3">
        <f>+E221-G221-H221-I221</f>
        <v>0</v>
      </c>
    </row>
    <row r="222" spans="1:31">
      <c r="A222" s="84" t="s">
        <v>54</v>
      </c>
      <c r="B222" s="65" t="s">
        <v>323</v>
      </c>
      <c r="C222" s="1051">
        <f>+C223+C224</f>
        <v>366021</v>
      </c>
      <c r="D222" s="10">
        <f>+D223+D224</f>
        <v>355422</v>
      </c>
      <c r="E222" s="10">
        <f>+E223+E224</f>
        <v>344458</v>
      </c>
      <c r="F222" s="1410">
        <f t="shared" si="6"/>
        <v>0.96915216278114469</v>
      </c>
      <c r="G222" s="34">
        <f>+G223+G224</f>
        <v>344458</v>
      </c>
      <c r="H222" s="10">
        <f>+H223+H224</f>
        <v>0</v>
      </c>
      <c r="I222" s="35">
        <f>+I223+I224</f>
        <v>0</v>
      </c>
      <c r="K222" s="4">
        <f>+E222-G222-H222-I222</f>
        <v>0</v>
      </c>
    </row>
    <row r="223" spans="1:31" s="13" customFormat="1">
      <c r="A223" s="86" t="s">
        <v>190</v>
      </c>
      <c r="B223" s="66" t="s">
        <v>285</v>
      </c>
      <c r="C223" s="502">
        <f>+C76+C80</f>
        <v>0</v>
      </c>
      <c r="D223" s="12">
        <f>+D76+D80</f>
        <v>73</v>
      </c>
      <c r="E223" s="12">
        <f>+E76+E80</f>
        <v>73</v>
      </c>
      <c r="F223" s="1412">
        <f t="shared" si="6"/>
        <v>1</v>
      </c>
      <c r="G223" s="19">
        <f>+G76+G80</f>
        <v>73</v>
      </c>
      <c r="H223" s="12">
        <f>+H76+H80</f>
        <v>0</v>
      </c>
      <c r="I223" s="15">
        <f>+I76+I80</f>
        <v>0</v>
      </c>
      <c r="K223" s="13">
        <f>+E223-G223-H223-I223</f>
        <v>0</v>
      </c>
    </row>
    <row r="224" spans="1:31" s="13" customFormat="1">
      <c r="A224" s="86" t="s">
        <v>191</v>
      </c>
      <c r="B224" s="66" t="s">
        <v>286</v>
      </c>
      <c r="C224" s="502">
        <f>+C74+C75+C77+C78+C79+C81</f>
        <v>366021</v>
      </c>
      <c r="D224" s="12">
        <f>+D74+D75+D77+D78+D79+D81</f>
        <v>355349</v>
      </c>
      <c r="E224" s="12">
        <f>+E74+E75+E77+E78+E79+E81</f>
        <v>344385</v>
      </c>
      <c r="F224" s="1412">
        <f t="shared" si="6"/>
        <v>0.96914582565309038</v>
      </c>
      <c r="G224" s="19">
        <f>+G74+G75+G77+G78+G79+G81</f>
        <v>344385</v>
      </c>
      <c r="H224" s="12">
        <f>+H74+H75+H77+H78+H79+H81</f>
        <v>0</v>
      </c>
      <c r="I224" s="15">
        <f>+I74+I75+I77+I78+I79+I81</f>
        <v>0</v>
      </c>
      <c r="K224" s="13">
        <f>+E224-G224-H224-I224</f>
        <v>0</v>
      </c>
    </row>
    <row r="225" spans="1:31">
      <c r="A225" s="85" t="s">
        <v>55</v>
      </c>
      <c r="B225" s="67" t="s">
        <v>324</v>
      </c>
      <c r="C225" s="501">
        <f>+C227</f>
        <v>0</v>
      </c>
      <c r="D225" s="11">
        <f>+D227</f>
        <v>0</v>
      </c>
      <c r="E225" s="11">
        <f>+E227</f>
        <v>0</v>
      </c>
      <c r="F225" s="1412" t="str">
        <f t="shared" si="6"/>
        <v>-</v>
      </c>
      <c r="G225" s="20">
        <f>+G227</f>
        <v>0</v>
      </c>
      <c r="H225" s="11">
        <f>+H227</f>
        <v>0</v>
      </c>
      <c r="I225" s="16">
        <f>+I227</f>
        <v>0</v>
      </c>
      <c r="K225" s="4">
        <f>+E225-G225-H225-I225</f>
        <v>0</v>
      </c>
    </row>
    <row r="226" spans="1:31" s="13" customFormat="1">
      <c r="A226" s="86" t="s">
        <v>56</v>
      </c>
      <c r="B226" s="66" t="s">
        <v>287</v>
      </c>
      <c r="C226" s="502">
        <f>+C185</f>
        <v>0</v>
      </c>
      <c r="D226" s="12">
        <f>+D185</f>
        <v>0</v>
      </c>
      <c r="E226" s="12">
        <f>+E185</f>
        <v>0</v>
      </c>
      <c r="F226" s="1412" t="str">
        <f t="shared" si="6"/>
        <v>-</v>
      </c>
      <c r="G226" s="19">
        <f>+G185</f>
        <v>0</v>
      </c>
      <c r="H226" s="12">
        <f>+H185</f>
        <v>0</v>
      </c>
      <c r="I226" s="15">
        <f>+I185</f>
        <v>0</v>
      </c>
      <c r="K226" s="13">
        <f>+E226-G226-H226-I226</f>
        <v>0</v>
      </c>
    </row>
    <row r="227" spans="1:31" s="13" customFormat="1" ht="12.75" thickBot="1">
      <c r="A227" s="89" t="s">
        <v>57</v>
      </c>
      <c r="B227" s="74" t="s">
        <v>288</v>
      </c>
      <c r="C227" s="1050">
        <f>+C180+C181+C182+C183+C184+C186+C187</f>
        <v>0</v>
      </c>
      <c r="D227" s="43">
        <f>+D180+D181+D182+D183+D184+D186+D187</f>
        <v>0</v>
      </c>
      <c r="E227" s="43">
        <f>+E180+E181+E182+E183+E184+E186+E187</f>
        <v>0</v>
      </c>
      <c r="F227" s="1411" t="str">
        <f t="shared" si="6"/>
        <v>-</v>
      </c>
      <c r="G227" s="45">
        <f>+G180+G181+G182+G183+G184+G186+G187</f>
        <v>0</v>
      </c>
      <c r="H227" s="43">
        <f>+H180+H181+H182+H183+H184+H186+H187</f>
        <v>0</v>
      </c>
      <c r="I227" s="44">
        <f>+I180+I181+I182+I183+I184+I186+I187</f>
        <v>0</v>
      </c>
      <c r="K227" s="13">
        <f>+E227-G227-H227-I227</f>
        <v>0</v>
      </c>
    </row>
    <row r="228" spans="1:31" s="3" customFormat="1" ht="12.75" thickBot="1">
      <c r="A228" s="83" t="s">
        <v>6</v>
      </c>
      <c r="B228" s="64" t="s">
        <v>325</v>
      </c>
      <c r="C228" s="1049">
        <f>+C229-C232</f>
        <v>1000</v>
      </c>
      <c r="D228" s="28">
        <f>+D229-D232</f>
        <v>319</v>
      </c>
      <c r="E228" s="28">
        <f>+E229-E232</f>
        <v>319</v>
      </c>
      <c r="F228" s="1408">
        <f t="shared" si="6"/>
        <v>1</v>
      </c>
      <c r="G228" s="27">
        <f>+G229-G232</f>
        <v>319</v>
      </c>
      <c r="H228" s="28">
        <f>+H229-H232</f>
        <v>0</v>
      </c>
      <c r="I228" s="29">
        <f>+I229-I232</f>
        <v>0</v>
      </c>
      <c r="K228" s="3">
        <f>+E228-G228-H228-I228</f>
        <v>0</v>
      </c>
    </row>
    <row r="229" spans="1:31">
      <c r="A229" s="84" t="s">
        <v>58</v>
      </c>
      <c r="B229" s="65" t="s">
        <v>326</v>
      </c>
      <c r="C229" s="1051">
        <f>+C230+C231</f>
        <v>1000</v>
      </c>
      <c r="D229" s="10">
        <f>+D230+D231</f>
        <v>319</v>
      </c>
      <c r="E229" s="10">
        <f>+E230+E231</f>
        <v>319</v>
      </c>
      <c r="F229" s="1410">
        <f t="shared" si="6"/>
        <v>1</v>
      </c>
      <c r="G229" s="34">
        <f>+G230+G231</f>
        <v>319</v>
      </c>
      <c r="H229" s="10">
        <f>+H230+H231</f>
        <v>0</v>
      </c>
      <c r="I229" s="35">
        <f>+I230+I231</f>
        <v>0</v>
      </c>
      <c r="K229" s="4">
        <f>+E229-G229-H229-I229</f>
        <v>0</v>
      </c>
    </row>
    <row r="230" spans="1:31" s="13" customFormat="1">
      <c r="A230" s="86" t="s">
        <v>293</v>
      </c>
      <c r="B230" s="66" t="s">
        <v>291</v>
      </c>
      <c r="C230" s="502">
        <f>+C91+C95</f>
        <v>0</v>
      </c>
      <c r="D230" s="12">
        <f>+D91+D95</f>
        <v>0</v>
      </c>
      <c r="E230" s="12">
        <f>+E91+E95</f>
        <v>0</v>
      </c>
      <c r="F230" s="1412" t="str">
        <f t="shared" si="6"/>
        <v>-</v>
      </c>
      <c r="G230" s="19">
        <f>+G91+G95</f>
        <v>0</v>
      </c>
      <c r="H230" s="12">
        <f>+H91+H95</f>
        <v>0</v>
      </c>
      <c r="I230" s="15">
        <f>+I91+I95</f>
        <v>0</v>
      </c>
      <c r="K230" s="13">
        <f>+E230-G230-H230-I230</f>
        <v>0</v>
      </c>
    </row>
    <row r="231" spans="1:31" s="13" customFormat="1">
      <c r="A231" s="86" t="s">
        <v>294</v>
      </c>
      <c r="B231" s="66" t="s">
        <v>292</v>
      </c>
      <c r="C231" s="502">
        <f>+C89+C90+C92+C93+C94+C96</f>
        <v>1000</v>
      </c>
      <c r="D231" s="12">
        <f>+D89+D90+D92+D93+D94+D96</f>
        <v>319</v>
      </c>
      <c r="E231" s="12">
        <f>+E89+E90+E92+E93+E94+E96</f>
        <v>319</v>
      </c>
      <c r="F231" s="1412">
        <f t="shared" si="6"/>
        <v>1</v>
      </c>
      <c r="G231" s="19">
        <f>+G89+G90+G92+G93+G94+G96</f>
        <v>319</v>
      </c>
      <c r="H231" s="12">
        <f>+H89+H90+H92+H93+H94+H96</f>
        <v>0</v>
      </c>
      <c r="I231" s="15">
        <f>+I89+I90+I92+I93+I94+I96</f>
        <v>0</v>
      </c>
      <c r="K231" s="13">
        <f>+E231-G231-H231-I231</f>
        <v>0</v>
      </c>
    </row>
    <row r="232" spans="1:31">
      <c r="A232" s="85" t="s">
        <v>59</v>
      </c>
      <c r="B232" s="67" t="s">
        <v>327</v>
      </c>
      <c r="C232" s="501">
        <f>+C233+C234</f>
        <v>0</v>
      </c>
      <c r="D232" s="11">
        <f>+D233+D234</f>
        <v>0</v>
      </c>
      <c r="E232" s="11">
        <f>+E233+E234</f>
        <v>0</v>
      </c>
      <c r="F232" s="1412" t="str">
        <f t="shared" si="6"/>
        <v>-</v>
      </c>
      <c r="G232" s="20">
        <f>+G233+G234</f>
        <v>0</v>
      </c>
      <c r="H232" s="11">
        <f>+H233+H234</f>
        <v>0</v>
      </c>
      <c r="I232" s="16">
        <f>+I233+I234</f>
        <v>0</v>
      </c>
      <c r="K232" s="4">
        <f>+E232-G232-H232-I232</f>
        <v>0</v>
      </c>
    </row>
    <row r="233" spans="1:31" s="13" customFormat="1">
      <c r="A233" s="86" t="s">
        <v>295</v>
      </c>
      <c r="B233" s="66" t="s">
        <v>289</v>
      </c>
      <c r="C233" s="502">
        <f>+C200</f>
        <v>0</v>
      </c>
      <c r="D233" s="12">
        <f>+D200</f>
        <v>0</v>
      </c>
      <c r="E233" s="12">
        <f>+E200</f>
        <v>0</v>
      </c>
      <c r="F233" s="1412" t="str">
        <f t="shared" si="6"/>
        <v>-</v>
      </c>
      <c r="G233" s="19">
        <f>+G200</f>
        <v>0</v>
      </c>
      <c r="H233" s="12">
        <f>+H200</f>
        <v>0</v>
      </c>
      <c r="I233" s="15">
        <f>+I200</f>
        <v>0</v>
      </c>
      <c r="K233" s="13">
        <f>+E233-G233-H233-I233</f>
        <v>0</v>
      </c>
    </row>
    <row r="234" spans="1:31" s="13" customFormat="1" ht="12.75" thickBot="1">
      <c r="A234" s="90" t="s">
        <v>296</v>
      </c>
      <c r="B234" s="75" t="s">
        <v>290</v>
      </c>
      <c r="C234" s="1059">
        <f>+C195+C196+C197+C198+C199+C201+C202</f>
        <v>0</v>
      </c>
      <c r="D234" s="41">
        <f>+D195+D196+D197+D198+D199+D201+D202</f>
        <v>0</v>
      </c>
      <c r="E234" s="41">
        <f>+E195+E196+E197+E198+E199+E201+E202</f>
        <v>0</v>
      </c>
      <c r="F234" s="1416" t="str">
        <f t="shared" si="6"/>
        <v>-</v>
      </c>
      <c r="G234" s="46">
        <f>+G195+G196+G197+G198+G199+G201+G202</f>
        <v>0</v>
      </c>
      <c r="H234" s="41">
        <f>+H195+H196+H197+H198+H199+H201+H202</f>
        <v>0</v>
      </c>
      <c r="I234" s="42">
        <f>+I195+I196+I197+I198+I199+I201+I202</f>
        <v>0</v>
      </c>
      <c r="K234" s="13">
        <f>+E234-G234-H234-I234</f>
        <v>0</v>
      </c>
    </row>
    <row r="237" spans="1:31" s="1" customFormat="1" ht="15.75">
      <c r="A237" s="1217" t="s">
        <v>1323</v>
      </c>
      <c r="B237" s="1217"/>
      <c r="C237" s="1217"/>
      <c r="D237" s="1217"/>
      <c r="E237" s="1217"/>
      <c r="F237" s="1217"/>
      <c r="G237" s="1217"/>
      <c r="H237" s="1217"/>
      <c r="I237" s="1217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</row>
    <row r="238" spans="1:31" s="36" customFormat="1" ht="12.75" thickBot="1">
      <c r="A238" s="38" t="s">
        <v>284</v>
      </c>
      <c r="F238" s="1397"/>
      <c r="I238" s="37"/>
    </row>
    <row r="239" spans="1:31" s="3" customFormat="1">
      <c r="A239" s="91" t="s">
        <v>4</v>
      </c>
      <c r="B239" s="76" t="s">
        <v>91</v>
      </c>
      <c r="C239" s="1060">
        <v>69</v>
      </c>
      <c r="D239" s="55">
        <v>69</v>
      </c>
      <c r="E239" s="55">
        <v>67</v>
      </c>
      <c r="F239" s="1409">
        <f>IF(ISERROR(E239/D239),"-",E239/D239)</f>
        <v>0.97101449275362317</v>
      </c>
      <c r="G239" s="54">
        <v>67</v>
      </c>
      <c r="H239" s="55"/>
      <c r="I239" s="56"/>
      <c r="K239" s="3">
        <f>+E239-G239-H239-I239</f>
        <v>0</v>
      </c>
    </row>
    <row r="240" spans="1:31" s="13" customFormat="1">
      <c r="A240" s="89" t="s">
        <v>351</v>
      </c>
      <c r="B240" s="99" t="s">
        <v>352</v>
      </c>
      <c r="C240" s="1061"/>
      <c r="D240" s="101"/>
      <c r="E240" s="101"/>
      <c r="F240" s="1411" t="str">
        <f>IF(ISERROR(E240/D240),"-",E240/D240)</f>
        <v>-</v>
      </c>
      <c r="G240" s="100"/>
      <c r="H240" s="101"/>
      <c r="I240" s="102"/>
      <c r="K240" s="13">
        <f>+E240-G240-H240-I240</f>
        <v>0</v>
      </c>
    </row>
    <row r="241" spans="1:11" s="3" customFormat="1" ht="12.75" thickBot="1">
      <c r="A241" s="92" t="s">
        <v>5</v>
      </c>
      <c r="B241" s="77" t="s">
        <v>92</v>
      </c>
      <c r="C241" s="1062"/>
      <c r="D241" s="58"/>
      <c r="E241" s="58"/>
      <c r="F241" s="1417" t="str">
        <f>IF(ISERROR(E241/D241),"-",E241/D241)</f>
        <v>-</v>
      </c>
      <c r="G241" s="57"/>
      <c r="H241" s="58"/>
      <c r="I241" s="59"/>
      <c r="K241" s="3">
        <f>+E241-G241-H241-I241</f>
        <v>0</v>
      </c>
    </row>
    <row r="242" spans="1:11" s="3" customFormat="1" ht="12.75" thickBot="1">
      <c r="A242" s="83" t="s">
        <v>6</v>
      </c>
      <c r="B242" s="69" t="s">
        <v>330</v>
      </c>
      <c r="C242" s="1063">
        <f>+C239+C241</f>
        <v>69</v>
      </c>
      <c r="D242" s="61">
        <f>+D239+D241</f>
        <v>69</v>
      </c>
      <c r="E242" s="61">
        <f>+E239+E241</f>
        <v>67</v>
      </c>
      <c r="F242" s="1408">
        <f>IF(ISERROR(E242/D242),"-",E242/D242)</f>
        <v>0.97101449275362317</v>
      </c>
      <c r="G242" s="60">
        <f>+G239+G241</f>
        <v>67</v>
      </c>
      <c r="H242" s="61">
        <f>+H239+H241</f>
        <v>0</v>
      </c>
      <c r="I242" s="62">
        <f>+I239+I241</f>
        <v>0</v>
      </c>
      <c r="K242" s="3">
        <f>+E242-G242-H242-I242</f>
        <v>0</v>
      </c>
    </row>
  </sheetData>
  <mergeCells count="9">
    <mergeCell ref="A211:I211"/>
    <mergeCell ref="A218:I218"/>
    <mergeCell ref="A237:I237"/>
    <mergeCell ref="A3:I3"/>
    <mergeCell ref="A4:I4"/>
    <mergeCell ref="A6:I6"/>
    <mergeCell ref="C9:I9"/>
    <mergeCell ref="A105:I105"/>
    <mergeCell ref="C108:I108"/>
  </mergeCells>
  <conditionalFormatting sqref="F26:F31 F89:F100 F65:F69 F59:F63 F52:F57 F45:F49 F33:F43 F13:F24 F195:F206 F180:F191 F166:F175 F151:F158 F147:F148 F133:F145 F124:F131 F117:F122 F111:F115 F160:F164 F74:F85">
    <cfRule type="cellIs" dxfId="11" priority="2" stopIfTrue="1" operator="equal">
      <formula>0</formula>
    </cfRule>
  </conditionalFormatting>
  <conditionalFormatting sqref="F65:F69 F59:F63 F52:F57 F45:F49 F33:F43 F13:F24 F195:F206 F180:F191 F166:F175 F160:F164 F151:F158 F147:F148 F133:F145 F124:F131 F117:F122 F111:F115 F26:F31 F89:F100 F74:F85">
    <cfRule type="cellIs" dxfId="1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44" fitToHeight="2" orientation="portrait" r:id="rId1"/>
  <headerFooter>
    <oddHeader>&amp;C 1.3. melléklet - &amp;P. oldal</oddHeader>
  </headerFooter>
  <rowBreaks count="1" manualBreakCount="1">
    <brk id="104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Munka12">
    <tabColor rgb="FF00B0F0"/>
  </sheetPr>
  <dimension ref="A1:AE242"/>
  <sheetViews>
    <sheetView zoomScaleNormal="100" workbookViewId="0"/>
  </sheetViews>
  <sheetFormatPr defaultRowHeight="12"/>
  <cols>
    <col min="1" max="1" width="6.5703125" style="4" customWidth="1"/>
    <col min="2" max="2" width="109.5703125" style="4" bestFit="1" customWidth="1"/>
    <col min="3" max="5" width="9.28515625" style="4" customWidth="1"/>
    <col min="6" max="6" width="9.28515625" style="1415" customWidth="1"/>
    <col min="7" max="9" width="9.28515625" style="4" customWidth="1"/>
    <col min="10" max="10" width="9.140625" style="4"/>
    <col min="11" max="11" width="9.140625" style="4" hidden="1" customWidth="1"/>
    <col min="12" max="16384" width="9.140625" style="4"/>
  </cols>
  <sheetData>
    <row r="1" spans="1:11" s="50" customFormat="1" ht="15.75">
      <c r="F1" s="1396"/>
      <c r="I1" s="51" t="s">
        <v>358</v>
      </c>
    </row>
    <row r="2" spans="1:11" s="50" customFormat="1" ht="15.75">
      <c r="F2" s="1396"/>
    </row>
    <row r="3" spans="1:11" s="52" customFormat="1" ht="15.75">
      <c r="A3" s="1216" t="s">
        <v>359</v>
      </c>
      <c r="B3" s="1216"/>
      <c r="C3" s="1216"/>
      <c r="D3" s="1216"/>
      <c r="E3" s="1216"/>
      <c r="F3" s="1216"/>
      <c r="G3" s="1216"/>
      <c r="H3" s="1216"/>
      <c r="I3" s="1216"/>
    </row>
    <row r="4" spans="1:11" s="52" customFormat="1" ht="15.75">
      <c r="A4" s="1216" t="s">
        <v>1324</v>
      </c>
      <c r="B4" s="1216"/>
      <c r="C4" s="1216"/>
      <c r="D4" s="1216"/>
      <c r="E4" s="1216"/>
      <c r="F4" s="1216"/>
      <c r="G4" s="1216"/>
      <c r="H4" s="1216"/>
      <c r="I4" s="1216"/>
    </row>
    <row r="5" spans="1:11" s="50" customFormat="1" ht="15.75">
      <c r="F5" s="1396"/>
    </row>
    <row r="6" spans="1:11" s="52" customFormat="1" ht="15.75">
      <c r="A6" s="1216" t="s">
        <v>48</v>
      </c>
      <c r="B6" s="1216"/>
      <c r="C6" s="1216"/>
      <c r="D6" s="1216"/>
      <c r="E6" s="1216"/>
      <c r="F6" s="1216"/>
      <c r="G6" s="1216"/>
      <c r="H6" s="1216"/>
      <c r="I6" s="1216"/>
    </row>
    <row r="7" spans="1:11" s="36" customFormat="1" ht="12.75" thickBot="1">
      <c r="A7" s="38" t="s">
        <v>280</v>
      </c>
      <c r="F7" s="1397"/>
      <c r="I7" s="37" t="s">
        <v>281</v>
      </c>
    </row>
    <row r="8" spans="1:11" s="8" customFormat="1" ht="54" customHeight="1" thickBot="1">
      <c r="A8" s="79" t="s">
        <v>17</v>
      </c>
      <c r="B8" s="93" t="s">
        <v>328</v>
      </c>
      <c r="C8" s="1046" t="s">
        <v>1474</v>
      </c>
      <c r="D8" s="1047" t="s">
        <v>1475</v>
      </c>
      <c r="E8" s="6" t="s">
        <v>1529</v>
      </c>
      <c r="F8" s="1398" t="s">
        <v>1527</v>
      </c>
      <c r="G8" s="5" t="s">
        <v>51</v>
      </c>
      <c r="H8" s="6" t="s">
        <v>52</v>
      </c>
      <c r="I8" s="7" t="s">
        <v>53</v>
      </c>
    </row>
    <row r="9" spans="1:11" s="3" customFormat="1" ht="12.75" thickBot="1">
      <c r="A9" s="83" t="s">
        <v>253</v>
      </c>
      <c r="B9" s="94" t="s">
        <v>254</v>
      </c>
      <c r="C9" s="1218" t="s">
        <v>255</v>
      </c>
      <c r="D9" s="1218"/>
      <c r="E9" s="1218"/>
      <c r="F9" s="1218"/>
      <c r="G9" s="1219"/>
      <c r="H9" s="1219"/>
      <c r="I9" s="1220"/>
    </row>
    <row r="10" spans="1:11" s="3" customFormat="1" ht="12.75" thickBot="1">
      <c r="A10" s="95" t="s">
        <v>4</v>
      </c>
      <c r="B10" s="63" t="s">
        <v>297</v>
      </c>
      <c r="C10" s="1048">
        <f>+C11+C25+C32+C44</f>
        <v>1450</v>
      </c>
      <c r="D10" s="134">
        <f>+D11+D25+D32+D44</f>
        <v>901</v>
      </c>
      <c r="E10" s="134">
        <f>+E11+E25+E32+E44</f>
        <v>901</v>
      </c>
      <c r="F10" s="1399">
        <f t="shared" ref="F10:F73" si="0">IF(ISERROR(E10/D10),"-",E10/D10)</f>
        <v>1</v>
      </c>
      <c r="G10" s="31">
        <f>+G11+G25+G32+G44</f>
        <v>901</v>
      </c>
      <c r="H10" s="32">
        <f>+H11+H25+H32+H44</f>
        <v>0</v>
      </c>
      <c r="I10" s="33">
        <f>+I11+I25+I32+I44</f>
        <v>0</v>
      </c>
      <c r="K10" s="3">
        <f>+E10-G10-H10-I10</f>
        <v>0</v>
      </c>
    </row>
    <row r="11" spans="1:11" s="3" customFormat="1" ht="12.75" customHeight="1" thickBot="1">
      <c r="A11" s="83" t="s">
        <v>5</v>
      </c>
      <c r="B11" s="64" t="s">
        <v>298</v>
      </c>
      <c r="C11" s="1049">
        <f>+C12+C19+C20+C21+C22+C23</f>
        <v>0</v>
      </c>
      <c r="D11" s="28">
        <f>+D12+D19+D20+D21+D22+D23</f>
        <v>0</v>
      </c>
      <c r="E11" s="28">
        <f>+E12+E19+E20+E21+E22+E23</f>
        <v>0</v>
      </c>
      <c r="F11" s="1400" t="str">
        <f t="shared" si="0"/>
        <v>-</v>
      </c>
      <c r="G11" s="27">
        <f>+G12+G19+G20+G21+G22+G23</f>
        <v>0</v>
      </c>
      <c r="H11" s="28">
        <f>+H12+H19+H20+H21+H22+H23</f>
        <v>0</v>
      </c>
      <c r="I11" s="29">
        <f>+I12+I19+I20+I21+I22+I23</f>
        <v>0</v>
      </c>
      <c r="K11" s="3">
        <f>+E11-G11-H11-I11</f>
        <v>0</v>
      </c>
    </row>
    <row r="12" spans="1:11" s="3" customFormat="1">
      <c r="A12" s="84" t="s">
        <v>54</v>
      </c>
      <c r="B12" s="65" t="s">
        <v>299</v>
      </c>
      <c r="C12" s="1051">
        <f>+C13+C14+C15+C16+C17+C18</f>
        <v>0</v>
      </c>
      <c r="D12" s="10">
        <f>+D13+D14+D15+D16+D17+D18</f>
        <v>0</v>
      </c>
      <c r="E12" s="9">
        <f>+E13+E14+E15+E16+E17+E18</f>
        <v>0</v>
      </c>
      <c r="F12" s="1401" t="str">
        <f t="shared" si="0"/>
        <v>-</v>
      </c>
      <c r="G12" s="18">
        <f>+G13+G14+G15+G16+G17+G18</f>
        <v>0</v>
      </c>
      <c r="H12" s="9">
        <f>+H13+H14+H15+H16+H17+H18</f>
        <v>0</v>
      </c>
      <c r="I12" s="14">
        <f>+I13+I14+I15+I16+I17+I18</f>
        <v>0</v>
      </c>
      <c r="K12" s="4">
        <f>+E12-G12-H12-I12</f>
        <v>0</v>
      </c>
    </row>
    <row r="13" spans="1:11" s="13" customFormat="1">
      <c r="A13" s="86" t="s">
        <v>190</v>
      </c>
      <c r="B13" s="66" t="s">
        <v>93</v>
      </c>
      <c r="C13" s="502"/>
      <c r="D13" s="12"/>
      <c r="E13" s="12"/>
      <c r="F13" s="1402" t="str">
        <f t="shared" si="0"/>
        <v>-</v>
      </c>
      <c r="G13" s="19"/>
      <c r="H13" s="12"/>
      <c r="I13" s="15"/>
      <c r="K13" s="13">
        <f>+E13-G13-H13-I13</f>
        <v>0</v>
      </c>
    </row>
    <row r="14" spans="1:11" s="13" customFormat="1">
      <c r="A14" s="86" t="s">
        <v>191</v>
      </c>
      <c r="B14" s="66" t="s">
        <v>94</v>
      </c>
      <c r="C14" s="502"/>
      <c r="D14" s="12"/>
      <c r="E14" s="12"/>
      <c r="F14" s="1402" t="str">
        <f t="shared" si="0"/>
        <v>-</v>
      </c>
      <c r="G14" s="19"/>
      <c r="H14" s="12"/>
      <c r="I14" s="15"/>
      <c r="K14" s="13">
        <f>+E14-G14-H14-I14</f>
        <v>0</v>
      </c>
    </row>
    <row r="15" spans="1:11" s="13" customFormat="1">
      <c r="A15" s="86" t="s">
        <v>192</v>
      </c>
      <c r="B15" s="66" t="s">
        <v>95</v>
      </c>
      <c r="C15" s="502"/>
      <c r="D15" s="12"/>
      <c r="E15" s="12"/>
      <c r="F15" s="1402" t="str">
        <f t="shared" si="0"/>
        <v>-</v>
      </c>
      <c r="G15" s="19"/>
      <c r="H15" s="12"/>
      <c r="I15" s="15"/>
      <c r="K15" s="13">
        <f>+E15-G15-H15-I15</f>
        <v>0</v>
      </c>
    </row>
    <row r="16" spans="1:11" s="13" customFormat="1">
      <c r="A16" s="86" t="s">
        <v>193</v>
      </c>
      <c r="B16" s="66" t="s">
        <v>96</v>
      </c>
      <c r="C16" s="502"/>
      <c r="D16" s="12"/>
      <c r="E16" s="12"/>
      <c r="F16" s="1402" t="str">
        <f t="shared" si="0"/>
        <v>-</v>
      </c>
      <c r="G16" s="19"/>
      <c r="H16" s="12"/>
      <c r="I16" s="15"/>
      <c r="K16" s="13">
        <f>+E16-G16-H16-I16</f>
        <v>0</v>
      </c>
    </row>
    <row r="17" spans="1:11" s="13" customFormat="1">
      <c r="A17" s="86" t="s">
        <v>194</v>
      </c>
      <c r="B17" s="66" t="s">
        <v>959</v>
      </c>
      <c r="C17" s="502"/>
      <c r="D17" s="12"/>
      <c r="E17" s="12"/>
      <c r="F17" s="1403" t="str">
        <f t="shared" si="0"/>
        <v>-</v>
      </c>
      <c r="G17" s="19"/>
      <c r="H17" s="12"/>
      <c r="I17" s="15"/>
      <c r="K17" s="13">
        <f>+E17-G17-H17-I17</f>
        <v>0</v>
      </c>
    </row>
    <row r="18" spans="1:11" s="13" customFormat="1">
      <c r="A18" s="86" t="s">
        <v>195</v>
      </c>
      <c r="B18" s="66" t="s">
        <v>960</v>
      </c>
      <c r="C18" s="502"/>
      <c r="D18" s="12"/>
      <c r="E18" s="12"/>
      <c r="F18" s="1403" t="str">
        <f t="shared" si="0"/>
        <v>-</v>
      </c>
      <c r="G18" s="19"/>
      <c r="H18" s="12"/>
      <c r="I18" s="15"/>
      <c r="K18" s="13">
        <f>+E18-G18-H18-I18</f>
        <v>0</v>
      </c>
    </row>
    <row r="19" spans="1:11">
      <c r="A19" s="85" t="s">
        <v>55</v>
      </c>
      <c r="B19" s="67" t="s">
        <v>97</v>
      </c>
      <c r="C19" s="501"/>
      <c r="D19" s="11"/>
      <c r="E19" s="11"/>
      <c r="F19" s="1402" t="str">
        <f t="shared" si="0"/>
        <v>-</v>
      </c>
      <c r="G19" s="20"/>
      <c r="H19" s="11"/>
      <c r="I19" s="16"/>
      <c r="K19" s="4">
        <f>+E19-G19-H19-I19</f>
        <v>0</v>
      </c>
    </row>
    <row r="20" spans="1:11">
      <c r="A20" s="85" t="s">
        <v>83</v>
      </c>
      <c r="B20" s="67" t="s">
        <v>98</v>
      </c>
      <c r="C20" s="501"/>
      <c r="D20" s="11"/>
      <c r="E20" s="11"/>
      <c r="F20" s="1402" t="str">
        <f t="shared" si="0"/>
        <v>-</v>
      </c>
      <c r="G20" s="20"/>
      <c r="H20" s="11"/>
      <c r="I20" s="16"/>
      <c r="K20" s="4">
        <f>+E20-G20-H20-I20</f>
        <v>0</v>
      </c>
    </row>
    <row r="21" spans="1:11">
      <c r="A21" s="85" t="s">
        <v>84</v>
      </c>
      <c r="B21" s="67" t="s">
        <v>99</v>
      </c>
      <c r="C21" s="501"/>
      <c r="D21" s="11"/>
      <c r="E21" s="11"/>
      <c r="F21" s="1402" t="str">
        <f t="shared" si="0"/>
        <v>-</v>
      </c>
      <c r="G21" s="20"/>
      <c r="H21" s="11"/>
      <c r="I21" s="16"/>
      <c r="K21" s="4">
        <f>+E21-G21-H21-I21</f>
        <v>0</v>
      </c>
    </row>
    <row r="22" spans="1:11">
      <c r="A22" s="85" t="s">
        <v>85</v>
      </c>
      <c r="B22" s="67" t="s">
        <v>100</v>
      </c>
      <c r="C22" s="501"/>
      <c r="D22" s="11"/>
      <c r="E22" s="11"/>
      <c r="F22" s="1402" t="str">
        <f t="shared" si="0"/>
        <v>-</v>
      </c>
      <c r="G22" s="20"/>
      <c r="H22" s="11"/>
      <c r="I22" s="16"/>
      <c r="K22" s="4">
        <f>+E22-G22-H22-I22</f>
        <v>0</v>
      </c>
    </row>
    <row r="23" spans="1:11">
      <c r="A23" s="78" t="s">
        <v>86</v>
      </c>
      <c r="B23" s="68" t="s">
        <v>101</v>
      </c>
      <c r="C23" s="500"/>
      <c r="D23" s="22"/>
      <c r="E23" s="22"/>
      <c r="F23" s="1404" t="str">
        <f t="shared" si="0"/>
        <v>-</v>
      </c>
      <c r="G23" s="21"/>
      <c r="H23" s="22"/>
      <c r="I23" s="23"/>
      <c r="K23" s="4">
        <f>+E23-G23-H23-I23</f>
        <v>0</v>
      </c>
    </row>
    <row r="24" spans="1:11" s="13" customFormat="1" ht="12.75" thickBot="1">
      <c r="A24" s="89" t="s">
        <v>332</v>
      </c>
      <c r="B24" s="818" t="s">
        <v>333</v>
      </c>
      <c r="C24" s="1050"/>
      <c r="D24" s="43"/>
      <c r="E24" s="43"/>
      <c r="F24" s="1404" t="str">
        <f t="shared" si="0"/>
        <v>-</v>
      </c>
      <c r="G24" s="45"/>
      <c r="H24" s="43"/>
      <c r="I24" s="44"/>
      <c r="K24" s="13">
        <f>+E24-G24-H24-I24</f>
        <v>0</v>
      </c>
    </row>
    <row r="25" spans="1:11" s="3" customFormat="1" ht="12.75" customHeight="1" thickBot="1">
      <c r="A25" s="83" t="s">
        <v>6</v>
      </c>
      <c r="B25" s="64" t="s">
        <v>835</v>
      </c>
      <c r="C25" s="1049">
        <f>+C26+C27+C28+C29+C30+C31</f>
        <v>0</v>
      </c>
      <c r="D25" s="28">
        <f>+D26+D27+D28+D29+D30+D31</f>
        <v>0</v>
      </c>
      <c r="E25" s="28">
        <f>+E26+E27+E28+E29+E30+E31</f>
        <v>0</v>
      </c>
      <c r="F25" s="1400" t="str">
        <f t="shared" si="0"/>
        <v>-</v>
      </c>
      <c r="G25" s="27">
        <f>+G26+G27+G28+G29+G30+G31</f>
        <v>0</v>
      </c>
      <c r="H25" s="28">
        <f>+H26+H27+H28+H29+H30+H31</f>
        <v>0</v>
      </c>
      <c r="I25" s="29">
        <f>+I26+I27+I28+I29+I30+I31</f>
        <v>0</v>
      </c>
      <c r="K25" s="3">
        <f>+E25-G25-H25-I25</f>
        <v>0</v>
      </c>
    </row>
    <row r="26" spans="1:11" ht="12.75" customHeight="1">
      <c r="A26" s="84" t="s">
        <v>58</v>
      </c>
      <c r="B26" s="65" t="s">
        <v>102</v>
      </c>
      <c r="C26" s="1051"/>
      <c r="D26" s="10"/>
      <c r="E26" s="10"/>
      <c r="F26" s="1401" t="str">
        <f t="shared" si="0"/>
        <v>-</v>
      </c>
      <c r="G26" s="34"/>
      <c r="H26" s="10"/>
      <c r="I26" s="35"/>
      <c r="K26" s="4">
        <f>+E26-G26-H26-I26</f>
        <v>0</v>
      </c>
    </row>
    <row r="27" spans="1:11" ht="12.75" customHeight="1">
      <c r="A27" s="85" t="s">
        <v>59</v>
      </c>
      <c r="B27" s="67" t="s">
        <v>103</v>
      </c>
      <c r="C27" s="501"/>
      <c r="D27" s="11"/>
      <c r="E27" s="11"/>
      <c r="F27" s="1402" t="str">
        <f t="shared" si="0"/>
        <v>-</v>
      </c>
      <c r="G27" s="20"/>
      <c r="H27" s="11"/>
      <c r="I27" s="16"/>
      <c r="K27" s="4">
        <f>+E27-G27-H27-I27</f>
        <v>0</v>
      </c>
    </row>
    <row r="28" spans="1:11" ht="12.75" customHeight="1">
      <c r="A28" s="85" t="s">
        <v>60</v>
      </c>
      <c r="B28" s="67" t="s">
        <v>104</v>
      </c>
      <c r="C28" s="501"/>
      <c r="D28" s="11"/>
      <c r="E28" s="11"/>
      <c r="F28" s="1402" t="str">
        <f t="shared" si="0"/>
        <v>-</v>
      </c>
      <c r="G28" s="20"/>
      <c r="H28" s="11"/>
      <c r="I28" s="16"/>
      <c r="K28" s="4">
        <f>+E28-G28-H28-I28</f>
        <v>0</v>
      </c>
    </row>
    <row r="29" spans="1:11" ht="12.75" customHeight="1">
      <c r="A29" s="85" t="s">
        <v>180</v>
      </c>
      <c r="B29" s="67" t="s">
        <v>105</v>
      </c>
      <c r="C29" s="501"/>
      <c r="D29" s="11"/>
      <c r="E29" s="11"/>
      <c r="F29" s="1402" t="str">
        <f t="shared" si="0"/>
        <v>-</v>
      </c>
      <c r="G29" s="20"/>
      <c r="H29" s="11"/>
      <c r="I29" s="16"/>
      <c r="K29" s="4">
        <f>+E29-G29-H29-I29</f>
        <v>0</v>
      </c>
    </row>
    <row r="30" spans="1:11" ht="12.75" customHeight="1">
      <c r="A30" s="78" t="s">
        <v>181</v>
      </c>
      <c r="B30" s="68" t="s">
        <v>106</v>
      </c>
      <c r="C30" s="500"/>
      <c r="D30" s="22"/>
      <c r="E30" s="22"/>
      <c r="F30" s="1404" t="str">
        <f t="shared" si="0"/>
        <v>-</v>
      </c>
      <c r="G30" s="20"/>
      <c r="H30" s="11"/>
      <c r="I30" s="16"/>
      <c r="K30" s="4">
        <f>+E30-G30-H30-I30</f>
        <v>0</v>
      </c>
    </row>
    <row r="31" spans="1:11" ht="12.75" customHeight="1" thickBot="1">
      <c r="A31" s="78" t="s">
        <v>834</v>
      </c>
      <c r="B31" s="68" t="s">
        <v>836</v>
      </c>
      <c r="C31" s="500"/>
      <c r="D31" s="22"/>
      <c r="E31" s="22"/>
      <c r="F31" s="1404" t="str">
        <f t="shared" si="0"/>
        <v>-</v>
      </c>
      <c r="G31" s="20"/>
      <c r="H31" s="11"/>
      <c r="I31" s="16"/>
      <c r="K31" s="4">
        <f>+E31-G31-H31-I31</f>
        <v>0</v>
      </c>
    </row>
    <row r="32" spans="1:11" s="3" customFormat="1" ht="12.75" customHeight="1" thickBot="1">
      <c r="A32" s="83" t="s">
        <v>3</v>
      </c>
      <c r="B32" s="64" t="s">
        <v>1040</v>
      </c>
      <c r="C32" s="1049">
        <f>+C33+C34+C35+C36+C37+C38+C39+C40+C41+C42+C43</f>
        <v>1450</v>
      </c>
      <c r="D32" s="28">
        <f>+D33+D34+D35+D36+D37+D38+D39+D40+D41+D42+D43</f>
        <v>889</v>
      </c>
      <c r="E32" s="28">
        <f>+E33+E34+E35+E36+E37+E38+E39+E40+E41+E42+E43</f>
        <v>889</v>
      </c>
      <c r="F32" s="1400">
        <f t="shared" si="0"/>
        <v>1</v>
      </c>
      <c r="G32" s="27">
        <f>+G33+G34+G35+G36+G37+G38+G39+G40+G41+G42+G43</f>
        <v>889</v>
      </c>
      <c r="H32" s="28">
        <f>+H33+H34+H35+H36+H37+H38+H39+H40+H41+H42+H43</f>
        <v>0</v>
      </c>
      <c r="I32" s="29">
        <f>+I33+I34+I35+I36+I37+I38+I39+I40+I41+I42+I43</f>
        <v>0</v>
      </c>
      <c r="K32" s="3">
        <f>+E32-G32-H32-I32</f>
        <v>0</v>
      </c>
    </row>
    <row r="33" spans="1:11" ht="12.75" customHeight="1">
      <c r="A33" s="84" t="s">
        <v>61</v>
      </c>
      <c r="B33" s="65" t="s">
        <v>107</v>
      </c>
      <c r="C33" s="1051"/>
      <c r="D33" s="10"/>
      <c r="E33" s="10"/>
      <c r="F33" s="1401" t="str">
        <f t="shared" si="0"/>
        <v>-</v>
      </c>
      <c r="G33" s="34"/>
      <c r="H33" s="10"/>
      <c r="I33" s="35"/>
      <c r="K33" s="4">
        <f>+E33-G33-H33-I33</f>
        <v>0</v>
      </c>
    </row>
    <row r="34" spans="1:11" ht="12.75" customHeight="1">
      <c r="A34" s="85" t="s">
        <v>62</v>
      </c>
      <c r="B34" s="67" t="s">
        <v>108</v>
      </c>
      <c r="C34" s="501">
        <v>1450</v>
      </c>
      <c r="D34" s="11">
        <v>867</v>
      </c>
      <c r="E34" s="11">
        <v>867</v>
      </c>
      <c r="F34" s="1402">
        <f t="shared" si="0"/>
        <v>1</v>
      </c>
      <c r="G34" s="20">
        <v>867</v>
      </c>
      <c r="H34" s="11"/>
      <c r="I34" s="16"/>
      <c r="K34" s="4">
        <f>+E34-G34-H34-I34</f>
        <v>0</v>
      </c>
    </row>
    <row r="35" spans="1:11" ht="12.75" customHeight="1">
      <c r="A35" s="85" t="s">
        <v>63</v>
      </c>
      <c r="B35" s="67" t="s">
        <v>109</v>
      </c>
      <c r="C35" s="501"/>
      <c r="D35" s="11"/>
      <c r="E35" s="11"/>
      <c r="F35" s="1402" t="str">
        <f t="shared" si="0"/>
        <v>-</v>
      </c>
      <c r="G35" s="20"/>
      <c r="H35" s="11"/>
      <c r="I35" s="16"/>
      <c r="K35" s="4">
        <f>+E35-G35-H35-I35</f>
        <v>0</v>
      </c>
    </row>
    <row r="36" spans="1:11" ht="12.75" customHeight="1">
      <c r="A36" s="85" t="s">
        <v>64</v>
      </c>
      <c r="B36" s="67" t="s">
        <v>110</v>
      </c>
      <c r="C36" s="501"/>
      <c r="D36" s="11"/>
      <c r="E36" s="11"/>
      <c r="F36" s="1402" t="str">
        <f t="shared" si="0"/>
        <v>-</v>
      </c>
      <c r="G36" s="20"/>
      <c r="H36" s="11"/>
      <c r="I36" s="16"/>
      <c r="K36" s="4">
        <f>+E36-G36-H36-I36</f>
        <v>0</v>
      </c>
    </row>
    <row r="37" spans="1:11" ht="12.75" customHeight="1">
      <c r="A37" s="85" t="s">
        <v>65</v>
      </c>
      <c r="B37" s="67" t="s">
        <v>111</v>
      </c>
      <c r="C37" s="501"/>
      <c r="D37" s="11"/>
      <c r="E37" s="11"/>
      <c r="F37" s="1402" t="str">
        <f t="shared" si="0"/>
        <v>-</v>
      </c>
      <c r="G37" s="20"/>
      <c r="H37" s="11"/>
      <c r="I37" s="16"/>
      <c r="K37" s="4">
        <f>+E37-G37-H37-I37</f>
        <v>0</v>
      </c>
    </row>
    <row r="38" spans="1:11" ht="12.75" customHeight="1">
      <c r="A38" s="85" t="s">
        <v>222</v>
      </c>
      <c r="B38" s="67" t="s">
        <v>112</v>
      </c>
      <c r="C38" s="501"/>
      <c r="D38" s="11"/>
      <c r="E38" s="11"/>
      <c r="F38" s="1402" t="str">
        <f t="shared" si="0"/>
        <v>-</v>
      </c>
      <c r="G38" s="20"/>
      <c r="H38" s="11"/>
      <c r="I38" s="16"/>
      <c r="K38" s="4">
        <f>+E38-G38-H38-I38</f>
        <v>0</v>
      </c>
    </row>
    <row r="39" spans="1:11" ht="12.75" customHeight="1">
      <c r="A39" s="85" t="s">
        <v>223</v>
      </c>
      <c r="B39" s="67" t="s">
        <v>113</v>
      </c>
      <c r="C39" s="501"/>
      <c r="D39" s="11"/>
      <c r="E39" s="11"/>
      <c r="F39" s="1402" t="str">
        <f t="shared" si="0"/>
        <v>-</v>
      </c>
      <c r="G39" s="20"/>
      <c r="H39" s="11"/>
      <c r="I39" s="16"/>
      <c r="K39" s="4">
        <f>+E39-G39-H39-I39</f>
        <v>0</v>
      </c>
    </row>
    <row r="40" spans="1:11" ht="12.75" customHeight="1">
      <c r="A40" s="85" t="s">
        <v>224</v>
      </c>
      <c r="B40" s="67" t="s">
        <v>1050</v>
      </c>
      <c r="C40" s="501"/>
      <c r="D40" s="11"/>
      <c r="E40" s="11"/>
      <c r="F40" s="1402" t="str">
        <f t="shared" si="0"/>
        <v>-</v>
      </c>
      <c r="G40" s="20"/>
      <c r="H40" s="11"/>
      <c r="I40" s="16"/>
      <c r="K40" s="4">
        <f>+E40-G40-H40-I40</f>
        <v>0</v>
      </c>
    </row>
    <row r="41" spans="1:11" ht="12.75" customHeight="1">
      <c r="A41" s="85" t="s">
        <v>225</v>
      </c>
      <c r="B41" s="67" t="s">
        <v>114</v>
      </c>
      <c r="C41" s="501"/>
      <c r="D41" s="11"/>
      <c r="E41" s="11"/>
      <c r="F41" s="1402" t="str">
        <f t="shared" si="0"/>
        <v>-</v>
      </c>
      <c r="G41" s="20"/>
      <c r="H41" s="11"/>
      <c r="I41" s="16"/>
      <c r="K41" s="4">
        <f>+E41-G41-H41-I41</f>
        <v>0</v>
      </c>
    </row>
    <row r="42" spans="1:11" ht="12.75" customHeight="1">
      <c r="A42" s="78" t="s">
        <v>226</v>
      </c>
      <c r="B42" s="68" t="s">
        <v>962</v>
      </c>
      <c r="C42" s="501"/>
      <c r="D42" s="11"/>
      <c r="E42" s="11"/>
      <c r="F42" s="1402" t="str">
        <f t="shared" si="0"/>
        <v>-</v>
      </c>
      <c r="G42" s="20"/>
      <c r="H42" s="11"/>
      <c r="I42" s="16"/>
      <c r="K42" s="4">
        <f>+E42-G42-H42-I42</f>
        <v>0</v>
      </c>
    </row>
    <row r="43" spans="1:11" ht="12.75" customHeight="1" thickBot="1">
      <c r="A43" s="78" t="s">
        <v>961</v>
      </c>
      <c r="B43" s="68" t="s">
        <v>963</v>
      </c>
      <c r="C43" s="500"/>
      <c r="D43" s="22">
        <v>22</v>
      </c>
      <c r="E43" s="22">
        <v>22</v>
      </c>
      <c r="F43" s="1404">
        <f t="shared" si="0"/>
        <v>1</v>
      </c>
      <c r="G43" s="21">
        <v>22</v>
      </c>
      <c r="H43" s="22"/>
      <c r="I43" s="23"/>
      <c r="K43" s="4">
        <f>+E43-G43-H43-I43</f>
        <v>0</v>
      </c>
    </row>
    <row r="44" spans="1:11" s="3" customFormat="1" ht="12.75" thickBot="1">
      <c r="A44" s="83" t="s">
        <v>16</v>
      </c>
      <c r="B44" s="64" t="s">
        <v>1041</v>
      </c>
      <c r="C44" s="1049">
        <f>+C45+C46+C47+C48+C49</f>
        <v>0</v>
      </c>
      <c r="D44" s="28">
        <f>+D45+D46+D47+D48+D49</f>
        <v>12</v>
      </c>
      <c r="E44" s="28">
        <f>+E45+E46+E47+E48+E49</f>
        <v>12</v>
      </c>
      <c r="F44" s="1400">
        <f t="shared" si="0"/>
        <v>1</v>
      </c>
      <c r="G44" s="27">
        <f>+G45+G46+G47+G48+G49</f>
        <v>12</v>
      </c>
      <c r="H44" s="28">
        <f>+H45+H46+H47+H48+H49</f>
        <v>0</v>
      </c>
      <c r="I44" s="29">
        <f>+I45+I46+I47+I48+I49</f>
        <v>0</v>
      </c>
      <c r="K44" s="3">
        <f>+E44-G44-H44-I44</f>
        <v>0</v>
      </c>
    </row>
    <row r="45" spans="1:11" ht="12.75" customHeight="1">
      <c r="A45" s="84" t="s">
        <v>227</v>
      </c>
      <c r="B45" s="65" t="s">
        <v>115</v>
      </c>
      <c r="C45" s="1051"/>
      <c r="D45" s="10"/>
      <c r="E45" s="10"/>
      <c r="F45" s="1401" t="str">
        <f t="shared" si="0"/>
        <v>-</v>
      </c>
      <c r="G45" s="34"/>
      <c r="H45" s="10"/>
      <c r="I45" s="35"/>
      <c r="K45" s="4">
        <f>+E45-G45-H45-I45</f>
        <v>0</v>
      </c>
    </row>
    <row r="46" spans="1:11" ht="12.75" customHeight="1">
      <c r="A46" s="84" t="s">
        <v>228</v>
      </c>
      <c r="B46" s="65" t="s">
        <v>964</v>
      </c>
      <c r="C46" s="1051"/>
      <c r="D46" s="10"/>
      <c r="E46" s="11"/>
      <c r="F46" s="1401" t="str">
        <f t="shared" si="0"/>
        <v>-</v>
      </c>
      <c r="G46" s="34"/>
      <c r="H46" s="10"/>
      <c r="I46" s="35"/>
      <c r="K46" s="4">
        <f>+E46-G46-H46-I46</f>
        <v>0</v>
      </c>
    </row>
    <row r="47" spans="1:11" ht="12.75" customHeight="1">
      <c r="A47" s="84" t="s">
        <v>229</v>
      </c>
      <c r="B47" s="65" t="s">
        <v>965</v>
      </c>
      <c r="C47" s="1051"/>
      <c r="D47" s="10"/>
      <c r="E47" s="22"/>
      <c r="F47" s="1401" t="str">
        <f t="shared" si="0"/>
        <v>-</v>
      </c>
      <c r="G47" s="34"/>
      <c r="H47" s="10"/>
      <c r="I47" s="35"/>
      <c r="K47" s="4">
        <f>+E47-G47-H47-I47</f>
        <v>0</v>
      </c>
    </row>
    <row r="48" spans="1:11" ht="12.75" customHeight="1">
      <c r="A48" s="85" t="s">
        <v>257</v>
      </c>
      <c r="B48" s="67" t="s">
        <v>966</v>
      </c>
      <c r="C48" s="501"/>
      <c r="D48" s="11"/>
      <c r="E48" s="11"/>
      <c r="F48" s="1402" t="str">
        <f t="shared" si="0"/>
        <v>-</v>
      </c>
      <c r="G48" s="20"/>
      <c r="H48" s="11"/>
      <c r="I48" s="16"/>
      <c r="K48" s="4">
        <f>+E48-G48-H48-I48</f>
        <v>0</v>
      </c>
    </row>
    <row r="49" spans="1:11" ht="12.75" customHeight="1" thickBot="1">
      <c r="A49" s="78" t="s">
        <v>258</v>
      </c>
      <c r="B49" s="68" t="s">
        <v>967</v>
      </c>
      <c r="C49" s="500"/>
      <c r="D49" s="22">
        <v>12</v>
      </c>
      <c r="E49" s="22">
        <v>12</v>
      </c>
      <c r="F49" s="1404">
        <f t="shared" si="0"/>
        <v>1</v>
      </c>
      <c r="G49" s="21">
        <v>12</v>
      </c>
      <c r="H49" s="22"/>
      <c r="I49" s="23"/>
      <c r="K49" s="4">
        <f>+E49-G49-H49-I49</f>
        <v>0</v>
      </c>
    </row>
    <row r="50" spans="1:11" s="3" customFormat="1" ht="12.75" thickBot="1">
      <c r="A50" s="83" t="s">
        <v>15</v>
      </c>
      <c r="B50" s="69" t="s">
        <v>300</v>
      </c>
      <c r="C50" s="1049">
        <f>+C51+C58+C64</f>
        <v>0</v>
      </c>
      <c r="D50" s="28">
        <f>+D51+D58+D64</f>
        <v>400</v>
      </c>
      <c r="E50" s="28">
        <f>+E51+E58+E64</f>
        <v>400</v>
      </c>
      <c r="F50" s="1400">
        <f t="shared" si="0"/>
        <v>1</v>
      </c>
      <c r="G50" s="27">
        <f>+G51+G58+G64</f>
        <v>400</v>
      </c>
      <c r="H50" s="28">
        <f>+H51+H58+H64</f>
        <v>0</v>
      </c>
      <c r="I50" s="29">
        <f>+I51+I58+I64</f>
        <v>0</v>
      </c>
      <c r="K50" s="3">
        <f>+E50-G50-H50-I50</f>
        <v>0</v>
      </c>
    </row>
    <row r="51" spans="1:11" s="3" customFormat="1" ht="12.75" customHeight="1" thickBot="1">
      <c r="A51" s="83" t="s">
        <v>14</v>
      </c>
      <c r="B51" s="64" t="s">
        <v>301</v>
      </c>
      <c r="C51" s="1049">
        <f>+C52+C53+C54+C55+C56</f>
        <v>0</v>
      </c>
      <c r="D51" s="28">
        <f>+D52+D53+D54+D55+D56</f>
        <v>0</v>
      </c>
      <c r="E51" s="28">
        <f>+E52+E53+E54+E55+E56</f>
        <v>0</v>
      </c>
      <c r="F51" s="1400" t="str">
        <f t="shared" si="0"/>
        <v>-</v>
      </c>
      <c r="G51" s="27">
        <f>+G52+G53+G54+G55+G56</f>
        <v>0</v>
      </c>
      <c r="H51" s="28">
        <f>+H52+H53+H54+H55+H56</f>
        <v>0</v>
      </c>
      <c r="I51" s="29">
        <f>+I52+I53+I54+I55+I56</f>
        <v>0</v>
      </c>
      <c r="K51" s="3">
        <f>+E51-G51-H51-I51</f>
        <v>0</v>
      </c>
    </row>
    <row r="52" spans="1:11">
      <c r="A52" s="84" t="s">
        <v>185</v>
      </c>
      <c r="B52" s="113" t="s">
        <v>116</v>
      </c>
      <c r="C52" s="1051"/>
      <c r="D52" s="10"/>
      <c r="E52" s="10"/>
      <c r="F52" s="1401" t="str">
        <f t="shared" si="0"/>
        <v>-</v>
      </c>
      <c r="G52" s="34"/>
      <c r="H52" s="10"/>
      <c r="I52" s="35"/>
      <c r="K52" s="4">
        <f>+E52-G52-H52-I52</f>
        <v>0</v>
      </c>
    </row>
    <row r="53" spans="1:11">
      <c r="A53" s="85" t="s">
        <v>186</v>
      </c>
      <c r="B53" s="67" t="s">
        <v>117</v>
      </c>
      <c r="C53" s="501"/>
      <c r="D53" s="11"/>
      <c r="E53" s="11"/>
      <c r="F53" s="1402" t="str">
        <f t="shared" si="0"/>
        <v>-</v>
      </c>
      <c r="G53" s="20"/>
      <c r="H53" s="11"/>
      <c r="I53" s="16"/>
      <c r="K53" s="4">
        <f>+E53-G53-H53-I53</f>
        <v>0</v>
      </c>
    </row>
    <row r="54" spans="1:11">
      <c r="A54" s="85" t="s">
        <v>187</v>
      </c>
      <c r="B54" s="67" t="s">
        <v>118</v>
      </c>
      <c r="C54" s="501"/>
      <c r="D54" s="11"/>
      <c r="E54" s="11"/>
      <c r="F54" s="1402" t="str">
        <f t="shared" si="0"/>
        <v>-</v>
      </c>
      <c r="G54" s="20"/>
      <c r="H54" s="11"/>
      <c r="I54" s="16"/>
      <c r="K54" s="4">
        <f>+E54-G54-H54-I54</f>
        <v>0</v>
      </c>
    </row>
    <row r="55" spans="1:11">
      <c r="A55" s="85" t="s">
        <v>188</v>
      </c>
      <c r="B55" s="67" t="s">
        <v>119</v>
      </c>
      <c r="C55" s="501"/>
      <c r="D55" s="11"/>
      <c r="E55" s="11"/>
      <c r="F55" s="1402" t="str">
        <f t="shared" si="0"/>
        <v>-</v>
      </c>
      <c r="G55" s="20"/>
      <c r="H55" s="11"/>
      <c r="I55" s="16"/>
      <c r="K55" s="4">
        <f>+E55-G55-H55-I55</f>
        <v>0</v>
      </c>
    </row>
    <row r="56" spans="1:11">
      <c r="A56" s="78" t="s">
        <v>189</v>
      </c>
      <c r="B56" s="68" t="s">
        <v>120</v>
      </c>
      <c r="C56" s="500"/>
      <c r="D56" s="22"/>
      <c r="E56" s="22"/>
      <c r="F56" s="1404" t="str">
        <f t="shared" si="0"/>
        <v>-</v>
      </c>
      <c r="G56" s="21"/>
      <c r="H56" s="22"/>
      <c r="I56" s="23"/>
      <c r="K56" s="4">
        <f>+E56-G56-H56-I56</f>
        <v>0</v>
      </c>
    </row>
    <row r="57" spans="1:11" s="13" customFormat="1" ht="12.75" thickBot="1">
      <c r="A57" s="89" t="s">
        <v>334</v>
      </c>
      <c r="B57" s="818" t="s">
        <v>338</v>
      </c>
      <c r="C57" s="1050"/>
      <c r="D57" s="43"/>
      <c r="E57" s="43"/>
      <c r="F57" s="1404" t="str">
        <f t="shared" si="0"/>
        <v>-</v>
      </c>
      <c r="G57" s="45"/>
      <c r="H57" s="43"/>
      <c r="I57" s="44"/>
      <c r="K57" s="13">
        <f>+E57-G57-H57-I57</f>
        <v>0</v>
      </c>
    </row>
    <row r="58" spans="1:11" s="3" customFormat="1" ht="12.75" customHeight="1" thickBot="1">
      <c r="A58" s="83" t="s">
        <v>13</v>
      </c>
      <c r="B58" s="64" t="s">
        <v>302</v>
      </c>
      <c r="C58" s="1049">
        <f>+C59+C60+C61+C62+C63</f>
        <v>0</v>
      </c>
      <c r="D58" s="28">
        <f>+D59+D60+D61+D62+D63</f>
        <v>400</v>
      </c>
      <c r="E58" s="28">
        <f>+E59+E60+E61+E62+E63</f>
        <v>400</v>
      </c>
      <c r="F58" s="1400">
        <f t="shared" si="0"/>
        <v>1</v>
      </c>
      <c r="G58" s="27">
        <f>+G59+G60+G61+G62+G63</f>
        <v>400</v>
      </c>
      <c r="H58" s="28">
        <f>+H59+H60+H61+H62+H63</f>
        <v>0</v>
      </c>
      <c r="I58" s="29">
        <f>+I59+I60+I61+I62+I63</f>
        <v>0</v>
      </c>
      <c r="K58" s="3">
        <f>+E58-G58-H58-I58</f>
        <v>0</v>
      </c>
    </row>
    <row r="59" spans="1:11" ht="12.75" customHeight="1">
      <c r="A59" s="84" t="s">
        <v>66</v>
      </c>
      <c r="B59" s="65" t="s">
        <v>121</v>
      </c>
      <c r="C59" s="1051"/>
      <c r="D59" s="10"/>
      <c r="E59" s="10"/>
      <c r="F59" s="1401" t="str">
        <f t="shared" si="0"/>
        <v>-</v>
      </c>
      <c r="G59" s="34"/>
      <c r="H59" s="10"/>
      <c r="I59" s="35"/>
      <c r="K59" s="4">
        <f>+E59-G59-H59-I59</f>
        <v>0</v>
      </c>
    </row>
    <row r="60" spans="1:11" ht="12.75" customHeight="1">
      <c r="A60" s="85" t="s">
        <v>67</v>
      </c>
      <c r="B60" s="67" t="s">
        <v>122</v>
      </c>
      <c r="C60" s="501"/>
      <c r="D60" s="11"/>
      <c r="E60" s="11"/>
      <c r="F60" s="1402" t="str">
        <f t="shared" si="0"/>
        <v>-</v>
      </c>
      <c r="G60" s="20"/>
      <c r="H60" s="11"/>
      <c r="I60" s="16"/>
      <c r="K60" s="4">
        <f>+E60-G60-H60-I60</f>
        <v>0</v>
      </c>
    </row>
    <row r="61" spans="1:11" ht="12.75" customHeight="1">
      <c r="A61" s="85" t="s">
        <v>68</v>
      </c>
      <c r="B61" s="67" t="s">
        <v>123</v>
      </c>
      <c r="C61" s="501"/>
      <c r="D61" s="11">
        <v>400</v>
      </c>
      <c r="E61" s="11">
        <v>400</v>
      </c>
      <c r="F61" s="1402">
        <f t="shared" si="0"/>
        <v>1</v>
      </c>
      <c r="G61" s="20">
        <v>400</v>
      </c>
      <c r="H61" s="11"/>
      <c r="I61" s="16"/>
      <c r="K61" s="4">
        <f>+E61-G61-H61-I61</f>
        <v>0</v>
      </c>
    </row>
    <row r="62" spans="1:11" ht="12.75" customHeight="1">
      <c r="A62" s="85" t="s">
        <v>230</v>
      </c>
      <c r="B62" s="67" t="s">
        <v>124</v>
      </c>
      <c r="C62" s="501"/>
      <c r="D62" s="11"/>
      <c r="E62" s="11"/>
      <c r="F62" s="1402" t="str">
        <f t="shared" si="0"/>
        <v>-</v>
      </c>
      <c r="G62" s="20"/>
      <c r="H62" s="11"/>
      <c r="I62" s="16"/>
      <c r="K62" s="4">
        <f>+E62-G62-H62-I62</f>
        <v>0</v>
      </c>
    </row>
    <row r="63" spans="1:11" ht="12.75" customHeight="1" thickBot="1">
      <c r="A63" s="78" t="s">
        <v>231</v>
      </c>
      <c r="B63" s="68" t="s">
        <v>125</v>
      </c>
      <c r="C63" s="500"/>
      <c r="D63" s="22"/>
      <c r="E63" s="22"/>
      <c r="F63" s="1404" t="str">
        <f t="shared" si="0"/>
        <v>-</v>
      </c>
      <c r="G63" s="21"/>
      <c r="H63" s="22"/>
      <c r="I63" s="23"/>
      <c r="K63" s="4">
        <f>+E63-G63-H63-I63</f>
        <v>0</v>
      </c>
    </row>
    <row r="64" spans="1:11" s="3" customFormat="1" ht="12.75" thickBot="1">
      <c r="A64" s="83" t="s">
        <v>12</v>
      </c>
      <c r="B64" s="64" t="s">
        <v>971</v>
      </c>
      <c r="C64" s="1049">
        <f>+C65+C66+C67+C68+C69</f>
        <v>0</v>
      </c>
      <c r="D64" s="28">
        <f>+D65+D66+D67+D68+D69</f>
        <v>0</v>
      </c>
      <c r="E64" s="28">
        <f>+E65+E66+E67+E68+E69</f>
        <v>0</v>
      </c>
      <c r="F64" s="1400" t="str">
        <f t="shared" si="0"/>
        <v>-</v>
      </c>
      <c r="G64" s="27">
        <f>+G65+G66+G67+G68+G69</f>
        <v>0</v>
      </c>
      <c r="H64" s="28">
        <f>+H65+H66+H67+H68+H69</f>
        <v>0</v>
      </c>
      <c r="I64" s="29">
        <f>+I65+I66+I67+I68+I69</f>
        <v>0</v>
      </c>
      <c r="K64" s="3">
        <f>+E64-G64-H64-I64</f>
        <v>0</v>
      </c>
    </row>
    <row r="65" spans="1:11">
      <c r="A65" s="84" t="s">
        <v>69</v>
      </c>
      <c r="B65" s="65" t="s">
        <v>126</v>
      </c>
      <c r="C65" s="1051"/>
      <c r="D65" s="10"/>
      <c r="E65" s="10"/>
      <c r="F65" s="1401" t="str">
        <f t="shared" si="0"/>
        <v>-</v>
      </c>
      <c r="G65" s="34"/>
      <c r="H65" s="10"/>
      <c r="I65" s="35"/>
      <c r="K65" s="4">
        <f>+E65-G65-H65-I65</f>
        <v>0</v>
      </c>
    </row>
    <row r="66" spans="1:11">
      <c r="A66" s="84" t="s">
        <v>70</v>
      </c>
      <c r="B66" s="65" t="s">
        <v>972</v>
      </c>
      <c r="C66" s="1051"/>
      <c r="D66" s="10"/>
      <c r="E66" s="11"/>
      <c r="F66" s="1401" t="str">
        <f t="shared" si="0"/>
        <v>-</v>
      </c>
      <c r="G66" s="34"/>
      <c r="H66" s="10"/>
      <c r="I66" s="35"/>
      <c r="K66" s="4">
        <f>+E66-G66-H66-I66</f>
        <v>0</v>
      </c>
    </row>
    <row r="67" spans="1:11">
      <c r="A67" s="84" t="s">
        <v>71</v>
      </c>
      <c r="B67" s="65" t="s">
        <v>973</v>
      </c>
      <c r="C67" s="1051"/>
      <c r="D67" s="10"/>
      <c r="E67" s="22"/>
      <c r="F67" s="1401" t="str">
        <f t="shared" si="0"/>
        <v>-</v>
      </c>
      <c r="G67" s="34"/>
      <c r="H67" s="10"/>
      <c r="I67" s="35"/>
      <c r="K67" s="4">
        <f>+E67-G67-H67-I67</f>
        <v>0</v>
      </c>
    </row>
    <row r="68" spans="1:11">
      <c r="A68" s="85" t="s">
        <v>72</v>
      </c>
      <c r="B68" s="67" t="s">
        <v>969</v>
      </c>
      <c r="C68" s="501"/>
      <c r="D68" s="11"/>
      <c r="E68" s="11"/>
      <c r="F68" s="1402" t="str">
        <f t="shared" si="0"/>
        <v>-</v>
      </c>
      <c r="G68" s="20"/>
      <c r="H68" s="11"/>
      <c r="I68" s="16"/>
      <c r="K68" s="4">
        <f>+E68-G68-H68-I68</f>
        <v>0</v>
      </c>
    </row>
    <row r="69" spans="1:11" ht="12.75" thickBot="1">
      <c r="A69" s="78" t="s">
        <v>968</v>
      </c>
      <c r="B69" s="68" t="s">
        <v>970</v>
      </c>
      <c r="C69" s="500"/>
      <c r="D69" s="22"/>
      <c r="E69" s="22"/>
      <c r="F69" s="1404" t="str">
        <f t="shared" si="0"/>
        <v>-</v>
      </c>
      <c r="G69" s="21"/>
      <c r="H69" s="22"/>
      <c r="I69" s="23"/>
      <c r="K69" s="4">
        <f>+E69-G69-H69-I69</f>
        <v>0</v>
      </c>
    </row>
    <row r="70" spans="1:11" s="3" customFormat="1" ht="12.75" thickBot="1">
      <c r="A70" s="83" t="s">
        <v>11</v>
      </c>
      <c r="B70" s="69" t="s">
        <v>303</v>
      </c>
      <c r="C70" s="1049">
        <f>+C10+C50</f>
        <v>1450</v>
      </c>
      <c r="D70" s="28">
        <f>+D10+D50</f>
        <v>1301</v>
      </c>
      <c r="E70" s="28">
        <f>+E10+E50</f>
        <v>1301</v>
      </c>
      <c r="F70" s="1400">
        <f t="shared" si="0"/>
        <v>1</v>
      </c>
      <c r="G70" s="27">
        <f>+G10+G50</f>
        <v>1301</v>
      </c>
      <c r="H70" s="28">
        <f>+H10+H50</f>
        <v>0</v>
      </c>
      <c r="I70" s="29">
        <f>+I10+I50</f>
        <v>0</v>
      </c>
      <c r="K70" s="3">
        <f>+E70-G70-H70-I70</f>
        <v>0</v>
      </c>
    </row>
    <row r="71" spans="1:11" s="3" customFormat="1" ht="12.75" thickBot="1">
      <c r="A71" s="83" t="s">
        <v>10</v>
      </c>
      <c r="B71" s="70" t="s">
        <v>304</v>
      </c>
      <c r="C71" s="1049">
        <f>+C72</f>
        <v>29659</v>
      </c>
      <c r="D71" s="28">
        <f>+D72</f>
        <v>33539</v>
      </c>
      <c r="E71" s="28">
        <f>+E72</f>
        <v>32715</v>
      </c>
      <c r="F71" s="1400">
        <f t="shared" si="0"/>
        <v>0.97543158710754641</v>
      </c>
      <c r="G71" s="27">
        <f>+G72</f>
        <v>32715</v>
      </c>
      <c r="H71" s="28">
        <f>+H72</f>
        <v>0</v>
      </c>
      <c r="I71" s="29">
        <f>+I72</f>
        <v>0</v>
      </c>
      <c r="K71" s="3">
        <f>+E71-G71-H71-I71</f>
        <v>0</v>
      </c>
    </row>
    <row r="72" spans="1:11" s="3" customFormat="1" ht="12.75" thickBot="1">
      <c r="A72" s="83" t="s">
        <v>9</v>
      </c>
      <c r="B72" s="64" t="s">
        <v>980</v>
      </c>
      <c r="C72" s="1049">
        <f>+C73+C83+C84+C85</f>
        <v>29659</v>
      </c>
      <c r="D72" s="28">
        <f>+D73+D83+D84+D85</f>
        <v>33539</v>
      </c>
      <c r="E72" s="28">
        <f>+E73+E83+E84+E85</f>
        <v>32715</v>
      </c>
      <c r="F72" s="1400">
        <f t="shared" si="0"/>
        <v>0.97543158710754641</v>
      </c>
      <c r="G72" s="27">
        <f>+G73+G83+G84+G85</f>
        <v>32715</v>
      </c>
      <c r="H72" s="28">
        <f>+H73+H83+H84+H85</f>
        <v>0</v>
      </c>
      <c r="I72" s="29">
        <f>+I73+I83+I84+I85</f>
        <v>0</v>
      </c>
      <c r="K72" s="3">
        <f>+E72-G72-H72-I72</f>
        <v>0</v>
      </c>
    </row>
    <row r="73" spans="1:11">
      <c r="A73" s="84" t="s">
        <v>73</v>
      </c>
      <c r="B73" s="65" t="s">
        <v>975</v>
      </c>
      <c r="C73" s="1051">
        <f>+C74+C75+C76+C77+C78+C79+C80+C81+C82</f>
        <v>29659</v>
      </c>
      <c r="D73" s="10">
        <f>+D74+D75+D76+D77+D78+D79+D80+D81+D82</f>
        <v>33539</v>
      </c>
      <c r="E73" s="10">
        <f>+E74+E75+E76+E77+E78+E79+E80+E81+E82</f>
        <v>32715</v>
      </c>
      <c r="F73" s="1401">
        <f t="shared" si="0"/>
        <v>0.97543158710754641</v>
      </c>
      <c r="G73" s="34">
        <f>+G74+G75+G76+G77+G78+G79+G80+G81+G82</f>
        <v>32715</v>
      </c>
      <c r="H73" s="10">
        <f>+H74+H75+H76+H77+H78+H79+H80+H81+H82</f>
        <v>0</v>
      </c>
      <c r="I73" s="35">
        <f>+I74+I75+I76+I77+I78+I79+I80+I81+I82</f>
        <v>0</v>
      </c>
      <c r="K73" s="4">
        <f>+E73-G73-H73-I73</f>
        <v>0</v>
      </c>
    </row>
    <row r="74" spans="1:11" s="13" customFormat="1">
      <c r="A74" s="86" t="s">
        <v>196</v>
      </c>
      <c r="B74" s="66" t="s">
        <v>974</v>
      </c>
      <c r="C74" s="502"/>
      <c r="D74" s="12"/>
      <c r="E74" s="12"/>
      <c r="F74" s="1402" t="str">
        <f t="shared" ref="F74:F102" si="1">IF(ISERROR(E74/D74),"-",E74/D74)</f>
        <v>-</v>
      </c>
      <c r="G74" s="19"/>
      <c r="H74" s="12"/>
      <c r="I74" s="15"/>
      <c r="K74" s="13">
        <f>+E74-G74-H74-I74</f>
        <v>0</v>
      </c>
    </row>
    <row r="75" spans="1:11" s="13" customFormat="1">
      <c r="A75" s="86" t="s">
        <v>197</v>
      </c>
      <c r="B75" s="66" t="s">
        <v>247</v>
      </c>
      <c r="C75" s="502"/>
      <c r="D75" s="12"/>
      <c r="E75" s="12"/>
      <c r="F75" s="1402" t="str">
        <f t="shared" si="1"/>
        <v>-</v>
      </c>
      <c r="G75" s="19"/>
      <c r="H75" s="12"/>
      <c r="I75" s="15"/>
      <c r="K75" s="13">
        <f>+E75-G75-H75-I75</f>
        <v>0</v>
      </c>
    </row>
    <row r="76" spans="1:11" s="13" customFormat="1">
      <c r="A76" s="86" t="s">
        <v>198</v>
      </c>
      <c r="B76" s="66" t="s">
        <v>248</v>
      </c>
      <c r="C76" s="502"/>
      <c r="D76" s="12">
        <f>0+116</f>
        <v>116</v>
      </c>
      <c r="E76" s="12">
        <v>116</v>
      </c>
      <c r="F76" s="1402">
        <f t="shared" si="1"/>
        <v>1</v>
      </c>
      <c r="G76" s="19">
        <v>116</v>
      </c>
      <c r="H76" s="12"/>
      <c r="I76" s="15"/>
      <c r="K76" s="13">
        <f>+E76-G76-H76-I76</f>
        <v>0</v>
      </c>
    </row>
    <row r="77" spans="1:11" s="13" customFormat="1">
      <c r="A77" s="86" t="s">
        <v>199</v>
      </c>
      <c r="B77" s="66" t="s">
        <v>249</v>
      </c>
      <c r="C77" s="502"/>
      <c r="D77" s="12"/>
      <c r="E77" s="12"/>
      <c r="F77" s="1402" t="str">
        <f t="shared" si="1"/>
        <v>-</v>
      </c>
      <c r="G77" s="19"/>
      <c r="H77" s="12"/>
      <c r="I77" s="15"/>
      <c r="K77" s="13">
        <f>+E77-G77-H77-I77</f>
        <v>0</v>
      </c>
    </row>
    <row r="78" spans="1:11" s="13" customFormat="1">
      <c r="A78" s="86" t="s">
        <v>200</v>
      </c>
      <c r="B78" s="66" t="s">
        <v>250</v>
      </c>
      <c r="C78" s="502"/>
      <c r="D78" s="12"/>
      <c r="E78" s="12"/>
      <c r="F78" s="1402" t="str">
        <f t="shared" si="1"/>
        <v>-</v>
      </c>
      <c r="G78" s="19"/>
      <c r="H78" s="12"/>
      <c r="I78" s="15"/>
      <c r="K78" s="13">
        <f>+E78-G78-H78-I78</f>
        <v>0</v>
      </c>
    </row>
    <row r="79" spans="1:11" s="13" customFormat="1">
      <c r="A79" s="108" t="s">
        <v>201</v>
      </c>
      <c r="B79" s="109" t="s">
        <v>251</v>
      </c>
      <c r="C79" s="502">
        <f t="shared" ref="C79:F79" si="2">+C109-C10+C178-C74-C75-C76-C77-C78-C80-C81-C83-C84-C85</f>
        <v>29659</v>
      </c>
      <c r="D79" s="12">
        <f>33042-D94</f>
        <v>33423</v>
      </c>
      <c r="E79" s="12">
        <f>32218-E94</f>
        <v>32599</v>
      </c>
      <c r="F79" s="1402">
        <f t="shared" si="1"/>
        <v>0.97534631840349462</v>
      </c>
      <c r="G79" s="19">
        <v>32599</v>
      </c>
      <c r="H79" s="12"/>
      <c r="I79" s="15"/>
      <c r="K79" s="117">
        <f>+E79-G79-H79-I79</f>
        <v>0</v>
      </c>
    </row>
    <row r="80" spans="1:11" s="13" customFormat="1">
      <c r="A80" s="86" t="s">
        <v>204</v>
      </c>
      <c r="B80" s="66" t="s">
        <v>252</v>
      </c>
      <c r="C80" s="502"/>
      <c r="D80" s="12"/>
      <c r="E80" s="744"/>
      <c r="F80" s="1402" t="str">
        <f t="shared" si="1"/>
        <v>-</v>
      </c>
      <c r="G80" s="19"/>
      <c r="H80" s="12"/>
      <c r="I80" s="15"/>
      <c r="K80" s="117">
        <f>+E80-G80-H80-I80</f>
        <v>0</v>
      </c>
    </row>
    <row r="81" spans="1:11" s="13" customFormat="1">
      <c r="A81" s="86" t="s">
        <v>202</v>
      </c>
      <c r="B81" s="66" t="s">
        <v>245</v>
      </c>
      <c r="C81" s="502"/>
      <c r="D81" s="12"/>
      <c r="E81" s="744"/>
      <c r="F81" s="1402" t="str">
        <f t="shared" si="1"/>
        <v>-</v>
      </c>
      <c r="G81" s="19"/>
      <c r="H81" s="12"/>
      <c r="I81" s="15"/>
      <c r="K81" s="117">
        <f>+E81-G81-H81-I81</f>
        <v>0</v>
      </c>
    </row>
    <row r="82" spans="1:11" s="13" customFormat="1">
      <c r="A82" s="86" t="s">
        <v>976</v>
      </c>
      <c r="B82" s="66" t="s">
        <v>977</v>
      </c>
      <c r="C82" s="502"/>
      <c r="D82" s="12"/>
      <c r="E82" s="744"/>
      <c r="F82" s="1402" t="str">
        <f t="shared" si="1"/>
        <v>-</v>
      </c>
      <c r="G82" s="19"/>
      <c r="H82" s="12"/>
      <c r="I82" s="15"/>
      <c r="K82" s="117">
        <f>+E82-G82-H82-I82</f>
        <v>0</v>
      </c>
    </row>
    <row r="83" spans="1:11">
      <c r="A83" s="85" t="s">
        <v>74</v>
      </c>
      <c r="B83" s="67" t="s">
        <v>243</v>
      </c>
      <c r="C83" s="501"/>
      <c r="D83" s="11"/>
      <c r="E83" s="988"/>
      <c r="F83" s="1402" t="str">
        <f t="shared" si="1"/>
        <v>-</v>
      </c>
      <c r="G83" s="20"/>
      <c r="H83" s="11"/>
      <c r="I83" s="16"/>
      <c r="K83" s="118">
        <f>+E83-G83-H83-I83</f>
        <v>0</v>
      </c>
    </row>
    <row r="84" spans="1:11">
      <c r="A84" s="78" t="s">
        <v>203</v>
      </c>
      <c r="B84" s="68" t="s">
        <v>244</v>
      </c>
      <c r="C84" s="500"/>
      <c r="D84" s="22"/>
      <c r="E84" s="991"/>
      <c r="F84" s="1404" t="str">
        <f t="shared" si="1"/>
        <v>-</v>
      </c>
      <c r="G84" s="21"/>
      <c r="H84" s="22"/>
      <c r="I84" s="23"/>
      <c r="K84" s="118">
        <f>+E84-G84-H84-I84</f>
        <v>0</v>
      </c>
    </row>
    <row r="85" spans="1:11" ht="12.75" thickBot="1">
      <c r="A85" s="78" t="s">
        <v>978</v>
      </c>
      <c r="B85" s="68" t="s">
        <v>979</v>
      </c>
      <c r="C85" s="500"/>
      <c r="D85" s="22"/>
      <c r="E85" s="991"/>
      <c r="F85" s="1404" t="str">
        <f t="shared" si="1"/>
        <v>-</v>
      </c>
      <c r="G85" s="21"/>
      <c r="H85" s="22"/>
      <c r="I85" s="23"/>
      <c r="K85" s="118">
        <f>+E85-G85-H85-I85</f>
        <v>0</v>
      </c>
    </row>
    <row r="86" spans="1:11" s="3" customFormat="1" ht="12.75" thickBot="1">
      <c r="A86" s="83" t="s">
        <v>45</v>
      </c>
      <c r="B86" s="70" t="s">
        <v>305</v>
      </c>
      <c r="C86" s="1049">
        <f>+C87</f>
        <v>8532</v>
      </c>
      <c r="D86" s="28">
        <f>+D87</f>
        <v>-381</v>
      </c>
      <c r="E86" s="111">
        <f>+E87</f>
        <v>-381</v>
      </c>
      <c r="F86" s="1400">
        <f t="shared" si="1"/>
        <v>1</v>
      </c>
      <c r="G86" s="27">
        <f>+G87</f>
        <v>-381</v>
      </c>
      <c r="H86" s="28">
        <f>+H87</f>
        <v>0</v>
      </c>
      <c r="I86" s="29">
        <f>+I87</f>
        <v>0</v>
      </c>
      <c r="K86" s="119">
        <f>+E86-G86-H86-I86</f>
        <v>0</v>
      </c>
    </row>
    <row r="87" spans="1:11" s="3" customFormat="1" ht="12.75" thickBot="1">
      <c r="A87" s="83" t="s">
        <v>44</v>
      </c>
      <c r="B87" s="64" t="s">
        <v>982</v>
      </c>
      <c r="C87" s="1049">
        <f>+C88+C98+C99+C100</f>
        <v>8532</v>
      </c>
      <c r="D87" s="28">
        <f>+D88+D98+D99+D100</f>
        <v>-381</v>
      </c>
      <c r="E87" s="111">
        <f>+E88+E98+E99+E100</f>
        <v>-381</v>
      </c>
      <c r="F87" s="1400">
        <f t="shared" si="1"/>
        <v>1</v>
      </c>
      <c r="G87" s="27">
        <f>+G88+G98+G99+G100</f>
        <v>-381</v>
      </c>
      <c r="H87" s="28">
        <f>+H88+H98+H99+H100</f>
        <v>0</v>
      </c>
      <c r="I87" s="29">
        <f>+I88+I98+I99+I100</f>
        <v>0</v>
      </c>
      <c r="K87" s="119">
        <f>+E87-G87-H87-I87</f>
        <v>0</v>
      </c>
    </row>
    <row r="88" spans="1:11">
      <c r="A88" s="84" t="s">
        <v>232</v>
      </c>
      <c r="B88" s="65" t="s">
        <v>1042</v>
      </c>
      <c r="C88" s="1051">
        <f>+C89+C90+C91+C92+C93+C94+C95+C96+C97</f>
        <v>8532</v>
      </c>
      <c r="D88" s="10">
        <f>+D89+D90+D91+D92+D93+D94+D95+D96+D97</f>
        <v>-381</v>
      </c>
      <c r="E88" s="115">
        <f>+E89+E90+E91+E92+E93+E94+E95+E96+E97</f>
        <v>-381</v>
      </c>
      <c r="F88" s="1401">
        <f t="shared" si="1"/>
        <v>1</v>
      </c>
      <c r="G88" s="34">
        <f>+G89+G90+G91+G92+G93+G94+G95+G96+G97</f>
        <v>-381</v>
      </c>
      <c r="H88" s="10">
        <f>+H89+H90+H91+H92+H93+H94+H95+H96+H97</f>
        <v>0</v>
      </c>
      <c r="I88" s="35">
        <f>+I89+I90+I91+I92+I93+I94+I95+I96+I97</f>
        <v>0</v>
      </c>
      <c r="K88" s="118">
        <f>+E88-G88-H88-I88</f>
        <v>0</v>
      </c>
    </row>
    <row r="89" spans="1:11" s="13" customFormat="1">
      <c r="A89" s="86" t="s">
        <v>233</v>
      </c>
      <c r="B89" s="66" t="s">
        <v>974</v>
      </c>
      <c r="C89" s="502"/>
      <c r="D89" s="12"/>
      <c r="E89" s="744"/>
      <c r="F89" s="1402" t="str">
        <f t="shared" si="1"/>
        <v>-</v>
      </c>
      <c r="G89" s="19"/>
      <c r="H89" s="12"/>
      <c r="I89" s="15"/>
      <c r="K89" s="117">
        <f>+E89-G89-H89-I89</f>
        <v>0</v>
      </c>
    </row>
    <row r="90" spans="1:11" s="13" customFormat="1">
      <c r="A90" s="86" t="s">
        <v>234</v>
      </c>
      <c r="B90" s="66" t="s">
        <v>247</v>
      </c>
      <c r="C90" s="502"/>
      <c r="D90" s="12"/>
      <c r="E90" s="744"/>
      <c r="F90" s="1402" t="str">
        <f t="shared" si="1"/>
        <v>-</v>
      </c>
      <c r="G90" s="19"/>
      <c r="H90" s="12"/>
      <c r="I90" s="15"/>
      <c r="K90" s="117">
        <f>+E90-G90-H90-I90</f>
        <v>0</v>
      </c>
    </row>
    <row r="91" spans="1:11" s="13" customFormat="1">
      <c r="A91" s="86" t="s">
        <v>235</v>
      </c>
      <c r="B91" s="66" t="s">
        <v>248</v>
      </c>
      <c r="C91" s="502"/>
      <c r="D91" s="12"/>
      <c r="E91" s="744"/>
      <c r="F91" s="1402" t="str">
        <f t="shared" si="1"/>
        <v>-</v>
      </c>
      <c r="G91" s="19"/>
      <c r="H91" s="12"/>
      <c r="I91" s="15"/>
      <c r="K91" s="117">
        <f>+E91-G91-H91-I91</f>
        <v>0</v>
      </c>
    </row>
    <row r="92" spans="1:11" s="13" customFormat="1">
      <c r="A92" s="86" t="s">
        <v>236</v>
      </c>
      <c r="B92" s="66" t="s">
        <v>249</v>
      </c>
      <c r="C92" s="502"/>
      <c r="D92" s="12"/>
      <c r="E92" s="744"/>
      <c r="F92" s="1402" t="str">
        <f t="shared" si="1"/>
        <v>-</v>
      </c>
      <c r="G92" s="19"/>
      <c r="H92" s="12"/>
      <c r="I92" s="15"/>
      <c r="K92" s="117">
        <f>+E92-G92-H92-I92</f>
        <v>0</v>
      </c>
    </row>
    <row r="93" spans="1:11" s="13" customFormat="1">
      <c r="A93" s="86" t="s">
        <v>237</v>
      </c>
      <c r="B93" s="66" t="s">
        <v>250</v>
      </c>
      <c r="C93" s="502"/>
      <c r="D93" s="12"/>
      <c r="E93" s="744"/>
      <c r="F93" s="1402" t="str">
        <f t="shared" si="1"/>
        <v>-</v>
      </c>
      <c r="G93" s="19"/>
      <c r="H93" s="12"/>
      <c r="I93" s="15"/>
      <c r="K93" s="117">
        <f>+E93-G93-H93-I93</f>
        <v>0</v>
      </c>
    </row>
    <row r="94" spans="1:11" s="13" customFormat="1">
      <c r="A94" s="108" t="s">
        <v>238</v>
      </c>
      <c r="B94" s="109" t="s">
        <v>251</v>
      </c>
      <c r="C94" s="502">
        <f t="shared" ref="C94:F94" si="3">+C149-C50+C192-C89-C90-C91-C92-C93-C95-C96-C98-C99-C100</f>
        <v>8532</v>
      </c>
      <c r="D94" s="12">
        <f t="shared" si="3"/>
        <v>-381</v>
      </c>
      <c r="E94" s="12">
        <f t="shared" si="3"/>
        <v>-381</v>
      </c>
      <c r="F94" s="1403">
        <f t="shared" si="1"/>
        <v>1</v>
      </c>
      <c r="G94" s="19">
        <f>+G149-G50+G192-G89-G90-G91-G92-G93-G95-G96-G98-G99-G100</f>
        <v>-381</v>
      </c>
      <c r="H94" s="12">
        <f>+H149-H50+H192-H89-H90-H91-H92-H93-H95-H96-H98-H99-H100</f>
        <v>0</v>
      </c>
      <c r="I94" s="15">
        <f>+I149-I50+I192-I89-I90-I91-I92-I93-I95-I96-I98-I99-I100</f>
        <v>0</v>
      </c>
      <c r="K94" s="117">
        <f>+E94-G94-H94-I94</f>
        <v>0</v>
      </c>
    </row>
    <row r="95" spans="1:11" s="13" customFormat="1">
      <c r="A95" s="86" t="s">
        <v>239</v>
      </c>
      <c r="B95" s="66" t="s">
        <v>252</v>
      </c>
      <c r="C95" s="502"/>
      <c r="D95" s="12"/>
      <c r="E95" s="12"/>
      <c r="F95" s="1402" t="str">
        <f t="shared" si="1"/>
        <v>-</v>
      </c>
      <c r="G95" s="19"/>
      <c r="H95" s="12"/>
      <c r="I95" s="15"/>
      <c r="K95" s="13">
        <f>+E95-G95-H95-I95</f>
        <v>0</v>
      </c>
    </row>
    <row r="96" spans="1:11" s="13" customFormat="1">
      <c r="A96" s="86" t="s">
        <v>240</v>
      </c>
      <c r="B96" s="66" t="s">
        <v>245</v>
      </c>
      <c r="C96" s="502"/>
      <c r="D96" s="12"/>
      <c r="E96" s="12"/>
      <c r="F96" s="1402" t="str">
        <f t="shared" si="1"/>
        <v>-</v>
      </c>
      <c r="G96" s="19"/>
      <c r="H96" s="12"/>
      <c r="I96" s="15"/>
      <c r="K96" s="13">
        <f>+E96-G96-H96-I96</f>
        <v>0</v>
      </c>
    </row>
    <row r="97" spans="1:11" s="13" customFormat="1">
      <c r="A97" s="86" t="s">
        <v>981</v>
      </c>
      <c r="B97" s="66" t="s">
        <v>977</v>
      </c>
      <c r="C97" s="502"/>
      <c r="D97" s="12"/>
      <c r="E97" s="12"/>
      <c r="F97" s="1402" t="str">
        <f t="shared" si="1"/>
        <v>-</v>
      </c>
      <c r="G97" s="19"/>
      <c r="H97" s="12"/>
      <c r="I97" s="15"/>
      <c r="K97" s="13">
        <f>+E97-G97-H97-I97</f>
        <v>0</v>
      </c>
    </row>
    <row r="98" spans="1:11">
      <c r="A98" s="85" t="s">
        <v>241</v>
      </c>
      <c r="B98" s="67" t="s">
        <v>243</v>
      </c>
      <c r="C98" s="501"/>
      <c r="D98" s="11"/>
      <c r="E98" s="11"/>
      <c r="F98" s="1402" t="str">
        <f t="shared" si="1"/>
        <v>-</v>
      </c>
      <c r="G98" s="20"/>
      <c r="H98" s="11"/>
      <c r="I98" s="16"/>
      <c r="K98" s="4">
        <f>+E98-G98-H98-I98</f>
        <v>0</v>
      </c>
    </row>
    <row r="99" spans="1:11">
      <c r="A99" s="78" t="s">
        <v>242</v>
      </c>
      <c r="B99" s="68" t="s">
        <v>244</v>
      </c>
      <c r="C99" s="500"/>
      <c r="D99" s="22"/>
      <c r="E99" s="22"/>
      <c r="F99" s="1404" t="str">
        <f t="shared" si="1"/>
        <v>-</v>
      </c>
      <c r="G99" s="21"/>
      <c r="H99" s="22"/>
      <c r="I99" s="23"/>
      <c r="K99" s="4">
        <f>+E99-G99-H99-I99</f>
        <v>0</v>
      </c>
    </row>
    <row r="100" spans="1:11" ht="12.75" thickBot="1">
      <c r="A100" s="78" t="s">
        <v>983</v>
      </c>
      <c r="B100" s="68" t="s">
        <v>979</v>
      </c>
      <c r="C100" s="500"/>
      <c r="D100" s="22"/>
      <c r="E100" s="22"/>
      <c r="F100" s="1404" t="str">
        <f t="shared" si="1"/>
        <v>-</v>
      </c>
      <c r="G100" s="21"/>
      <c r="H100" s="22"/>
      <c r="I100" s="23"/>
      <c r="K100" s="4">
        <f>+E100-G100-H100-I100</f>
        <v>0</v>
      </c>
    </row>
    <row r="101" spans="1:11" s="3" customFormat="1" ht="12.75" thickBot="1">
      <c r="A101" s="83" t="s">
        <v>43</v>
      </c>
      <c r="B101" s="69" t="s">
        <v>306</v>
      </c>
      <c r="C101" s="1049">
        <f>+C71+C86</f>
        <v>38191</v>
      </c>
      <c r="D101" s="28">
        <f>+D71+D86</f>
        <v>33158</v>
      </c>
      <c r="E101" s="28">
        <f>+E71+E86</f>
        <v>32334</v>
      </c>
      <c r="F101" s="1400">
        <f t="shared" si="1"/>
        <v>0.97514928524036426</v>
      </c>
      <c r="G101" s="27">
        <f>+G71+G86</f>
        <v>32334</v>
      </c>
      <c r="H101" s="28">
        <f>+H71+H86</f>
        <v>0</v>
      </c>
      <c r="I101" s="29">
        <f>+I71+I86</f>
        <v>0</v>
      </c>
      <c r="K101" s="3">
        <f>+E101-G101-H101-I101</f>
        <v>0</v>
      </c>
    </row>
    <row r="102" spans="1:11" s="3" customFormat="1" ht="12.75" thickBot="1">
      <c r="A102" s="87" t="s">
        <v>40</v>
      </c>
      <c r="B102" s="71" t="s">
        <v>307</v>
      </c>
      <c r="C102" s="1056">
        <f>+C70+C101</f>
        <v>39641</v>
      </c>
      <c r="D102" s="25">
        <f>+D70+D101</f>
        <v>34459</v>
      </c>
      <c r="E102" s="25">
        <f>+E70+E101</f>
        <v>33635</v>
      </c>
      <c r="F102" s="1406">
        <f t="shared" si="1"/>
        <v>0.97608752430424561</v>
      </c>
      <c r="G102" s="24">
        <f>+G70+G101</f>
        <v>33635</v>
      </c>
      <c r="H102" s="25">
        <f>+H70+H101</f>
        <v>0</v>
      </c>
      <c r="I102" s="26">
        <f>+I70+I101</f>
        <v>0</v>
      </c>
      <c r="K102" s="3">
        <f>+E102-G102-H102-I102</f>
        <v>0</v>
      </c>
    </row>
    <row r="103" spans="1:11" s="3" customFormat="1">
      <c r="A103" s="53"/>
      <c r="B103" s="30"/>
      <c r="C103" s="30"/>
      <c r="D103" s="30"/>
      <c r="E103" s="30"/>
      <c r="F103" s="1397"/>
      <c r="G103" s="30"/>
      <c r="H103" s="30"/>
      <c r="I103" s="30"/>
    </row>
    <row r="104" spans="1:11" s="3" customFormat="1">
      <c r="A104" s="53"/>
      <c r="B104" s="30"/>
      <c r="C104" s="30"/>
      <c r="D104" s="30"/>
      <c r="E104" s="30"/>
      <c r="F104" s="1407"/>
      <c r="G104" s="30"/>
      <c r="H104" s="30"/>
      <c r="I104" s="30"/>
    </row>
    <row r="105" spans="1:11" s="52" customFormat="1" ht="15.75">
      <c r="A105" s="1216" t="s">
        <v>80</v>
      </c>
      <c r="B105" s="1216"/>
      <c r="C105" s="1216"/>
      <c r="D105" s="1216"/>
      <c r="E105" s="1216"/>
      <c r="F105" s="1216"/>
      <c r="G105" s="1216"/>
      <c r="H105" s="1216"/>
      <c r="I105" s="1216"/>
    </row>
    <row r="106" spans="1:11" s="36" customFormat="1" ht="12.75" thickBot="1">
      <c r="A106" s="38" t="s">
        <v>279</v>
      </c>
      <c r="F106" s="1397"/>
      <c r="I106" s="37" t="s">
        <v>281</v>
      </c>
    </row>
    <row r="107" spans="1:11" s="3" customFormat="1" ht="48.75" thickBot="1">
      <c r="A107" s="79" t="s">
        <v>17</v>
      </c>
      <c r="B107" s="80" t="s">
        <v>329</v>
      </c>
      <c r="C107" s="1057" t="s">
        <v>1474</v>
      </c>
      <c r="D107" s="6" t="s">
        <v>1475</v>
      </c>
      <c r="E107" s="6" t="s">
        <v>1529</v>
      </c>
      <c r="F107" s="1398" t="s">
        <v>1527</v>
      </c>
      <c r="G107" s="5" t="s">
        <v>51</v>
      </c>
      <c r="H107" s="6" t="s">
        <v>52</v>
      </c>
      <c r="I107" s="7" t="s">
        <v>53</v>
      </c>
    </row>
    <row r="108" spans="1:11" s="3" customFormat="1" ht="12.75" thickBot="1">
      <c r="A108" s="81" t="s">
        <v>253</v>
      </c>
      <c r="B108" s="82" t="s">
        <v>254</v>
      </c>
      <c r="C108" s="1221" t="s">
        <v>255</v>
      </c>
      <c r="D108" s="1222"/>
      <c r="E108" s="1222"/>
      <c r="F108" s="1222"/>
      <c r="G108" s="1223"/>
      <c r="H108" s="1223"/>
      <c r="I108" s="1224"/>
    </row>
    <row r="109" spans="1:11" s="3" customFormat="1" ht="12.75" thickBot="1">
      <c r="A109" s="83" t="s">
        <v>4</v>
      </c>
      <c r="B109" s="69" t="s">
        <v>308</v>
      </c>
      <c r="C109" s="1049">
        <f>+C110+C114+C116+C123+C132</f>
        <v>31109</v>
      </c>
      <c r="D109" s="28">
        <f>+D110+D114+D116+D123+D132</f>
        <v>34440</v>
      </c>
      <c r="E109" s="28">
        <f>+E110+E114+E116+E123+E132</f>
        <v>32962</v>
      </c>
      <c r="F109" s="1408">
        <f t="shared" ref="F109:F172" si="4">IF(ISERROR(E109/D109),"-",E109/D109)</f>
        <v>0.95708478513356565</v>
      </c>
      <c r="G109" s="27">
        <f>+G110+G114+G116+G123+G132</f>
        <v>32962</v>
      </c>
      <c r="H109" s="28">
        <f>+H110+H114+H116+H123+H132</f>
        <v>0</v>
      </c>
      <c r="I109" s="29">
        <f>+I110+I114+I116+I123+I132</f>
        <v>0</v>
      </c>
      <c r="K109" s="3">
        <f>+E109-G109-H109-I109</f>
        <v>0</v>
      </c>
    </row>
    <row r="110" spans="1:11" s="3" customFormat="1" ht="12.75" thickBot="1">
      <c r="A110" s="83" t="s">
        <v>5</v>
      </c>
      <c r="B110" s="64" t="s">
        <v>309</v>
      </c>
      <c r="C110" s="1049">
        <f>+C112+C113</f>
        <v>17163</v>
      </c>
      <c r="D110" s="28">
        <f>+D112+D113</f>
        <v>19464</v>
      </c>
      <c r="E110" s="28">
        <f>+E112+E113</f>
        <v>19464</v>
      </c>
      <c r="F110" s="1408">
        <f t="shared" si="4"/>
        <v>1</v>
      </c>
      <c r="G110" s="27">
        <f>+G112+G113</f>
        <v>19464</v>
      </c>
      <c r="H110" s="28">
        <f>+H112+H113</f>
        <v>0</v>
      </c>
      <c r="I110" s="29">
        <f>+I112+I113</f>
        <v>0</v>
      </c>
      <c r="K110" s="3">
        <f>+E110-G110-H110-I110</f>
        <v>0</v>
      </c>
    </row>
    <row r="111" spans="1:11" s="36" customFormat="1">
      <c r="A111" s="819" t="s">
        <v>349</v>
      </c>
      <c r="B111" s="820" t="s">
        <v>350</v>
      </c>
      <c r="C111" s="1058"/>
      <c r="D111" s="97"/>
      <c r="E111" s="97"/>
      <c r="F111" s="1409" t="str">
        <f t="shared" si="4"/>
        <v>-</v>
      </c>
      <c r="G111" s="96"/>
      <c r="H111" s="97"/>
      <c r="I111" s="98"/>
      <c r="K111" s="36">
        <f>+E111-G111-H111-I111</f>
        <v>0</v>
      </c>
    </row>
    <row r="112" spans="1:11">
      <c r="A112" s="84" t="s">
        <v>54</v>
      </c>
      <c r="B112" s="65" t="s">
        <v>127</v>
      </c>
      <c r="C112" s="1051">
        <v>17163</v>
      </c>
      <c r="D112" s="10">
        <v>19355</v>
      </c>
      <c r="E112" s="10">
        <v>19355</v>
      </c>
      <c r="F112" s="1410">
        <f t="shared" si="4"/>
        <v>1</v>
      </c>
      <c r="G112" s="34">
        <v>19355</v>
      </c>
      <c r="H112" s="10"/>
      <c r="I112" s="35"/>
      <c r="K112" s="4">
        <f>+E112-G112-H112-I112</f>
        <v>0</v>
      </c>
    </row>
    <row r="113" spans="1:11" ht="12.75" thickBot="1">
      <c r="A113" s="78" t="s">
        <v>55</v>
      </c>
      <c r="B113" s="68" t="s">
        <v>128</v>
      </c>
      <c r="C113" s="500"/>
      <c r="D113" s="22">
        <v>109</v>
      </c>
      <c r="E113" s="22">
        <v>109</v>
      </c>
      <c r="F113" s="1411">
        <f t="shared" si="4"/>
        <v>1</v>
      </c>
      <c r="G113" s="21">
        <v>109</v>
      </c>
      <c r="H113" s="22"/>
      <c r="I113" s="23"/>
      <c r="K113" s="4">
        <f>+E113-G113-H113-I113</f>
        <v>0</v>
      </c>
    </row>
    <row r="114" spans="1:11" s="3" customFormat="1" ht="12.75" thickBot="1">
      <c r="A114" s="83" t="s">
        <v>6</v>
      </c>
      <c r="B114" s="64" t="s">
        <v>256</v>
      </c>
      <c r="C114" s="1049">
        <v>3304</v>
      </c>
      <c r="D114" s="28">
        <v>3730</v>
      </c>
      <c r="E114" s="28">
        <v>3730</v>
      </c>
      <c r="F114" s="1408">
        <f t="shared" si="4"/>
        <v>1</v>
      </c>
      <c r="G114" s="27">
        <v>3730</v>
      </c>
      <c r="H114" s="28"/>
      <c r="I114" s="29"/>
      <c r="K114" s="3">
        <f>+E114-G114-H114-I114</f>
        <v>0</v>
      </c>
    </row>
    <row r="115" spans="1:11" s="36" customFormat="1" ht="12.75" thickBot="1">
      <c r="A115" s="819" t="s">
        <v>346</v>
      </c>
      <c r="B115" s="820" t="s">
        <v>347</v>
      </c>
      <c r="C115" s="1058"/>
      <c r="D115" s="97"/>
      <c r="E115" s="97"/>
      <c r="F115" s="1409" t="str">
        <f t="shared" si="4"/>
        <v>-</v>
      </c>
      <c r="G115" s="96"/>
      <c r="H115" s="97"/>
      <c r="I115" s="98"/>
      <c r="K115" s="36">
        <f>+E115-G115-H115-I115</f>
        <v>0</v>
      </c>
    </row>
    <row r="116" spans="1:11" s="3" customFormat="1" ht="12.75" thickBot="1">
      <c r="A116" s="83" t="s">
        <v>3</v>
      </c>
      <c r="B116" s="64" t="s">
        <v>343</v>
      </c>
      <c r="C116" s="1049">
        <f>+C118+C119+C120+C121+C122</f>
        <v>10642</v>
      </c>
      <c r="D116" s="28">
        <f>+D118+D119+D120+D121+D122</f>
        <v>11130</v>
      </c>
      <c r="E116" s="28">
        <f>+E118+E119+E120+E121+E122</f>
        <v>9652</v>
      </c>
      <c r="F116" s="1408">
        <f t="shared" si="4"/>
        <v>0.8672057502246181</v>
      </c>
      <c r="G116" s="27">
        <f>+G118+G119+G120+G121+G122</f>
        <v>9652</v>
      </c>
      <c r="H116" s="28">
        <f>+H118+H119+H120+H121+H122</f>
        <v>0</v>
      </c>
      <c r="I116" s="29">
        <f>+I118+I119+I120+I121+I122</f>
        <v>0</v>
      </c>
      <c r="K116" s="3">
        <f>+E116-G116-H116-I116</f>
        <v>0</v>
      </c>
    </row>
    <row r="117" spans="1:11" s="36" customFormat="1">
      <c r="A117" s="819" t="s">
        <v>341</v>
      </c>
      <c r="B117" s="820" t="s">
        <v>348</v>
      </c>
      <c r="C117" s="1058"/>
      <c r="D117" s="97"/>
      <c r="E117" s="97"/>
      <c r="F117" s="1409" t="str">
        <f t="shared" si="4"/>
        <v>-</v>
      </c>
      <c r="G117" s="96"/>
      <c r="H117" s="97"/>
      <c r="I117" s="98"/>
      <c r="K117" s="36">
        <f>+E117-G117-H117-I117</f>
        <v>0</v>
      </c>
    </row>
    <row r="118" spans="1:11">
      <c r="A118" s="84" t="s">
        <v>61</v>
      </c>
      <c r="B118" s="65" t="s">
        <v>129</v>
      </c>
      <c r="C118" s="1051">
        <v>2620</v>
      </c>
      <c r="D118" s="10">
        <v>2981</v>
      </c>
      <c r="E118" s="10">
        <v>2247</v>
      </c>
      <c r="F118" s="1410">
        <f t="shared" si="4"/>
        <v>0.75377390137537736</v>
      </c>
      <c r="G118" s="34">
        <v>2247</v>
      </c>
      <c r="H118" s="10"/>
      <c r="I118" s="35"/>
      <c r="K118" s="4">
        <f>+E118-G118-H118-I118</f>
        <v>0</v>
      </c>
    </row>
    <row r="119" spans="1:11">
      <c r="A119" s="85" t="s">
        <v>62</v>
      </c>
      <c r="B119" s="67" t="s">
        <v>130</v>
      </c>
      <c r="C119" s="501">
        <v>1580</v>
      </c>
      <c r="D119" s="11">
        <v>1041</v>
      </c>
      <c r="E119" s="11">
        <v>992</v>
      </c>
      <c r="F119" s="1412">
        <f t="shared" si="4"/>
        <v>0.95292987512007687</v>
      </c>
      <c r="G119" s="20">
        <v>992</v>
      </c>
      <c r="H119" s="11"/>
      <c r="I119" s="16"/>
      <c r="K119" s="4">
        <f>+E119-G119-H119-I119</f>
        <v>0</v>
      </c>
    </row>
    <row r="120" spans="1:11">
      <c r="A120" s="85" t="s">
        <v>63</v>
      </c>
      <c r="B120" s="67" t="s">
        <v>131</v>
      </c>
      <c r="C120" s="501">
        <v>4163</v>
      </c>
      <c r="D120" s="11">
        <v>5137</v>
      </c>
      <c r="E120" s="11">
        <v>4631</v>
      </c>
      <c r="F120" s="1412">
        <f t="shared" si="4"/>
        <v>0.90149892933618847</v>
      </c>
      <c r="G120" s="20">
        <v>4631</v>
      </c>
      <c r="H120" s="11"/>
      <c r="I120" s="16"/>
      <c r="K120" s="4">
        <f>+E120-G120-H120-I120</f>
        <v>0</v>
      </c>
    </row>
    <row r="121" spans="1:11">
      <c r="A121" s="85" t="s">
        <v>64</v>
      </c>
      <c r="B121" s="67" t="s">
        <v>132</v>
      </c>
      <c r="C121" s="501">
        <v>175</v>
      </c>
      <c r="D121" s="11">
        <v>8</v>
      </c>
      <c r="E121" s="11">
        <v>8</v>
      </c>
      <c r="F121" s="1412">
        <f t="shared" si="4"/>
        <v>1</v>
      </c>
      <c r="G121" s="20">
        <v>8</v>
      </c>
      <c r="H121" s="11"/>
      <c r="I121" s="16"/>
      <c r="K121" s="4">
        <f>+E121-G121-H121-I121</f>
        <v>0</v>
      </c>
    </row>
    <row r="122" spans="1:11" ht="12.75" thickBot="1">
      <c r="A122" s="78" t="s">
        <v>65</v>
      </c>
      <c r="B122" s="68" t="s">
        <v>133</v>
      </c>
      <c r="C122" s="500">
        <v>2104</v>
      </c>
      <c r="D122" s="22">
        <v>1963</v>
      </c>
      <c r="E122" s="22">
        <v>1774</v>
      </c>
      <c r="F122" s="1411">
        <f t="shared" si="4"/>
        <v>0.90371879775853281</v>
      </c>
      <c r="G122" s="21">
        <v>1774</v>
      </c>
      <c r="H122" s="22"/>
      <c r="I122" s="23"/>
      <c r="K122" s="4">
        <f>+E122-G122-H122-I122</f>
        <v>0</v>
      </c>
    </row>
    <row r="123" spans="1:11" s="3" customFormat="1" ht="12.75" thickBot="1">
      <c r="A123" s="83" t="s">
        <v>16</v>
      </c>
      <c r="B123" s="64" t="s">
        <v>310</v>
      </c>
      <c r="C123" s="1049">
        <f>+C124+C125+C126+C127+C128+C129+C130+C131</f>
        <v>0</v>
      </c>
      <c r="D123" s="28">
        <f>+D124+D125+D126+D127+D128+D129+D130+D131</f>
        <v>0</v>
      </c>
      <c r="E123" s="28">
        <f>+E124+E125+E126+E127+E128+E129+E130+E131</f>
        <v>0</v>
      </c>
      <c r="F123" s="1408" t="str">
        <f t="shared" si="4"/>
        <v>-</v>
      </c>
      <c r="G123" s="27">
        <f>+G124+G125+G126+G127+G128+G129+G130+G131</f>
        <v>0</v>
      </c>
      <c r="H123" s="28">
        <f>+H124+H125+H126+H127+H128+H129+H130+H131</f>
        <v>0</v>
      </c>
      <c r="I123" s="29">
        <f>+I124+I125+I126+I127+I128+I129+I130+I131</f>
        <v>0</v>
      </c>
      <c r="K123" s="3">
        <f>+E123-G123-H123-I123</f>
        <v>0</v>
      </c>
    </row>
    <row r="124" spans="1:11">
      <c r="A124" s="84" t="s">
        <v>227</v>
      </c>
      <c r="B124" s="65" t="s">
        <v>134</v>
      </c>
      <c r="C124" s="1051"/>
      <c r="D124" s="10"/>
      <c r="E124" s="10"/>
      <c r="F124" s="1410" t="str">
        <f t="shared" si="4"/>
        <v>-</v>
      </c>
      <c r="G124" s="34"/>
      <c r="H124" s="10"/>
      <c r="I124" s="35"/>
      <c r="K124" s="4">
        <f>+E124-G124-H124-I124</f>
        <v>0</v>
      </c>
    </row>
    <row r="125" spans="1:11">
      <c r="A125" s="85" t="s">
        <v>228</v>
      </c>
      <c r="B125" s="67" t="s">
        <v>135</v>
      </c>
      <c r="C125" s="501"/>
      <c r="D125" s="11"/>
      <c r="E125" s="11"/>
      <c r="F125" s="1412" t="str">
        <f t="shared" si="4"/>
        <v>-</v>
      </c>
      <c r="G125" s="20"/>
      <c r="H125" s="11"/>
      <c r="I125" s="16"/>
      <c r="K125" s="4">
        <f>+E125-G125-H125-I125</f>
        <v>0</v>
      </c>
    </row>
    <row r="126" spans="1:11">
      <c r="A126" s="85" t="s">
        <v>229</v>
      </c>
      <c r="B126" s="67" t="s">
        <v>136</v>
      </c>
      <c r="C126" s="501"/>
      <c r="D126" s="11"/>
      <c r="E126" s="11"/>
      <c r="F126" s="1412" t="str">
        <f t="shared" si="4"/>
        <v>-</v>
      </c>
      <c r="G126" s="20"/>
      <c r="H126" s="11"/>
      <c r="I126" s="16"/>
      <c r="K126" s="4">
        <f>+E126-G126-H126-I126</f>
        <v>0</v>
      </c>
    </row>
    <row r="127" spans="1:11">
      <c r="A127" s="85" t="s">
        <v>257</v>
      </c>
      <c r="B127" s="67" t="s">
        <v>137</v>
      </c>
      <c r="C127" s="501"/>
      <c r="D127" s="11"/>
      <c r="E127" s="11"/>
      <c r="F127" s="1412" t="str">
        <f t="shared" si="4"/>
        <v>-</v>
      </c>
      <c r="G127" s="20"/>
      <c r="H127" s="11"/>
      <c r="I127" s="16"/>
      <c r="K127" s="4">
        <f>+E127-G127-H127-I127</f>
        <v>0</v>
      </c>
    </row>
    <row r="128" spans="1:11">
      <c r="A128" s="85" t="s">
        <v>258</v>
      </c>
      <c r="B128" s="67" t="s">
        <v>138</v>
      </c>
      <c r="C128" s="501"/>
      <c r="D128" s="11"/>
      <c r="E128" s="11"/>
      <c r="F128" s="1412" t="str">
        <f t="shared" si="4"/>
        <v>-</v>
      </c>
      <c r="G128" s="20"/>
      <c r="H128" s="11"/>
      <c r="I128" s="16"/>
      <c r="K128" s="4">
        <f>+E128-G128-H128-I128</f>
        <v>0</v>
      </c>
    </row>
    <row r="129" spans="1:11">
      <c r="A129" s="85" t="s">
        <v>259</v>
      </c>
      <c r="B129" s="67" t="s">
        <v>139</v>
      </c>
      <c r="C129" s="501"/>
      <c r="D129" s="11"/>
      <c r="E129" s="11"/>
      <c r="F129" s="1412" t="str">
        <f t="shared" si="4"/>
        <v>-</v>
      </c>
      <c r="G129" s="20"/>
      <c r="H129" s="11"/>
      <c r="I129" s="16"/>
      <c r="K129" s="4">
        <f>+E129-G129-H129-I129</f>
        <v>0</v>
      </c>
    </row>
    <row r="130" spans="1:11">
      <c r="A130" s="85" t="s">
        <v>260</v>
      </c>
      <c r="B130" s="67" t="s">
        <v>140</v>
      </c>
      <c r="C130" s="501"/>
      <c r="D130" s="11"/>
      <c r="E130" s="11"/>
      <c r="F130" s="1412" t="str">
        <f t="shared" si="4"/>
        <v>-</v>
      </c>
      <c r="G130" s="20"/>
      <c r="H130" s="11"/>
      <c r="I130" s="16"/>
      <c r="K130" s="4">
        <f>+E130-G130-H130-I130</f>
        <v>0</v>
      </c>
    </row>
    <row r="131" spans="1:11" ht="12.75" thickBot="1">
      <c r="A131" s="78" t="s">
        <v>261</v>
      </c>
      <c r="B131" s="68" t="s">
        <v>141</v>
      </c>
      <c r="C131" s="500"/>
      <c r="D131" s="22"/>
      <c r="E131" s="22"/>
      <c r="F131" s="1411" t="str">
        <f t="shared" si="4"/>
        <v>-</v>
      </c>
      <c r="G131" s="21"/>
      <c r="H131" s="22"/>
      <c r="I131" s="23"/>
      <c r="K131" s="4">
        <f>+E131-G131-H131-I131</f>
        <v>0</v>
      </c>
    </row>
    <row r="132" spans="1:11" s="3" customFormat="1" ht="12.75" thickBot="1">
      <c r="A132" s="83" t="s">
        <v>15</v>
      </c>
      <c r="B132" s="64" t="s">
        <v>987</v>
      </c>
      <c r="C132" s="1049">
        <f>+C133+C134+C135+C136+C137+C138+C140+C141+C142+C143+C144+C145+C146</f>
        <v>0</v>
      </c>
      <c r="D132" s="28">
        <f>+D133+D134+D135+D136+D137+D138+D140+D141+D142+D143+D144+D145+D146</f>
        <v>116</v>
      </c>
      <c r="E132" s="28">
        <f>+E133+E134+E135+E136+E137+E138+E144+E140+E141+E142+E143+E145+E146</f>
        <v>116</v>
      </c>
      <c r="F132" s="1408">
        <f t="shared" si="4"/>
        <v>1</v>
      </c>
      <c r="G132" s="27">
        <f>+G133+G134+G135+G136+G137+G138+G140+G141+G142+G143+G144+G145+G146</f>
        <v>116</v>
      </c>
      <c r="H132" s="28">
        <f>+H133+H134+H135+H136+H137+H138+H140+H141+H142+H143+H144+H145+H146</f>
        <v>0</v>
      </c>
      <c r="I132" s="29">
        <f>+I133+I134+I135+I136+I137+I138+I140+I141+I142+I143+I144+I145+I146</f>
        <v>0</v>
      </c>
      <c r="K132" s="3">
        <f>+E132-G132-H132-I132</f>
        <v>0</v>
      </c>
    </row>
    <row r="133" spans="1:11">
      <c r="A133" s="84" t="s">
        <v>87</v>
      </c>
      <c r="B133" s="65" t="s">
        <v>142</v>
      </c>
      <c r="C133" s="1051"/>
      <c r="D133" s="10"/>
      <c r="E133" s="10"/>
      <c r="F133" s="1410" t="str">
        <f t="shared" si="4"/>
        <v>-</v>
      </c>
      <c r="G133" s="34"/>
      <c r="H133" s="10"/>
      <c r="I133" s="35"/>
      <c r="K133" s="4">
        <f>+E133-G133-H133-I133</f>
        <v>0</v>
      </c>
    </row>
    <row r="134" spans="1:11">
      <c r="A134" s="85" t="s">
        <v>88</v>
      </c>
      <c r="B134" s="67" t="s">
        <v>143</v>
      </c>
      <c r="C134" s="501"/>
      <c r="D134" s="11">
        <f>0+116</f>
        <v>116</v>
      </c>
      <c r="E134" s="11">
        <v>116</v>
      </c>
      <c r="F134" s="1412">
        <f t="shared" si="4"/>
        <v>1</v>
      </c>
      <c r="G134" s="20">
        <v>116</v>
      </c>
      <c r="H134" s="11"/>
      <c r="I134" s="16"/>
      <c r="K134" s="4">
        <f>+E134-G134-H134-I134</f>
        <v>0</v>
      </c>
    </row>
    <row r="135" spans="1:11">
      <c r="A135" s="85" t="s">
        <v>182</v>
      </c>
      <c r="B135" s="67" t="s">
        <v>144</v>
      </c>
      <c r="C135" s="501"/>
      <c r="D135" s="11"/>
      <c r="E135" s="11"/>
      <c r="F135" s="1412" t="str">
        <f t="shared" si="4"/>
        <v>-</v>
      </c>
      <c r="G135" s="20"/>
      <c r="H135" s="11"/>
      <c r="I135" s="16"/>
      <c r="K135" s="4">
        <f>+E135-G135-H135-I135</f>
        <v>0</v>
      </c>
    </row>
    <row r="136" spans="1:11">
      <c r="A136" s="85" t="s">
        <v>183</v>
      </c>
      <c r="B136" s="67" t="s">
        <v>145</v>
      </c>
      <c r="C136" s="501"/>
      <c r="D136" s="11"/>
      <c r="E136" s="11"/>
      <c r="F136" s="1412" t="str">
        <f t="shared" si="4"/>
        <v>-</v>
      </c>
      <c r="G136" s="20"/>
      <c r="H136" s="11"/>
      <c r="I136" s="16"/>
      <c r="K136" s="4">
        <f>+E136-G136-H136-I136</f>
        <v>0</v>
      </c>
    </row>
    <row r="137" spans="1:11">
      <c r="A137" s="85" t="s">
        <v>184</v>
      </c>
      <c r="B137" s="67" t="s">
        <v>146</v>
      </c>
      <c r="C137" s="501"/>
      <c r="D137" s="11"/>
      <c r="E137" s="11"/>
      <c r="F137" s="1412" t="str">
        <f t="shared" si="4"/>
        <v>-</v>
      </c>
      <c r="G137" s="20"/>
      <c r="H137" s="11"/>
      <c r="I137" s="16"/>
      <c r="K137" s="4">
        <f>+E137-G137-H137-I137</f>
        <v>0</v>
      </c>
    </row>
    <row r="138" spans="1:11">
      <c r="A138" s="85" t="s">
        <v>262</v>
      </c>
      <c r="B138" s="67" t="s">
        <v>147</v>
      </c>
      <c r="C138" s="501"/>
      <c r="D138" s="11"/>
      <c r="E138" s="11"/>
      <c r="F138" s="1412" t="str">
        <f t="shared" si="4"/>
        <v>-</v>
      </c>
      <c r="G138" s="20"/>
      <c r="H138" s="11"/>
      <c r="I138" s="16"/>
      <c r="K138" s="4">
        <f>+E138-G138-H138-I138</f>
        <v>0</v>
      </c>
    </row>
    <row r="139" spans="1:11" s="13" customFormat="1">
      <c r="A139" s="89" t="s">
        <v>336</v>
      </c>
      <c r="B139" s="818" t="s">
        <v>993</v>
      </c>
      <c r="C139" s="1050"/>
      <c r="D139" s="43"/>
      <c r="E139" s="43"/>
      <c r="F139" s="1411" t="str">
        <f t="shared" si="4"/>
        <v>-</v>
      </c>
      <c r="G139" s="45"/>
      <c r="H139" s="43"/>
      <c r="I139" s="44"/>
      <c r="K139" s="13">
        <f>+E139-G139-H139-I139</f>
        <v>0</v>
      </c>
    </row>
    <row r="140" spans="1:11">
      <c r="A140" s="85" t="s">
        <v>263</v>
      </c>
      <c r="B140" s="67" t="s">
        <v>148</v>
      </c>
      <c r="C140" s="501"/>
      <c r="D140" s="11"/>
      <c r="E140" s="11"/>
      <c r="F140" s="1412" t="str">
        <f t="shared" si="4"/>
        <v>-</v>
      </c>
      <c r="G140" s="20"/>
      <c r="H140" s="11"/>
      <c r="I140" s="16"/>
      <c r="K140" s="4">
        <f>+E140-G140-H140-I140</f>
        <v>0</v>
      </c>
    </row>
    <row r="141" spans="1:11">
      <c r="A141" s="85" t="s">
        <v>264</v>
      </c>
      <c r="B141" s="67" t="s">
        <v>149</v>
      </c>
      <c r="C141" s="501"/>
      <c r="D141" s="11"/>
      <c r="E141" s="11"/>
      <c r="F141" s="1412" t="str">
        <f t="shared" si="4"/>
        <v>-</v>
      </c>
      <c r="G141" s="20"/>
      <c r="H141" s="11"/>
      <c r="I141" s="16"/>
      <c r="K141" s="4">
        <f>+E141-G141-H141-I141</f>
        <v>0</v>
      </c>
    </row>
    <row r="142" spans="1:11">
      <c r="A142" s="85" t="s">
        <v>265</v>
      </c>
      <c r="B142" s="67" t="s">
        <v>150</v>
      </c>
      <c r="C142" s="501"/>
      <c r="D142" s="11"/>
      <c r="E142" s="11"/>
      <c r="F142" s="1412" t="str">
        <f t="shared" si="4"/>
        <v>-</v>
      </c>
      <c r="G142" s="20"/>
      <c r="H142" s="11"/>
      <c r="I142" s="16"/>
      <c r="K142" s="4">
        <f>+E142-G142-H142-I142</f>
        <v>0</v>
      </c>
    </row>
    <row r="143" spans="1:11">
      <c r="A143" s="85" t="s">
        <v>266</v>
      </c>
      <c r="B143" s="67" t="s">
        <v>151</v>
      </c>
      <c r="C143" s="501"/>
      <c r="D143" s="11"/>
      <c r="E143" s="11"/>
      <c r="F143" s="1412" t="str">
        <f t="shared" si="4"/>
        <v>-</v>
      </c>
      <c r="G143" s="20"/>
      <c r="H143" s="11"/>
      <c r="I143" s="16"/>
      <c r="K143" s="4">
        <f>+E143-G143-H143-I143</f>
        <v>0</v>
      </c>
    </row>
    <row r="144" spans="1:11">
      <c r="A144" s="85" t="s">
        <v>267</v>
      </c>
      <c r="B144" s="67" t="s">
        <v>988</v>
      </c>
      <c r="C144" s="501"/>
      <c r="D144" s="11"/>
      <c r="E144" s="11"/>
      <c r="F144" s="1412" t="str">
        <f t="shared" si="4"/>
        <v>-</v>
      </c>
      <c r="G144" s="20"/>
      <c r="H144" s="11"/>
      <c r="I144" s="16"/>
      <c r="K144" s="4">
        <f>+E144-G144-H144-I144</f>
        <v>0</v>
      </c>
    </row>
    <row r="145" spans="1:11">
      <c r="A145" s="85" t="s">
        <v>268</v>
      </c>
      <c r="B145" s="67" t="s">
        <v>989</v>
      </c>
      <c r="C145" s="501"/>
      <c r="D145" s="11"/>
      <c r="E145" s="11"/>
      <c r="F145" s="1412" t="str">
        <f t="shared" si="4"/>
        <v>-</v>
      </c>
      <c r="G145" s="20"/>
      <c r="H145" s="11"/>
      <c r="I145" s="16"/>
      <c r="K145" s="4">
        <f>+E145-G145-H145-I145</f>
        <v>0</v>
      </c>
    </row>
    <row r="146" spans="1:11">
      <c r="A146" s="78" t="s">
        <v>984</v>
      </c>
      <c r="B146" s="68" t="s">
        <v>990</v>
      </c>
      <c r="C146" s="500">
        <f>+C147+C148</f>
        <v>0</v>
      </c>
      <c r="D146" s="22">
        <f>+D147+D148</f>
        <v>0</v>
      </c>
      <c r="E146" s="22">
        <f>+E147+E148</f>
        <v>0</v>
      </c>
      <c r="F146" s="1411" t="str">
        <f t="shared" si="4"/>
        <v>-</v>
      </c>
      <c r="G146" s="21">
        <f>+G147+G148</f>
        <v>0</v>
      </c>
      <c r="H146" s="22">
        <f>+H147+H148</f>
        <v>0</v>
      </c>
      <c r="I146" s="23">
        <f>+I147+I148</f>
        <v>0</v>
      </c>
      <c r="K146" s="4">
        <f>+E146-G146-H146-I146</f>
        <v>0</v>
      </c>
    </row>
    <row r="147" spans="1:11" s="13" customFormat="1">
      <c r="A147" s="89" t="s">
        <v>985</v>
      </c>
      <c r="B147" s="74" t="s">
        <v>991</v>
      </c>
      <c r="C147" s="1050"/>
      <c r="D147" s="43"/>
      <c r="E147" s="43"/>
      <c r="F147" s="1411" t="str">
        <f t="shared" si="4"/>
        <v>-</v>
      </c>
      <c r="G147" s="45"/>
      <c r="H147" s="43"/>
      <c r="I147" s="44"/>
      <c r="K147" s="13">
        <f>+E147-G147-H147-I147</f>
        <v>0</v>
      </c>
    </row>
    <row r="148" spans="1:11" s="13" customFormat="1" ht="12.75" thickBot="1">
      <c r="A148" s="89" t="s">
        <v>986</v>
      </c>
      <c r="B148" s="74" t="s">
        <v>992</v>
      </c>
      <c r="C148" s="1050"/>
      <c r="D148" s="43"/>
      <c r="E148" s="43"/>
      <c r="F148" s="1411" t="str">
        <f t="shared" si="4"/>
        <v>-</v>
      </c>
      <c r="G148" s="45"/>
      <c r="H148" s="43"/>
      <c r="I148" s="44"/>
      <c r="K148" s="13">
        <f>+E148-G148-H148-I148</f>
        <v>0</v>
      </c>
    </row>
    <row r="149" spans="1:11" s="3" customFormat="1" ht="12.75" thickBot="1">
      <c r="A149" s="83" t="s">
        <v>14</v>
      </c>
      <c r="B149" s="69" t="s">
        <v>311</v>
      </c>
      <c r="C149" s="1049">
        <f>+C150+C159+C165</f>
        <v>8532</v>
      </c>
      <c r="D149" s="28">
        <f>+D150+D159+D165</f>
        <v>19</v>
      </c>
      <c r="E149" s="28">
        <f>+E150+E159+E165</f>
        <v>19</v>
      </c>
      <c r="F149" s="1408">
        <f t="shared" si="4"/>
        <v>1</v>
      </c>
      <c r="G149" s="27">
        <f>+G150+G159+G165</f>
        <v>19</v>
      </c>
      <c r="H149" s="28">
        <f>+H150+H159+H165</f>
        <v>0</v>
      </c>
      <c r="I149" s="29">
        <f>+I150+I159+I165</f>
        <v>0</v>
      </c>
      <c r="K149" s="3">
        <f>+E149-G149-H149-I149</f>
        <v>0</v>
      </c>
    </row>
    <row r="150" spans="1:11" s="3" customFormat="1" ht="12.75" thickBot="1">
      <c r="A150" s="83" t="s">
        <v>13</v>
      </c>
      <c r="B150" s="64" t="s">
        <v>312</v>
      </c>
      <c r="C150" s="1049">
        <f>+C152+C153+C154+C155+C156+C157+C158</f>
        <v>6181</v>
      </c>
      <c r="D150" s="28">
        <f>+D152+D153+D154+D155+D156+D157+D158</f>
        <v>19</v>
      </c>
      <c r="E150" s="28">
        <f>+E152+E153+E154+E155+E156+E157+E158</f>
        <v>19</v>
      </c>
      <c r="F150" s="1408">
        <f t="shared" si="4"/>
        <v>1</v>
      </c>
      <c r="G150" s="27">
        <f>+G152+G153+G154+G155+G156+G157+G158</f>
        <v>19</v>
      </c>
      <c r="H150" s="28">
        <f>+H152+H153+H154+H155+H156+H157+H158</f>
        <v>0</v>
      </c>
      <c r="I150" s="29">
        <f>+I152+I153+I154+I155+I156+I157+I158</f>
        <v>0</v>
      </c>
      <c r="K150" s="3">
        <f>+E150-G150-H150-I150</f>
        <v>0</v>
      </c>
    </row>
    <row r="151" spans="1:11" s="36" customFormat="1">
      <c r="A151" s="819" t="s">
        <v>994</v>
      </c>
      <c r="B151" s="820" t="s">
        <v>342</v>
      </c>
      <c r="C151" s="1058"/>
      <c r="D151" s="97"/>
      <c r="E151" s="97"/>
      <c r="F151" s="1409" t="str">
        <f t="shared" si="4"/>
        <v>-</v>
      </c>
      <c r="G151" s="96"/>
      <c r="H151" s="97"/>
      <c r="I151" s="98"/>
      <c r="K151" s="36">
        <f>+E151-G151-H151-I151</f>
        <v>0</v>
      </c>
    </row>
    <row r="152" spans="1:11">
      <c r="A152" s="84" t="s">
        <v>66</v>
      </c>
      <c r="B152" s="65" t="s">
        <v>152</v>
      </c>
      <c r="C152" s="1051"/>
      <c r="D152" s="10"/>
      <c r="E152" s="10"/>
      <c r="F152" s="1410" t="str">
        <f t="shared" si="4"/>
        <v>-</v>
      </c>
      <c r="G152" s="34"/>
      <c r="H152" s="10"/>
      <c r="I152" s="35"/>
      <c r="K152" s="4">
        <f>+E152-G152-H152-I152</f>
        <v>0</v>
      </c>
    </row>
    <row r="153" spans="1:11">
      <c r="A153" s="85" t="s">
        <v>67</v>
      </c>
      <c r="B153" s="67" t="s">
        <v>153</v>
      </c>
      <c r="C153" s="501"/>
      <c r="D153" s="11"/>
      <c r="E153" s="11"/>
      <c r="F153" s="1412" t="str">
        <f t="shared" si="4"/>
        <v>-</v>
      </c>
      <c r="G153" s="20"/>
      <c r="H153" s="11"/>
      <c r="I153" s="16"/>
      <c r="K153" s="4">
        <f>+E153-G153-H153-I153</f>
        <v>0</v>
      </c>
    </row>
    <row r="154" spans="1:11">
      <c r="A154" s="85" t="s">
        <v>68</v>
      </c>
      <c r="B154" s="67" t="s">
        <v>154</v>
      </c>
      <c r="C154" s="501"/>
      <c r="D154" s="11"/>
      <c r="E154" s="11"/>
      <c r="F154" s="1412" t="str">
        <f t="shared" si="4"/>
        <v>-</v>
      </c>
      <c r="G154" s="20"/>
      <c r="H154" s="11"/>
      <c r="I154" s="16"/>
      <c r="K154" s="4">
        <f>+E154-G154-H154-I154</f>
        <v>0</v>
      </c>
    </row>
    <row r="155" spans="1:11">
      <c r="A155" s="85" t="s">
        <v>230</v>
      </c>
      <c r="B155" s="67" t="s">
        <v>155</v>
      </c>
      <c r="C155" s="501">
        <v>4867</v>
      </c>
      <c r="D155" s="11">
        <v>15</v>
      </c>
      <c r="E155" s="11">
        <v>15</v>
      </c>
      <c r="F155" s="1412">
        <f t="shared" si="4"/>
        <v>1</v>
      </c>
      <c r="G155" s="20">
        <v>15</v>
      </c>
      <c r="H155" s="11"/>
      <c r="I155" s="16"/>
      <c r="K155" s="4">
        <f>+E155-G155-H155-I155</f>
        <v>0</v>
      </c>
    </row>
    <row r="156" spans="1:11">
      <c r="A156" s="85" t="s">
        <v>231</v>
      </c>
      <c r="B156" s="67" t="s">
        <v>156</v>
      </c>
      <c r="C156" s="501"/>
      <c r="D156" s="11"/>
      <c r="E156" s="11"/>
      <c r="F156" s="1412" t="str">
        <f t="shared" si="4"/>
        <v>-</v>
      </c>
      <c r="G156" s="20"/>
      <c r="H156" s="11"/>
      <c r="I156" s="16"/>
      <c r="K156" s="4">
        <f>+E156-G156-H156-I156</f>
        <v>0</v>
      </c>
    </row>
    <row r="157" spans="1:11">
      <c r="A157" s="85" t="s">
        <v>269</v>
      </c>
      <c r="B157" s="67" t="s">
        <v>157</v>
      </c>
      <c r="C157" s="501"/>
      <c r="D157" s="11"/>
      <c r="E157" s="11"/>
      <c r="F157" s="1412" t="str">
        <f t="shared" si="4"/>
        <v>-</v>
      </c>
      <c r="G157" s="20"/>
      <c r="H157" s="11"/>
      <c r="I157" s="16"/>
      <c r="K157" s="4">
        <f>+E157-G157-H157-I157</f>
        <v>0</v>
      </c>
    </row>
    <row r="158" spans="1:11" ht="12.75" thickBot="1">
      <c r="A158" s="78" t="s">
        <v>270</v>
      </c>
      <c r="B158" s="68" t="s">
        <v>158</v>
      </c>
      <c r="C158" s="500">
        <v>1314</v>
      </c>
      <c r="D158" s="22">
        <v>4</v>
      </c>
      <c r="E158" s="22">
        <v>4</v>
      </c>
      <c r="F158" s="1411">
        <f t="shared" si="4"/>
        <v>1</v>
      </c>
      <c r="G158" s="21">
        <v>4</v>
      </c>
      <c r="H158" s="22"/>
      <c r="I158" s="23"/>
      <c r="K158" s="4">
        <f>+E158-G158-H158-I158</f>
        <v>0</v>
      </c>
    </row>
    <row r="159" spans="1:11" s="3" customFormat="1" ht="12.75" thickBot="1">
      <c r="A159" s="83" t="s">
        <v>12</v>
      </c>
      <c r="B159" s="64" t="s">
        <v>313</v>
      </c>
      <c r="C159" s="1049">
        <f>+C161+C162+C163+C164</f>
        <v>2351</v>
      </c>
      <c r="D159" s="28">
        <f>+D161+D162+D163+D164</f>
        <v>0</v>
      </c>
      <c r="E159" s="28">
        <f>+E161+E162+E163+E164</f>
        <v>0</v>
      </c>
      <c r="F159" s="1408" t="str">
        <f t="shared" si="4"/>
        <v>-</v>
      </c>
      <c r="G159" s="27">
        <f>+G161+G162+G163+G164</f>
        <v>0</v>
      </c>
      <c r="H159" s="28">
        <f>+H161+H162+H163+H164</f>
        <v>0</v>
      </c>
      <c r="I159" s="29">
        <f>+I161+I162+I163+I164</f>
        <v>0</v>
      </c>
      <c r="K159" s="3">
        <f>+E159-G159-H159-I159</f>
        <v>0</v>
      </c>
    </row>
    <row r="160" spans="1:11" s="36" customFormat="1">
      <c r="A160" s="819" t="s">
        <v>344</v>
      </c>
      <c r="B160" s="820" t="s">
        <v>345</v>
      </c>
      <c r="C160" s="1058"/>
      <c r="D160" s="97"/>
      <c r="E160" s="97"/>
      <c r="F160" s="1409" t="str">
        <f t="shared" si="4"/>
        <v>-</v>
      </c>
      <c r="G160" s="96"/>
      <c r="H160" s="97"/>
      <c r="I160" s="98"/>
      <c r="K160" s="36">
        <f>+E160-G160-H160-I160</f>
        <v>0</v>
      </c>
    </row>
    <row r="161" spans="1:11">
      <c r="A161" s="84" t="s">
        <v>69</v>
      </c>
      <c r="B161" s="65" t="s">
        <v>159</v>
      </c>
      <c r="C161" s="1051">
        <v>1851</v>
      </c>
      <c r="D161" s="10">
        <v>0</v>
      </c>
      <c r="E161" s="10"/>
      <c r="F161" s="1410" t="str">
        <f t="shared" si="4"/>
        <v>-</v>
      </c>
      <c r="G161" s="34"/>
      <c r="H161" s="10"/>
      <c r="I161" s="35"/>
      <c r="K161" s="4">
        <f>+E161-G161-H161-I161</f>
        <v>0</v>
      </c>
    </row>
    <row r="162" spans="1:11">
      <c r="A162" s="85" t="s">
        <v>70</v>
      </c>
      <c r="B162" s="67" t="s">
        <v>160</v>
      </c>
      <c r="C162" s="501"/>
      <c r="D162" s="11"/>
      <c r="E162" s="11"/>
      <c r="F162" s="1412" t="str">
        <f t="shared" si="4"/>
        <v>-</v>
      </c>
      <c r="G162" s="20"/>
      <c r="H162" s="11"/>
      <c r="I162" s="16"/>
      <c r="K162" s="4">
        <f>+E162-G162-H162-I162</f>
        <v>0</v>
      </c>
    </row>
    <row r="163" spans="1:11">
      <c r="A163" s="85" t="s">
        <v>71</v>
      </c>
      <c r="B163" s="67" t="s">
        <v>161</v>
      </c>
      <c r="C163" s="501"/>
      <c r="D163" s="11"/>
      <c r="E163" s="11"/>
      <c r="F163" s="1412" t="str">
        <f t="shared" si="4"/>
        <v>-</v>
      </c>
      <c r="G163" s="20"/>
      <c r="H163" s="11"/>
      <c r="I163" s="16"/>
      <c r="K163" s="4">
        <f>+E163-G163-H163-I163</f>
        <v>0</v>
      </c>
    </row>
    <row r="164" spans="1:11" ht="12.75" thickBot="1">
      <c r="A164" s="78" t="s">
        <v>72</v>
      </c>
      <c r="B164" s="68" t="s">
        <v>162</v>
      </c>
      <c r="C164" s="500">
        <v>500</v>
      </c>
      <c r="D164" s="22">
        <v>0</v>
      </c>
      <c r="E164" s="22"/>
      <c r="F164" s="1411" t="str">
        <f t="shared" si="4"/>
        <v>-</v>
      </c>
      <c r="G164" s="21"/>
      <c r="H164" s="22"/>
      <c r="I164" s="23"/>
      <c r="K164" s="4">
        <f>+E164-G164-H164-I164</f>
        <v>0</v>
      </c>
    </row>
    <row r="165" spans="1:11" s="3" customFormat="1" ht="12.75" thickBot="1">
      <c r="A165" s="83" t="s">
        <v>11</v>
      </c>
      <c r="B165" s="64" t="s">
        <v>996</v>
      </c>
      <c r="C165" s="1049">
        <f>+C166+C167+C168+C169+C171+C172+C173+C174+C175</f>
        <v>0</v>
      </c>
      <c r="D165" s="28">
        <f>+D166+D167+D168+D169+D171+D172+D173+D174+D175</f>
        <v>0</v>
      </c>
      <c r="E165" s="28">
        <f>+E166+E167+E168+E169+E171+E172+E173+E174+E175</f>
        <v>0</v>
      </c>
      <c r="F165" s="1408" t="str">
        <f t="shared" si="4"/>
        <v>-</v>
      </c>
      <c r="G165" s="27">
        <f>+G166+G167+G168+G169+G171+G172+G173+G174+G175</f>
        <v>0</v>
      </c>
      <c r="H165" s="28">
        <f>+H166+H167+H168+H169+H171+H172+H173+H174+H175</f>
        <v>0</v>
      </c>
      <c r="I165" s="29">
        <f>+I166+I167+I168+I169+I171+I172+I173+I174+I175</f>
        <v>0</v>
      </c>
      <c r="K165" s="3">
        <f>+E165-G165-H165-I165</f>
        <v>0</v>
      </c>
    </row>
    <row r="166" spans="1:11">
      <c r="A166" s="84" t="s">
        <v>271</v>
      </c>
      <c r="B166" s="65" t="s">
        <v>163</v>
      </c>
      <c r="C166" s="1051"/>
      <c r="D166" s="10"/>
      <c r="E166" s="10"/>
      <c r="F166" s="1410" t="str">
        <f t="shared" si="4"/>
        <v>-</v>
      </c>
      <c r="G166" s="34"/>
      <c r="H166" s="10"/>
      <c r="I166" s="35"/>
      <c r="K166" s="4">
        <f>+E166-G166-H166-I166</f>
        <v>0</v>
      </c>
    </row>
    <row r="167" spans="1:11">
      <c r="A167" s="85" t="s">
        <v>272</v>
      </c>
      <c r="B167" s="67" t="s">
        <v>164</v>
      </c>
      <c r="C167" s="501"/>
      <c r="D167" s="11"/>
      <c r="E167" s="11"/>
      <c r="F167" s="1412" t="str">
        <f t="shared" si="4"/>
        <v>-</v>
      </c>
      <c r="G167" s="20"/>
      <c r="H167" s="11"/>
      <c r="I167" s="16"/>
      <c r="K167" s="4">
        <f>+E167-G167-H167-I167</f>
        <v>0</v>
      </c>
    </row>
    <row r="168" spans="1:11">
      <c r="A168" s="85" t="s">
        <v>273</v>
      </c>
      <c r="B168" s="67" t="s">
        <v>165</v>
      </c>
      <c r="C168" s="501"/>
      <c r="D168" s="11"/>
      <c r="E168" s="11"/>
      <c r="F168" s="1412" t="str">
        <f t="shared" si="4"/>
        <v>-</v>
      </c>
      <c r="G168" s="20"/>
      <c r="H168" s="11"/>
      <c r="I168" s="16"/>
      <c r="K168" s="4">
        <f>+E168-G168-H168-I168</f>
        <v>0</v>
      </c>
    </row>
    <row r="169" spans="1:11">
      <c r="A169" s="85" t="s">
        <v>274</v>
      </c>
      <c r="B169" s="67" t="s">
        <v>166</v>
      </c>
      <c r="C169" s="501"/>
      <c r="D169" s="11"/>
      <c r="E169" s="11"/>
      <c r="F169" s="1412" t="str">
        <f t="shared" si="4"/>
        <v>-</v>
      </c>
      <c r="G169" s="20"/>
      <c r="H169" s="11"/>
      <c r="I169" s="16"/>
      <c r="K169" s="4">
        <f>+E169-G169-H169-I169</f>
        <v>0</v>
      </c>
    </row>
    <row r="170" spans="1:11" s="13" customFormat="1">
      <c r="A170" s="89" t="s">
        <v>339</v>
      </c>
      <c r="B170" s="818" t="s">
        <v>340</v>
      </c>
      <c r="C170" s="1050"/>
      <c r="D170" s="43"/>
      <c r="E170" s="43"/>
      <c r="F170" s="1411" t="str">
        <f t="shared" si="4"/>
        <v>-</v>
      </c>
      <c r="G170" s="45"/>
      <c r="H170" s="43"/>
      <c r="I170" s="44"/>
      <c r="K170" s="13">
        <f>+E170-G170-H170-I170</f>
        <v>0</v>
      </c>
    </row>
    <row r="171" spans="1:11">
      <c r="A171" s="85" t="s">
        <v>275</v>
      </c>
      <c r="B171" s="67" t="s">
        <v>167</v>
      </c>
      <c r="C171" s="501"/>
      <c r="D171" s="11"/>
      <c r="E171" s="11"/>
      <c r="F171" s="1412" t="str">
        <f t="shared" si="4"/>
        <v>-</v>
      </c>
      <c r="G171" s="20"/>
      <c r="H171" s="11"/>
      <c r="I171" s="16"/>
      <c r="K171" s="4">
        <f>+E171-G171-H171-I171</f>
        <v>0</v>
      </c>
    </row>
    <row r="172" spans="1:11">
      <c r="A172" s="85" t="s">
        <v>276</v>
      </c>
      <c r="B172" s="67" t="s">
        <v>168</v>
      </c>
      <c r="C172" s="501"/>
      <c r="D172" s="11"/>
      <c r="E172" s="11"/>
      <c r="F172" s="1412" t="str">
        <f t="shared" si="4"/>
        <v>-</v>
      </c>
      <c r="G172" s="20"/>
      <c r="H172" s="11"/>
      <c r="I172" s="16"/>
      <c r="K172" s="4">
        <f>+E172-G172-H172-I172</f>
        <v>0</v>
      </c>
    </row>
    <row r="173" spans="1:11">
      <c r="A173" s="85" t="s">
        <v>277</v>
      </c>
      <c r="B173" s="67" t="s">
        <v>169</v>
      </c>
      <c r="C173" s="501"/>
      <c r="D173" s="11"/>
      <c r="E173" s="11"/>
      <c r="F173" s="1412" t="str">
        <f t="shared" ref="F173:F208" si="5">IF(ISERROR(E173/D173),"-",E173/D173)</f>
        <v>-</v>
      </c>
      <c r="G173" s="20"/>
      <c r="H173" s="11"/>
      <c r="I173" s="16"/>
      <c r="K173" s="4">
        <f>+E173-G173-H173-I173</f>
        <v>0</v>
      </c>
    </row>
    <row r="174" spans="1:11">
      <c r="A174" s="85" t="s">
        <v>278</v>
      </c>
      <c r="B174" s="67" t="s">
        <v>997</v>
      </c>
      <c r="C174" s="501"/>
      <c r="D174" s="11"/>
      <c r="E174" s="11"/>
      <c r="F174" s="1412" t="str">
        <f t="shared" si="5"/>
        <v>-</v>
      </c>
      <c r="G174" s="20"/>
      <c r="H174" s="11"/>
      <c r="I174" s="16"/>
      <c r="K174" s="4">
        <f>+E174-G174-H174-I174</f>
        <v>0</v>
      </c>
    </row>
    <row r="175" spans="1:11" ht="12.75" thickBot="1">
      <c r="A175" s="78" t="s">
        <v>995</v>
      </c>
      <c r="B175" s="68" t="s">
        <v>998</v>
      </c>
      <c r="C175" s="500"/>
      <c r="D175" s="22"/>
      <c r="E175" s="22"/>
      <c r="F175" s="1411" t="str">
        <f t="shared" si="5"/>
        <v>-</v>
      </c>
      <c r="G175" s="21"/>
      <c r="H175" s="22"/>
      <c r="I175" s="23"/>
      <c r="K175" s="4">
        <f>+E175-G175-H175-I175</f>
        <v>0</v>
      </c>
    </row>
    <row r="176" spans="1:11" s="3" customFormat="1" ht="12.75" thickBot="1">
      <c r="A176" s="83" t="s">
        <v>10</v>
      </c>
      <c r="B176" s="69" t="s">
        <v>314</v>
      </c>
      <c r="C176" s="1049">
        <f>+C109+C149</f>
        <v>39641</v>
      </c>
      <c r="D176" s="28">
        <f>+D109+D149</f>
        <v>34459</v>
      </c>
      <c r="E176" s="28">
        <f>+E109+E149</f>
        <v>32981</v>
      </c>
      <c r="F176" s="1408">
        <f t="shared" si="5"/>
        <v>0.95710844772047943</v>
      </c>
      <c r="G176" s="27">
        <f>+G109+G149</f>
        <v>32981</v>
      </c>
      <c r="H176" s="28">
        <f>+H109+H149</f>
        <v>0</v>
      </c>
      <c r="I176" s="29">
        <f>+I109+I149</f>
        <v>0</v>
      </c>
      <c r="K176" s="3">
        <f>+E176-G176-H176-I176</f>
        <v>0</v>
      </c>
    </row>
    <row r="177" spans="1:11" s="3" customFormat="1" ht="12.75" thickBot="1">
      <c r="A177" s="83" t="s">
        <v>9</v>
      </c>
      <c r="B177" s="70" t="s">
        <v>315</v>
      </c>
      <c r="C177" s="1049">
        <f>+C178</f>
        <v>0</v>
      </c>
      <c r="D177" s="28">
        <f>+D178</f>
        <v>0</v>
      </c>
      <c r="E177" s="28">
        <f>+E178</f>
        <v>0</v>
      </c>
      <c r="F177" s="1408" t="str">
        <f t="shared" si="5"/>
        <v>-</v>
      </c>
      <c r="G177" s="27">
        <f>+G178</f>
        <v>0</v>
      </c>
      <c r="H177" s="28">
        <f>+H178</f>
        <v>0</v>
      </c>
      <c r="I177" s="29">
        <f>+I178</f>
        <v>0</v>
      </c>
      <c r="K177" s="3">
        <f>+E177-G177-H177-I177</f>
        <v>0</v>
      </c>
    </row>
    <row r="178" spans="1:11" s="3" customFormat="1" ht="12.75" thickBot="1">
      <c r="A178" s="83" t="s">
        <v>45</v>
      </c>
      <c r="B178" s="64" t="s">
        <v>1005</v>
      </c>
      <c r="C178" s="1049">
        <f>+C179+C189+C190+C191</f>
        <v>0</v>
      </c>
      <c r="D178" s="28">
        <f>+D179+D189+D190+D191</f>
        <v>0</v>
      </c>
      <c r="E178" s="28">
        <f>+E179+E189+E190+E191</f>
        <v>0</v>
      </c>
      <c r="F178" s="1408" t="str">
        <f t="shared" si="5"/>
        <v>-</v>
      </c>
      <c r="G178" s="27">
        <f>+G179+G189+G190+G191</f>
        <v>0</v>
      </c>
      <c r="H178" s="28">
        <f>+H179+H189+H190+H191</f>
        <v>0</v>
      </c>
      <c r="I178" s="29">
        <f>+I179+I189+I190+I191</f>
        <v>0</v>
      </c>
      <c r="K178" s="3">
        <f>+E178-G178-H178-I178</f>
        <v>0</v>
      </c>
    </row>
    <row r="179" spans="1:11">
      <c r="A179" s="84" t="s">
        <v>75</v>
      </c>
      <c r="B179" s="65" t="s">
        <v>1006</v>
      </c>
      <c r="C179" s="1051">
        <f>+C180+C181+C182+C183+C184+C185+C186+C187+C188</f>
        <v>0</v>
      </c>
      <c r="D179" s="10">
        <f>+D180+D181+D182+D183+D184+D185+D186+D187+D188</f>
        <v>0</v>
      </c>
      <c r="E179" s="47">
        <f>+E180+E181+E182+E183+E184+E185+E186+E187+E188</f>
        <v>0</v>
      </c>
      <c r="F179" s="1410" t="str">
        <f t="shared" si="5"/>
        <v>-</v>
      </c>
      <c r="G179" s="34">
        <f>+G180+G181+G182+G183+G184+G185+G186+G187+G188</f>
        <v>0</v>
      </c>
      <c r="H179" s="10">
        <f>+H180+H181+H182+H183+H184+H185+H186+H187+H188</f>
        <v>0</v>
      </c>
      <c r="I179" s="35">
        <f>+I180+I181+I182+I183+I184+I185+I186+I187+I188</f>
        <v>0</v>
      </c>
      <c r="K179" s="4">
        <f>+E179-G179-H179-I179</f>
        <v>0</v>
      </c>
    </row>
    <row r="180" spans="1:11" s="13" customFormat="1">
      <c r="A180" s="86" t="s">
        <v>205</v>
      </c>
      <c r="B180" s="66" t="s">
        <v>170</v>
      </c>
      <c r="C180" s="502"/>
      <c r="D180" s="12"/>
      <c r="E180" s="12"/>
      <c r="F180" s="1412" t="str">
        <f t="shared" si="5"/>
        <v>-</v>
      </c>
      <c r="G180" s="19"/>
      <c r="H180" s="12"/>
      <c r="I180" s="15"/>
      <c r="K180" s="13">
        <f>+E180-G180-H180-I180</f>
        <v>0</v>
      </c>
    </row>
    <row r="181" spans="1:11" s="13" customFormat="1">
      <c r="A181" s="86" t="s">
        <v>206</v>
      </c>
      <c r="B181" s="66" t="s">
        <v>171</v>
      </c>
      <c r="C181" s="502"/>
      <c r="D181" s="12"/>
      <c r="E181" s="12"/>
      <c r="F181" s="1412" t="str">
        <f t="shared" si="5"/>
        <v>-</v>
      </c>
      <c r="G181" s="19"/>
      <c r="H181" s="12"/>
      <c r="I181" s="15"/>
      <c r="K181" s="13">
        <f>+E181-G181-H181-I181</f>
        <v>0</v>
      </c>
    </row>
    <row r="182" spans="1:11" s="13" customFormat="1">
      <c r="A182" s="86" t="s">
        <v>207</v>
      </c>
      <c r="B182" s="66" t="s">
        <v>172</v>
      </c>
      <c r="C182" s="502"/>
      <c r="D182" s="12"/>
      <c r="E182" s="12"/>
      <c r="F182" s="1412" t="str">
        <f t="shared" si="5"/>
        <v>-</v>
      </c>
      <c r="G182" s="19"/>
      <c r="H182" s="12"/>
      <c r="I182" s="15"/>
      <c r="K182" s="13">
        <f>+E182-G182-H182-I182</f>
        <v>0</v>
      </c>
    </row>
    <row r="183" spans="1:11" s="13" customFormat="1">
      <c r="A183" s="86" t="s">
        <v>208</v>
      </c>
      <c r="B183" s="66" t="s">
        <v>173</v>
      </c>
      <c r="C183" s="502"/>
      <c r="D183" s="12"/>
      <c r="E183" s="12"/>
      <c r="F183" s="1412" t="str">
        <f t="shared" si="5"/>
        <v>-</v>
      </c>
      <c r="G183" s="19"/>
      <c r="H183" s="12"/>
      <c r="I183" s="15"/>
      <c r="K183" s="13">
        <f>+E183-G183-H183-I183</f>
        <v>0</v>
      </c>
    </row>
    <row r="184" spans="1:11" s="13" customFormat="1">
      <c r="A184" s="108" t="s">
        <v>209</v>
      </c>
      <c r="B184" s="109" t="s">
        <v>174</v>
      </c>
      <c r="C184" s="502"/>
      <c r="D184" s="12"/>
      <c r="E184" s="744"/>
      <c r="F184" s="1418" t="str">
        <f t="shared" si="5"/>
        <v>-</v>
      </c>
      <c r="G184" s="743"/>
      <c r="H184" s="744"/>
      <c r="I184" s="745"/>
      <c r="K184" s="117">
        <f>+E184-G184-H184-I184</f>
        <v>0</v>
      </c>
    </row>
    <row r="185" spans="1:11" s="13" customFormat="1">
      <c r="A185" s="86" t="s">
        <v>210</v>
      </c>
      <c r="B185" s="66" t="s">
        <v>179</v>
      </c>
      <c r="C185" s="502"/>
      <c r="D185" s="12"/>
      <c r="E185" s="12"/>
      <c r="F185" s="1412" t="str">
        <f t="shared" si="5"/>
        <v>-</v>
      </c>
      <c r="G185" s="743"/>
      <c r="H185" s="744"/>
      <c r="I185" s="745"/>
      <c r="K185" s="13">
        <f>+E185-G185-H185-I185</f>
        <v>0</v>
      </c>
    </row>
    <row r="186" spans="1:11" s="13" customFormat="1">
      <c r="A186" s="86" t="s">
        <v>211</v>
      </c>
      <c r="B186" s="66" t="s">
        <v>175</v>
      </c>
      <c r="C186" s="502"/>
      <c r="D186" s="12"/>
      <c r="E186" s="12"/>
      <c r="F186" s="1412" t="str">
        <f t="shared" si="5"/>
        <v>-</v>
      </c>
      <c r="G186" s="743"/>
      <c r="H186" s="744"/>
      <c r="I186" s="745"/>
      <c r="K186" s="13">
        <f>+E186-G186-H186-I186</f>
        <v>0</v>
      </c>
    </row>
    <row r="187" spans="1:11" s="13" customFormat="1">
      <c r="A187" s="86" t="s">
        <v>212</v>
      </c>
      <c r="B187" s="66" t="s">
        <v>176</v>
      </c>
      <c r="C187" s="502"/>
      <c r="D187" s="12"/>
      <c r="E187" s="12"/>
      <c r="F187" s="1412" t="str">
        <f t="shared" si="5"/>
        <v>-</v>
      </c>
      <c r="G187" s="743"/>
      <c r="H187" s="744"/>
      <c r="I187" s="745"/>
      <c r="K187" s="13">
        <f>+E187-G187-H187-I187</f>
        <v>0</v>
      </c>
    </row>
    <row r="188" spans="1:11" s="13" customFormat="1">
      <c r="A188" s="86" t="s">
        <v>999</v>
      </c>
      <c r="B188" s="66" t="s">
        <v>1001</v>
      </c>
      <c r="C188" s="502"/>
      <c r="D188" s="12"/>
      <c r="E188" s="12"/>
      <c r="F188" s="1412" t="str">
        <f t="shared" si="5"/>
        <v>-</v>
      </c>
      <c r="G188" s="743"/>
      <c r="H188" s="744"/>
      <c r="I188" s="745"/>
      <c r="K188" s="13">
        <f>+E188-G188-H188-I188</f>
        <v>0</v>
      </c>
    </row>
    <row r="189" spans="1:11">
      <c r="A189" s="85" t="s">
        <v>76</v>
      </c>
      <c r="B189" s="67" t="s">
        <v>177</v>
      </c>
      <c r="C189" s="501"/>
      <c r="D189" s="11"/>
      <c r="E189" s="11"/>
      <c r="F189" s="1412" t="str">
        <f t="shared" si="5"/>
        <v>-</v>
      </c>
      <c r="G189" s="987"/>
      <c r="H189" s="988"/>
      <c r="I189" s="989"/>
      <c r="K189" s="4">
        <f>+E189-G189-H189-I189</f>
        <v>0</v>
      </c>
    </row>
    <row r="190" spans="1:11">
      <c r="A190" s="78" t="s">
        <v>77</v>
      </c>
      <c r="B190" s="68" t="s">
        <v>178</v>
      </c>
      <c r="C190" s="500"/>
      <c r="D190" s="22"/>
      <c r="E190" s="22"/>
      <c r="F190" s="1411" t="str">
        <f t="shared" si="5"/>
        <v>-</v>
      </c>
      <c r="G190" s="990"/>
      <c r="H190" s="991"/>
      <c r="I190" s="992"/>
      <c r="K190" s="4">
        <f>+E190-G190-H190-I190</f>
        <v>0</v>
      </c>
    </row>
    <row r="191" spans="1:11" ht="12.75" thickBot="1">
      <c r="A191" s="78" t="s">
        <v>1004</v>
      </c>
      <c r="B191" s="68" t="s">
        <v>1002</v>
      </c>
      <c r="C191" s="500"/>
      <c r="D191" s="22"/>
      <c r="E191" s="17"/>
      <c r="F191" s="1411" t="str">
        <f t="shared" si="5"/>
        <v>-</v>
      </c>
      <c r="G191" s="990"/>
      <c r="H191" s="991"/>
      <c r="I191" s="992"/>
      <c r="K191" s="4">
        <f>+E191-G191-H191-I191</f>
        <v>0</v>
      </c>
    </row>
    <row r="192" spans="1:11" s="3" customFormat="1" ht="12.75" thickBot="1">
      <c r="A192" s="83" t="s">
        <v>44</v>
      </c>
      <c r="B192" s="69" t="s">
        <v>316</v>
      </c>
      <c r="C192" s="1049">
        <f>+C193</f>
        <v>0</v>
      </c>
      <c r="D192" s="28">
        <f>+D193</f>
        <v>0</v>
      </c>
      <c r="E192" s="28">
        <f>+E193</f>
        <v>0</v>
      </c>
      <c r="F192" s="1408" t="str">
        <f t="shared" si="5"/>
        <v>-</v>
      </c>
      <c r="G192" s="110">
        <f>+G193</f>
        <v>0</v>
      </c>
      <c r="H192" s="111">
        <f>+H193</f>
        <v>0</v>
      </c>
      <c r="I192" s="112">
        <f>+I193</f>
        <v>0</v>
      </c>
      <c r="K192" s="3">
        <f>+E192-G192-H192-I192</f>
        <v>0</v>
      </c>
    </row>
    <row r="193" spans="1:11" s="3" customFormat="1" ht="12.75" thickBot="1">
      <c r="A193" s="83" t="s">
        <v>43</v>
      </c>
      <c r="B193" s="64" t="s">
        <v>1000</v>
      </c>
      <c r="C193" s="1049">
        <f>+C194+C204+C205+C206</f>
        <v>0</v>
      </c>
      <c r="D193" s="28">
        <f>+D194+D204+D205+D206</f>
        <v>0</v>
      </c>
      <c r="E193" s="28">
        <f>+E194+E204+E205+E206</f>
        <v>0</v>
      </c>
      <c r="F193" s="1408" t="str">
        <f t="shared" si="5"/>
        <v>-</v>
      </c>
      <c r="G193" s="27">
        <f>+G194+G204+G205+G206</f>
        <v>0</v>
      </c>
      <c r="H193" s="28">
        <f>+H194+H204+H205+H206</f>
        <v>0</v>
      </c>
      <c r="I193" s="29">
        <f>+I194+I204+I205+I206</f>
        <v>0</v>
      </c>
      <c r="K193" s="3">
        <f>+E193-G193-H193-I193</f>
        <v>0</v>
      </c>
    </row>
    <row r="194" spans="1:11">
      <c r="A194" s="84" t="s">
        <v>78</v>
      </c>
      <c r="B194" s="65" t="s">
        <v>1043</v>
      </c>
      <c r="C194" s="1051">
        <f>+C195+C196+C197+C198+C199+C200+C201+C202+C203</f>
        <v>0</v>
      </c>
      <c r="D194" s="10">
        <f>+D195+D196+D197+D198+D199+D200+D201+D202+D203</f>
        <v>0</v>
      </c>
      <c r="E194" s="47">
        <f>+E195+E196+E197+E198+E199+E200+E201+E202+E203</f>
        <v>0</v>
      </c>
      <c r="F194" s="1410" t="str">
        <f t="shared" si="5"/>
        <v>-</v>
      </c>
      <c r="G194" s="34">
        <f>+G195+G196+G197+G198+G199+G200+G201+G202+G203</f>
        <v>0</v>
      </c>
      <c r="H194" s="10">
        <f>+H195+H196+H197+H198+H199+H200+H201+H202+H203</f>
        <v>0</v>
      </c>
      <c r="I194" s="35">
        <f>+I195+I196+I197+I198+I199+I200+I201+I202+I203</f>
        <v>0</v>
      </c>
      <c r="K194" s="4">
        <f>+E194-G194-H194-I194</f>
        <v>0</v>
      </c>
    </row>
    <row r="195" spans="1:11" s="13" customFormat="1">
      <c r="A195" s="86" t="s">
        <v>213</v>
      </c>
      <c r="B195" s="66" t="s">
        <v>170</v>
      </c>
      <c r="C195" s="502"/>
      <c r="D195" s="12"/>
      <c r="E195" s="12"/>
      <c r="F195" s="1412" t="str">
        <f t="shared" si="5"/>
        <v>-</v>
      </c>
      <c r="G195" s="743"/>
      <c r="H195" s="744"/>
      <c r="I195" s="745"/>
      <c r="K195" s="13">
        <f>+E195-G195-H195-I195</f>
        <v>0</v>
      </c>
    </row>
    <row r="196" spans="1:11" s="13" customFormat="1">
      <c r="A196" s="86" t="s">
        <v>214</v>
      </c>
      <c r="B196" s="66" t="s">
        <v>171</v>
      </c>
      <c r="C196" s="502"/>
      <c r="D196" s="12"/>
      <c r="E196" s="12"/>
      <c r="F196" s="1412" t="str">
        <f t="shared" si="5"/>
        <v>-</v>
      </c>
      <c r="G196" s="743"/>
      <c r="H196" s="744"/>
      <c r="I196" s="745"/>
      <c r="K196" s="13">
        <f>+E196-G196-H196-I196</f>
        <v>0</v>
      </c>
    </row>
    <row r="197" spans="1:11" s="13" customFormat="1">
      <c r="A197" s="86" t="s">
        <v>215</v>
      </c>
      <c r="B197" s="66" t="s">
        <v>172</v>
      </c>
      <c r="C197" s="502"/>
      <c r="D197" s="12"/>
      <c r="E197" s="12"/>
      <c r="F197" s="1412" t="str">
        <f t="shared" si="5"/>
        <v>-</v>
      </c>
      <c r="G197" s="743"/>
      <c r="H197" s="744"/>
      <c r="I197" s="745"/>
      <c r="K197" s="13">
        <f>+E197-G197-H197-I197</f>
        <v>0</v>
      </c>
    </row>
    <row r="198" spans="1:11" s="13" customFormat="1">
      <c r="A198" s="86" t="s">
        <v>216</v>
      </c>
      <c r="B198" s="66" t="s">
        <v>173</v>
      </c>
      <c r="C198" s="502"/>
      <c r="D198" s="12"/>
      <c r="E198" s="12"/>
      <c r="F198" s="1412" t="str">
        <f t="shared" si="5"/>
        <v>-</v>
      </c>
      <c r="G198" s="743"/>
      <c r="H198" s="744"/>
      <c r="I198" s="745"/>
      <c r="K198" s="13">
        <f>+E198-G198-H198-I198</f>
        <v>0</v>
      </c>
    </row>
    <row r="199" spans="1:11" s="13" customFormat="1">
      <c r="A199" s="108" t="s">
        <v>217</v>
      </c>
      <c r="B199" s="109" t="s">
        <v>174</v>
      </c>
      <c r="C199" s="502"/>
      <c r="D199" s="12"/>
      <c r="E199" s="744"/>
      <c r="F199" s="1418" t="str">
        <f t="shared" si="5"/>
        <v>-</v>
      </c>
      <c r="G199" s="743"/>
      <c r="H199" s="744"/>
      <c r="I199" s="745"/>
      <c r="K199" s="117">
        <f>+E199-G199-H199-I199</f>
        <v>0</v>
      </c>
    </row>
    <row r="200" spans="1:11" s="13" customFormat="1">
      <c r="A200" s="86" t="s">
        <v>218</v>
      </c>
      <c r="B200" s="66" t="s">
        <v>179</v>
      </c>
      <c r="C200" s="502"/>
      <c r="D200" s="12"/>
      <c r="E200" s="12"/>
      <c r="F200" s="1412" t="str">
        <f t="shared" si="5"/>
        <v>-</v>
      </c>
      <c r="G200" s="743"/>
      <c r="H200" s="744"/>
      <c r="I200" s="745"/>
      <c r="K200" s="13">
        <f>+E200-G200-H200-I200</f>
        <v>0</v>
      </c>
    </row>
    <row r="201" spans="1:11" s="13" customFormat="1">
      <c r="A201" s="86" t="s">
        <v>219</v>
      </c>
      <c r="B201" s="66" t="s">
        <v>175</v>
      </c>
      <c r="C201" s="502"/>
      <c r="D201" s="12"/>
      <c r="E201" s="12"/>
      <c r="F201" s="1412" t="str">
        <f t="shared" si="5"/>
        <v>-</v>
      </c>
      <c r="G201" s="19"/>
      <c r="H201" s="12"/>
      <c r="I201" s="15"/>
      <c r="K201" s="13">
        <f>+E201-G201-H201-I201</f>
        <v>0</v>
      </c>
    </row>
    <row r="202" spans="1:11" s="13" customFormat="1">
      <c r="A202" s="86" t="s">
        <v>220</v>
      </c>
      <c r="B202" s="66" t="s">
        <v>176</v>
      </c>
      <c r="C202" s="502"/>
      <c r="D202" s="12"/>
      <c r="E202" s="12"/>
      <c r="F202" s="1412" t="str">
        <f t="shared" si="5"/>
        <v>-</v>
      </c>
      <c r="G202" s="19"/>
      <c r="H202" s="12"/>
      <c r="I202" s="15"/>
      <c r="K202" s="13">
        <f>+E202-G202-H202-I202</f>
        <v>0</v>
      </c>
    </row>
    <row r="203" spans="1:11" s="13" customFormat="1">
      <c r="A203" s="86" t="s">
        <v>999</v>
      </c>
      <c r="B203" s="66" t="s">
        <v>1001</v>
      </c>
      <c r="C203" s="502"/>
      <c r="D203" s="12"/>
      <c r="E203" s="12"/>
      <c r="F203" s="1412" t="str">
        <f t="shared" si="5"/>
        <v>-</v>
      </c>
      <c r="G203" s="19"/>
      <c r="H203" s="12"/>
      <c r="I203" s="15"/>
      <c r="K203" s="13">
        <f>+E203-G203-H203-I203</f>
        <v>0</v>
      </c>
    </row>
    <row r="204" spans="1:11">
      <c r="A204" s="85" t="s">
        <v>79</v>
      </c>
      <c r="B204" s="67" t="s">
        <v>177</v>
      </c>
      <c r="C204" s="501"/>
      <c r="D204" s="11"/>
      <c r="E204" s="11"/>
      <c r="F204" s="1412" t="str">
        <f t="shared" si="5"/>
        <v>-</v>
      </c>
      <c r="G204" s="20"/>
      <c r="H204" s="11"/>
      <c r="I204" s="16"/>
      <c r="K204" s="4">
        <f>+E204-G204-H204-I204</f>
        <v>0</v>
      </c>
    </row>
    <row r="205" spans="1:11">
      <c r="A205" s="78" t="s">
        <v>221</v>
      </c>
      <c r="B205" s="68" t="s">
        <v>178</v>
      </c>
      <c r="C205" s="500"/>
      <c r="D205" s="22"/>
      <c r="E205" s="22"/>
      <c r="F205" s="1411" t="str">
        <f t="shared" si="5"/>
        <v>-</v>
      </c>
      <c r="G205" s="21"/>
      <c r="H205" s="22"/>
      <c r="I205" s="23"/>
      <c r="K205" s="4">
        <f>+E205-G205-H205-I205</f>
        <v>0</v>
      </c>
    </row>
    <row r="206" spans="1:11" ht="12.75" thickBot="1">
      <c r="A206" s="78" t="s">
        <v>1003</v>
      </c>
      <c r="B206" s="68" t="s">
        <v>1002</v>
      </c>
      <c r="C206" s="500"/>
      <c r="D206" s="22"/>
      <c r="E206" s="17"/>
      <c r="F206" s="1411" t="str">
        <f t="shared" si="5"/>
        <v>-</v>
      </c>
      <c r="G206" s="21"/>
      <c r="H206" s="22"/>
      <c r="I206" s="23"/>
      <c r="K206" s="4">
        <f>+E206-G206-H206-I206</f>
        <v>0</v>
      </c>
    </row>
    <row r="207" spans="1:11" s="3" customFormat="1" ht="12.75" thickBot="1">
      <c r="A207" s="83" t="s">
        <v>40</v>
      </c>
      <c r="B207" s="69" t="s">
        <v>317</v>
      </c>
      <c r="C207" s="1049">
        <f>+C177+C192</f>
        <v>0</v>
      </c>
      <c r="D207" s="28">
        <f>+D177+D192</f>
        <v>0</v>
      </c>
      <c r="E207" s="28">
        <f>+E177+E192</f>
        <v>0</v>
      </c>
      <c r="F207" s="1408" t="str">
        <f t="shared" si="5"/>
        <v>-</v>
      </c>
      <c r="G207" s="27">
        <f>+G177+G192</f>
        <v>0</v>
      </c>
      <c r="H207" s="28">
        <f>+H177+H192</f>
        <v>0</v>
      </c>
      <c r="I207" s="29">
        <f>+I177+I192</f>
        <v>0</v>
      </c>
      <c r="K207" s="3">
        <f>+E207-G207-H207-I207</f>
        <v>0</v>
      </c>
    </row>
    <row r="208" spans="1:11" s="3" customFormat="1" ht="12.75" thickBot="1">
      <c r="A208" s="87" t="s">
        <v>39</v>
      </c>
      <c r="B208" s="71" t="s">
        <v>335</v>
      </c>
      <c r="C208" s="1056">
        <f>+C176+C207</f>
        <v>39641</v>
      </c>
      <c r="D208" s="25">
        <f>+D176+D207</f>
        <v>34459</v>
      </c>
      <c r="E208" s="25">
        <f>+E176+E207</f>
        <v>32981</v>
      </c>
      <c r="F208" s="1414">
        <f t="shared" si="5"/>
        <v>0.95710844772047943</v>
      </c>
      <c r="G208" s="24">
        <f>+G176+G207</f>
        <v>32981</v>
      </c>
      <c r="H208" s="25">
        <f>+H176+H207</f>
        <v>0</v>
      </c>
      <c r="I208" s="26">
        <f>+I176+I207</f>
        <v>0</v>
      </c>
      <c r="K208" s="3">
        <f>+E208-G208-H208-I208</f>
        <v>0</v>
      </c>
    </row>
    <row r="211" spans="1:31" s="1" customFormat="1" ht="15.75">
      <c r="A211" s="1217" t="s">
        <v>89</v>
      </c>
      <c r="B211" s="1217"/>
      <c r="C211" s="1217"/>
      <c r="D211" s="1217"/>
      <c r="E211" s="1217"/>
      <c r="F211" s="1217"/>
      <c r="G211" s="1217"/>
      <c r="H211" s="1217"/>
      <c r="I211" s="1217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</row>
    <row r="212" spans="1:31" s="36" customFormat="1" ht="12.75" thickBot="1">
      <c r="A212" s="38" t="s">
        <v>282</v>
      </c>
      <c r="F212" s="1397"/>
      <c r="I212" s="37" t="s">
        <v>281</v>
      </c>
    </row>
    <row r="213" spans="1:31" s="3" customFormat="1" ht="12.75" thickBot="1">
      <c r="A213" s="83" t="s">
        <v>4</v>
      </c>
      <c r="B213" s="69" t="s">
        <v>318</v>
      </c>
      <c r="C213" s="1049">
        <f>+C214+C215</f>
        <v>-38191</v>
      </c>
      <c r="D213" s="28">
        <f>+D214+D215</f>
        <v>-33158</v>
      </c>
      <c r="E213" s="28">
        <f>+E214+E215</f>
        <v>-31680</v>
      </c>
      <c r="F213" s="1408">
        <f>IF(ISERROR(E213/D213),"-",E213/D213)</f>
        <v>0.95542553833162436</v>
      </c>
      <c r="G213" s="27">
        <f>+G214+G215</f>
        <v>-31680</v>
      </c>
      <c r="H213" s="28">
        <f>+H214+H215</f>
        <v>0</v>
      </c>
      <c r="I213" s="29">
        <f>+I214+I215</f>
        <v>0</v>
      </c>
      <c r="K213" s="3">
        <f>+E213-G213-H213-I213</f>
        <v>0</v>
      </c>
    </row>
    <row r="214" spans="1:31">
      <c r="A214" s="84" t="s">
        <v>81</v>
      </c>
      <c r="B214" s="72" t="s">
        <v>319</v>
      </c>
      <c r="C214" s="1051">
        <f>+C10-C109</f>
        <v>-29659</v>
      </c>
      <c r="D214" s="10">
        <f>+D10-D109</f>
        <v>-33539</v>
      </c>
      <c r="E214" s="10">
        <f>+E10-E109</f>
        <v>-32061</v>
      </c>
      <c r="F214" s="1410">
        <f>IF(ISERROR(E214/D214),"-",E214/D214)</f>
        <v>0.95593190017591456</v>
      </c>
      <c r="G214" s="34">
        <f>+G10-G109</f>
        <v>-32061</v>
      </c>
      <c r="H214" s="10">
        <f>+H10-H109</f>
        <v>0</v>
      </c>
      <c r="I214" s="35">
        <f>+I10-I109</f>
        <v>0</v>
      </c>
      <c r="K214" s="4">
        <f>+E214-G214-H214-I214</f>
        <v>0</v>
      </c>
    </row>
    <row r="215" spans="1:31" ht="12.75" thickBot="1">
      <c r="A215" s="88" t="s">
        <v>82</v>
      </c>
      <c r="B215" s="73" t="s">
        <v>320</v>
      </c>
      <c r="C215" s="503">
        <f>+C50-C149</f>
        <v>-8532</v>
      </c>
      <c r="D215" s="17">
        <f>+D50-D149</f>
        <v>381</v>
      </c>
      <c r="E215" s="17">
        <f>+E50-E149</f>
        <v>381</v>
      </c>
      <c r="F215" s="1416">
        <f>IF(ISERROR(E215/D215),"-",E215/D215)</f>
        <v>1</v>
      </c>
      <c r="G215" s="40">
        <f>+G50-G149</f>
        <v>381</v>
      </c>
      <c r="H215" s="17">
        <f>+H50-H149</f>
        <v>0</v>
      </c>
      <c r="I215" s="39">
        <f>+I50-I149</f>
        <v>0</v>
      </c>
      <c r="K215" s="4">
        <f>+E215-G215-H215-I215</f>
        <v>0</v>
      </c>
    </row>
    <row r="218" spans="1:31" s="1" customFormat="1" ht="15.75">
      <c r="A218" s="1217" t="s">
        <v>90</v>
      </c>
      <c r="B218" s="1217"/>
      <c r="C218" s="1217"/>
      <c r="D218" s="1217"/>
      <c r="E218" s="1217"/>
      <c r="F218" s="1217"/>
      <c r="G218" s="1217"/>
      <c r="H218" s="1217"/>
      <c r="I218" s="1217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</row>
    <row r="219" spans="1:31" s="36" customFormat="1" ht="12.75" thickBot="1">
      <c r="A219" s="38" t="s">
        <v>283</v>
      </c>
      <c r="F219" s="1397"/>
      <c r="I219" s="37" t="s">
        <v>281</v>
      </c>
    </row>
    <row r="220" spans="1:31" s="3" customFormat="1" ht="12.75" thickBot="1">
      <c r="A220" s="83" t="s">
        <v>4</v>
      </c>
      <c r="B220" s="69" t="s">
        <v>321</v>
      </c>
      <c r="C220" s="1049">
        <f>+C221+C228</f>
        <v>38191</v>
      </c>
      <c r="D220" s="28">
        <f>+D221+D228</f>
        <v>33158</v>
      </c>
      <c r="E220" s="28">
        <f>+E221+E228</f>
        <v>32334</v>
      </c>
      <c r="F220" s="1408">
        <f t="shared" ref="F220:F234" si="6">IF(ISERROR(E220/D220),"-",E220/D220)</f>
        <v>0.97514928524036426</v>
      </c>
      <c r="G220" s="27">
        <f>+G221+G228</f>
        <v>32334</v>
      </c>
      <c r="H220" s="28">
        <f>+H221+H228</f>
        <v>0</v>
      </c>
      <c r="I220" s="29">
        <f>+I221+I228</f>
        <v>0</v>
      </c>
      <c r="K220" s="3">
        <f>+E220-G220-H220-I220</f>
        <v>0</v>
      </c>
    </row>
    <row r="221" spans="1:31" s="3" customFormat="1" ht="12.75" thickBot="1">
      <c r="A221" s="83" t="s">
        <v>5</v>
      </c>
      <c r="B221" s="64" t="s">
        <v>322</v>
      </c>
      <c r="C221" s="1049">
        <f>+C222-C225</f>
        <v>29659</v>
      </c>
      <c r="D221" s="28">
        <f>+D222-D225</f>
        <v>33539</v>
      </c>
      <c r="E221" s="28">
        <f>+E222-E225</f>
        <v>32715</v>
      </c>
      <c r="F221" s="1408">
        <f t="shared" si="6"/>
        <v>0.97543158710754641</v>
      </c>
      <c r="G221" s="27">
        <f>+G222-G225</f>
        <v>32715</v>
      </c>
      <c r="H221" s="28">
        <f>+H222-H225</f>
        <v>0</v>
      </c>
      <c r="I221" s="29">
        <f>+I222-I225</f>
        <v>0</v>
      </c>
      <c r="K221" s="3">
        <f>+E221-G221-H221-I221</f>
        <v>0</v>
      </c>
    </row>
    <row r="222" spans="1:31">
      <c r="A222" s="84" t="s">
        <v>54</v>
      </c>
      <c r="B222" s="65" t="s">
        <v>323</v>
      </c>
      <c r="C222" s="1051">
        <f>+C223+C224</f>
        <v>29659</v>
      </c>
      <c r="D222" s="10">
        <f>+D223+D224</f>
        <v>33539</v>
      </c>
      <c r="E222" s="10">
        <f>+E223+E224</f>
        <v>32715</v>
      </c>
      <c r="F222" s="1410">
        <f t="shared" si="6"/>
        <v>0.97543158710754641</v>
      </c>
      <c r="G222" s="34">
        <f>+G223+G224</f>
        <v>32715</v>
      </c>
      <c r="H222" s="10">
        <f>+H223+H224</f>
        <v>0</v>
      </c>
      <c r="I222" s="35">
        <f>+I223+I224</f>
        <v>0</v>
      </c>
      <c r="K222" s="4">
        <f>+E222-G222-H222-I222</f>
        <v>0</v>
      </c>
    </row>
    <row r="223" spans="1:31" s="13" customFormat="1">
      <c r="A223" s="86" t="s">
        <v>190</v>
      </c>
      <c r="B223" s="66" t="s">
        <v>285</v>
      </c>
      <c r="C223" s="502">
        <f>+C76+C80</f>
        <v>0</v>
      </c>
      <c r="D223" s="12">
        <f>+D76+D80</f>
        <v>116</v>
      </c>
      <c r="E223" s="12">
        <f>+E76+E80</f>
        <v>116</v>
      </c>
      <c r="F223" s="1412">
        <f t="shared" si="6"/>
        <v>1</v>
      </c>
      <c r="G223" s="19">
        <f>+G76+G80</f>
        <v>116</v>
      </c>
      <c r="H223" s="12">
        <f>+H76+H80</f>
        <v>0</v>
      </c>
      <c r="I223" s="15">
        <f>+I76+I80</f>
        <v>0</v>
      </c>
      <c r="K223" s="13">
        <f>+E223-G223-H223-I223</f>
        <v>0</v>
      </c>
    </row>
    <row r="224" spans="1:31" s="13" customFormat="1">
      <c r="A224" s="86" t="s">
        <v>191</v>
      </c>
      <c r="B224" s="66" t="s">
        <v>286</v>
      </c>
      <c r="C224" s="502">
        <f>+C74+C75+C77+C78+C79+C81</f>
        <v>29659</v>
      </c>
      <c r="D224" s="12">
        <f>+D74+D75+D77+D78+D79+D81</f>
        <v>33423</v>
      </c>
      <c r="E224" s="12">
        <f>+E74+E75+E77+E78+E79+E81</f>
        <v>32599</v>
      </c>
      <c r="F224" s="1412">
        <f t="shared" si="6"/>
        <v>0.97534631840349462</v>
      </c>
      <c r="G224" s="19">
        <f>+G74+G75+G77+G78+G79+G81</f>
        <v>32599</v>
      </c>
      <c r="H224" s="12">
        <f>+H74+H75+H77+H78+H79+H81</f>
        <v>0</v>
      </c>
      <c r="I224" s="15">
        <f>+I74+I75+I77+I78+I79+I81</f>
        <v>0</v>
      </c>
      <c r="K224" s="13">
        <f>+E224-G224-H224-I224</f>
        <v>0</v>
      </c>
    </row>
    <row r="225" spans="1:31">
      <c r="A225" s="85" t="s">
        <v>55</v>
      </c>
      <c r="B225" s="67" t="s">
        <v>324</v>
      </c>
      <c r="C225" s="501">
        <f>+C227</f>
        <v>0</v>
      </c>
      <c r="D225" s="11">
        <f>+D227</f>
        <v>0</v>
      </c>
      <c r="E225" s="11">
        <f>+E227</f>
        <v>0</v>
      </c>
      <c r="F225" s="1412" t="str">
        <f t="shared" si="6"/>
        <v>-</v>
      </c>
      <c r="G225" s="20">
        <f>+G227</f>
        <v>0</v>
      </c>
      <c r="H225" s="11">
        <f>+H227</f>
        <v>0</v>
      </c>
      <c r="I225" s="16">
        <f>+I227</f>
        <v>0</v>
      </c>
      <c r="K225" s="4">
        <f>+E225-G225-H225-I225</f>
        <v>0</v>
      </c>
    </row>
    <row r="226" spans="1:31" s="13" customFormat="1">
      <c r="A226" s="86" t="s">
        <v>56</v>
      </c>
      <c r="B226" s="66" t="s">
        <v>287</v>
      </c>
      <c r="C226" s="502">
        <f>+C185</f>
        <v>0</v>
      </c>
      <c r="D226" s="12">
        <f>+D185</f>
        <v>0</v>
      </c>
      <c r="E226" s="12">
        <f>+E185</f>
        <v>0</v>
      </c>
      <c r="F226" s="1412" t="str">
        <f t="shared" si="6"/>
        <v>-</v>
      </c>
      <c r="G226" s="19">
        <f>+G185</f>
        <v>0</v>
      </c>
      <c r="H226" s="12">
        <f>+H185</f>
        <v>0</v>
      </c>
      <c r="I226" s="15">
        <f>+I185</f>
        <v>0</v>
      </c>
      <c r="K226" s="13">
        <f>+E226-G226-H226-I226</f>
        <v>0</v>
      </c>
    </row>
    <row r="227" spans="1:31" s="13" customFormat="1" ht="12.75" thickBot="1">
      <c r="A227" s="89" t="s">
        <v>57</v>
      </c>
      <c r="B227" s="74" t="s">
        <v>288</v>
      </c>
      <c r="C227" s="1050">
        <f>+C180+C181+C182+C183+C184+C186+C187</f>
        <v>0</v>
      </c>
      <c r="D227" s="43">
        <f>+D180+D181+D182+D183+D184+D186+D187</f>
        <v>0</v>
      </c>
      <c r="E227" s="43">
        <f>+E180+E181+E182+E183+E184+E186+E187</f>
        <v>0</v>
      </c>
      <c r="F227" s="1411" t="str">
        <f t="shared" si="6"/>
        <v>-</v>
      </c>
      <c r="G227" s="45">
        <f>+G180+G181+G182+G183+G184+G186+G187</f>
        <v>0</v>
      </c>
      <c r="H227" s="43">
        <f>+H180+H181+H182+H183+H184+H186+H187</f>
        <v>0</v>
      </c>
      <c r="I227" s="44">
        <f>+I180+I181+I182+I183+I184+I186+I187</f>
        <v>0</v>
      </c>
      <c r="K227" s="13">
        <f>+E227-G227-H227-I227</f>
        <v>0</v>
      </c>
    </row>
    <row r="228" spans="1:31" s="3" customFormat="1" ht="12.75" thickBot="1">
      <c r="A228" s="83" t="s">
        <v>6</v>
      </c>
      <c r="B228" s="64" t="s">
        <v>325</v>
      </c>
      <c r="C228" s="1049">
        <f>+C229-C232</f>
        <v>8532</v>
      </c>
      <c r="D228" s="28">
        <f>+D229-D232</f>
        <v>-381</v>
      </c>
      <c r="E228" s="28">
        <f>+E229-E232</f>
        <v>-381</v>
      </c>
      <c r="F228" s="1408">
        <f t="shared" si="6"/>
        <v>1</v>
      </c>
      <c r="G228" s="27">
        <f>+G229-G232</f>
        <v>-381</v>
      </c>
      <c r="H228" s="28">
        <f>+H229-H232</f>
        <v>0</v>
      </c>
      <c r="I228" s="29">
        <f>+I229-I232</f>
        <v>0</v>
      </c>
      <c r="K228" s="3">
        <f>+E228-G228-H228-I228</f>
        <v>0</v>
      </c>
    </row>
    <row r="229" spans="1:31">
      <c r="A229" s="84" t="s">
        <v>58</v>
      </c>
      <c r="B229" s="65" t="s">
        <v>326</v>
      </c>
      <c r="C229" s="1051">
        <f>+C230+C231</f>
        <v>8532</v>
      </c>
      <c r="D229" s="10">
        <f>+D230+D231</f>
        <v>-381</v>
      </c>
      <c r="E229" s="10">
        <f>+E230+E231</f>
        <v>-381</v>
      </c>
      <c r="F229" s="1410">
        <f t="shared" si="6"/>
        <v>1</v>
      </c>
      <c r="G229" s="34">
        <f>+G230+G231</f>
        <v>-381</v>
      </c>
      <c r="H229" s="10">
        <f>+H230+H231</f>
        <v>0</v>
      </c>
      <c r="I229" s="35">
        <f>+I230+I231</f>
        <v>0</v>
      </c>
      <c r="K229" s="4">
        <f>+E229-G229-H229-I229</f>
        <v>0</v>
      </c>
    </row>
    <row r="230" spans="1:31" s="13" customFormat="1">
      <c r="A230" s="86" t="s">
        <v>293</v>
      </c>
      <c r="B230" s="66" t="s">
        <v>291</v>
      </c>
      <c r="C230" s="502">
        <f>+C91+C95</f>
        <v>0</v>
      </c>
      <c r="D230" s="12">
        <f>+D91+D95</f>
        <v>0</v>
      </c>
      <c r="E230" s="12">
        <f>+E91+E95</f>
        <v>0</v>
      </c>
      <c r="F230" s="1412" t="str">
        <f t="shared" si="6"/>
        <v>-</v>
      </c>
      <c r="G230" s="19">
        <f>+G91+G95</f>
        <v>0</v>
      </c>
      <c r="H230" s="12">
        <f>+H91+H95</f>
        <v>0</v>
      </c>
      <c r="I230" s="15">
        <f>+I91+I95</f>
        <v>0</v>
      </c>
      <c r="K230" s="13">
        <f>+E230-G230-H230-I230</f>
        <v>0</v>
      </c>
    </row>
    <row r="231" spans="1:31" s="13" customFormat="1">
      <c r="A231" s="86" t="s">
        <v>294</v>
      </c>
      <c r="B231" s="66" t="s">
        <v>292</v>
      </c>
      <c r="C231" s="502">
        <f>+C89+C90+C92+C93+C94+C96</f>
        <v>8532</v>
      </c>
      <c r="D231" s="12">
        <f>+D89+D90+D92+D93+D94+D96</f>
        <v>-381</v>
      </c>
      <c r="E231" s="12">
        <f>+E89+E90+E92+E93+E94+E96</f>
        <v>-381</v>
      </c>
      <c r="F231" s="1412">
        <f t="shared" si="6"/>
        <v>1</v>
      </c>
      <c r="G231" s="19">
        <f>+G89+G90+G92+G93+G94+G96</f>
        <v>-381</v>
      </c>
      <c r="H231" s="12">
        <f>+H89+H90+H92+H93+H94+H96</f>
        <v>0</v>
      </c>
      <c r="I231" s="15">
        <f>+I89+I90+I92+I93+I94+I96</f>
        <v>0</v>
      </c>
      <c r="K231" s="13">
        <f>+E231-G231-H231-I231</f>
        <v>0</v>
      </c>
    </row>
    <row r="232" spans="1:31">
      <c r="A232" s="85" t="s">
        <v>59</v>
      </c>
      <c r="B232" s="67" t="s">
        <v>327</v>
      </c>
      <c r="C232" s="501">
        <f>+C233+C234</f>
        <v>0</v>
      </c>
      <c r="D232" s="11">
        <f>+D233+D234</f>
        <v>0</v>
      </c>
      <c r="E232" s="11">
        <f>+E233+E234</f>
        <v>0</v>
      </c>
      <c r="F232" s="1412" t="str">
        <f t="shared" si="6"/>
        <v>-</v>
      </c>
      <c r="G232" s="20">
        <f>+G233+G234</f>
        <v>0</v>
      </c>
      <c r="H232" s="11">
        <f>+H233+H234</f>
        <v>0</v>
      </c>
      <c r="I232" s="16">
        <f>+I233+I234</f>
        <v>0</v>
      </c>
      <c r="K232" s="4">
        <f>+E232-G232-H232-I232</f>
        <v>0</v>
      </c>
    </row>
    <row r="233" spans="1:31" s="13" customFormat="1">
      <c r="A233" s="86" t="s">
        <v>295</v>
      </c>
      <c r="B233" s="66" t="s">
        <v>289</v>
      </c>
      <c r="C233" s="502">
        <f>+C200</f>
        <v>0</v>
      </c>
      <c r="D233" s="12">
        <f>+D200</f>
        <v>0</v>
      </c>
      <c r="E233" s="12">
        <f>+E200</f>
        <v>0</v>
      </c>
      <c r="F233" s="1412" t="str">
        <f t="shared" si="6"/>
        <v>-</v>
      </c>
      <c r="G233" s="19">
        <f>+G200</f>
        <v>0</v>
      </c>
      <c r="H233" s="12">
        <f>+H200</f>
        <v>0</v>
      </c>
      <c r="I233" s="15">
        <f>+I200</f>
        <v>0</v>
      </c>
      <c r="K233" s="13">
        <f>+E233-G233-H233-I233</f>
        <v>0</v>
      </c>
    </row>
    <row r="234" spans="1:31" s="13" customFormat="1" ht="12.75" thickBot="1">
      <c r="A234" s="90" t="s">
        <v>296</v>
      </c>
      <c r="B234" s="75" t="s">
        <v>290</v>
      </c>
      <c r="C234" s="1059">
        <f>+C195+C196+C197+C198+C199+C201+C202</f>
        <v>0</v>
      </c>
      <c r="D234" s="41">
        <f>+D195+D196+D197+D198+D199+D201+D202</f>
        <v>0</v>
      </c>
      <c r="E234" s="41">
        <f>+E195+E196+E197+E198+E199+E201+E202</f>
        <v>0</v>
      </c>
      <c r="F234" s="1416" t="str">
        <f t="shared" si="6"/>
        <v>-</v>
      </c>
      <c r="G234" s="46">
        <f>+G195+G196+G197+G198+G199+G201+G202</f>
        <v>0</v>
      </c>
      <c r="H234" s="41">
        <f>+H195+H196+H197+H198+H199+H201+H202</f>
        <v>0</v>
      </c>
      <c r="I234" s="42">
        <f>+I195+I196+I197+I198+I199+I201+I202</f>
        <v>0</v>
      </c>
      <c r="K234" s="13">
        <f>+E234-G234-H234-I234</f>
        <v>0</v>
      </c>
    </row>
    <row r="237" spans="1:31" s="1" customFormat="1" ht="15.75">
      <c r="A237" s="1217" t="s">
        <v>1323</v>
      </c>
      <c r="B237" s="1217"/>
      <c r="C237" s="1217"/>
      <c r="D237" s="1217"/>
      <c r="E237" s="1217"/>
      <c r="F237" s="1217"/>
      <c r="G237" s="1217"/>
      <c r="H237" s="1217"/>
      <c r="I237" s="1217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</row>
    <row r="238" spans="1:31" s="36" customFormat="1" ht="12.75" thickBot="1">
      <c r="A238" s="38" t="s">
        <v>284</v>
      </c>
      <c r="F238" s="1397"/>
      <c r="I238" s="37"/>
    </row>
    <row r="239" spans="1:31" s="3" customFormat="1">
      <c r="A239" s="91" t="s">
        <v>4</v>
      </c>
      <c r="B239" s="76" t="s">
        <v>91</v>
      </c>
      <c r="C239" s="1060">
        <v>9</v>
      </c>
      <c r="D239" s="55">
        <v>9</v>
      </c>
      <c r="E239" s="55">
        <v>6</v>
      </c>
      <c r="F239" s="1409">
        <f>IF(ISERROR(E239/D239),"-",E239/D239)</f>
        <v>0.66666666666666663</v>
      </c>
      <c r="G239" s="54">
        <v>6</v>
      </c>
      <c r="H239" s="55"/>
      <c r="I239" s="56"/>
      <c r="K239" s="3">
        <f>+E239-G239-H239-I239</f>
        <v>0</v>
      </c>
    </row>
    <row r="240" spans="1:31" s="13" customFormat="1">
      <c r="A240" s="89" t="s">
        <v>351</v>
      </c>
      <c r="B240" s="99" t="s">
        <v>352</v>
      </c>
      <c r="C240" s="1061"/>
      <c r="D240" s="101"/>
      <c r="E240" s="101"/>
      <c r="F240" s="1411" t="str">
        <f>IF(ISERROR(E240/D240),"-",E240/D240)</f>
        <v>-</v>
      </c>
      <c r="G240" s="100"/>
      <c r="H240" s="101"/>
      <c r="I240" s="102"/>
      <c r="K240" s="13">
        <f>+E240-G240-H240-I240</f>
        <v>0</v>
      </c>
    </row>
    <row r="241" spans="1:11" s="3" customFormat="1" ht="12.75" thickBot="1">
      <c r="A241" s="92" t="s">
        <v>5</v>
      </c>
      <c r="B241" s="77" t="s">
        <v>92</v>
      </c>
      <c r="C241" s="1062"/>
      <c r="D241" s="58"/>
      <c r="E241" s="58"/>
      <c r="F241" s="1417" t="str">
        <f>IF(ISERROR(E241/D241),"-",E241/D241)</f>
        <v>-</v>
      </c>
      <c r="G241" s="57"/>
      <c r="H241" s="58"/>
      <c r="I241" s="59"/>
      <c r="K241" s="3">
        <f>+E241-G241-H241-I241</f>
        <v>0</v>
      </c>
    </row>
    <row r="242" spans="1:11" s="3" customFormat="1" ht="12.75" thickBot="1">
      <c r="A242" s="83" t="s">
        <v>6</v>
      </c>
      <c r="B242" s="69" t="s">
        <v>330</v>
      </c>
      <c r="C242" s="1063">
        <f>+C239+C241</f>
        <v>9</v>
      </c>
      <c r="D242" s="61">
        <f>+D239+D241</f>
        <v>9</v>
      </c>
      <c r="E242" s="61">
        <f>+E239+E241</f>
        <v>6</v>
      </c>
      <c r="F242" s="1408">
        <f>IF(ISERROR(E242/D242),"-",E242/D242)</f>
        <v>0.66666666666666663</v>
      </c>
      <c r="G242" s="60">
        <f>+G239+G241</f>
        <v>6</v>
      </c>
      <c r="H242" s="61">
        <f>+H239+H241</f>
        <v>0</v>
      </c>
      <c r="I242" s="62">
        <f>+I239+I241</f>
        <v>0</v>
      </c>
      <c r="K242" s="3">
        <f>+E242-G242-H242-I242</f>
        <v>0</v>
      </c>
    </row>
  </sheetData>
  <mergeCells count="9">
    <mergeCell ref="A211:I211"/>
    <mergeCell ref="A218:I218"/>
    <mergeCell ref="A237:I237"/>
    <mergeCell ref="A3:I3"/>
    <mergeCell ref="A4:I4"/>
    <mergeCell ref="A6:I6"/>
    <mergeCell ref="C9:I9"/>
    <mergeCell ref="A105:I105"/>
    <mergeCell ref="C108:I108"/>
  </mergeCells>
  <conditionalFormatting sqref="F26:F31 F89:F100 F65:F69 F59:F63 F52:F57 F45:F49 F33:F43 F13:F24 F195:F206 F180:F191 F166:F175 F151:F158 F147:F148 F133:F145 F124:F131 F117:F122 F111:F115 F160:F164 F74:F85">
    <cfRule type="cellIs" dxfId="9" priority="2" stopIfTrue="1" operator="equal">
      <formula>0</formula>
    </cfRule>
  </conditionalFormatting>
  <conditionalFormatting sqref="F65:F69 F59:F63 F52:F57 F45:F49 F33:F43 F13:F24 F195:F206 F180:F191 F166:F175 F160:F164 F151:F158 F147:F148 F133:F145 F124:F131 F117:F122 F111:F115 F26:F31 F89:F100 F74:F85">
    <cfRule type="cellIs" dxfId="8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44" fitToHeight="2" orientation="portrait" r:id="rId1"/>
  <headerFooter>
    <oddHeader>&amp;C 1.4. melléklet - &amp;P. oldal</oddHeader>
  </headerFooter>
  <rowBreaks count="1" manualBreakCount="1">
    <brk id="10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Munka10">
    <tabColor rgb="FF00B0F0"/>
  </sheetPr>
  <dimension ref="A1:AG242"/>
  <sheetViews>
    <sheetView zoomScaleNormal="100" workbookViewId="0"/>
  </sheetViews>
  <sheetFormatPr defaultRowHeight="12"/>
  <cols>
    <col min="1" max="1" width="6.5703125" style="4" customWidth="1"/>
    <col min="2" max="2" width="109.5703125" style="4" bestFit="1" customWidth="1"/>
    <col min="3" max="5" width="9.28515625" style="4" customWidth="1"/>
    <col min="6" max="6" width="9.28515625" style="1415" customWidth="1"/>
    <col min="7" max="9" width="9.28515625" style="4" customWidth="1"/>
    <col min="10" max="10" width="9.140625" style="4"/>
    <col min="11" max="11" width="9.140625" style="4" hidden="1" customWidth="1"/>
    <col min="12" max="16384" width="9.140625" style="4"/>
  </cols>
  <sheetData>
    <row r="1" spans="1:11" s="50" customFormat="1" ht="15.75">
      <c r="F1" s="1396"/>
      <c r="I1" s="51" t="s">
        <v>930</v>
      </c>
    </row>
    <row r="2" spans="1:11" s="50" customFormat="1" ht="15.75">
      <c r="F2" s="1396"/>
    </row>
    <row r="3" spans="1:11" s="52" customFormat="1" ht="15.75">
      <c r="A3" s="1216" t="s">
        <v>922</v>
      </c>
      <c r="B3" s="1216"/>
      <c r="C3" s="1216"/>
      <c r="D3" s="1216"/>
      <c r="E3" s="1216"/>
      <c r="F3" s="1216"/>
      <c r="G3" s="1216"/>
      <c r="H3" s="1216"/>
      <c r="I3" s="1216"/>
    </row>
    <row r="4" spans="1:11" s="52" customFormat="1" ht="15.75">
      <c r="A4" s="1216" t="s">
        <v>1324</v>
      </c>
      <c r="B4" s="1216"/>
      <c r="C4" s="1216"/>
      <c r="D4" s="1216"/>
      <c r="E4" s="1216"/>
      <c r="F4" s="1216"/>
      <c r="G4" s="1216"/>
      <c r="H4" s="1216"/>
      <c r="I4" s="1216"/>
    </row>
    <row r="5" spans="1:11" s="50" customFormat="1" ht="15.75">
      <c r="F5" s="1396"/>
    </row>
    <row r="6" spans="1:11" s="52" customFormat="1" ht="15.75">
      <c r="A6" s="1216" t="s">
        <v>48</v>
      </c>
      <c r="B6" s="1216"/>
      <c r="C6" s="1216"/>
      <c r="D6" s="1216"/>
      <c r="E6" s="1216"/>
      <c r="F6" s="1216"/>
      <c r="G6" s="1216"/>
      <c r="H6" s="1216"/>
      <c r="I6" s="1216"/>
    </row>
    <row r="7" spans="1:11" s="36" customFormat="1" ht="12.75" thickBot="1">
      <c r="A7" s="38" t="s">
        <v>280</v>
      </c>
      <c r="F7" s="1397"/>
      <c r="I7" s="37" t="s">
        <v>281</v>
      </c>
    </row>
    <row r="8" spans="1:11" s="8" customFormat="1" ht="54" customHeight="1" thickBot="1">
      <c r="A8" s="79" t="s">
        <v>17</v>
      </c>
      <c r="B8" s="93" t="s">
        <v>328</v>
      </c>
      <c r="C8" s="1046" t="s">
        <v>1474</v>
      </c>
      <c r="D8" s="1047" t="s">
        <v>1475</v>
      </c>
      <c r="E8" s="6" t="s">
        <v>1529</v>
      </c>
      <c r="F8" s="1398" t="s">
        <v>1527</v>
      </c>
      <c r="G8" s="5" t="s">
        <v>51</v>
      </c>
      <c r="H8" s="6" t="s">
        <v>52</v>
      </c>
      <c r="I8" s="7" t="s">
        <v>53</v>
      </c>
    </row>
    <row r="9" spans="1:11" s="3" customFormat="1" ht="12.75" thickBot="1">
      <c r="A9" s="83" t="s">
        <v>253</v>
      </c>
      <c r="B9" s="94" t="s">
        <v>254</v>
      </c>
      <c r="C9" s="1218" t="s">
        <v>255</v>
      </c>
      <c r="D9" s="1218"/>
      <c r="E9" s="1218"/>
      <c r="F9" s="1218"/>
      <c r="G9" s="1219"/>
      <c r="H9" s="1219"/>
      <c r="I9" s="1220"/>
    </row>
    <row r="10" spans="1:11" s="3" customFormat="1" ht="12.75" thickBot="1">
      <c r="A10" s="95" t="s">
        <v>4</v>
      </c>
      <c r="B10" s="63" t="s">
        <v>297</v>
      </c>
      <c r="C10" s="1048">
        <f>+C11+C25+C32+C44</f>
        <v>13240</v>
      </c>
      <c r="D10" s="134">
        <f>+D11+D25+D32+D44</f>
        <v>0</v>
      </c>
      <c r="E10" s="134">
        <f>+E11+E25+E32+E44</f>
        <v>0</v>
      </c>
      <c r="F10" s="1399" t="str">
        <f t="shared" ref="F10:F73" si="0">IF(ISERROR(E10/D10),"-",E10/D10)</f>
        <v>-</v>
      </c>
      <c r="G10" s="31">
        <f>+G11+G25+G32+G44</f>
        <v>0</v>
      </c>
      <c r="H10" s="32">
        <f>+H11+H25+H32+H44</f>
        <v>0</v>
      </c>
      <c r="I10" s="33">
        <f>+I11+I25+I32+I44</f>
        <v>0</v>
      </c>
      <c r="K10" s="3">
        <f>+E10-G10-H10-I10</f>
        <v>0</v>
      </c>
    </row>
    <row r="11" spans="1:11" s="3" customFormat="1" ht="12.75" customHeight="1" thickBot="1">
      <c r="A11" s="83" t="s">
        <v>5</v>
      </c>
      <c r="B11" s="64" t="s">
        <v>298</v>
      </c>
      <c r="C11" s="1049">
        <f>+C12+C19+C20+C21+C22+C23</f>
        <v>3240</v>
      </c>
      <c r="D11" s="28">
        <f>+D12+D19+D20+D21+D22+D23</f>
        <v>0</v>
      </c>
      <c r="E11" s="28">
        <f>+E12+E19+E20+E21+E22+E23</f>
        <v>0</v>
      </c>
      <c r="F11" s="1400" t="str">
        <f t="shared" si="0"/>
        <v>-</v>
      </c>
      <c r="G11" s="27">
        <f>+G12+G19+G20+G21+G22+G23</f>
        <v>0</v>
      </c>
      <c r="H11" s="28">
        <f>+H12+H19+H20+H21+H22+H23</f>
        <v>0</v>
      </c>
      <c r="I11" s="29">
        <f>+I12+I19+I20+I21+I22+I23</f>
        <v>0</v>
      </c>
      <c r="K11" s="3">
        <f>+E11-G11-H11-I11</f>
        <v>0</v>
      </c>
    </row>
    <row r="12" spans="1:11" s="3" customFormat="1">
      <c r="A12" s="84" t="s">
        <v>54</v>
      </c>
      <c r="B12" s="65" t="s">
        <v>299</v>
      </c>
      <c r="C12" s="1051">
        <f>+C13+C14+C15+C16+C17+C18</f>
        <v>0</v>
      </c>
      <c r="D12" s="10">
        <f>+D13+D14+D15+D16+D17+D18</f>
        <v>0</v>
      </c>
      <c r="E12" s="9">
        <f>+E13+E14+E15+E16+E17+E18</f>
        <v>0</v>
      </c>
      <c r="F12" s="1401" t="str">
        <f t="shared" si="0"/>
        <v>-</v>
      </c>
      <c r="G12" s="18">
        <f>+G13+G14+G15+G16+G17+G18</f>
        <v>0</v>
      </c>
      <c r="H12" s="9">
        <f>+H13+H14+H15+H16+H17+H18</f>
        <v>0</v>
      </c>
      <c r="I12" s="14">
        <f>+I13+I14+I15+I16+I17+I18</f>
        <v>0</v>
      </c>
      <c r="K12" s="4">
        <f>+E12-G12-H12-I12</f>
        <v>0</v>
      </c>
    </row>
    <row r="13" spans="1:11" s="13" customFormat="1">
      <c r="A13" s="86" t="s">
        <v>190</v>
      </c>
      <c r="B13" s="66" t="s">
        <v>93</v>
      </c>
      <c r="C13" s="502"/>
      <c r="D13" s="12"/>
      <c r="E13" s="12"/>
      <c r="F13" s="1402" t="str">
        <f t="shared" si="0"/>
        <v>-</v>
      </c>
      <c r="G13" s="19"/>
      <c r="H13" s="12"/>
      <c r="I13" s="15"/>
      <c r="K13" s="13">
        <f>+E13-G13-H13-I13</f>
        <v>0</v>
      </c>
    </row>
    <row r="14" spans="1:11" s="13" customFormat="1">
      <c r="A14" s="86" t="s">
        <v>191</v>
      </c>
      <c r="B14" s="66" t="s">
        <v>94</v>
      </c>
      <c r="C14" s="502"/>
      <c r="D14" s="12"/>
      <c r="E14" s="12"/>
      <c r="F14" s="1402" t="str">
        <f t="shared" si="0"/>
        <v>-</v>
      </c>
      <c r="G14" s="19"/>
      <c r="H14" s="12"/>
      <c r="I14" s="15"/>
      <c r="K14" s="13">
        <f>+E14-G14-H14-I14</f>
        <v>0</v>
      </c>
    </row>
    <row r="15" spans="1:11" s="13" customFormat="1">
      <c r="A15" s="86" t="s">
        <v>192</v>
      </c>
      <c r="B15" s="66" t="s">
        <v>95</v>
      </c>
      <c r="C15" s="502"/>
      <c r="D15" s="12"/>
      <c r="E15" s="12"/>
      <c r="F15" s="1402" t="str">
        <f t="shared" si="0"/>
        <v>-</v>
      </c>
      <c r="G15" s="19"/>
      <c r="H15" s="12"/>
      <c r="I15" s="15"/>
      <c r="K15" s="13">
        <f>+E15-G15-H15-I15</f>
        <v>0</v>
      </c>
    </row>
    <row r="16" spans="1:11" s="13" customFormat="1">
      <c r="A16" s="86" t="s">
        <v>193</v>
      </c>
      <c r="B16" s="66" t="s">
        <v>96</v>
      </c>
      <c r="C16" s="502"/>
      <c r="D16" s="12"/>
      <c r="E16" s="12"/>
      <c r="F16" s="1402" t="str">
        <f t="shared" si="0"/>
        <v>-</v>
      </c>
      <c r="G16" s="19"/>
      <c r="H16" s="12"/>
      <c r="I16" s="15"/>
      <c r="K16" s="13">
        <f>+E16-G16-H16-I16</f>
        <v>0</v>
      </c>
    </row>
    <row r="17" spans="1:11" s="13" customFormat="1">
      <c r="A17" s="86" t="s">
        <v>194</v>
      </c>
      <c r="B17" s="66" t="s">
        <v>959</v>
      </c>
      <c r="C17" s="502"/>
      <c r="D17" s="12"/>
      <c r="E17" s="12"/>
      <c r="F17" s="1403" t="str">
        <f t="shared" si="0"/>
        <v>-</v>
      </c>
      <c r="G17" s="19"/>
      <c r="H17" s="12"/>
      <c r="I17" s="15"/>
      <c r="K17" s="13">
        <f>+E17-G17-H17-I17</f>
        <v>0</v>
      </c>
    </row>
    <row r="18" spans="1:11" s="13" customFormat="1">
      <c r="A18" s="86" t="s">
        <v>195</v>
      </c>
      <c r="B18" s="66" t="s">
        <v>960</v>
      </c>
      <c r="C18" s="502"/>
      <c r="D18" s="12"/>
      <c r="E18" s="12"/>
      <c r="F18" s="1403" t="str">
        <f t="shared" si="0"/>
        <v>-</v>
      </c>
      <c r="G18" s="19"/>
      <c r="H18" s="12"/>
      <c r="I18" s="15"/>
      <c r="K18" s="13">
        <f>+E18-G18-H18-I18</f>
        <v>0</v>
      </c>
    </row>
    <row r="19" spans="1:11">
      <c r="A19" s="85" t="s">
        <v>55</v>
      </c>
      <c r="B19" s="67" t="s">
        <v>97</v>
      </c>
      <c r="C19" s="501"/>
      <c r="D19" s="11"/>
      <c r="E19" s="11"/>
      <c r="F19" s="1402" t="str">
        <f t="shared" si="0"/>
        <v>-</v>
      </c>
      <c r="G19" s="20"/>
      <c r="H19" s="11"/>
      <c r="I19" s="16"/>
      <c r="K19" s="4">
        <f>+E19-G19-H19-I19</f>
        <v>0</v>
      </c>
    </row>
    <row r="20" spans="1:11">
      <c r="A20" s="85" t="s">
        <v>83</v>
      </c>
      <c r="B20" s="67" t="s">
        <v>98</v>
      </c>
      <c r="C20" s="501"/>
      <c r="D20" s="11"/>
      <c r="E20" s="11"/>
      <c r="F20" s="1402" t="str">
        <f t="shared" si="0"/>
        <v>-</v>
      </c>
      <c r="G20" s="20"/>
      <c r="H20" s="11"/>
      <c r="I20" s="16"/>
      <c r="K20" s="4">
        <f>+E20-G20-H20-I20</f>
        <v>0</v>
      </c>
    </row>
    <row r="21" spans="1:11">
      <c r="A21" s="85" t="s">
        <v>84</v>
      </c>
      <c r="B21" s="67" t="s">
        <v>99</v>
      </c>
      <c r="C21" s="501"/>
      <c r="D21" s="11"/>
      <c r="E21" s="11"/>
      <c r="F21" s="1402" t="str">
        <f t="shared" si="0"/>
        <v>-</v>
      </c>
      <c r="G21" s="20"/>
      <c r="H21" s="11"/>
      <c r="I21" s="16"/>
      <c r="K21" s="4">
        <f>+E21-G21-H21-I21</f>
        <v>0</v>
      </c>
    </row>
    <row r="22" spans="1:11">
      <c r="A22" s="85" t="s">
        <v>85</v>
      </c>
      <c r="B22" s="67" t="s">
        <v>100</v>
      </c>
      <c r="C22" s="501"/>
      <c r="D22" s="11"/>
      <c r="E22" s="11"/>
      <c r="F22" s="1402" t="str">
        <f t="shared" si="0"/>
        <v>-</v>
      </c>
      <c r="G22" s="20"/>
      <c r="H22" s="11"/>
      <c r="I22" s="16"/>
      <c r="K22" s="4">
        <f>+E22-G22-H22-I22</f>
        <v>0</v>
      </c>
    </row>
    <row r="23" spans="1:11">
      <c r="A23" s="78" t="s">
        <v>86</v>
      </c>
      <c r="B23" s="68" t="s">
        <v>101</v>
      </c>
      <c r="C23" s="500">
        <v>3240</v>
      </c>
      <c r="D23" s="22">
        <v>0</v>
      </c>
      <c r="E23" s="22"/>
      <c r="F23" s="1404" t="str">
        <f t="shared" si="0"/>
        <v>-</v>
      </c>
      <c r="G23" s="21"/>
      <c r="H23" s="22"/>
      <c r="I23" s="23"/>
      <c r="K23" s="4">
        <f>+E23-G23-H23-I23</f>
        <v>0</v>
      </c>
    </row>
    <row r="24" spans="1:11" s="13" customFormat="1" ht="12.75" thickBot="1">
      <c r="A24" s="89" t="s">
        <v>332</v>
      </c>
      <c r="B24" s="818" t="s">
        <v>333</v>
      </c>
      <c r="C24" s="1050"/>
      <c r="D24" s="43"/>
      <c r="E24" s="43"/>
      <c r="F24" s="1404" t="str">
        <f t="shared" si="0"/>
        <v>-</v>
      </c>
      <c r="G24" s="45"/>
      <c r="H24" s="43"/>
      <c r="I24" s="44"/>
      <c r="K24" s="13">
        <f>+E24-G24-H24-I24</f>
        <v>0</v>
      </c>
    </row>
    <row r="25" spans="1:11" s="3" customFormat="1" ht="12.75" customHeight="1" thickBot="1">
      <c r="A25" s="83" t="s">
        <v>6</v>
      </c>
      <c r="B25" s="64" t="s">
        <v>835</v>
      </c>
      <c r="C25" s="1049">
        <f>+C26+C27+C28+C29+C30+C31</f>
        <v>10000</v>
      </c>
      <c r="D25" s="28">
        <f>+D26+D27+D28+D29+D30+D31</f>
        <v>0</v>
      </c>
      <c r="E25" s="28">
        <f>+E26+E27+E28+E29+E30+E31</f>
        <v>0</v>
      </c>
      <c r="F25" s="1400" t="str">
        <f t="shared" si="0"/>
        <v>-</v>
      </c>
      <c r="G25" s="27">
        <f>+G26+G27+G28+G29+G30+G31</f>
        <v>0</v>
      </c>
      <c r="H25" s="28">
        <f>+H26+H27+H28+H29+H30+H31</f>
        <v>0</v>
      </c>
      <c r="I25" s="29">
        <f>+I26+I27+I28+I29+I30+I31</f>
        <v>0</v>
      </c>
      <c r="K25" s="3">
        <f>+E25-G25-H25-I25</f>
        <v>0</v>
      </c>
    </row>
    <row r="26" spans="1:11" ht="12.75" customHeight="1">
      <c r="A26" s="84" t="s">
        <v>58</v>
      </c>
      <c r="B26" s="65" t="s">
        <v>102</v>
      </c>
      <c r="C26" s="1051"/>
      <c r="D26" s="10"/>
      <c r="E26" s="10"/>
      <c r="F26" s="1401" t="str">
        <f t="shared" si="0"/>
        <v>-</v>
      </c>
      <c r="G26" s="34"/>
      <c r="H26" s="10"/>
      <c r="I26" s="35"/>
      <c r="K26" s="4">
        <f>+E26-G26-H26-I26</f>
        <v>0</v>
      </c>
    </row>
    <row r="27" spans="1:11" ht="12.75" customHeight="1">
      <c r="A27" s="85" t="s">
        <v>59</v>
      </c>
      <c r="B27" s="67" t="s">
        <v>103</v>
      </c>
      <c r="C27" s="501"/>
      <c r="D27" s="11"/>
      <c r="E27" s="11"/>
      <c r="F27" s="1402" t="str">
        <f t="shared" si="0"/>
        <v>-</v>
      </c>
      <c r="G27" s="20"/>
      <c r="H27" s="11"/>
      <c r="I27" s="16"/>
      <c r="K27" s="4">
        <f>+E27-G27-H27-I27</f>
        <v>0</v>
      </c>
    </row>
    <row r="28" spans="1:11" ht="12.75" customHeight="1">
      <c r="A28" s="85" t="s">
        <v>60</v>
      </c>
      <c r="B28" s="67" t="s">
        <v>104</v>
      </c>
      <c r="C28" s="501"/>
      <c r="D28" s="11"/>
      <c r="E28" s="11"/>
      <c r="F28" s="1402" t="str">
        <f t="shared" si="0"/>
        <v>-</v>
      </c>
      <c r="G28" s="20"/>
      <c r="H28" s="11"/>
      <c r="I28" s="16"/>
      <c r="K28" s="4">
        <f>+E28-G28-H28-I28</f>
        <v>0</v>
      </c>
    </row>
    <row r="29" spans="1:11" ht="12.75" customHeight="1">
      <c r="A29" s="85" t="s">
        <v>180</v>
      </c>
      <c r="B29" s="67" t="s">
        <v>105</v>
      </c>
      <c r="C29" s="501"/>
      <c r="D29" s="11"/>
      <c r="E29" s="11"/>
      <c r="F29" s="1402" t="str">
        <f t="shared" si="0"/>
        <v>-</v>
      </c>
      <c r="G29" s="20"/>
      <c r="H29" s="11"/>
      <c r="I29" s="16"/>
      <c r="K29" s="4">
        <f>+E29-G29-H29-I29</f>
        <v>0</v>
      </c>
    </row>
    <row r="30" spans="1:11" ht="12.75" customHeight="1">
      <c r="A30" s="78" t="s">
        <v>181</v>
      </c>
      <c r="B30" s="68" t="s">
        <v>106</v>
      </c>
      <c r="C30" s="500"/>
      <c r="D30" s="22"/>
      <c r="E30" s="22"/>
      <c r="F30" s="1404" t="str">
        <f t="shared" si="0"/>
        <v>-</v>
      </c>
      <c r="G30" s="20"/>
      <c r="H30" s="11"/>
      <c r="I30" s="16"/>
      <c r="K30" s="4">
        <f>+E30-G30-H30-I30</f>
        <v>0</v>
      </c>
    </row>
    <row r="31" spans="1:11" ht="12.75" customHeight="1" thickBot="1">
      <c r="A31" s="78" t="s">
        <v>834</v>
      </c>
      <c r="B31" s="68" t="s">
        <v>836</v>
      </c>
      <c r="C31" s="500">
        <v>10000</v>
      </c>
      <c r="D31" s="22">
        <v>0</v>
      </c>
      <c r="E31" s="22"/>
      <c r="F31" s="1404" t="str">
        <f t="shared" si="0"/>
        <v>-</v>
      </c>
      <c r="G31" s="20"/>
      <c r="H31" s="11"/>
      <c r="I31" s="16"/>
      <c r="K31" s="4">
        <f>+E31-G31-H31-I31</f>
        <v>0</v>
      </c>
    </row>
    <row r="32" spans="1:11" s="3" customFormat="1" ht="12.75" customHeight="1" thickBot="1">
      <c r="A32" s="83" t="s">
        <v>3</v>
      </c>
      <c r="B32" s="64" t="s">
        <v>1040</v>
      </c>
      <c r="C32" s="1049">
        <f>+C33+C34+C35+C36+C37+C38+C39+C40+C41+C42+C43</f>
        <v>0</v>
      </c>
      <c r="D32" s="28">
        <f>+D33+D34+D35+D36+D37+D38+D39+D40+D41+D42+D43</f>
        <v>0</v>
      </c>
      <c r="E32" s="28">
        <f>+E33+E34+E35+E36+E37+E38+E39+E40+E41+E42+E43</f>
        <v>0</v>
      </c>
      <c r="F32" s="1400" t="str">
        <f t="shared" si="0"/>
        <v>-</v>
      </c>
      <c r="G32" s="27">
        <f>+G33+G34+G35+G36+G37+G38+G39+G40+G41+G42+G43</f>
        <v>0</v>
      </c>
      <c r="H32" s="28">
        <f>+H33+H34+H35+H36+H37+H38+H39+H40+H41+H42+H43</f>
        <v>0</v>
      </c>
      <c r="I32" s="29">
        <f>+I33+I34+I35+I36+I37+I38+I39+I40+I41+I42+I43</f>
        <v>0</v>
      </c>
      <c r="K32" s="3">
        <f>+E32-G32-H32-I32</f>
        <v>0</v>
      </c>
    </row>
    <row r="33" spans="1:11" ht="12.75" customHeight="1">
      <c r="A33" s="84" t="s">
        <v>61</v>
      </c>
      <c r="B33" s="65" t="s">
        <v>107</v>
      </c>
      <c r="C33" s="1051"/>
      <c r="D33" s="10"/>
      <c r="E33" s="10"/>
      <c r="F33" s="1401" t="str">
        <f t="shared" si="0"/>
        <v>-</v>
      </c>
      <c r="G33" s="34"/>
      <c r="H33" s="10"/>
      <c r="I33" s="35"/>
      <c r="K33" s="4">
        <f>+E33-G33-H33-I33</f>
        <v>0</v>
      </c>
    </row>
    <row r="34" spans="1:11" ht="12.75" customHeight="1">
      <c r="A34" s="85" t="s">
        <v>62</v>
      </c>
      <c r="B34" s="67" t="s">
        <v>108</v>
      </c>
      <c r="C34" s="501"/>
      <c r="D34" s="11"/>
      <c r="E34" s="11"/>
      <c r="F34" s="1402" t="str">
        <f t="shared" si="0"/>
        <v>-</v>
      </c>
      <c r="G34" s="20"/>
      <c r="H34" s="11"/>
      <c r="I34" s="16"/>
      <c r="K34" s="4">
        <f>+E34-G34-H34-I34</f>
        <v>0</v>
      </c>
    </row>
    <row r="35" spans="1:11" ht="12.75" customHeight="1">
      <c r="A35" s="85" t="s">
        <v>63</v>
      </c>
      <c r="B35" s="67" t="s">
        <v>109</v>
      </c>
      <c r="C35" s="501"/>
      <c r="D35" s="11"/>
      <c r="E35" s="11"/>
      <c r="F35" s="1402" t="str">
        <f t="shared" si="0"/>
        <v>-</v>
      </c>
      <c r="G35" s="20"/>
      <c r="H35" s="11"/>
      <c r="I35" s="16"/>
      <c r="K35" s="4">
        <f>+E35-G35-H35-I35</f>
        <v>0</v>
      </c>
    </row>
    <row r="36" spans="1:11" ht="12.75" customHeight="1">
      <c r="A36" s="85" t="s">
        <v>64</v>
      </c>
      <c r="B36" s="67" t="s">
        <v>110</v>
      </c>
      <c r="C36" s="501"/>
      <c r="D36" s="11"/>
      <c r="E36" s="11"/>
      <c r="F36" s="1402" t="str">
        <f t="shared" si="0"/>
        <v>-</v>
      </c>
      <c r="G36" s="20"/>
      <c r="H36" s="11"/>
      <c r="I36" s="16"/>
      <c r="K36" s="4">
        <f>+E36-G36-H36-I36</f>
        <v>0</v>
      </c>
    </row>
    <row r="37" spans="1:11" ht="12.75" customHeight="1">
      <c r="A37" s="85" t="s">
        <v>65</v>
      </c>
      <c r="B37" s="67" t="s">
        <v>111</v>
      </c>
      <c r="C37" s="501"/>
      <c r="D37" s="11"/>
      <c r="E37" s="11"/>
      <c r="F37" s="1402" t="str">
        <f t="shared" si="0"/>
        <v>-</v>
      </c>
      <c r="G37" s="20"/>
      <c r="H37" s="11"/>
      <c r="I37" s="16"/>
      <c r="K37" s="4">
        <f>+E37-G37-H37-I37</f>
        <v>0</v>
      </c>
    </row>
    <row r="38" spans="1:11" ht="12.75" customHeight="1">
      <c r="A38" s="85" t="s">
        <v>222</v>
      </c>
      <c r="B38" s="67" t="s">
        <v>112</v>
      </c>
      <c r="C38" s="501"/>
      <c r="D38" s="11"/>
      <c r="E38" s="11"/>
      <c r="F38" s="1402" t="str">
        <f t="shared" si="0"/>
        <v>-</v>
      </c>
      <c r="G38" s="20"/>
      <c r="H38" s="11"/>
      <c r="I38" s="16"/>
      <c r="K38" s="4">
        <f>+E38-G38-H38-I38</f>
        <v>0</v>
      </c>
    </row>
    <row r="39" spans="1:11" ht="12.75" customHeight="1">
      <c r="A39" s="85" t="s">
        <v>223</v>
      </c>
      <c r="B39" s="67" t="s">
        <v>113</v>
      </c>
      <c r="C39" s="501"/>
      <c r="D39" s="11"/>
      <c r="E39" s="11"/>
      <c r="F39" s="1402" t="str">
        <f t="shared" si="0"/>
        <v>-</v>
      </c>
      <c r="G39" s="20"/>
      <c r="H39" s="11"/>
      <c r="I39" s="16"/>
      <c r="K39" s="4">
        <f>+E39-G39-H39-I39</f>
        <v>0</v>
      </c>
    </row>
    <row r="40" spans="1:11" ht="12.75" customHeight="1">
      <c r="A40" s="85" t="s">
        <v>224</v>
      </c>
      <c r="B40" s="67" t="s">
        <v>1050</v>
      </c>
      <c r="C40" s="501"/>
      <c r="D40" s="11"/>
      <c r="E40" s="11"/>
      <c r="F40" s="1402" t="str">
        <f t="shared" si="0"/>
        <v>-</v>
      </c>
      <c r="G40" s="20"/>
      <c r="H40" s="11"/>
      <c r="I40" s="16"/>
      <c r="K40" s="4">
        <f>+E40-G40-H40-I40</f>
        <v>0</v>
      </c>
    </row>
    <row r="41" spans="1:11" ht="12.75" customHeight="1">
      <c r="A41" s="85" t="s">
        <v>225</v>
      </c>
      <c r="B41" s="67" t="s">
        <v>114</v>
      </c>
      <c r="C41" s="501"/>
      <c r="D41" s="11"/>
      <c r="E41" s="11"/>
      <c r="F41" s="1402" t="str">
        <f t="shared" si="0"/>
        <v>-</v>
      </c>
      <c r="G41" s="20"/>
      <c r="H41" s="11"/>
      <c r="I41" s="16"/>
      <c r="K41" s="4">
        <f>+E41-G41-H41-I41</f>
        <v>0</v>
      </c>
    </row>
    <row r="42" spans="1:11" ht="12.75" customHeight="1">
      <c r="A42" s="78" t="s">
        <v>226</v>
      </c>
      <c r="B42" s="68" t="s">
        <v>962</v>
      </c>
      <c r="C42" s="501"/>
      <c r="D42" s="11"/>
      <c r="E42" s="11"/>
      <c r="F42" s="1402" t="str">
        <f t="shared" si="0"/>
        <v>-</v>
      </c>
      <c r="G42" s="20"/>
      <c r="H42" s="11"/>
      <c r="I42" s="16"/>
      <c r="K42" s="4">
        <f>+E42-G42-H42-I42</f>
        <v>0</v>
      </c>
    </row>
    <row r="43" spans="1:11" ht="12.75" customHeight="1" thickBot="1">
      <c r="A43" s="78" t="s">
        <v>961</v>
      </c>
      <c r="B43" s="68" t="s">
        <v>963</v>
      </c>
      <c r="C43" s="500"/>
      <c r="D43" s="22"/>
      <c r="E43" s="22"/>
      <c r="F43" s="1404" t="str">
        <f t="shared" si="0"/>
        <v>-</v>
      </c>
      <c r="G43" s="21"/>
      <c r="H43" s="22"/>
      <c r="I43" s="23"/>
      <c r="K43" s="4">
        <f>+E43-G43-H43-I43</f>
        <v>0</v>
      </c>
    </row>
    <row r="44" spans="1:11" s="3" customFormat="1" ht="12.75" thickBot="1">
      <c r="A44" s="83" t="s">
        <v>16</v>
      </c>
      <c r="B44" s="64" t="s">
        <v>1041</v>
      </c>
      <c r="C44" s="1049">
        <f>+C45+C46+C47+C48+C49</f>
        <v>0</v>
      </c>
      <c r="D44" s="28">
        <f>+D45+D46+D47+D48+D49</f>
        <v>0</v>
      </c>
      <c r="E44" s="28">
        <f>+E45+E46+E47+E48+E49</f>
        <v>0</v>
      </c>
      <c r="F44" s="1400" t="str">
        <f t="shared" si="0"/>
        <v>-</v>
      </c>
      <c r="G44" s="27">
        <f>+G45+G46+G47+G48+G49</f>
        <v>0</v>
      </c>
      <c r="H44" s="28">
        <f>+H45+H46+H47+H48+H49</f>
        <v>0</v>
      </c>
      <c r="I44" s="29">
        <f>+I45+I46+I47+I48+I49</f>
        <v>0</v>
      </c>
      <c r="K44" s="3">
        <f>+E44-G44-H44-I44</f>
        <v>0</v>
      </c>
    </row>
    <row r="45" spans="1:11" ht="12.75" customHeight="1">
      <c r="A45" s="84" t="s">
        <v>227</v>
      </c>
      <c r="B45" s="65" t="s">
        <v>115</v>
      </c>
      <c r="C45" s="1051"/>
      <c r="D45" s="10"/>
      <c r="E45" s="10"/>
      <c r="F45" s="1401" t="str">
        <f t="shared" si="0"/>
        <v>-</v>
      </c>
      <c r="G45" s="34"/>
      <c r="H45" s="10"/>
      <c r="I45" s="35"/>
      <c r="K45" s="4">
        <f>+E45-G45-H45-I45</f>
        <v>0</v>
      </c>
    </row>
    <row r="46" spans="1:11" ht="12.75" customHeight="1">
      <c r="A46" s="84" t="s">
        <v>228</v>
      </c>
      <c r="B46" s="65" t="s">
        <v>964</v>
      </c>
      <c r="C46" s="1051"/>
      <c r="D46" s="10"/>
      <c r="E46" s="11"/>
      <c r="F46" s="1401" t="str">
        <f t="shared" si="0"/>
        <v>-</v>
      </c>
      <c r="G46" s="34"/>
      <c r="H46" s="10"/>
      <c r="I46" s="35"/>
      <c r="K46" s="4">
        <f>+E46-G46-H46-I46</f>
        <v>0</v>
      </c>
    </row>
    <row r="47" spans="1:11" ht="12.75" customHeight="1">
      <c r="A47" s="84" t="s">
        <v>229</v>
      </c>
      <c r="B47" s="65" t="s">
        <v>965</v>
      </c>
      <c r="C47" s="1051"/>
      <c r="D47" s="10"/>
      <c r="E47" s="22"/>
      <c r="F47" s="1401" t="str">
        <f t="shared" si="0"/>
        <v>-</v>
      </c>
      <c r="G47" s="34"/>
      <c r="H47" s="10"/>
      <c r="I47" s="35"/>
      <c r="K47" s="4">
        <f>+E47-G47-H47-I47</f>
        <v>0</v>
      </c>
    </row>
    <row r="48" spans="1:11" ht="12.75" customHeight="1">
      <c r="A48" s="85" t="s">
        <v>257</v>
      </c>
      <c r="B48" s="67" t="s">
        <v>966</v>
      </c>
      <c r="C48" s="501"/>
      <c r="D48" s="11"/>
      <c r="E48" s="11"/>
      <c r="F48" s="1402" t="str">
        <f t="shared" si="0"/>
        <v>-</v>
      </c>
      <c r="G48" s="20"/>
      <c r="H48" s="11"/>
      <c r="I48" s="16"/>
      <c r="K48" s="4">
        <f>+E48-G48-H48-I48</f>
        <v>0</v>
      </c>
    </row>
    <row r="49" spans="1:11" ht="12.75" customHeight="1" thickBot="1">
      <c r="A49" s="78" t="s">
        <v>258</v>
      </c>
      <c r="B49" s="68" t="s">
        <v>967</v>
      </c>
      <c r="C49" s="500"/>
      <c r="D49" s="22"/>
      <c r="E49" s="22"/>
      <c r="F49" s="1404" t="str">
        <f t="shared" si="0"/>
        <v>-</v>
      </c>
      <c r="G49" s="21"/>
      <c r="H49" s="22"/>
      <c r="I49" s="23"/>
      <c r="K49" s="4">
        <f>+E49-G49-H49-I49</f>
        <v>0</v>
      </c>
    </row>
    <row r="50" spans="1:11" s="3" customFormat="1" ht="12.75" thickBot="1">
      <c r="A50" s="83" t="s">
        <v>15</v>
      </c>
      <c r="B50" s="69" t="s">
        <v>300</v>
      </c>
      <c r="C50" s="1049">
        <f>+C51+C58+C64</f>
        <v>0</v>
      </c>
      <c r="D50" s="28">
        <f>+D51+D58+D64</f>
        <v>0</v>
      </c>
      <c r="E50" s="28">
        <f>+E51+E58+E64</f>
        <v>0</v>
      </c>
      <c r="F50" s="1400" t="str">
        <f t="shared" si="0"/>
        <v>-</v>
      </c>
      <c r="G50" s="27">
        <f>+G51+G58+G64</f>
        <v>0</v>
      </c>
      <c r="H50" s="28">
        <f>+H51+H58+H64</f>
        <v>0</v>
      </c>
      <c r="I50" s="29">
        <f>+I51+I58+I64</f>
        <v>0</v>
      </c>
      <c r="K50" s="3">
        <f>+E50-G50-H50-I50</f>
        <v>0</v>
      </c>
    </row>
    <row r="51" spans="1:11" s="3" customFormat="1" ht="12.75" customHeight="1" thickBot="1">
      <c r="A51" s="83" t="s">
        <v>14</v>
      </c>
      <c r="B51" s="64" t="s">
        <v>301</v>
      </c>
      <c r="C51" s="1049">
        <f>+C52+C53+C54+C55+C56</f>
        <v>0</v>
      </c>
      <c r="D51" s="28">
        <f>+D52+D53+D54+D55+D56</f>
        <v>0</v>
      </c>
      <c r="E51" s="28">
        <f>+E52+E53+E54+E55+E56</f>
        <v>0</v>
      </c>
      <c r="F51" s="1400" t="str">
        <f t="shared" si="0"/>
        <v>-</v>
      </c>
      <c r="G51" s="27">
        <f>+G52+G53+G54+G55+G56</f>
        <v>0</v>
      </c>
      <c r="H51" s="28">
        <f>+H52+H53+H54+H55+H56</f>
        <v>0</v>
      </c>
      <c r="I51" s="29">
        <f>+I52+I53+I54+I55+I56</f>
        <v>0</v>
      </c>
      <c r="K51" s="3">
        <f>+E51-G51-H51-I51</f>
        <v>0</v>
      </c>
    </row>
    <row r="52" spans="1:11">
      <c r="A52" s="84" t="s">
        <v>185</v>
      </c>
      <c r="B52" s="113" t="s">
        <v>116</v>
      </c>
      <c r="C52" s="1051"/>
      <c r="D52" s="10"/>
      <c r="E52" s="10"/>
      <c r="F52" s="1401" t="str">
        <f t="shared" si="0"/>
        <v>-</v>
      </c>
      <c r="G52" s="34"/>
      <c r="H52" s="10"/>
      <c r="I52" s="35"/>
      <c r="K52" s="4">
        <f>+E52-G52-H52-I52</f>
        <v>0</v>
      </c>
    </row>
    <row r="53" spans="1:11">
      <c r="A53" s="85" t="s">
        <v>186</v>
      </c>
      <c r="B53" s="67" t="s">
        <v>117</v>
      </c>
      <c r="C53" s="501"/>
      <c r="D53" s="11"/>
      <c r="E53" s="11"/>
      <c r="F53" s="1402" t="str">
        <f t="shared" si="0"/>
        <v>-</v>
      </c>
      <c r="G53" s="20"/>
      <c r="H53" s="11"/>
      <c r="I53" s="16"/>
      <c r="K53" s="4">
        <f>+E53-G53-H53-I53</f>
        <v>0</v>
      </c>
    </row>
    <row r="54" spans="1:11">
      <c r="A54" s="85" t="s">
        <v>187</v>
      </c>
      <c r="B54" s="67" t="s">
        <v>118</v>
      </c>
      <c r="C54" s="501"/>
      <c r="D54" s="11"/>
      <c r="E54" s="11"/>
      <c r="F54" s="1402" t="str">
        <f t="shared" si="0"/>
        <v>-</v>
      </c>
      <c r="G54" s="20"/>
      <c r="H54" s="11"/>
      <c r="I54" s="16"/>
      <c r="K54" s="4">
        <f>+E54-G54-H54-I54</f>
        <v>0</v>
      </c>
    </row>
    <row r="55" spans="1:11">
      <c r="A55" s="85" t="s">
        <v>188</v>
      </c>
      <c r="B55" s="67" t="s">
        <v>119</v>
      </c>
      <c r="C55" s="501"/>
      <c r="D55" s="11"/>
      <c r="E55" s="11"/>
      <c r="F55" s="1402" t="str">
        <f t="shared" si="0"/>
        <v>-</v>
      </c>
      <c r="G55" s="20"/>
      <c r="H55" s="11"/>
      <c r="I55" s="16"/>
      <c r="K55" s="4">
        <f>+E55-G55-H55-I55</f>
        <v>0</v>
      </c>
    </row>
    <row r="56" spans="1:11">
      <c r="A56" s="78" t="s">
        <v>189</v>
      </c>
      <c r="B56" s="68" t="s">
        <v>120</v>
      </c>
      <c r="C56" s="500"/>
      <c r="D56" s="22"/>
      <c r="E56" s="22"/>
      <c r="F56" s="1404" t="str">
        <f t="shared" si="0"/>
        <v>-</v>
      </c>
      <c r="G56" s="21"/>
      <c r="H56" s="22"/>
      <c r="I56" s="23"/>
      <c r="K56" s="4">
        <f>+E56-G56-H56-I56</f>
        <v>0</v>
      </c>
    </row>
    <row r="57" spans="1:11" s="13" customFormat="1" ht="12.75" thickBot="1">
      <c r="A57" s="89" t="s">
        <v>334</v>
      </c>
      <c r="B57" s="818" t="s">
        <v>338</v>
      </c>
      <c r="C57" s="1050"/>
      <c r="D57" s="43"/>
      <c r="E57" s="43"/>
      <c r="F57" s="1404" t="str">
        <f t="shared" si="0"/>
        <v>-</v>
      </c>
      <c r="G57" s="45"/>
      <c r="H57" s="43"/>
      <c r="I57" s="44"/>
      <c r="K57" s="13">
        <f>+E57-G57-H57-I57</f>
        <v>0</v>
      </c>
    </row>
    <row r="58" spans="1:11" s="3" customFormat="1" ht="12.75" customHeight="1" thickBot="1">
      <c r="A58" s="83" t="s">
        <v>13</v>
      </c>
      <c r="B58" s="64" t="s">
        <v>302</v>
      </c>
      <c r="C58" s="1049">
        <f>+C59+C60+C61+C62+C63</f>
        <v>0</v>
      </c>
      <c r="D58" s="28">
        <f>+D59+D60+D61+D62+D63</f>
        <v>0</v>
      </c>
      <c r="E58" s="28">
        <f>+E59+E60+E61+E62+E63</f>
        <v>0</v>
      </c>
      <c r="F58" s="1400" t="str">
        <f t="shared" si="0"/>
        <v>-</v>
      </c>
      <c r="G58" s="27">
        <f>+G59+G60+G61+G62+G63</f>
        <v>0</v>
      </c>
      <c r="H58" s="28">
        <f>+H59+H60+H61+H62+H63</f>
        <v>0</v>
      </c>
      <c r="I58" s="29">
        <f>+I59+I60+I61+I62+I63</f>
        <v>0</v>
      </c>
      <c r="K58" s="3">
        <f>+E58-G58-H58-I58</f>
        <v>0</v>
      </c>
    </row>
    <row r="59" spans="1:11" ht="12.75" customHeight="1">
      <c r="A59" s="84" t="s">
        <v>66</v>
      </c>
      <c r="B59" s="65" t="s">
        <v>121</v>
      </c>
      <c r="C59" s="1051"/>
      <c r="D59" s="10"/>
      <c r="E59" s="10"/>
      <c r="F59" s="1401" t="str">
        <f t="shared" si="0"/>
        <v>-</v>
      </c>
      <c r="G59" s="34"/>
      <c r="H59" s="10"/>
      <c r="I59" s="35"/>
      <c r="K59" s="4">
        <f>+E59-G59-H59-I59</f>
        <v>0</v>
      </c>
    </row>
    <row r="60" spans="1:11" ht="12.75" customHeight="1">
      <c r="A60" s="85" t="s">
        <v>67</v>
      </c>
      <c r="B60" s="67" t="s">
        <v>122</v>
      </c>
      <c r="C60" s="501"/>
      <c r="D60" s="11"/>
      <c r="E60" s="11"/>
      <c r="F60" s="1402" t="str">
        <f t="shared" si="0"/>
        <v>-</v>
      </c>
      <c r="G60" s="20"/>
      <c r="H60" s="11"/>
      <c r="I60" s="16"/>
      <c r="K60" s="4">
        <f>+E60-G60-H60-I60</f>
        <v>0</v>
      </c>
    </row>
    <row r="61" spans="1:11" ht="12.75" customHeight="1">
      <c r="A61" s="85" t="s">
        <v>68</v>
      </c>
      <c r="B61" s="67" t="s">
        <v>123</v>
      </c>
      <c r="C61" s="501"/>
      <c r="D61" s="11"/>
      <c r="E61" s="11"/>
      <c r="F61" s="1402" t="str">
        <f t="shared" si="0"/>
        <v>-</v>
      </c>
      <c r="G61" s="20"/>
      <c r="H61" s="11"/>
      <c r="I61" s="16"/>
      <c r="K61" s="4">
        <f>+E61-G61-H61-I61</f>
        <v>0</v>
      </c>
    </row>
    <row r="62" spans="1:11" ht="12.75" customHeight="1">
      <c r="A62" s="85" t="s">
        <v>230</v>
      </c>
      <c r="B62" s="67" t="s">
        <v>124</v>
      </c>
      <c r="C62" s="501"/>
      <c r="D62" s="11"/>
      <c r="E62" s="11"/>
      <c r="F62" s="1402" t="str">
        <f t="shared" si="0"/>
        <v>-</v>
      </c>
      <c r="G62" s="20"/>
      <c r="H62" s="11"/>
      <c r="I62" s="16"/>
      <c r="K62" s="4">
        <f>+E62-G62-H62-I62</f>
        <v>0</v>
      </c>
    </row>
    <row r="63" spans="1:11" ht="12.75" customHeight="1" thickBot="1">
      <c r="A63" s="78" t="s">
        <v>231</v>
      </c>
      <c r="B63" s="68" t="s">
        <v>125</v>
      </c>
      <c r="C63" s="500"/>
      <c r="D63" s="22"/>
      <c r="E63" s="22"/>
      <c r="F63" s="1404" t="str">
        <f t="shared" si="0"/>
        <v>-</v>
      </c>
      <c r="G63" s="21"/>
      <c r="H63" s="22"/>
      <c r="I63" s="23"/>
      <c r="K63" s="4">
        <f>+E63-G63-H63-I63</f>
        <v>0</v>
      </c>
    </row>
    <row r="64" spans="1:11" s="3" customFormat="1" ht="12.75" thickBot="1">
      <c r="A64" s="83" t="s">
        <v>12</v>
      </c>
      <c r="B64" s="64" t="s">
        <v>971</v>
      </c>
      <c r="C64" s="1049">
        <f>+C65+C66+C67+C68+C69</f>
        <v>0</v>
      </c>
      <c r="D64" s="28">
        <f>+D65+D66+D67+D68+D69</f>
        <v>0</v>
      </c>
      <c r="E64" s="28">
        <f>+E65+E66+E67+E68+E69</f>
        <v>0</v>
      </c>
      <c r="F64" s="1400" t="str">
        <f t="shared" si="0"/>
        <v>-</v>
      </c>
      <c r="G64" s="27">
        <f>+G65+G66+G67+G68+G69</f>
        <v>0</v>
      </c>
      <c r="H64" s="28">
        <f>+H65+H66+H67+H68+H69</f>
        <v>0</v>
      </c>
      <c r="I64" s="29">
        <f>+I65+I66+I67+I68+I69</f>
        <v>0</v>
      </c>
      <c r="K64" s="3">
        <f>+E64-G64-H64-I64</f>
        <v>0</v>
      </c>
    </row>
    <row r="65" spans="1:11">
      <c r="A65" s="84" t="s">
        <v>69</v>
      </c>
      <c r="B65" s="65" t="s">
        <v>126</v>
      </c>
      <c r="C65" s="1051"/>
      <c r="D65" s="10"/>
      <c r="E65" s="10"/>
      <c r="F65" s="1401" t="str">
        <f t="shared" si="0"/>
        <v>-</v>
      </c>
      <c r="G65" s="34"/>
      <c r="H65" s="10"/>
      <c r="I65" s="35"/>
      <c r="K65" s="4">
        <f>+E65-G65-H65-I65</f>
        <v>0</v>
      </c>
    </row>
    <row r="66" spans="1:11">
      <c r="A66" s="84" t="s">
        <v>70</v>
      </c>
      <c r="B66" s="65" t="s">
        <v>972</v>
      </c>
      <c r="C66" s="1051"/>
      <c r="D66" s="10"/>
      <c r="E66" s="11"/>
      <c r="F66" s="1401" t="str">
        <f t="shared" si="0"/>
        <v>-</v>
      </c>
      <c r="G66" s="34"/>
      <c r="H66" s="10"/>
      <c r="I66" s="35"/>
      <c r="K66" s="4">
        <f>+E66-G66-H66-I66</f>
        <v>0</v>
      </c>
    </row>
    <row r="67" spans="1:11">
      <c r="A67" s="84" t="s">
        <v>71</v>
      </c>
      <c r="B67" s="65" t="s">
        <v>973</v>
      </c>
      <c r="C67" s="1051"/>
      <c r="D67" s="10"/>
      <c r="E67" s="22"/>
      <c r="F67" s="1401" t="str">
        <f t="shared" si="0"/>
        <v>-</v>
      </c>
      <c r="G67" s="34"/>
      <c r="H67" s="10"/>
      <c r="I67" s="35"/>
      <c r="K67" s="4">
        <f>+E67-G67-H67-I67</f>
        <v>0</v>
      </c>
    </row>
    <row r="68" spans="1:11">
      <c r="A68" s="85" t="s">
        <v>72</v>
      </c>
      <c r="B68" s="67" t="s">
        <v>969</v>
      </c>
      <c r="C68" s="501"/>
      <c r="D68" s="11"/>
      <c r="E68" s="11"/>
      <c r="F68" s="1402" t="str">
        <f t="shared" si="0"/>
        <v>-</v>
      </c>
      <c r="G68" s="20"/>
      <c r="H68" s="11"/>
      <c r="I68" s="16"/>
      <c r="K68" s="4">
        <f>+E68-G68-H68-I68</f>
        <v>0</v>
      </c>
    </row>
    <row r="69" spans="1:11" ht="12.75" thickBot="1">
      <c r="A69" s="78" t="s">
        <v>968</v>
      </c>
      <c r="B69" s="68" t="s">
        <v>970</v>
      </c>
      <c r="C69" s="500"/>
      <c r="D69" s="22"/>
      <c r="E69" s="22"/>
      <c r="F69" s="1404" t="str">
        <f t="shared" si="0"/>
        <v>-</v>
      </c>
      <c r="G69" s="21"/>
      <c r="H69" s="22"/>
      <c r="I69" s="23"/>
      <c r="K69" s="4">
        <f>+E69-G69-H69-I69</f>
        <v>0</v>
      </c>
    </row>
    <row r="70" spans="1:11" s="3" customFormat="1" ht="12.75" thickBot="1">
      <c r="A70" s="83" t="s">
        <v>11</v>
      </c>
      <c r="B70" s="69" t="s">
        <v>303</v>
      </c>
      <c r="C70" s="1049">
        <f>+C10+C50</f>
        <v>13240</v>
      </c>
      <c r="D70" s="28">
        <f>+D10+D50</f>
        <v>0</v>
      </c>
      <c r="E70" s="28">
        <f>+E10+E50</f>
        <v>0</v>
      </c>
      <c r="F70" s="1400" t="str">
        <f t="shared" si="0"/>
        <v>-</v>
      </c>
      <c r="G70" s="27">
        <f>+G10+G50</f>
        <v>0</v>
      </c>
      <c r="H70" s="28">
        <f>+H10+H50</f>
        <v>0</v>
      </c>
      <c r="I70" s="29">
        <f>+I10+I50</f>
        <v>0</v>
      </c>
      <c r="K70" s="3">
        <f>+E70-G70-H70-I70</f>
        <v>0</v>
      </c>
    </row>
    <row r="71" spans="1:11" s="3" customFormat="1" ht="12.75" thickBot="1">
      <c r="A71" s="83" t="s">
        <v>10</v>
      </c>
      <c r="B71" s="70" t="s">
        <v>304</v>
      </c>
      <c r="C71" s="1049">
        <f>+C72</f>
        <v>0</v>
      </c>
      <c r="D71" s="28">
        <f>+D72</f>
        <v>9589</v>
      </c>
      <c r="E71" s="28">
        <f>+E72</f>
        <v>9604</v>
      </c>
      <c r="F71" s="1400">
        <f t="shared" si="0"/>
        <v>1.0015642924183961</v>
      </c>
      <c r="G71" s="27">
        <f>+G72</f>
        <v>0</v>
      </c>
      <c r="H71" s="28">
        <f>+H72</f>
        <v>9604</v>
      </c>
      <c r="I71" s="29">
        <f>+I72</f>
        <v>0</v>
      </c>
      <c r="K71" s="3">
        <f>+E71-G71-H71-I71</f>
        <v>0</v>
      </c>
    </row>
    <row r="72" spans="1:11" s="3" customFormat="1" ht="12.75" thickBot="1">
      <c r="A72" s="83" t="s">
        <v>9</v>
      </c>
      <c r="B72" s="64" t="s">
        <v>980</v>
      </c>
      <c r="C72" s="1049">
        <f>+C73+C83+C84+C85</f>
        <v>0</v>
      </c>
      <c r="D72" s="28">
        <f>+D73+D83+D84+D85</f>
        <v>9589</v>
      </c>
      <c r="E72" s="28">
        <f>+E73+E83+E84+E85</f>
        <v>9604</v>
      </c>
      <c r="F72" s="1400">
        <f t="shared" si="0"/>
        <v>1.0015642924183961</v>
      </c>
      <c r="G72" s="27">
        <f>+G73+G83+G84+G85</f>
        <v>0</v>
      </c>
      <c r="H72" s="28">
        <f>+H73+H83+H84+H85</f>
        <v>9604</v>
      </c>
      <c r="I72" s="29">
        <f>+I73+I83+I84+I85</f>
        <v>0</v>
      </c>
      <c r="K72" s="3">
        <f>+E72-G72-H72-I72</f>
        <v>0</v>
      </c>
    </row>
    <row r="73" spans="1:11">
      <c r="A73" s="84" t="s">
        <v>73</v>
      </c>
      <c r="B73" s="65" t="s">
        <v>975</v>
      </c>
      <c r="C73" s="1051">
        <f>+C74+C75+C76+C77+C78+C79+C80+C81+C82</f>
        <v>0</v>
      </c>
      <c r="D73" s="10">
        <f>+D74+D75+D76+D77+D78+D79+D80+D81+D82</f>
        <v>9589</v>
      </c>
      <c r="E73" s="10">
        <f>+E74+E75+E76+E77+E78+E79+E80+E81+E82</f>
        <v>9604</v>
      </c>
      <c r="F73" s="1401">
        <f t="shared" si="0"/>
        <v>1.0015642924183961</v>
      </c>
      <c r="G73" s="34">
        <f>+G74+G75+G76+G77+G78+G79+G80+G81+G82</f>
        <v>0</v>
      </c>
      <c r="H73" s="10">
        <f>+H74+H75+H76+H77+H78+H79+H80+H81+H82</f>
        <v>9604</v>
      </c>
      <c r="I73" s="35">
        <f>+I74+I75+I76+I77+I78+I79+I80+I81+I82</f>
        <v>0</v>
      </c>
      <c r="K73" s="4">
        <f>+E73-G73-H73-I73</f>
        <v>0</v>
      </c>
    </row>
    <row r="74" spans="1:11" s="13" customFormat="1">
      <c r="A74" s="86" t="s">
        <v>196</v>
      </c>
      <c r="B74" s="66" t="s">
        <v>974</v>
      </c>
      <c r="C74" s="502"/>
      <c r="D74" s="12"/>
      <c r="E74" s="12"/>
      <c r="F74" s="1402" t="str">
        <f t="shared" ref="F74:F102" si="1">IF(ISERROR(E74/D74),"-",E74/D74)</f>
        <v>-</v>
      </c>
      <c r="G74" s="19"/>
      <c r="H74" s="12"/>
      <c r="I74" s="15"/>
      <c r="K74" s="13">
        <f>+E74-G74-H74-I74</f>
        <v>0</v>
      </c>
    </row>
    <row r="75" spans="1:11" s="13" customFormat="1">
      <c r="A75" s="86" t="s">
        <v>197</v>
      </c>
      <c r="B75" s="66" t="s">
        <v>247</v>
      </c>
      <c r="C75" s="502"/>
      <c r="D75" s="12"/>
      <c r="E75" s="12"/>
      <c r="F75" s="1402" t="str">
        <f t="shared" si="1"/>
        <v>-</v>
      </c>
      <c r="G75" s="19"/>
      <c r="H75" s="12"/>
      <c r="I75" s="15"/>
      <c r="K75" s="13">
        <f>+E75-G75-H75-I75</f>
        <v>0</v>
      </c>
    </row>
    <row r="76" spans="1:11" s="13" customFormat="1">
      <c r="A76" s="86" t="s">
        <v>198</v>
      </c>
      <c r="B76" s="66" t="s">
        <v>248</v>
      </c>
      <c r="C76" s="502"/>
      <c r="D76" s="12">
        <v>12</v>
      </c>
      <c r="E76" s="12">
        <v>12</v>
      </c>
      <c r="F76" s="1402">
        <f t="shared" si="1"/>
        <v>1</v>
      </c>
      <c r="G76" s="19"/>
      <c r="H76" s="12">
        <v>12</v>
      </c>
      <c r="I76" s="15"/>
      <c r="K76" s="13">
        <f>+E76-G76-H76-I76</f>
        <v>0</v>
      </c>
    </row>
    <row r="77" spans="1:11" s="13" customFormat="1">
      <c r="A77" s="86" t="s">
        <v>199</v>
      </c>
      <c r="B77" s="66" t="s">
        <v>249</v>
      </c>
      <c r="C77" s="502"/>
      <c r="D77" s="12"/>
      <c r="E77" s="12"/>
      <c r="F77" s="1402" t="str">
        <f t="shared" si="1"/>
        <v>-</v>
      </c>
      <c r="G77" s="19"/>
      <c r="H77" s="12"/>
      <c r="I77" s="15"/>
      <c r="K77" s="13">
        <f>+E77-G77-H77-I77</f>
        <v>0</v>
      </c>
    </row>
    <row r="78" spans="1:11" s="13" customFormat="1">
      <c r="A78" s="86" t="s">
        <v>200</v>
      </c>
      <c r="B78" s="66" t="s">
        <v>250</v>
      </c>
      <c r="C78" s="502"/>
      <c r="D78" s="12"/>
      <c r="E78" s="12"/>
      <c r="F78" s="1402" t="str">
        <f t="shared" si="1"/>
        <v>-</v>
      </c>
      <c r="G78" s="19"/>
      <c r="H78" s="12"/>
      <c r="I78" s="15"/>
      <c r="K78" s="13">
        <f>+E78-G78-H78-I78</f>
        <v>0</v>
      </c>
    </row>
    <row r="79" spans="1:11" s="13" customFormat="1">
      <c r="A79" s="108" t="s">
        <v>201</v>
      </c>
      <c r="B79" s="109" t="s">
        <v>251</v>
      </c>
      <c r="C79" s="502">
        <f t="shared" ref="C79:F79" si="2">+C109-C10+C178-C74-C75-C76-C77-C78-C80-C81-C83-C84-C85</f>
        <v>0</v>
      </c>
      <c r="D79" s="12">
        <f>9577-D94</f>
        <v>9577</v>
      </c>
      <c r="E79" s="12">
        <f>9592-E94</f>
        <v>9592</v>
      </c>
      <c r="F79" s="1402">
        <f t="shared" si="1"/>
        <v>1.0015662524798998</v>
      </c>
      <c r="G79" s="19"/>
      <c r="H79" s="12">
        <v>9592</v>
      </c>
      <c r="I79" s="15"/>
      <c r="K79" s="117">
        <f>+E79-G79-H79-I79</f>
        <v>0</v>
      </c>
    </row>
    <row r="80" spans="1:11" s="13" customFormat="1">
      <c r="A80" s="86" t="s">
        <v>204</v>
      </c>
      <c r="B80" s="66" t="s">
        <v>252</v>
      </c>
      <c r="C80" s="502"/>
      <c r="D80" s="12"/>
      <c r="E80" s="744"/>
      <c r="F80" s="1402" t="str">
        <f t="shared" si="1"/>
        <v>-</v>
      </c>
      <c r="G80" s="19"/>
      <c r="H80" s="12"/>
      <c r="I80" s="15"/>
      <c r="K80" s="117">
        <f>+E80-G80-H80-I80</f>
        <v>0</v>
      </c>
    </row>
    <row r="81" spans="1:11" s="13" customFormat="1">
      <c r="A81" s="86" t="s">
        <v>202</v>
      </c>
      <c r="B81" s="66" t="s">
        <v>245</v>
      </c>
      <c r="C81" s="502"/>
      <c r="D81" s="12"/>
      <c r="E81" s="744"/>
      <c r="F81" s="1402" t="str">
        <f t="shared" si="1"/>
        <v>-</v>
      </c>
      <c r="G81" s="19"/>
      <c r="H81" s="12"/>
      <c r="I81" s="15"/>
      <c r="K81" s="117">
        <f>+E81-G81-H81-I81</f>
        <v>0</v>
      </c>
    </row>
    <row r="82" spans="1:11" s="13" customFormat="1">
      <c r="A82" s="86" t="s">
        <v>976</v>
      </c>
      <c r="B82" s="66" t="s">
        <v>977</v>
      </c>
      <c r="C82" s="502"/>
      <c r="D82" s="12"/>
      <c r="E82" s="744"/>
      <c r="F82" s="1402" t="str">
        <f t="shared" si="1"/>
        <v>-</v>
      </c>
      <c r="G82" s="19"/>
      <c r="H82" s="12"/>
      <c r="I82" s="15"/>
      <c r="K82" s="117">
        <f>+E82-G82-H82-I82</f>
        <v>0</v>
      </c>
    </row>
    <row r="83" spans="1:11">
      <c r="A83" s="85" t="s">
        <v>74</v>
      </c>
      <c r="B83" s="67" t="s">
        <v>243</v>
      </c>
      <c r="C83" s="501"/>
      <c r="D83" s="11"/>
      <c r="E83" s="988"/>
      <c r="F83" s="1402" t="str">
        <f t="shared" si="1"/>
        <v>-</v>
      </c>
      <c r="G83" s="20"/>
      <c r="H83" s="11"/>
      <c r="I83" s="16"/>
      <c r="K83" s="118">
        <f>+E83-G83-H83-I83</f>
        <v>0</v>
      </c>
    </row>
    <row r="84" spans="1:11">
      <c r="A84" s="78" t="s">
        <v>203</v>
      </c>
      <c r="B84" s="68" t="s">
        <v>244</v>
      </c>
      <c r="C84" s="500"/>
      <c r="D84" s="22"/>
      <c r="E84" s="991"/>
      <c r="F84" s="1404" t="str">
        <f t="shared" si="1"/>
        <v>-</v>
      </c>
      <c r="G84" s="21"/>
      <c r="H84" s="22"/>
      <c r="I84" s="23"/>
      <c r="K84" s="118">
        <f>+E84-G84-H84-I84</f>
        <v>0</v>
      </c>
    </row>
    <row r="85" spans="1:11" ht="12.75" thickBot="1">
      <c r="A85" s="78" t="s">
        <v>978</v>
      </c>
      <c r="B85" s="68" t="s">
        <v>979</v>
      </c>
      <c r="C85" s="500"/>
      <c r="D85" s="22"/>
      <c r="E85" s="991"/>
      <c r="F85" s="1404" t="str">
        <f t="shared" si="1"/>
        <v>-</v>
      </c>
      <c r="G85" s="21"/>
      <c r="H85" s="22"/>
      <c r="I85" s="23"/>
      <c r="K85" s="118">
        <f>+E85-G85-H85-I85</f>
        <v>0</v>
      </c>
    </row>
    <row r="86" spans="1:11" s="3" customFormat="1" ht="12.75" thickBot="1">
      <c r="A86" s="83" t="s">
        <v>45</v>
      </c>
      <c r="B86" s="70" t="s">
        <v>305</v>
      </c>
      <c r="C86" s="1049">
        <f>+C87</f>
        <v>0</v>
      </c>
      <c r="D86" s="28">
        <f>+D87</f>
        <v>0</v>
      </c>
      <c r="E86" s="111">
        <f>+E87</f>
        <v>0</v>
      </c>
      <c r="F86" s="1400" t="str">
        <f t="shared" si="1"/>
        <v>-</v>
      </c>
      <c r="G86" s="27">
        <f>+G87</f>
        <v>0</v>
      </c>
      <c r="H86" s="28">
        <f>+H87</f>
        <v>0</v>
      </c>
      <c r="I86" s="29">
        <f>+I87</f>
        <v>0</v>
      </c>
      <c r="K86" s="119">
        <f>+E86-G86-H86-I86</f>
        <v>0</v>
      </c>
    </row>
    <row r="87" spans="1:11" s="3" customFormat="1" ht="12.75" thickBot="1">
      <c r="A87" s="83" t="s">
        <v>44</v>
      </c>
      <c r="B87" s="64" t="s">
        <v>982</v>
      </c>
      <c r="C87" s="1049">
        <f>+C88+C98+C99+C100</f>
        <v>0</v>
      </c>
      <c r="D87" s="28">
        <f>+D88+D98+D99+D100</f>
        <v>0</v>
      </c>
      <c r="E87" s="111">
        <f>+E88+E98+E99+E100</f>
        <v>0</v>
      </c>
      <c r="F87" s="1400" t="str">
        <f t="shared" si="1"/>
        <v>-</v>
      </c>
      <c r="G87" s="27">
        <f>+G88+G98+G99+G100</f>
        <v>0</v>
      </c>
      <c r="H87" s="28">
        <f>+H88+H98+H99+H100</f>
        <v>0</v>
      </c>
      <c r="I87" s="29">
        <f>+I88+I98+I99+I100</f>
        <v>0</v>
      </c>
      <c r="K87" s="119">
        <f>+E87-G87-H87-I87</f>
        <v>0</v>
      </c>
    </row>
    <row r="88" spans="1:11">
      <c r="A88" s="84" t="s">
        <v>232</v>
      </c>
      <c r="B88" s="65" t="s">
        <v>1042</v>
      </c>
      <c r="C88" s="1051">
        <f>+C89+C90+C91+C92+C93+C94+C95+C96+C97</f>
        <v>0</v>
      </c>
      <c r="D88" s="10">
        <f>+D89+D90+D91+D92+D93+D94+D95+D96+D97</f>
        <v>0</v>
      </c>
      <c r="E88" s="115">
        <f>+E89+E90+E91+E92+E93+E94+E95+E96+E97</f>
        <v>0</v>
      </c>
      <c r="F88" s="1401" t="str">
        <f t="shared" si="1"/>
        <v>-</v>
      </c>
      <c r="G88" s="34">
        <f>+G89+G90+G91+G92+G93+G94+G95+G96+G97</f>
        <v>0</v>
      </c>
      <c r="H88" s="10">
        <f>+H89+H90+H91+H92+H93+H94+H95+H96+H97</f>
        <v>0</v>
      </c>
      <c r="I88" s="35">
        <f>+I89+I90+I91+I92+I93+I94+I95+I96+I97</f>
        <v>0</v>
      </c>
      <c r="K88" s="118">
        <f>+E88-G88-H88-I88</f>
        <v>0</v>
      </c>
    </row>
    <row r="89" spans="1:11" s="13" customFormat="1">
      <c r="A89" s="86" t="s">
        <v>233</v>
      </c>
      <c r="B89" s="66" t="s">
        <v>974</v>
      </c>
      <c r="C89" s="502"/>
      <c r="D89" s="12"/>
      <c r="E89" s="744"/>
      <c r="F89" s="1402" t="str">
        <f t="shared" si="1"/>
        <v>-</v>
      </c>
      <c r="G89" s="19"/>
      <c r="H89" s="12"/>
      <c r="I89" s="15"/>
      <c r="K89" s="117">
        <f>+E89-G89-H89-I89</f>
        <v>0</v>
      </c>
    </row>
    <row r="90" spans="1:11" s="13" customFormat="1">
      <c r="A90" s="86" t="s">
        <v>234</v>
      </c>
      <c r="B90" s="66" t="s">
        <v>247</v>
      </c>
      <c r="C90" s="502"/>
      <c r="D90" s="12"/>
      <c r="E90" s="744"/>
      <c r="F90" s="1402" t="str">
        <f t="shared" si="1"/>
        <v>-</v>
      </c>
      <c r="G90" s="19"/>
      <c r="H90" s="12"/>
      <c r="I90" s="15"/>
      <c r="K90" s="117">
        <f>+E90-G90-H90-I90</f>
        <v>0</v>
      </c>
    </row>
    <row r="91" spans="1:11" s="13" customFormat="1">
      <c r="A91" s="86" t="s">
        <v>235</v>
      </c>
      <c r="B91" s="66" t="s">
        <v>248</v>
      </c>
      <c r="C91" s="502"/>
      <c r="D91" s="12"/>
      <c r="E91" s="744"/>
      <c r="F91" s="1402" t="str">
        <f t="shared" si="1"/>
        <v>-</v>
      </c>
      <c r="G91" s="19"/>
      <c r="H91" s="12"/>
      <c r="I91" s="15"/>
      <c r="K91" s="117">
        <f>+E91-G91-H91-I91</f>
        <v>0</v>
      </c>
    </row>
    <row r="92" spans="1:11" s="13" customFormat="1">
      <c r="A92" s="86" t="s">
        <v>236</v>
      </c>
      <c r="B92" s="66" t="s">
        <v>249</v>
      </c>
      <c r="C92" s="502"/>
      <c r="D92" s="12"/>
      <c r="E92" s="744"/>
      <c r="F92" s="1402" t="str">
        <f t="shared" si="1"/>
        <v>-</v>
      </c>
      <c r="G92" s="19"/>
      <c r="H92" s="12"/>
      <c r="I92" s="15"/>
      <c r="K92" s="117">
        <f>+E92-G92-H92-I92</f>
        <v>0</v>
      </c>
    </row>
    <row r="93" spans="1:11" s="13" customFormat="1">
      <c r="A93" s="86" t="s">
        <v>237</v>
      </c>
      <c r="B93" s="66" t="s">
        <v>250</v>
      </c>
      <c r="C93" s="502"/>
      <c r="D93" s="12"/>
      <c r="E93" s="744"/>
      <c r="F93" s="1402" t="str">
        <f t="shared" si="1"/>
        <v>-</v>
      </c>
      <c r="G93" s="19"/>
      <c r="H93" s="12"/>
      <c r="I93" s="15"/>
      <c r="K93" s="117">
        <f>+E93-G93-H93-I93</f>
        <v>0</v>
      </c>
    </row>
    <row r="94" spans="1:11" s="13" customFormat="1">
      <c r="A94" s="108" t="s">
        <v>238</v>
      </c>
      <c r="B94" s="109" t="s">
        <v>251</v>
      </c>
      <c r="C94" s="502">
        <f t="shared" ref="C94:F94" si="3">+C149-C50+C192-C89-C90-C91-C92-C93-C95-C96-C98-C99-C100</f>
        <v>0</v>
      </c>
      <c r="D94" s="12">
        <f t="shared" si="3"/>
        <v>0</v>
      </c>
      <c r="E94" s="12">
        <f t="shared" si="3"/>
        <v>0</v>
      </c>
      <c r="F94" s="1403" t="str">
        <f t="shared" si="1"/>
        <v>-</v>
      </c>
      <c r="G94" s="19">
        <f>+G149-G50+G192-G89-G90-G91-G92-G93-G95-G96-G98-G99-G100</f>
        <v>0</v>
      </c>
      <c r="H94" s="12">
        <f>+H149-H50+H192-H89-H90-H91-H92-H93-H95-H96-H98-H99-H100</f>
        <v>0</v>
      </c>
      <c r="I94" s="15">
        <f>+I149-I50+I192-I89-I90-I91-I92-I93-I95-I96-I98-I99-I100</f>
        <v>0</v>
      </c>
      <c r="K94" s="117">
        <f>+E94-G94-H94-I94</f>
        <v>0</v>
      </c>
    </row>
    <row r="95" spans="1:11" s="13" customFormat="1">
      <c r="A95" s="86" t="s">
        <v>239</v>
      </c>
      <c r="B95" s="66" t="s">
        <v>252</v>
      </c>
      <c r="C95" s="502"/>
      <c r="D95" s="12"/>
      <c r="E95" s="12"/>
      <c r="F95" s="1402" t="str">
        <f t="shared" si="1"/>
        <v>-</v>
      </c>
      <c r="G95" s="19"/>
      <c r="H95" s="12"/>
      <c r="I95" s="15"/>
      <c r="K95" s="13">
        <f>+E95-G95-H95-I95</f>
        <v>0</v>
      </c>
    </row>
    <row r="96" spans="1:11" s="13" customFormat="1">
      <c r="A96" s="86" t="s">
        <v>240</v>
      </c>
      <c r="B96" s="66" t="s">
        <v>245</v>
      </c>
      <c r="C96" s="502"/>
      <c r="D96" s="12"/>
      <c r="E96" s="12"/>
      <c r="F96" s="1402" t="str">
        <f t="shared" si="1"/>
        <v>-</v>
      </c>
      <c r="G96" s="19"/>
      <c r="H96" s="12"/>
      <c r="I96" s="15"/>
      <c r="K96" s="13">
        <f>+E96-G96-H96-I96</f>
        <v>0</v>
      </c>
    </row>
    <row r="97" spans="1:11" s="13" customFormat="1">
      <c r="A97" s="86" t="s">
        <v>981</v>
      </c>
      <c r="B97" s="66" t="s">
        <v>977</v>
      </c>
      <c r="C97" s="502"/>
      <c r="D97" s="12"/>
      <c r="E97" s="12"/>
      <c r="F97" s="1402" t="str">
        <f t="shared" si="1"/>
        <v>-</v>
      </c>
      <c r="G97" s="19"/>
      <c r="H97" s="12"/>
      <c r="I97" s="15"/>
      <c r="K97" s="13">
        <f>+E97-G97-H97-I97</f>
        <v>0</v>
      </c>
    </row>
    <row r="98" spans="1:11">
      <c r="A98" s="85" t="s">
        <v>241</v>
      </c>
      <c r="B98" s="67" t="s">
        <v>243</v>
      </c>
      <c r="C98" s="501"/>
      <c r="D98" s="11"/>
      <c r="E98" s="11"/>
      <c r="F98" s="1402" t="str">
        <f t="shared" si="1"/>
        <v>-</v>
      </c>
      <c r="G98" s="20"/>
      <c r="H98" s="11"/>
      <c r="I98" s="16"/>
      <c r="K98" s="4">
        <f>+E98-G98-H98-I98</f>
        <v>0</v>
      </c>
    </row>
    <row r="99" spans="1:11">
      <c r="A99" s="78" t="s">
        <v>242</v>
      </c>
      <c r="B99" s="68" t="s">
        <v>244</v>
      </c>
      <c r="C99" s="500"/>
      <c r="D99" s="22"/>
      <c r="E99" s="22"/>
      <c r="F99" s="1404" t="str">
        <f t="shared" si="1"/>
        <v>-</v>
      </c>
      <c r="G99" s="21"/>
      <c r="H99" s="22"/>
      <c r="I99" s="23"/>
      <c r="K99" s="4">
        <f>+E99-G99-H99-I99</f>
        <v>0</v>
      </c>
    </row>
    <row r="100" spans="1:11" ht="12.75" thickBot="1">
      <c r="A100" s="78" t="s">
        <v>983</v>
      </c>
      <c r="B100" s="68" t="s">
        <v>979</v>
      </c>
      <c r="C100" s="500"/>
      <c r="D100" s="22"/>
      <c r="E100" s="22"/>
      <c r="F100" s="1404" t="str">
        <f t="shared" si="1"/>
        <v>-</v>
      </c>
      <c r="G100" s="21"/>
      <c r="H100" s="22"/>
      <c r="I100" s="23"/>
      <c r="K100" s="4">
        <f>+E100-G100-H100-I100</f>
        <v>0</v>
      </c>
    </row>
    <row r="101" spans="1:11" s="3" customFormat="1" ht="12.75" thickBot="1">
      <c r="A101" s="83" t="s">
        <v>43</v>
      </c>
      <c r="B101" s="69" t="s">
        <v>306</v>
      </c>
      <c r="C101" s="1049">
        <f>+C71+C86</f>
        <v>0</v>
      </c>
      <c r="D101" s="28">
        <f>+D71+D86</f>
        <v>9589</v>
      </c>
      <c r="E101" s="28">
        <f>+E71+E86</f>
        <v>9604</v>
      </c>
      <c r="F101" s="1400">
        <f t="shared" si="1"/>
        <v>1.0015642924183961</v>
      </c>
      <c r="G101" s="27">
        <f>+G71+G86</f>
        <v>0</v>
      </c>
      <c r="H101" s="28">
        <f>+H71+H86</f>
        <v>9604</v>
      </c>
      <c r="I101" s="29">
        <f>+I71+I86</f>
        <v>0</v>
      </c>
      <c r="K101" s="3">
        <f>+E101-G101-H101-I101</f>
        <v>0</v>
      </c>
    </row>
    <row r="102" spans="1:11" s="3" customFormat="1" ht="12.75" thickBot="1">
      <c r="A102" s="87" t="s">
        <v>40</v>
      </c>
      <c r="B102" s="71" t="s">
        <v>307</v>
      </c>
      <c r="C102" s="1056">
        <f>+C70+C101</f>
        <v>13240</v>
      </c>
      <c r="D102" s="25">
        <f>+D70+D101</f>
        <v>9589</v>
      </c>
      <c r="E102" s="25">
        <f>+E70+E101</f>
        <v>9604</v>
      </c>
      <c r="F102" s="1406">
        <f t="shared" si="1"/>
        <v>1.0015642924183961</v>
      </c>
      <c r="G102" s="24">
        <f>+G70+G101</f>
        <v>0</v>
      </c>
      <c r="H102" s="25">
        <f>+H70+H101</f>
        <v>9604</v>
      </c>
      <c r="I102" s="26">
        <f>+I70+I101</f>
        <v>0</v>
      </c>
      <c r="K102" s="3">
        <f>+E102-G102-H102-I102</f>
        <v>0</v>
      </c>
    </row>
    <row r="103" spans="1:11" s="3" customFormat="1">
      <c r="A103" s="53"/>
      <c r="B103" s="30"/>
      <c r="C103" s="30"/>
      <c r="D103" s="30"/>
      <c r="E103" s="30"/>
      <c r="F103" s="1397"/>
      <c r="G103" s="30"/>
      <c r="H103" s="30"/>
      <c r="I103" s="30"/>
    </row>
    <row r="104" spans="1:11" s="3" customFormat="1">
      <c r="A104" s="53"/>
      <c r="B104" s="30"/>
      <c r="C104" s="30"/>
      <c r="D104" s="30"/>
      <c r="E104" s="30"/>
      <c r="F104" s="1407"/>
      <c r="G104" s="30"/>
      <c r="H104" s="30"/>
      <c r="I104" s="30"/>
    </row>
    <row r="105" spans="1:11" s="52" customFormat="1" ht="15.75">
      <c r="A105" s="1216" t="s">
        <v>80</v>
      </c>
      <c r="B105" s="1216"/>
      <c r="C105" s="1216"/>
      <c r="D105" s="1216"/>
      <c r="E105" s="1216"/>
      <c r="F105" s="1216"/>
      <c r="G105" s="1216"/>
      <c r="H105" s="1216"/>
      <c r="I105" s="1216"/>
    </row>
    <row r="106" spans="1:11" s="36" customFormat="1" ht="12.75" thickBot="1">
      <c r="A106" s="38" t="s">
        <v>279</v>
      </c>
      <c r="F106" s="1397"/>
      <c r="I106" s="37" t="s">
        <v>281</v>
      </c>
    </row>
    <row r="107" spans="1:11" s="3" customFormat="1" ht="48.75" thickBot="1">
      <c r="A107" s="79" t="s">
        <v>17</v>
      </c>
      <c r="B107" s="80" t="s">
        <v>329</v>
      </c>
      <c r="C107" s="1057" t="s">
        <v>1474</v>
      </c>
      <c r="D107" s="6" t="s">
        <v>1475</v>
      </c>
      <c r="E107" s="6" t="s">
        <v>1529</v>
      </c>
      <c r="F107" s="1398" t="s">
        <v>1527</v>
      </c>
      <c r="G107" s="5" t="s">
        <v>51</v>
      </c>
      <c r="H107" s="6" t="s">
        <v>52</v>
      </c>
      <c r="I107" s="7" t="s">
        <v>53</v>
      </c>
    </row>
    <row r="108" spans="1:11" s="3" customFormat="1" ht="12.75" thickBot="1">
      <c r="A108" s="81" t="s">
        <v>253</v>
      </c>
      <c r="B108" s="82" t="s">
        <v>254</v>
      </c>
      <c r="C108" s="1221" t="s">
        <v>255</v>
      </c>
      <c r="D108" s="1222"/>
      <c r="E108" s="1222"/>
      <c r="F108" s="1222"/>
      <c r="G108" s="1223"/>
      <c r="H108" s="1223"/>
      <c r="I108" s="1224"/>
    </row>
    <row r="109" spans="1:11" s="3" customFormat="1" ht="12.75" thickBot="1">
      <c r="A109" s="83" t="s">
        <v>4</v>
      </c>
      <c r="B109" s="69" t="s">
        <v>308</v>
      </c>
      <c r="C109" s="1049">
        <f>+C110+C114+C116+C123+C132</f>
        <v>13240</v>
      </c>
      <c r="D109" s="28">
        <f>+D110+D114+D116+D123+D132</f>
        <v>9589</v>
      </c>
      <c r="E109" s="28">
        <f>+E110+E114+E116+E123+E132</f>
        <v>9589</v>
      </c>
      <c r="F109" s="1408">
        <f t="shared" ref="F109:F172" si="4">IF(ISERROR(E109/D109),"-",E109/D109)</f>
        <v>1</v>
      </c>
      <c r="G109" s="27">
        <f>+G110+G114+G116+G123+G132</f>
        <v>0</v>
      </c>
      <c r="H109" s="28">
        <f>+H110+H114+H116+H123+H132</f>
        <v>9589</v>
      </c>
      <c r="I109" s="29">
        <f>+I110+I114+I116+I123+I132</f>
        <v>0</v>
      </c>
      <c r="K109" s="3">
        <f>+E109-G109-H109-I109</f>
        <v>0</v>
      </c>
    </row>
    <row r="110" spans="1:11" s="3" customFormat="1" ht="12.75" thickBot="1">
      <c r="A110" s="83" t="s">
        <v>5</v>
      </c>
      <c r="B110" s="64" t="s">
        <v>309</v>
      </c>
      <c r="C110" s="1049">
        <f>+C112+C113</f>
        <v>7729</v>
      </c>
      <c r="D110" s="28">
        <f>+D112+D113</f>
        <v>7870</v>
      </c>
      <c r="E110" s="28">
        <f>+E112+E113</f>
        <v>7870</v>
      </c>
      <c r="F110" s="1408">
        <f t="shared" si="4"/>
        <v>1</v>
      </c>
      <c r="G110" s="27">
        <f>+G112+G113</f>
        <v>0</v>
      </c>
      <c r="H110" s="28">
        <f>+H112+H113</f>
        <v>7870</v>
      </c>
      <c r="I110" s="29">
        <f>+I112+I113</f>
        <v>0</v>
      </c>
      <c r="K110" s="3">
        <f>+E110-G110-H110-I110</f>
        <v>0</v>
      </c>
    </row>
    <row r="111" spans="1:11" s="36" customFormat="1">
      <c r="A111" s="819" t="s">
        <v>349</v>
      </c>
      <c r="B111" s="820" t="s">
        <v>350</v>
      </c>
      <c r="C111" s="1058"/>
      <c r="D111" s="97"/>
      <c r="E111" s="97"/>
      <c r="F111" s="1409" t="str">
        <f t="shared" si="4"/>
        <v>-</v>
      </c>
      <c r="G111" s="96"/>
      <c r="H111" s="97"/>
      <c r="I111" s="98"/>
      <c r="K111" s="36">
        <f>+E111-G111-H111-I111</f>
        <v>0</v>
      </c>
    </row>
    <row r="112" spans="1:11">
      <c r="A112" s="84" t="s">
        <v>54</v>
      </c>
      <c r="B112" s="65" t="s">
        <v>127</v>
      </c>
      <c r="C112" s="1051">
        <v>7729</v>
      </c>
      <c r="D112" s="10">
        <v>7870</v>
      </c>
      <c r="E112" s="10">
        <v>7870</v>
      </c>
      <c r="F112" s="1410">
        <f t="shared" si="4"/>
        <v>1</v>
      </c>
      <c r="G112" s="34"/>
      <c r="H112" s="10">
        <v>7870</v>
      </c>
      <c r="I112" s="35"/>
      <c r="K112" s="4">
        <f>+E112-G112-H112-I112</f>
        <v>0</v>
      </c>
    </row>
    <row r="113" spans="1:11" ht="12.75" thickBot="1">
      <c r="A113" s="78" t="s">
        <v>55</v>
      </c>
      <c r="B113" s="68" t="s">
        <v>128</v>
      </c>
      <c r="C113" s="500"/>
      <c r="D113" s="22"/>
      <c r="E113" s="22"/>
      <c r="F113" s="1411" t="str">
        <f t="shared" si="4"/>
        <v>-</v>
      </c>
      <c r="G113" s="21"/>
      <c r="H113" s="22"/>
      <c r="I113" s="23"/>
      <c r="K113" s="4">
        <f>+E113-G113-H113-I113</f>
        <v>0</v>
      </c>
    </row>
    <row r="114" spans="1:11" s="3" customFormat="1" ht="12.75" thickBot="1">
      <c r="A114" s="83" t="s">
        <v>6</v>
      </c>
      <c r="B114" s="64" t="s">
        <v>256</v>
      </c>
      <c r="C114" s="1049">
        <v>1213</v>
      </c>
      <c r="D114" s="28">
        <v>1290</v>
      </c>
      <c r="E114" s="28">
        <v>1290</v>
      </c>
      <c r="F114" s="1408">
        <f t="shared" si="4"/>
        <v>1</v>
      </c>
      <c r="G114" s="27"/>
      <c r="H114" s="28">
        <v>1290</v>
      </c>
      <c r="I114" s="29"/>
      <c r="K114" s="3">
        <f>+E114-G114-H114-I114</f>
        <v>0</v>
      </c>
    </row>
    <row r="115" spans="1:11" s="36" customFormat="1" ht="12.75" thickBot="1">
      <c r="A115" s="819" t="s">
        <v>346</v>
      </c>
      <c r="B115" s="820" t="s">
        <v>347</v>
      </c>
      <c r="C115" s="1058"/>
      <c r="D115" s="97"/>
      <c r="E115" s="97"/>
      <c r="F115" s="1409" t="str">
        <f t="shared" si="4"/>
        <v>-</v>
      </c>
      <c r="G115" s="96"/>
      <c r="H115" s="97"/>
      <c r="I115" s="98"/>
      <c r="K115" s="36">
        <f>+E115-G115-H115-I115</f>
        <v>0</v>
      </c>
    </row>
    <row r="116" spans="1:11" s="3" customFormat="1" ht="12.75" thickBot="1">
      <c r="A116" s="83" t="s">
        <v>3</v>
      </c>
      <c r="B116" s="64" t="s">
        <v>343</v>
      </c>
      <c r="C116" s="1049">
        <f>+C118+C119+C120+C121+C122</f>
        <v>810</v>
      </c>
      <c r="D116" s="28">
        <f>+D118+D119+D120+D121+D122</f>
        <v>417</v>
      </c>
      <c r="E116" s="28">
        <f>+E118+E119+E120+E121+E122</f>
        <v>417</v>
      </c>
      <c r="F116" s="1408">
        <f t="shared" si="4"/>
        <v>1</v>
      </c>
      <c r="G116" s="27">
        <f>+G118+G119+G120+G121+G122</f>
        <v>0</v>
      </c>
      <c r="H116" s="28">
        <f>+H118+H119+H120+H121+H122</f>
        <v>417</v>
      </c>
      <c r="I116" s="29">
        <f>+I118+I119+I120+I121+I122</f>
        <v>0</v>
      </c>
      <c r="K116" s="3">
        <f>+E116-G116-H116-I116</f>
        <v>0</v>
      </c>
    </row>
    <row r="117" spans="1:11" s="36" customFormat="1">
      <c r="A117" s="819" t="s">
        <v>341</v>
      </c>
      <c r="B117" s="820" t="s">
        <v>348</v>
      </c>
      <c r="C117" s="1058"/>
      <c r="D117" s="97"/>
      <c r="E117" s="97"/>
      <c r="F117" s="1409" t="str">
        <f t="shared" si="4"/>
        <v>-</v>
      </c>
      <c r="G117" s="96"/>
      <c r="H117" s="97"/>
      <c r="I117" s="98"/>
      <c r="K117" s="36">
        <f>+E117-G117-H117-I117</f>
        <v>0</v>
      </c>
    </row>
    <row r="118" spans="1:11">
      <c r="A118" s="84" t="s">
        <v>61</v>
      </c>
      <c r="B118" s="65" t="s">
        <v>129</v>
      </c>
      <c r="C118" s="1051">
        <v>197</v>
      </c>
      <c r="D118" s="10">
        <v>287</v>
      </c>
      <c r="E118" s="10">
        <v>287</v>
      </c>
      <c r="F118" s="1410">
        <f t="shared" si="4"/>
        <v>1</v>
      </c>
      <c r="G118" s="34"/>
      <c r="H118" s="10">
        <v>287</v>
      </c>
      <c r="I118" s="35"/>
      <c r="K118" s="4">
        <f>+E118-G118-H118-I118</f>
        <v>0</v>
      </c>
    </row>
    <row r="119" spans="1:11">
      <c r="A119" s="85" t="s">
        <v>62</v>
      </c>
      <c r="B119" s="67" t="s">
        <v>130</v>
      </c>
      <c r="C119" s="501">
        <v>142</v>
      </c>
      <c r="D119" s="11">
        <v>0</v>
      </c>
      <c r="E119" s="11"/>
      <c r="F119" s="1412" t="str">
        <f t="shared" si="4"/>
        <v>-</v>
      </c>
      <c r="G119" s="20"/>
      <c r="H119" s="11"/>
      <c r="I119" s="16"/>
      <c r="K119" s="4">
        <f>+E119-G119-H119-I119</f>
        <v>0</v>
      </c>
    </row>
    <row r="120" spans="1:11">
      <c r="A120" s="85" t="s">
        <v>63</v>
      </c>
      <c r="B120" s="67" t="s">
        <v>131</v>
      </c>
      <c r="C120" s="501">
        <v>310</v>
      </c>
      <c r="D120" s="11">
        <v>56</v>
      </c>
      <c r="E120" s="11">
        <v>56</v>
      </c>
      <c r="F120" s="1412">
        <f t="shared" si="4"/>
        <v>1</v>
      </c>
      <c r="G120" s="20"/>
      <c r="H120" s="11">
        <v>56</v>
      </c>
      <c r="I120" s="16"/>
      <c r="K120" s="4">
        <f>+E120-G120-H120-I120</f>
        <v>0</v>
      </c>
    </row>
    <row r="121" spans="1:11">
      <c r="A121" s="85" t="s">
        <v>64</v>
      </c>
      <c r="B121" s="67" t="s">
        <v>132</v>
      </c>
      <c r="C121" s="501"/>
      <c r="D121" s="11"/>
      <c r="E121" s="11"/>
      <c r="F121" s="1412" t="str">
        <f t="shared" si="4"/>
        <v>-</v>
      </c>
      <c r="G121" s="20"/>
      <c r="H121" s="11"/>
      <c r="I121" s="16"/>
      <c r="K121" s="4">
        <f>+E121-G121-H121-I121</f>
        <v>0</v>
      </c>
    </row>
    <row r="122" spans="1:11" ht="12.75" thickBot="1">
      <c r="A122" s="78" t="s">
        <v>65</v>
      </c>
      <c r="B122" s="68" t="s">
        <v>133</v>
      </c>
      <c r="C122" s="500">
        <v>161</v>
      </c>
      <c r="D122" s="22">
        <v>74</v>
      </c>
      <c r="E122" s="22">
        <v>74</v>
      </c>
      <c r="F122" s="1411">
        <f t="shared" si="4"/>
        <v>1</v>
      </c>
      <c r="G122" s="21"/>
      <c r="H122" s="22">
        <v>74</v>
      </c>
      <c r="I122" s="23"/>
      <c r="K122" s="4">
        <f>+E122-G122-H122-I122</f>
        <v>0</v>
      </c>
    </row>
    <row r="123" spans="1:11" s="3" customFormat="1" ht="12.75" thickBot="1">
      <c r="A123" s="83" t="s">
        <v>16</v>
      </c>
      <c r="B123" s="64" t="s">
        <v>310</v>
      </c>
      <c r="C123" s="1049">
        <f>+C124+C125+C126+C127+C128+C129+C130+C131</f>
        <v>0</v>
      </c>
      <c r="D123" s="28">
        <f>+D124+D125+D126+D127+D128+D129+D130+D131</f>
        <v>0</v>
      </c>
      <c r="E123" s="28">
        <f>+E124+E125+E126+E127+E128+E129+E130+E131</f>
        <v>0</v>
      </c>
      <c r="F123" s="1408" t="str">
        <f t="shared" si="4"/>
        <v>-</v>
      </c>
      <c r="G123" s="27">
        <f>+G124+G125+G126+G127+G128+G129+G130+G131</f>
        <v>0</v>
      </c>
      <c r="H123" s="28">
        <f>+H124+H125+H126+H127+H128+H129+H130+H131</f>
        <v>0</v>
      </c>
      <c r="I123" s="29">
        <f>+I124+I125+I126+I127+I128+I129+I130+I131</f>
        <v>0</v>
      </c>
      <c r="K123" s="3">
        <f>+E123-G123-H123-I123</f>
        <v>0</v>
      </c>
    </row>
    <row r="124" spans="1:11">
      <c r="A124" s="84" t="s">
        <v>227</v>
      </c>
      <c r="B124" s="65" t="s">
        <v>134</v>
      </c>
      <c r="C124" s="1051"/>
      <c r="D124" s="10"/>
      <c r="E124" s="10"/>
      <c r="F124" s="1410" t="str">
        <f t="shared" si="4"/>
        <v>-</v>
      </c>
      <c r="G124" s="34"/>
      <c r="H124" s="10"/>
      <c r="I124" s="35"/>
      <c r="K124" s="4">
        <f>+E124-G124-H124-I124</f>
        <v>0</v>
      </c>
    </row>
    <row r="125" spans="1:11">
      <c r="A125" s="85" t="s">
        <v>228</v>
      </c>
      <c r="B125" s="67" t="s">
        <v>135</v>
      </c>
      <c r="C125" s="501"/>
      <c r="D125" s="11"/>
      <c r="E125" s="11"/>
      <c r="F125" s="1412" t="str">
        <f t="shared" si="4"/>
        <v>-</v>
      </c>
      <c r="G125" s="20"/>
      <c r="H125" s="11"/>
      <c r="I125" s="16"/>
      <c r="K125" s="4">
        <f>+E125-G125-H125-I125</f>
        <v>0</v>
      </c>
    </row>
    <row r="126" spans="1:11">
      <c r="A126" s="85" t="s">
        <v>229</v>
      </c>
      <c r="B126" s="67" t="s">
        <v>136</v>
      </c>
      <c r="C126" s="501"/>
      <c r="D126" s="11"/>
      <c r="E126" s="11"/>
      <c r="F126" s="1412" t="str">
        <f t="shared" si="4"/>
        <v>-</v>
      </c>
      <c r="G126" s="20"/>
      <c r="H126" s="11"/>
      <c r="I126" s="16"/>
      <c r="K126" s="4">
        <f>+E126-G126-H126-I126</f>
        <v>0</v>
      </c>
    </row>
    <row r="127" spans="1:11">
      <c r="A127" s="85" t="s">
        <v>257</v>
      </c>
      <c r="B127" s="67" t="s">
        <v>137</v>
      </c>
      <c r="C127" s="501"/>
      <c r="D127" s="11"/>
      <c r="E127" s="11"/>
      <c r="F127" s="1412" t="str">
        <f t="shared" si="4"/>
        <v>-</v>
      </c>
      <c r="G127" s="20"/>
      <c r="H127" s="11"/>
      <c r="I127" s="16"/>
      <c r="K127" s="4">
        <f>+E127-G127-H127-I127</f>
        <v>0</v>
      </c>
    </row>
    <row r="128" spans="1:11">
      <c r="A128" s="85" t="s">
        <v>258</v>
      </c>
      <c r="B128" s="67" t="s">
        <v>138</v>
      </c>
      <c r="C128" s="501"/>
      <c r="D128" s="11"/>
      <c r="E128" s="11"/>
      <c r="F128" s="1412" t="str">
        <f t="shared" si="4"/>
        <v>-</v>
      </c>
      <c r="G128" s="20"/>
      <c r="H128" s="11"/>
      <c r="I128" s="16"/>
      <c r="K128" s="4">
        <f>+E128-G128-H128-I128</f>
        <v>0</v>
      </c>
    </row>
    <row r="129" spans="1:11">
      <c r="A129" s="85" t="s">
        <v>259</v>
      </c>
      <c r="B129" s="67" t="s">
        <v>139</v>
      </c>
      <c r="C129" s="501"/>
      <c r="D129" s="11"/>
      <c r="E129" s="11"/>
      <c r="F129" s="1412" t="str">
        <f t="shared" si="4"/>
        <v>-</v>
      </c>
      <c r="G129" s="20"/>
      <c r="H129" s="11"/>
      <c r="I129" s="16"/>
      <c r="K129" s="4">
        <f>+E129-G129-H129-I129</f>
        <v>0</v>
      </c>
    </row>
    <row r="130" spans="1:11">
      <c r="A130" s="85" t="s">
        <v>260</v>
      </c>
      <c r="B130" s="67" t="s">
        <v>140</v>
      </c>
      <c r="C130" s="501"/>
      <c r="D130" s="11"/>
      <c r="E130" s="11"/>
      <c r="F130" s="1412" t="str">
        <f t="shared" si="4"/>
        <v>-</v>
      </c>
      <c r="G130" s="20"/>
      <c r="H130" s="11"/>
      <c r="I130" s="16"/>
      <c r="K130" s="4">
        <f>+E130-G130-H130-I130</f>
        <v>0</v>
      </c>
    </row>
    <row r="131" spans="1:11" ht="12.75" thickBot="1">
      <c r="A131" s="78" t="s">
        <v>261</v>
      </c>
      <c r="B131" s="68" t="s">
        <v>141</v>
      </c>
      <c r="C131" s="500"/>
      <c r="D131" s="22"/>
      <c r="E131" s="22"/>
      <c r="F131" s="1411" t="str">
        <f t="shared" si="4"/>
        <v>-</v>
      </c>
      <c r="G131" s="21"/>
      <c r="H131" s="22"/>
      <c r="I131" s="23"/>
      <c r="K131" s="4">
        <f>+E131-G131-H131-I131</f>
        <v>0</v>
      </c>
    </row>
    <row r="132" spans="1:11" s="3" customFormat="1" ht="12.75" thickBot="1">
      <c r="A132" s="83" t="s">
        <v>15</v>
      </c>
      <c r="B132" s="64" t="s">
        <v>987</v>
      </c>
      <c r="C132" s="1049">
        <f>+C133+C134+C135+C136+C137+C138+C140+C141+C142+C143+C144+C145+C146</f>
        <v>3488</v>
      </c>
      <c r="D132" s="28">
        <f>+D133+D134+D135+D136+D137+D138+D140+D141+D142+D143+D144+D145+D146</f>
        <v>12</v>
      </c>
      <c r="E132" s="28">
        <f>+E133+E134+E135+E136+E137+E138+E144+E140+E141+E142+E143+E145+E146</f>
        <v>12</v>
      </c>
      <c r="F132" s="1408">
        <f t="shared" si="4"/>
        <v>1</v>
      </c>
      <c r="G132" s="27">
        <f>+G133+G134+G135+G136+G137+G138+G140+G141+G142+G143+G144+G145+G146</f>
        <v>0</v>
      </c>
      <c r="H132" s="28">
        <f>+H133+H134+H135+H136+H137+H138+H140+H141+H142+H143+H144+H145+H146</f>
        <v>12</v>
      </c>
      <c r="I132" s="29">
        <f>+I133+I134+I135+I136+I137+I138+I140+I141+I142+I143+I144+I145+I146</f>
        <v>0</v>
      </c>
      <c r="K132" s="3">
        <f>+E132-G132-H132-I132</f>
        <v>0</v>
      </c>
    </row>
    <row r="133" spans="1:11">
      <c r="A133" s="84" t="s">
        <v>87</v>
      </c>
      <c r="B133" s="65" t="s">
        <v>142</v>
      </c>
      <c r="C133" s="1051"/>
      <c r="D133" s="10"/>
      <c r="E133" s="10"/>
      <c r="F133" s="1410" t="str">
        <f t="shared" si="4"/>
        <v>-</v>
      </c>
      <c r="G133" s="34"/>
      <c r="H133" s="10"/>
      <c r="I133" s="35"/>
      <c r="K133" s="4">
        <f>+E133-G133-H133-I133</f>
        <v>0</v>
      </c>
    </row>
    <row r="134" spans="1:11">
      <c r="A134" s="85" t="s">
        <v>88</v>
      </c>
      <c r="B134" s="67" t="s">
        <v>143</v>
      </c>
      <c r="C134" s="501">
        <v>3488</v>
      </c>
      <c r="D134" s="11">
        <v>12</v>
      </c>
      <c r="E134" s="11">
        <v>12</v>
      </c>
      <c r="F134" s="1412">
        <f t="shared" si="4"/>
        <v>1</v>
      </c>
      <c r="G134" s="20"/>
      <c r="H134" s="11">
        <v>12</v>
      </c>
      <c r="I134" s="16"/>
      <c r="K134" s="4">
        <f>+E134-G134-H134-I134</f>
        <v>0</v>
      </c>
    </row>
    <row r="135" spans="1:11">
      <c r="A135" s="85" t="s">
        <v>182</v>
      </c>
      <c r="B135" s="67" t="s">
        <v>144</v>
      </c>
      <c r="C135" s="501"/>
      <c r="D135" s="11"/>
      <c r="E135" s="11"/>
      <c r="F135" s="1412" t="str">
        <f t="shared" si="4"/>
        <v>-</v>
      </c>
      <c r="G135" s="20"/>
      <c r="H135" s="11"/>
      <c r="I135" s="16"/>
      <c r="K135" s="4">
        <f>+E135-G135-H135-I135</f>
        <v>0</v>
      </c>
    </row>
    <row r="136" spans="1:11">
      <c r="A136" s="85" t="s">
        <v>183</v>
      </c>
      <c r="B136" s="67" t="s">
        <v>145</v>
      </c>
      <c r="C136" s="501"/>
      <c r="D136" s="11"/>
      <c r="E136" s="11"/>
      <c r="F136" s="1412" t="str">
        <f t="shared" si="4"/>
        <v>-</v>
      </c>
      <c r="G136" s="20"/>
      <c r="H136" s="11"/>
      <c r="I136" s="16"/>
      <c r="K136" s="4">
        <f>+E136-G136-H136-I136</f>
        <v>0</v>
      </c>
    </row>
    <row r="137" spans="1:11">
      <c r="A137" s="85" t="s">
        <v>184</v>
      </c>
      <c r="B137" s="67" t="s">
        <v>146</v>
      </c>
      <c r="C137" s="501"/>
      <c r="D137" s="11"/>
      <c r="E137" s="11"/>
      <c r="F137" s="1412" t="str">
        <f t="shared" si="4"/>
        <v>-</v>
      </c>
      <c r="G137" s="20"/>
      <c r="H137" s="11"/>
      <c r="I137" s="16"/>
      <c r="K137" s="4">
        <f>+E137-G137-H137-I137</f>
        <v>0</v>
      </c>
    </row>
    <row r="138" spans="1:11">
      <c r="A138" s="85" t="s">
        <v>262</v>
      </c>
      <c r="B138" s="67" t="s">
        <v>147</v>
      </c>
      <c r="C138" s="501"/>
      <c r="D138" s="11"/>
      <c r="E138" s="11"/>
      <c r="F138" s="1412" t="str">
        <f t="shared" si="4"/>
        <v>-</v>
      </c>
      <c r="G138" s="20"/>
      <c r="H138" s="11"/>
      <c r="I138" s="16"/>
      <c r="K138" s="4">
        <f>+E138-G138-H138-I138</f>
        <v>0</v>
      </c>
    </row>
    <row r="139" spans="1:11" s="13" customFormat="1">
      <c r="A139" s="89" t="s">
        <v>336</v>
      </c>
      <c r="B139" s="818" t="s">
        <v>993</v>
      </c>
      <c r="C139" s="1050"/>
      <c r="D139" s="43"/>
      <c r="E139" s="43"/>
      <c r="F139" s="1411" t="str">
        <f t="shared" si="4"/>
        <v>-</v>
      </c>
      <c r="G139" s="45"/>
      <c r="H139" s="43"/>
      <c r="I139" s="44"/>
      <c r="K139" s="13">
        <f>+E139-G139-H139-I139</f>
        <v>0</v>
      </c>
    </row>
    <row r="140" spans="1:11">
      <c r="A140" s="85" t="s">
        <v>263</v>
      </c>
      <c r="B140" s="67" t="s">
        <v>148</v>
      </c>
      <c r="C140" s="501"/>
      <c r="D140" s="11"/>
      <c r="E140" s="11"/>
      <c r="F140" s="1412" t="str">
        <f t="shared" si="4"/>
        <v>-</v>
      </c>
      <c r="G140" s="20"/>
      <c r="H140" s="11"/>
      <c r="I140" s="16"/>
      <c r="K140" s="4">
        <f>+E140-G140-H140-I140</f>
        <v>0</v>
      </c>
    </row>
    <row r="141" spans="1:11">
      <c r="A141" s="85" t="s">
        <v>264</v>
      </c>
      <c r="B141" s="67" t="s">
        <v>149</v>
      </c>
      <c r="C141" s="501"/>
      <c r="D141" s="11"/>
      <c r="E141" s="11"/>
      <c r="F141" s="1412" t="str">
        <f t="shared" si="4"/>
        <v>-</v>
      </c>
      <c r="G141" s="20"/>
      <c r="H141" s="11"/>
      <c r="I141" s="16"/>
      <c r="K141" s="4">
        <f>+E141-G141-H141-I141</f>
        <v>0</v>
      </c>
    </row>
    <row r="142" spans="1:11">
      <c r="A142" s="85" t="s">
        <v>265</v>
      </c>
      <c r="B142" s="67" t="s">
        <v>150</v>
      </c>
      <c r="C142" s="501"/>
      <c r="D142" s="11"/>
      <c r="E142" s="11"/>
      <c r="F142" s="1412" t="str">
        <f t="shared" si="4"/>
        <v>-</v>
      </c>
      <c r="G142" s="20"/>
      <c r="H142" s="11"/>
      <c r="I142" s="16"/>
      <c r="K142" s="4">
        <f>+E142-G142-H142-I142</f>
        <v>0</v>
      </c>
    </row>
    <row r="143" spans="1:11">
      <c r="A143" s="85" t="s">
        <v>266</v>
      </c>
      <c r="B143" s="67" t="s">
        <v>151</v>
      </c>
      <c r="C143" s="501"/>
      <c r="D143" s="11"/>
      <c r="E143" s="11"/>
      <c r="F143" s="1412" t="str">
        <f t="shared" si="4"/>
        <v>-</v>
      </c>
      <c r="G143" s="20"/>
      <c r="H143" s="11"/>
      <c r="I143" s="16"/>
      <c r="K143" s="4">
        <f>+E143-G143-H143-I143</f>
        <v>0</v>
      </c>
    </row>
    <row r="144" spans="1:11">
      <c r="A144" s="85" t="s">
        <v>267</v>
      </c>
      <c r="B144" s="67" t="s">
        <v>988</v>
      </c>
      <c r="C144" s="501"/>
      <c r="D144" s="11"/>
      <c r="E144" s="11"/>
      <c r="F144" s="1412" t="str">
        <f t="shared" si="4"/>
        <v>-</v>
      </c>
      <c r="G144" s="20"/>
      <c r="H144" s="11"/>
      <c r="I144" s="16"/>
      <c r="K144" s="4">
        <f>+E144-G144-H144-I144</f>
        <v>0</v>
      </c>
    </row>
    <row r="145" spans="1:11">
      <c r="A145" s="85" t="s">
        <v>268</v>
      </c>
      <c r="B145" s="67" t="s">
        <v>989</v>
      </c>
      <c r="C145" s="501"/>
      <c r="D145" s="11"/>
      <c r="E145" s="11"/>
      <c r="F145" s="1412" t="str">
        <f t="shared" si="4"/>
        <v>-</v>
      </c>
      <c r="G145" s="20"/>
      <c r="H145" s="11"/>
      <c r="I145" s="16"/>
      <c r="K145" s="4">
        <f>+E145-G145-H145-I145</f>
        <v>0</v>
      </c>
    </row>
    <row r="146" spans="1:11">
      <c r="A146" s="78" t="s">
        <v>984</v>
      </c>
      <c r="B146" s="68" t="s">
        <v>990</v>
      </c>
      <c r="C146" s="500">
        <f>+C147+C148</f>
        <v>0</v>
      </c>
      <c r="D146" s="22">
        <f>+D147+D148</f>
        <v>0</v>
      </c>
      <c r="E146" s="22">
        <f>+E147+E148</f>
        <v>0</v>
      </c>
      <c r="F146" s="1411" t="str">
        <f t="shared" si="4"/>
        <v>-</v>
      </c>
      <c r="G146" s="21">
        <f>+G147+G148</f>
        <v>0</v>
      </c>
      <c r="H146" s="22">
        <f>+H147+H148</f>
        <v>0</v>
      </c>
      <c r="I146" s="23">
        <f>+I147+I148</f>
        <v>0</v>
      </c>
      <c r="K146" s="4">
        <f>+E146-G146-H146-I146</f>
        <v>0</v>
      </c>
    </row>
    <row r="147" spans="1:11" s="13" customFormat="1">
      <c r="A147" s="89" t="s">
        <v>985</v>
      </c>
      <c r="B147" s="74" t="s">
        <v>991</v>
      </c>
      <c r="C147" s="1050"/>
      <c r="D147" s="43"/>
      <c r="E147" s="43"/>
      <c r="F147" s="1411" t="str">
        <f t="shared" si="4"/>
        <v>-</v>
      </c>
      <c r="G147" s="45"/>
      <c r="H147" s="43"/>
      <c r="I147" s="44"/>
      <c r="K147" s="13">
        <f>+E147-G147-H147-I147</f>
        <v>0</v>
      </c>
    </row>
    <row r="148" spans="1:11" s="13" customFormat="1" ht="12.75" thickBot="1">
      <c r="A148" s="89" t="s">
        <v>986</v>
      </c>
      <c r="B148" s="74" t="s">
        <v>992</v>
      </c>
      <c r="C148" s="1050"/>
      <c r="D148" s="43"/>
      <c r="E148" s="43"/>
      <c r="F148" s="1411" t="str">
        <f t="shared" si="4"/>
        <v>-</v>
      </c>
      <c r="G148" s="45"/>
      <c r="H148" s="43"/>
      <c r="I148" s="44"/>
      <c r="K148" s="13">
        <f>+E148-G148-H148-I148</f>
        <v>0</v>
      </c>
    </row>
    <row r="149" spans="1:11" s="3" customFormat="1" ht="12.75" thickBot="1">
      <c r="A149" s="83" t="s">
        <v>14</v>
      </c>
      <c r="B149" s="69" t="s">
        <v>311</v>
      </c>
      <c r="C149" s="1049">
        <f>+C150+C159+C165</f>
        <v>0</v>
      </c>
      <c r="D149" s="28">
        <f>+D150+D159+D165</f>
        <v>0</v>
      </c>
      <c r="E149" s="28">
        <f>+E150+E159+E165</f>
        <v>0</v>
      </c>
      <c r="F149" s="1408" t="str">
        <f t="shared" si="4"/>
        <v>-</v>
      </c>
      <c r="G149" s="27">
        <f>+G150+G159+G165</f>
        <v>0</v>
      </c>
      <c r="H149" s="28">
        <f>+H150+H159+H165</f>
        <v>0</v>
      </c>
      <c r="I149" s="29">
        <f>+I150+I159+I165</f>
        <v>0</v>
      </c>
      <c r="K149" s="3">
        <f>+E149-G149-H149-I149</f>
        <v>0</v>
      </c>
    </row>
    <row r="150" spans="1:11" s="3" customFormat="1" ht="12.75" thickBot="1">
      <c r="A150" s="83" t="s">
        <v>13</v>
      </c>
      <c r="B150" s="64" t="s">
        <v>312</v>
      </c>
      <c r="C150" s="1049">
        <f>+C152+C153+C154+C155+C156+C157+C158</f>
        <v>0</v>
      </c>
      <c r="D150" s="28">
        <f>+D152+D153+D154+D155+D156+D157+D158</f>
        <v>0</v>
      </c>
      <c r="E150" s="28">
        <f>+E152+E153+E154+E155+E156+E157+E158</f>
        <v>0</v>
      </c>
      <c r="F150" s="1408" t="str">
        <f t="shared" si="4"/>
        <v>-</v>
      </c>
      <c r="G150" s="27">
        <f>+G152+G153+G154+G155+G156+G157+G158</f>
        <v>0</v>
      </c>
      <c r="H150" s="28">
        <f>+H152+H153+H154+H155+H156+H157+H158</f>
        <v>0</v>
      </c>
      <c r="I150" s="29">
        <f>+I152+I153+I154+I155+I156+I157+I158</f>
        <v>0</v>
      </c>
      <c r="K150" s="3">
        <f>+E150-G150-H150-I150</f>
        <v>0</v>
      </c>
    </row>
    <row r="151" spans="1:11" s="36" customFormat="1">
      <c r="A151" s="819" t="s">
        <v>994</v>
      </c>
      <c r="B151" s="820" t="s">
        <v>342</v>
      </c>
      <c r="C151" s="1058"/>
      <c r="D151" s="97"/>
      <c r="E151" s="97"/>
      <c r="F151" s="1409" t="str">
        <f t="shared" si="4"/>
        <v>-</v>
      </c>
      <c r="G151" s="96"/>
      <c r="H151" s="97"/>
      <c r="I151" s="98"/>
      <c r="K151" s="36">
        <f>+E151-G151-H151-I151</f>
        <v>0</v>
      </c>
    </row>
    <row r="152" spans="1:11">
      <c r="A152" s="84" t="s">
        <v>66</v>
      </c>
      <c r="B152" s="65" t="s">
        <v>152</v>
      </c>
      <c r="C152" s="1051"/>
      <c r="D152" s="10"/>
      <c r="E152" s="10"/>
      <c r="F152" s="1410" t="str">
        <f t="shared" si="4"/>
        <v>-</v>
      </c>
      <c r="G152" s="34"/>
      <c r="H152" s="10"/>
      <c r="I152" s="35"/>
      <c r="K152" s="4">
        <f>+E152-G152-H152-I152</f>
        <v>0</v>
      </c>
    </row>
    <row r="153" spans="1:11">
      <c r="A153" s="85" t="s">
        <v>67</v>
      </c>
      <c r="B153" s="67" t="s">
        <v>153</v>
      </c>
      <c r="C153" s="501"/>
      <c r="D153" s="11"/>
      <c r="E153" s="11"/>
      <c r="F153" s="1412" t="str">
        <f t="shared" si="4"/>
        <v>-</v>
      </c>
      <c r="G153" s="20"/>
      <c r="H153" s="11"/>
      <c r="I153" s="16"/>
      <c r="K153" s="4">
        <f>+E153-G153-H153-I153</f>
        <v>0</v>
      </c>
    </row>
    <row r="154" spans="1:11">
      <c r="A154" s="85" t="s">
        <v>68</v>
      </c>
      <c r="B154" s="67" t="s">
        <v>154</v>
      </c>
      <c r="C154" s="501"/>
      <c r="D154" s="11"/>
      <c r="E154" s="11"/>
      <c r="F154" s="1412" t="str">
        <f t="shared" si="4"/>
        <v>-</v>
      </c>
      <c r="G154" s="20"/>
      <c r="H154" s="11"/>
      <c r="I154" s="16"/>
      <c r="K154" s="4">
        <f>+E154-G154-H154-I154</f>
        <v>0</v>
      </c>
    </row>
    <row r="155" spans="1:11">
      <c r="A155" s="85" t="s">
        <v>230</v>
      </c>
      <c r="B155" s="67" t="s">
        <v>155</v>
      </c>
      <c r="C155" s="501"/>
      <c r="D155" s="11"/>
      <c r="E155" s="11"/>
      <c r="F155" s="1412" t="str">
        <f t="shared" si="4"/>
        <v>-</v>
      </c>
      <c r="G155" s="20"/>
      <c r="H155" s="11"/>
      <c r="I155" s="16"/>
      <c r="K155" s="4">
        <f>+E155-G155-H155-I155</f>
        <v>0</v>
      </c>
    </row>
    <row r="156" spans="1:11">
      <c r="A156" s="85" t="s">
        <v>231</v>
      </c>
      <c r="B156" s="67" t="s">
        <v>156</v>
      </c>
      <c r="C156" s="501"/>
      <c r="D156" s="11"/>
      <c r="E156" s="11"/>
      <c r="F156" s="1412" t="str">
        <f t="shared" si="4"/>
        <v>-</v>
      </c>
      <c r="G156" s="20"/>
      <c r="H156" s="11"/>
      <c r="I156" s="16"/>
      <c r="K156" s="4">
        <f>+E156-G156-H156-I156</f>
        <v>0</v>
      </c>
    </row>
    <row r="157" spans="1:11">
      <c r="A157" s="85" t="s">
        <v>269</v>
      </c>
      <c r="B157" s="67" t="s">
        <v>157</v>
      </c>
      <c r="C157" s="501"/>
      <c r="D157" s="11"/>
      <c r="E157" s="11"/>
      <c r="F157" s="1412" t="str">
        <f t="shared" si="4"/>
        <v>-</v>
      </c>
      <c r="G157" s="20"/>
      <c r="H157" s="11"/>
      <c r="I157" s="16"/>
      <c r="K157" s="4">
        <f>+E157-G157-H157-I157</f>
        <v>0</v>
      </c>
    </row>
    <row r="158" spans="1:11" ht="12.75" thickBot="1">
      <c r="A158" s="78" t="s">
        <v>270</v>
      </c>
      <c r="B158" s="68" t="s">
        <v>158</v>
      </c>
      <c r="C158" s="500"/>
      <c r="D158" s="22"/>
      <c r="E158" s="22"/>
      <c r="F158" s="1411" t="str">
        <f t="shared" si="4"/>
        <v>-</v>
      </c>
      <c r="G158" s="21"/>
      <c r="H158" s="22"/>
      <c r="I158" s="23"/>
      <c r="K158" s="4">
        <f>+E158-G158-H158-I158</f>
        <v>0</v>
      </c>
    </row>
    <row r="159" spans="1:11" s="3" customFormat="1" ht="12.75" thickBot="1">
      <c r="A159" s="83" t="s">
        <v>12</v>
      </c>
      <c r="B159" s="64" t="s">
        <v>313</v>
      </c>
      <c r="C159" s="1049">
        <f>+C161+C162+C163+C164</f>
        <v>0</v>
      </c>
      <c r="D159" s="28">
        <f>+D161+D162+D163+D164</f>
        <v>0</v>
      </c>
      <c r="E159" s="28">
        <f>+E161+E162+E163+E164</f>
        <v>0</v>
      </c>
      <c r="F159" s="1408" t="str">
        <f t="shared" si="4"/>
        <v>-</v>
      </c>
      <c r="G159" s="27">
        <f>+G161+G162+G163+G164</f>
        <v>0</v>
      </c>
      <c r="H159" s="28">
        <f>+H161+H162+H163+H164</f>
        <v>0</v>
      </c>
      <c r="I159" s="29">
        <f>+I161+I162+I163+I164</f>
        <v>0</v>
      </c>
      <c r="K159" s="3">
        <f>+E159-G159-H159-I159</f>
        <v>0</v>
      </c>
    </row>
    <row r="160" spans="1:11" s="36" customFormat="1">
      <c r="A160" s="819" t="s">
        <v>344</v>
      </c>
      <c r="B160" s="820" t="s">
        <v>345</v>
      </c>
      <c r="C160" s="1058"/>
      <c r="D160" s="97"/>
      <c r="E160" s="97"/>
      <c r="F160" s="1409" t="str">
        <f t="shared" si="4"/>
        <v>-</v>
      </c>
      <c r="G160" s="96"/>
      <c r="H160" s="97"/>
      <c r="I160" s="98"/>
      <c r="K160" s="36">
        <f>+E160-G160-H160-I160</f>
        <v>0</v>
      </c>
    </row>
    <row r="161" spans="1:11">
      <c r="A161" s="84" t="s">
        <v>69</v>
      </c>
      <c r="B161" s="65" t="s">
        <v>159</v>
      </c>
      <c r="C161" s="1051"/>
      <c r="D161" s="10"/>
      <c r="E161" s="10"/>
      <c r="F161" s="1410" t="str">
        <f t="shared" si="4"/>
        <v>-</v>
      </c>
      <c r="G161" s="34"/>
      <c r="H161" s="10"/>
      <c r="I161" s="35"/>
      <c r="K161" s="4">
        <f>+E161-G161-H161-I161</f>
        <v>0</v>
      </c>
    </row>
    <row r="162" spans="1:11">
      <c r="A162" s="85" t="s">
        <v>70</v>
      </c>
      <c r="B162" s="67" t="s">
        <v>160</v>
      </c>
      <c r="C162" s="501"/>
      <c r="D162" s="11"/>
      <c r="E162" s="11"/>
      <c r="F162" s="1412" t="str">
        <f t="shared" si="4"/>
        <v>-</v>
      </c>
      <c r="G162" s="20"/>
      <c r="H162" s="11"/>
      <c r="I162" s="16"/>
      <c r="K162" s="4">
        <f>+E162-G162-H162-I162</f>
        <v>0</v>
      </c>
    </row>
    <row r="163" spans="1:11">
      <c r="A163" s="85" t="s">
        <v>71</v>
      </c>
      <c r="B163" s="67" t="s">
        <v>161</v>
      </c>
      <c r="C163" s="501"/>
      <c r="D163" s="11"/>
      <c r="E163" s="11"/>
      <c r="F163" s="1412" t="str">
        <f t="shared" si="4"/>
        <v>-</v>
      </c>
      <c r="G163" s="20"/>
      <c r="H163" s="11"/>
      <c r="I163" s="16"/>
      <c r="K163" s="4">
        <f>+E163-G163-H163-I163</f>
        <v>0</v>
      </c>
    </row>
    <row r="164" spans="1:11" ht="12.75" thickBot="1">
      <c r="A164" s="78" t="s">
        <v>72</v>
      </c>
      <c r="B164" s="68" t="s">
        <v>162</v>
      </c>
      <c r="C164" s="500"/>
      <c r="D164" s="22"/>
      <c r="E164" s="22"/>
      <c r="F164" s="1411" t="str">
        <f t="shared" si="4"/>
        <v>-</v>
      </c>
      <c r="G164" s="21"/>
      <c r="H164" s="22"/>
      <c r="I164" s="23"/>
      <c r="K164" s="4">
        <f>+E164-G164-H164-I164</f>
        <v>0</v>
      </c>
    </row>
    <row r="165" spans="1:11" s="3" customFormat="1" ht="12.75" thickBot="1">
      <c r="A165" s="83" t="s">
        <v>11</v>
      </c>
      <c r="B165" s="64" t="s">
        <v>996</v>
      </c>
      <c r="C165" s="1049">
        <f>+C166+C167+C168+C169+C171+C172+C173+C174+C175</f>
        <v>0</v>
      </c>
      <c r="D165" s="28">
        <f>+D166+D167+D168+D169+D171+D172+D173+D174+D175</f>
        <v>0</v>
      </c>
      <c r="E165" s="28">
        <f>+E166+E167+E168+E169+E171+E172+E173+E174+E175</f>
        <v>0</v>
      </c>
      <c r="F165" s="1408" t="str">
        <f t="shared" si="4"/>
        <v>-</v>
      </c>
      <c r="G165" s="27">
        <f>+G166+G167+G168+G169+G171+G172+G173+G174+G175</f>
        <v>0</v>
      </c>
      <c r="H165" s="28">
        <f>+H166+H167+H168+H169+H171+H172+H173+H174+H175</f>
        <v>0</v>
      </c>
      <c r="I165" s="29">
        <f>+I166+I167+I168+I169+I171+I172+I173+I174+I175</f>
        <v>0</v>
      </c>
      <c r="K165" s="3">
        <f>+E165-G165-H165-I165</f>
        <v>0</v>
      </c>
    </row>
    <row r="166" spans="1:11">
      <c r="A166" s="84" t="s">
        <v>271</v>
      </c>
      <c r="B166" s="65" t="s">
        <v>163</v>
      </c>
      <c r="C166" s="1051"/>
      <c r="D166" s="10"/>
      <c r="E166" s="10"/>
      <c r="F166" s="1410" t="str">
        <f t="shared" si="4"/>
        <v>-</v>
      </c>
      <c r="G166" s="34"/>
      <c r="H166" s="10"/>
      <c r="I166" s="35"/>
      <c r="K166" s="4">
        <f>+E166-G166-H166-I166</f>
        <v>0</v>
      </c>
    </row>
    <row r="167" spans="1:11">
      <c r="A167" s="85" t="s">
        <v>272</v>
      </c>
      <c r="B167" s="67" t="s">
        <v>164</v>
      </c>
      <c r="C167" s="501"/>
      <c r="D167" s="11"/>
      <c r="E167" s="11"/>
      <c r="F167" s="1412" t="str">
        <f t="shared" si="4"/>
        <v>-</v>
      </c>
      <c r="G167" s="20"/>
      <c r="H167" s="11"/>
      <c r="I167" s="16"/>
      <c r="K167" s="4">
        <f>+E167-G167-H167-I167</f>
        <v>0</v>
      </c>
    </row>
    <row r="168" spans="1:11">
      <c r="A168" s="85" t="s">
        <v>273</v>
      </c>
      <c r="B168" s="67" t="s">
        <v>165</v>
      </c>
      <c r="C168" s="501"/>
      <c r="D168" s="11"/>
      <c r="E168" s="11"/>
      <c r="F168" s="1412" t="str">
        <f t="shared" si="4"/>
        <v>-</v>
      </c>
      <c r="G168" s="20"/>
      <c r="H168" s="11"/>
      <c r="I168" s="16"/>
      <c r="K168" s="4">
        <f>+E168-G168-H168-I168</f>
        <v>0</v>
      </c>
    </row>
    <row r="169" spans="1:11">
      <c r="A169" s="85" t="s">
        <v>274</v>
      </c>
      <c r="B169" s="67" t="s">
        <v>166</v>
      </c>
      <c r="C169" s="501"/>
      <c r="D169" s="11"/>
      <c r="E169" s="11"/>
      <c r="F169" s="1412" t="str">
        <f t="shared" si="4"/>
        <v>-</v>
      </c>
      <c r="G169" s="20"/>
      <c r="H169" s="11"/>
      <c r="I169" s="16"/>
      <c r="K169" s="4">
        <f>+E169-G169-H169-I169</f>
        <v>0</v>
      </c>
    </row>
    <row r="170" spans="1:11" s="13" customFormat="1">
      <c r="A170" s="89" t="s">
        <v>339</v>
      </c>
      <c r="B170" s="818" t="s">
        <v>340</v>
      </c>
      <c r="C170" s="1050"/>
      <c r="D170" s="43"/>
      <c r="E170" s="43"/>
      <c r="F170" s="1411" t="str">
        <f t="shared" si="4"/>
        <v>-</v>
      </c>
      <c r="G170" s="45"/>
      <c r="H170" s="43"/>
      <c r="I170" s="44"/>
      <c r="K170" s="13">
        <f>+E170-G170-H170-I170</f>
        <v>0</v>
      </c>
    </row>
    <row r="171" spans="1:11">
      <c r="A171" s="85" t="s">
        <v>275</v>
      </c>
      <c r="B171" s="67" t="s">
        <v>167</v>
      </c>
      <c r="C171" s="501"/>
      <c r="D171" s="11"/>
      <c r="E171" s="11"/>
      <c r="F171" s="1412" t="str">
        <f t="shared" si="4"/>
        <v>-</v>
      </c>
      <c r="G171" s="20"/>
      <c r="H171" s="11"/>
      <c r="I171" s="16"/>
      <c r="K171" s="4">
        <f>+E171-G171-H171-I171</f>
        <v>0</v>
      </c>
    </row>
    <row r="172" spans="1:11">
      <c r="A172" s="85" t="s">
        <v>276</v>
      </c>
      <c r="B172" s="67" t="s">
        <v>168</v>
      </c>
      <c r="C172" s="501"/>
      <c r="D172" s="11"/>
      <c r="E172" s="11"/>
      <c r="F172" s="1412" t="str">
        <f t="shared" si="4"/>
        <v>-</v>
      </c>
      <c r="G172" s="20"/>
      <c r="H172" s="11"/>
      <c r="I172" s="16"/>
      <c r="K172" s="4">
        <f>+E172-G172-H172-I172</f>
        <v>0</v>
      </c>
    </row>
    <row r="173" spans="1:11">
      <c r="A173" s="85" t="s">
        <v>277</v>
      </c>
      <c r="B173" s="67" t="s">
        <v>169</v>
      </c>
      <c r="C173" s="501"/>
      <c r="D173" s="11"/>
      <c r="E173" s="11"/>
      <c r="F173" s="1412" t="str">
        <f t="shared" ref="F173:F208" si="5">IF(ISERROR(E173/D173),"-",E173/D173)</f>
        <v>-</v>
      </c>
      <c r="G173" s="20"/>
      <c r="H173" s="11"/>
      <c r="I173" s="16"/>
      <c r="K173" s="4">
        <f>+E173-G173-H173-I173</f>
        <v>0</v>
      </c>
    </row>
    <row r="174" spans="1:11">
      <c r="A174" s="85" t="s">
        <v>278</v>
      </c>
      <c r="B174" s="67" t="s">
        <v>997</v>
      </c>
      <c r="C174" s="501"/>
      <c r="D174" s="11"/>
      <c r="E174" s="11"/>
      <c r="F174" s="1412" t="str">
        <f t="shared" si="5"/>
        <v>-</v>
      </c>
      <c r="G174" s="20"/>
      <c r="H174" s="11"/>
      <c r="I174" s="16"/>
      <c r="K174" s="4">
        <f>+E174-G174-H174-I174</f>
        <v>0</v>
      </c>
    </row>
    <row r="175" spans="1:11" ht="12.75" thickBot="1">
      <c r="A175" s="78" t="s">
        <v>995</v>
      </c>
      <c r="B175" s="68" t="s">
        <v>998</v>
      </c>
      <c r="C175" s="500"/>
      <c r="D175" s="22"/>
      <c r="E175" s="22"/>
      <c r="F175" s="1411" t="str">
        <f t="shared" si="5"/>
        <v>-</v>
      </c>
      <c r="G175" s="21"/>
      <c r="H175" s="22"/>
      <c r="I175" s="23"/>
      <c r="K175" s="4">
        <f>+E175-G175-H175-I175</f>
        <v>0</v>
      </c>
    </row>
    <row r="176" spans="1:11" s="3" customFormat="1" ht="12.75" thickBot="1">
      <c r="A176" s="83" t="s">
        <v>10</v>
      </c>
      <c r="B176" s="69" t="s">
        <v>314</v>
      </c>
      <c r="C176" s="1049">
        <f>+C109+C149</f>
        <v>13240</v>
      </c>
      <c r="D176" s="28">
        <f>+D109+D149</f>
        <v>9589</v>
      </c>
      <c r="E176" s="28">
        <f>+E109+E149</f>
        <v>9589</v>
      </c>
      <c r="F176" s="1408">
        <f t="shared" si="5"/>
        <v>1</v>
      </c>
      <c r="G176" s="27">
        <f>+G109+G149</f>
        <v>0</v>
      </c>
      <c r="H176" s="28">
        <f>+H109+H149</f>
        <v>9589</v>
      </c>
      <c r="I176" s="29">
        <f>+I109+I149</f>
        <v>0</v>
      </c>
      <c r="K176" s="3">
        <f>+E176-G176-H176-I176</f>
        <v>0</v>
      </c>
    </row>
    <row r="177" spans="1:11" s="3" customFormat="1" ht="12.75" thickBot="1">
      <c r="A177" s="83" t="s">
        <v>9</v>
      </c>
      <c r="B177" s="70" t="s">
        <v>315</v>
      </c>
      <c r="C177" s="1049">
        <f>+C178</f>
        <v>0</v>
      </c>
      <c r="D177" s="28">
        <f>+D178</f>
        <v>0</v>
      </c>
      <c r="E177" s="28">
        <f>+E178</f>
        <v>0</v>
      </c>
      <c r="F177" s="1408" t="str">
        <f t="shared" si="5"/>
        <v>-</v>
      </c>
      <c r="G177" s="27">
        <f>+G178</f>
        <v>0</v>
      </c>
      <c r="H177" s="28">
        <f>+H178</f>
        <v>0</v>
      </c>
      <c r="I177" s="29">
        <f>+I178</f>
        <v>0</v>
      </c>
      <c r="K177" s="3">
        <f>+E177-G177-H177-I177</f>
        <v>0</v>
      </c>
    </row>
    <row r="178" spans="1:11" s="3" customFormat="1" ht="12.75" thickBot="1">
      <c r="A178" s="83" t="s">
        <v>45</v>
      </c>
      <c r="B178" s="64" t="s">
        <v>1005</v>
      </c>
      <c r="C178" s="1049">
        <f>+C179+C189+C190+C191</f>
        <v>0</v>
      </c>
      <c r="D178" s="28">
        <f>+D179+D189+D190+D191</f>
        <v>0</v>
      </c>
      <c r="E178" s="28">
        <f>+E179+E189+E190+E191</f>
        <v>0</v>
      </c>
      <c r="F178" s="1408" t="str">
        <f t="shared" si="5"/>
        <v>-</v>
      </c>
      <c r="G178" s="27">
        <f>+G179+G189+G190+G191</f>
        <v>0</v>
      </c>
      <c r="H178" s="28">
        <f>+H179+H189+H190+H191</f>
        <v>0</v>
      </c>
      <c r="I178" s="29">
        <f>+I179+I189+I190+I191</f>
        <v>0</v>
      </c>
      <c r="K178" s="3">
        <f>+E178-G178-H178-I178</f>
        <v>0</v>
      </c>
    </row>
    <row r="179" spans="1:11">
      <c r="A179" s="84" t="s">
        <v>75</v>
      </c>
      <c r="B179" s="65" t="s">
        <v>1006</v>
      </c>
      <c r="C179" s="1051">
        <f>+C180+C181+C182+C183+C184+C185+C186+C187+C188</f>
        <v>0</v>
      </c>
      <c r="D179" s="10">
        <f>+D180+D181+D182+D183+D184+D185+D186+D187+D188</f>
        <v>0</v>
      </c>
      <c r="E179" s="47">
        <f>+E180+E181+E182+E183+E184+E185+E186+E187+E188</f>
        <v>0</v>
      </c>
      <c r="F179" s="1410" t="str">
        <f t="shared" si="5"/>
        <v>-</v>
      </c>
      <c r="G179" s="34">
        <f>+G180+G181+G182+G183+G184+G185+G186+G187+G188</f>
        <v>0</v>
      </c>
      <c r="H179" s="10">
        <f>+H180+H181+H182+H183+H184+H185+H186+H187+H188</f>
        <v>0</v>
      </c>
      <c r="I179" s="35">
        <f>+I180+I181+I182+I183+I184+I185+I186+I187+I188</f>
        <v>0</v>
      </c>
      <c r="K179" s="4">
        <f>+E179-G179-H179-I179</f>
        <v>0</v>
      </c>
    </row>
    <row r="180" spans="1:11" s="13" customFormat="1">
      <c r="A180" s="86" t="s">
        <v>205</v>
      </c>
      <c r="B180" s="66" t="s">
        <v>170</v>
      </c>
      <c r="C180" s="502"/>
      <c r="D180" s="12"/>
      <c r="E180" s="12"/>
      <c r="F180" s="1412" t="str">
        <f t="shared" si="5"/>
        <v>-</v>
      </c>
      <c r="G180" s="19"/>
      <c r="H180" s="12"/>
      <c r="I180" s="15"/>
      <c r="K180" s="13">
        <f>+E180-G180-H180-I180</f>
        <v>0</v>
      </c>
    </row>
    <row r="181" spans="1:11" s="13" customFormat="1">
      <c r="A181" s="86" t="s">
        <v>206</v>
      </c>
      <c r="B181" s="66" t="s">
        <v>171</v>
      </c>
      <c r="C181" s="502"/>
      <c r="D181" s="12"/>
      <c r="E181" s="12"/>
      <c r="F181" s="1412" t="str">
        <f t="shared" si="5"/>
        <v>-</v>
      </c>
      <c r="G181" s="19"/>
      <c r="H181" s="12"/>
      <c r="I181" s="15"/>
      <c r="K181" s="13">
        <f>+E181-G181-H181-I181</f>
        <v>0</v>
      </c>
    </row>
    <row r="182" spans="1:11" s="13" customFormat="1">
      <c r="A182" s="86" t="s">
        <v>207</v>
      </c>
      <c r="B182" s="66" t="s">
        <v>172</v>
      </c>
      <c r="C182" s="502"/>
      <c r="D182" s="12"/>
      <c r="E182" s="12"/>
      <c r="F182" s="1412" t="str">
        <f t="shared" si="5"/>
        <v>-</v>
      </c>
      <c r="G182" s="19"/>
      <c r="H182" s="12"/>
      <c r="I182" s="15"/>
      <c r="K182" s="13">
        <f>+E182-G182-H182-I182</f>
        <v>0</v>
      </c>
    </row>
    <row r="183" spans="1:11" s="13" customFormat="1">
      <c r="A183" s="86" t="s">
        <v>208</v>
      </c>
      <c r="B183" s="66" t="s">
        <v>173</v>
      </c>
      <c r="C183" s="502"/>
      <c r="D183" s="12"/>
      <c r="E183" s="12"/>
      <c r="F183" s="1412" t="str">
        <f t="shared" si="5"/>
        <v>-</v>
      </c>
      <c r="G183" s="19"/>
      <c r="H183" s="12"/>
      <c r="I183" s="15"/>
      <c r="K183" s="13">
        <f>+E183-G183-H183-I183</f>
        <v>0</v>
      </c>
    </row>
    <row r="184" spans="1:11" s="13" customFormat="1">
      <c r="A184" s="108" t="s">
        <v>209</v>
      </c>
      <c r="B184" s="109" t="s">
        <v>174</v>
      </c>
      <c r="C184" s="502"/>
      <c r="D184" s="12"/>
      <c r="E184" s="744"/>
      <c r="F184" s="1418" t="str">
        <f t="shared" si="5"/>
        <v>-</v>
      </c>
      <c r="G184" s="743"/>
      <c r="H184" s="744"/>
      <c r="I184" s="745"/>
      <c r="K184" s="117">
        <f>+E184-G184-H184-I184</f>
        <v>0</v>
      </c>
    </row>
    <row r="185" spans="1:11" s="13" customFormat="1">
      <c r="A185" s="86" t="s">
        <v>210</v>
      </c>
      <c r="B185" s="66" t="s">
        <v>179</v>
      </c>
      <c r="C185" s="502"/>
      <c r="D185" s="12"/>
      <c r="E185" s="12"/>
      <c r="F185" s="1412" t="str">
        <f t="shared" si="5"/>
        <v>-</v>
      </c>
      <c r="G185" s="743"/>
      <c r="H185" s="744"/>
      <c r="I185" s="745"/>
      <c r="K185" s="13">
        <f>+E185-G185-H185-I185</f>
        <v>0</v>
      </c>
    </row>
    <row r="186" spans="1:11" s="13" customFormat="1">
      <c r="A186" s="86" t="s">
        <v>211</v>
      </c>
      <c r="B186" s="66" t="s">
        <v>175</v>
      </c>
      <c r="C186" s="502"/>
      <c r="D186" s="12"/>
      <c r="E186" s="12"/>
      <c r="F186" s="1412" t="str">
        <f t="shared" si="5"/>
        <v>-</v>
      </c>
      <c r="G186" s="743"/>
      <c r="H186" s="744"/>
      <c r="I186" s="745"/>
      <c r="K186" s="13">
        <f>+E186-G186-H186-I186</f>
        <v>0</v>
      </c>
    </row>
    <row r="187" spans="1:11" s="13" customFormat="1">
      <c r="A187" s="86" t="s">
        <v>212</v>
      </c>
      <c r="B187" s="66" t="s">
        <v>176</v>
      </c>
      <c r="C187" s="502"/>
      <c r="D187" s="12"/>
      <c r="E187" s="12"/>
      <c r="F187" s="1412" t="str">
        <f t="shared" si="5"/>
        <v>-</v>
      </c>
      <c r="G187" s="743"/>
      <c r="H187" s="744"/>
      <c r="I187" s="745"/>
      <c r="K187" s="13">
        <f>+E187-G187-H187-I187</f>
        <v>0</v>
      </c>
    </row>
    <row r="188" spans="1:11" s="13" customFormat="1">
      <c r="A188" s="86" t="s">
        <v>999</v>
      </c>
      <c r="B188" s="66" t="s">
        <v>1001</v>
      </c>
      <c r="C188" s="502"/>
      <c r="D188" s="12"/>
      <c r="E188" s="12"/>
      <c r="F188" s="1412" t="str">
        <f t="shared" si="5"/>
        <v>-</v>
      </c>
      <c r="G188" s="743"/>
      <c r="H188" s="744"/>
      <c r="I188" s="745"/>
      <c r="K188" s="13">
        <f>+E188-G188-H188-I188</f>
        <v>0</v>
      </c>
    </row>
    <row r="189" spans="1:11">
      <c r="A189" s="85" t="s">
        <v>76</v>
      </c>
      <c r="B189" s="67" t="s">
        <v>177</v>
      </c>
      <c r="C189" s="501"/>
      <c r="D189" s="11"/>
      <c r="E189" s="11"/>
      <c r="F189" s="1412" t="str">
        <f t="shared" si="5"/>
        <v>-</v>
      </c>
      <c r="G189" s="987"/>
      <c r="H189" s="988"/>
      <c r="I189" s="989"/>
      <c r="K189" s="4">
        <f>+E189-G189-H189-I189</f>
        <v>0</v>
      </c>
    </row>
    <row r="190" spans="1:11">
      <c r="A190" s="78" t="s">
        <v>77</v>
      </c>
      <c r="B190" s="68" t="s">
        <v>178</v>
      </c>
      <c r="C190" s="500"/>
      <c r="D190" s="22"/>
      <c r="E190" s="22"/>
      <c r="F190" s="1411" t="str">
        <f t="shared" si="5"/>
        <v>-</v>
      </c>
      <c r="G190" s="990"/>
      <c r="H190" s="991"/>
      <c r="I190" s="992"/>
      <c r="K190" s="4">
        <f>+E190-G190-H190-I190</f>
        <v>0</v>
      </c>
    </row>
    <row r="191" spans="1:11" ht="12.75" thickBot="1">
      <c r="A191" s="78" t="s">
        <v>1004</v>
      </c>
      <c r="B191" s="68" t="s">
        <v>1002</v>
      </c>
      <c r="C191" s="500"/>
      <c r="D191" s="22"/>
      <c r="E191" s="17"/>
      <c r="F191" s="1411" t="str">
        <f t="shared" si="5"/>
        <v>-</v>
      </c>
      <c r="G191" s="990"/>
      <c r="H191" s="991"/>
      <c r="I191" s="992"/>
      <c r="K191" s="4">
        <f>+E191-G191-H191-I191</f>
        <v>0</v>
      </c>
    </row>
    <row r="192" spans="1:11" s="3" customFormat="1" ht="12.75" thickBot="1">
      <c r="A192" s="83" t="s">
        <v>44</v>
      </c>
      <c r="B192" s="69" t="s">
        <v>316</v>
      </c>
      <c r="C192" s="1049">
        <f>+C193</f>
        <v>0</v>
      </c>
      <c r="D192" s="28">
        <f>+D193</f>
        <v>0</v>
      </c>
      <c r="E192" s="28">
        <f>+E193</f>
        <v>0</v>
      </c>
      <c r="F192" s="1408" t="str">
        <f t="shared" si="5"/>
        <v>-</v>
      </c>
      <c r="G192" s="110">
        <f>+G193</f>
        <v>0</v>
      </c>
      <c r="H192" s="111">
        <f>+H193</f>
        <v>0</v>
      </c>
      <c r="I192" s="112">
        <f>+I193</f>
        <v>0</v>
      </c>
      <c r="K192" s="3">
        <f>+E192-G192-H192-I192</f>
        <v>0</v>
      </c>
    </row>
    <row r="193" spans="1:11" s="3" customFormat="1" ht="12.75" thickBot="1">
      <c r="A193" s="83" t="s">
        <v>43</v>
      </c>
      <c r="B193" s="64" t="s">
        <v>1000</v>
      </c>
      <c r="C193" s="1049">
        <f>+C194+C204+C205+C206</f>
        <v>0</v>
      </c>
      <c r="D193" s="28">
        <f>+D194+D204+D205+D206</f>
        <v>0</v>
      </c>
      <c r="E193" s="28">
        <f>+E194+E204+E205+E206</f>
        <v>0</v>
      </c>
      <c r="F193" s="1408" t="str">
        <f t="shared" si="5"/>
        <v>-</v>
      </c>
      <c r="G193" s="27">
        <f>+G194+G204+G205+G206</f>
        <v>0</v>
      </c>
      <c r="H193" s="28">
        <f>+H194+H204+H205+H206</f>
        <v>0</v>
      </c>
      <c r="I193" s="29">
        <f>+I194+I204+I205+I206</f>
        <v>0</v>
      </c>
      <c r="K193" s="3">
        <f>+E193-G193-H193-I193</f>
        <v>0</v>
      </c>
    </row>
    <row r="194" spans="1:11">
      <c r="A194" s="84" t="s">
        <v>78</v>
      </c>
      <c r="B194" s="65" t="s">
        <v>1043</v>
      </c>
      <c r="C194" s="1051">
        <f>+C195+C196+C197+C198+C199+C200+C201+C202+C203</f>
        <v>0</v>
      </c>
      <c r="D194" s="10">
        <f>+D195+D196+D197+D198+D199+D200+D201+D202+D203</f>
        <v>0</v>
      </c>
      <c r="E194" s="47">
        <f>+E195+E196+E197+E198+E199+E200+E201+E202+E203</f>
        <v>0</v>
      </c>
      <c r="F194" s="1410" t="str">
        <f t="shared" si="5"/>
        <v>-</v>
      </c>
      <c r="G194" s="34">
        <f>+G195+G196+G197+G198+G199+G200+G201+G202+G203</f>
        <v>0</v>
      </c>
      <c r="H194" s="10">
        <f>+H195+H196+H197+H198+H199+H200+H201+H202+H203</f>
        <v>0</v>
      </c>
      <c r="I194" s="35">
        <f>+I195+I196+I197+I198+I199+I200+I201+I202+I203</f>
        <v>0</v>
      </c>
      <c r="K194" s="4">
        <f>+E194-G194-H194-I194</f>
        <v>0</v>
      </c>
    </row>
    <row r="195" spans="1:11" s="13" customFormat="1">
      <c r="A195" s="86" t="s">
        <v>213</v>
      </c>
      <c r="B195" s="66" t="s">
        <v>170</v>
      </c>
      <c r="C195" s="502"/>
      <c r="D195" s="12"/>
      <c r="E195" s="12"/>
      <c r="F195" s="1412" t="str">
        <f t="shared" si="5"/>
        <v>-</v>
      </c>
      <c r="G195" s="743"/>
      <c r="H195" s="744"/>
      <c r="I195" s="745"/>
      <c r="K195" s="13">
        <f>+E195-G195-H195-I195</f>
        <v>0</v>
      </c>
    </row>
    <row r="196" spans="1:11" s="13" customFormat="1">
      <c r="A196" s="86" t="s">
        <v>214</v>
      </c>
      <c r="B196" s="66" t="s">
        <v>171</v>
      </c>
      <c r="C196" s="502"/>
      <c r="D196" s="12"/>
      <c r="E196" s="12"/>
      <c r="F196" s="1412" t="str">
        <f t="shared" si="5"/>
        <v>-</v>
      </c>
      <c r="G196" s="743"/>
      <c r="H196" s="744"/>
      <c r="I196" s="745"/>
      <c r="K196" s="13">
        <f>+E196-G196-H196-I196</f>
        <v>0</v>
      </c>
    </row>
    <row r="197" spans="1:11" s="13" customFormat="1">
      <c r="A197" s="86" t="s">
        <v>215</v>
      </c>
      <c r="B197" s="66" t="s">
        <v>172</v>
      </c>
      <c r="C197" s="502"/>
      <c r="D197" s="12"/>
      <c r="E197" s="12"/>
      <c r="F197" s="1412" t="str">
        <f t="shared" si="5"/>
        <v>-</v>
      </c>
      <c r="G197" s="743"/>
      <c r="H197" s="744"/>
      <c r="I197" s="745"/>
      <c r="K197" s="13">
        <f>+E197-G197-H197-I197</f>
        <v>0</v>
      </c>
    </row>
    <row r="198" spans="1:11" s="13" customFormat="1">
      <c r="A198" s="86" t="s">
        <v>216</v>
      </c>
      <c r="B198" s="66" t="s">
        <v>173</v>
      </c>
      <c r="C198" s="502"/>
      <c r="D198" s="12"/>
      <c r="E198" s="12"/>
      <c r="F198" s="1412" t="str">
        <f t="shared" si="5"/>
        <v>-</v>
      </c>
      <c r="G198" s="743"/>
      <c r="H198" s="744"/>
      <c r="I198" s="745"/>
      <c r="K198" s="13">
        <f>+E198-G198-H198-I198</f>
        <v>0</v>
      </c>
    </row>
    <row r="199" spans="1:11" s="13" customFormat="1">
      <c r="A199" s="108" t="s">
        <v>217</v>
      </c>
      <c r="B199" s="109" t="s">
        <v>174</v>
      </c>
      <c r="C199" s="502"/>
      <c r="D199" s="12"/>
      <c r="E199" s="744"/>
      <c r="F199" s="1418" t="str">
        <f t="shared" si="5"/>
        <v>-</v>
      </c>
      <c r="G199" s="743"/>
      <c r="H199" s="744"/>
      <c r="I199" s="745"/>
      <c r="K199" s="117">
        <f>+E199-G199-H199-I199</f>
        <v>0</v>
      </c>
    </row>
    <row r="200" spans="1:11" s="13" customFormat="1">
      <c r="A200" s="86" t="s">
        <v>218</v>
      </c>
      <c r="B200" s="66" t="s">
        <v>179</v>
      </c>
      <c r="C200" s="502"/>
      <c r="D200" s="12"/>
      <c r="E200" s="12"/>
      <c r="F200" s="1412" t="str">
        <f t="shared" si="5"/>
        <v>-</v>
      </c>
      <c r="G200" s="743"/>
      <c r="H200" s="744"/>
      <c r="I200" s="745"/>
      <c r="K200" s="13">
        <f>+E200-G200-H200-I200</f>
        <v>0</v>
      </c>
    </row>
    <row r="201" spans="1:11" s="13" customFormat="1">
      <c r="A201" s="86" t="s">
        <v>219</v>
      </c>
      <c r="B201" s="66" t="s">
        <v>175</v>
      </c>
      <c r="C201" s="502"/>
      <c r="D201" s="12"/>
      <c r="E201" s="12"/>
      <c r="F201" s="1412" t="str">
        <f t="shared" si="5"/>
        <v>-</v>
      </c>
      <c r="G201" s="19"/>
      <c r="H201" s="12"/>
      <c r="I201" s="15"/>
      <c r="K201" s="13">
        <f>+E201-G201-H201-I201</f>
        <v>0</v>
      </c>
    </row>
    <row r="202" spans="1:11" s="13" customFormat="1">
      <c r="A202" s="86" t="s">
        <v>220</v>
      </c>
      <c r="B202" s="66" t="s">
        <v>176</v>
      </c>
      <c r="C202" s="502"/>
      <c r="D202" s="12"/>
      <c r="E202" s="12"/>
      <c r="F202" s="1412" t="str">
        <f t="shared" si="5"/>
        <v>-</v>
      </c>
      <c r="G202" s="19"/>
      <c r="H202" s="12"/>
      <c r="I202" s="15"/>
      <c r="K202" s="13">
        <f>+E202-G202-H202-I202</f>
        <v>0</v>
      </c>
    </row>
    <row r="203" spans="1:11" s="13" customFormat="1">
      <c r="A203" s="86" t="s">
        <v>999</v>
      </c>
      <c r="B203" s="66" t="s">
        <v>1001</v>
      </c>
      <c r="C203" s="502"/>
      <c r="D203" s="12"/>
      <c r="E203" s="12"/>
      <c r="F203" s="1412" t="str">
        <f t="shared" si="5"/>
        <v>-</v>
      </c>
      <c r="G203" s="19"/>
      <c r="H203" s="12"/>
      <c r="I203" s="15"/>
      <c r="K203" s="13">
        <f>+E203-G203-H203-I203</f>
        <v>0</v>
      </c>
    </row>
    <row r="204" spans="1:11">
      <c r="A204" s="85" t="s">
        <v>79</v>
      </c>
      <c r="B204" s="67" t="s">
        <v>177</v>
      </c>
      <c r="C204" s="501"/>
      <c r="D204" s="11"/>
      <c r="E204" s="11"/>
      <c r="F204" s="1412" t="str">
        <f t="shared" si="5"/>
        <v>-</v>
      </c>
      <c r="G204" s="20"/>
      <c r="H204" s="11"/>
      <c r="I204" s="16"/>
      <c r="K204" s="4">
        <f>+E204-G204-H204-I204</f>
        <v>0</v>
      </c>
    </row>
    <row r="205" spans="1:11">
      <c r="A205" s="78" t="s">
        <v>221</v>
      </c>
      <c r="B205" s="68" t="s">
        <v>178</v>
      </c>
      <c r="C205" s="500"/>
      <c r="D205" s="22"/>
      <c r="E205" s="22"/>
      <c r="F205" s="1411" t="str">
        <f t="shared" si="5"/>
        <v>-</v>
      </c>
      <c r="G205" s="21"/>
      <c r="H205" s="22"/>
      <c r="I205" s="23"/>
      <c r="K205" s="4">
        <f>+E205-G205-H205-I205</f>
        <v>0</v>
      </c>
    </row>
    <row r="206" spans="1:11" ht="12.75" thickBot="1">
      <c r="A206" s="78" t="s">
        <v>1003</v>
      </c>
      <c r="B206" s="68" t="s">
        <v>1002</v>
      </c>
      <c r="C206" s="500"/>
      <c r="D206" s="22"/>
      <c r="E206" s="17"/>
      <c r="F206" s="1411" t="str">
        <f t="shared" si="5"/>
        <v>-</v>
      </c>
      <c r="G206" s="21"/>
      <c r="H206" s="22"/>
      <c r="I206" s="23"/>
      <c r="K206" s="4">
        <f>+E206-G206-H206-I206</f>
        <v>0</v>
      </c>
    </row>
    <row r="207" spans="1:11" s="3" customFormat="1" ht="12.75" thickBot="1">
      <c r="A207" s="83" t="s">
        <v>40</v>
      </c>
      <c r="B207" s="69" t="s">
        <v>317</v>
      </c>
      <c r="C207" s="1049">
        <f>+C177+C192</f>
        <v>0</v>
      </c>
      <c r="D207" s="28">
        <f>+D177+D192</f>
        <v>0</v>
      </c>
      <c r="E207" s="28">
        <f>+E177+E192</f>
        <v>0</v>
      </c>
      <c r="F207" s="1408" t="str">
        <f t="shared" si="5"/>
        <v>-</v>
      </c>
      <c r="G207" s="27">
        <f>+G177+G192</f>
        <v>0</v>
      </c>
      <c r="H207" s="28">
        <f>+H177+H192</f>
        <v>0</v>
      </c>
      <c r="I207" s="29">
        <f>+I177+I192</f>
        <v>0</v>
      </c>
      <c r="K207" s="3">
        <f>+E207-G207-H207-I207</f>
        <v>0</v>
      </c>
    </row>
    <row r="208" spans="1:11" s="3" customFormat="1" ht="12.75" thickBot="1">
      <c r="A208" s="87" t="s">
        <v>39</v>
      </c>
      <c r="B208" s="71" t="s">
        <v>335</v>
      </c>
      <c r="C208" s="1056">
        <f>+C176+C207</f>
        <v>13240</v>
      </c>
      <c r="D208" s="25">
        <f>+D176+D207</f>
        <v>9589</v>
      </c>
      <c r="E208" s="25">
        <f>+E176+E207</f>
        <v>9589</v>
      </c>
      <c r="F208" s="1414">
        <f t="shared" si="5"/>
        <v>1</v>
      </c>
      <c r="G208" s="24">
        <f>+G176+G207</f>
        <v>0</v>
      </c>
      <c r="H208" s="25">
        <f>+H176+H207</f>
        <v>9589</v>
      </c>
      <c r="I208" s="26">
        <f>+I176+I207</f>
        <v>0</v>
      </c>
      <c r="K208" s="3">
        <f>+E208-G208-H208-I208</f>
        <v>0</v>
      </c>
    </row>
    <row r="211" spans="1:33" s="1" customFormat="1" ht="15.75">
      <c r="A211" s="1217" t="s">
        <v>89</v>
      </c>
      <c r="B211" s="1217"/>
      <c r="C211" s="1217"/>
      <c r="D211" s="1217"/>
      <c r="E211" s="1217"/>
      <c r="F211" s="1217"/>
      <c r="G211" s="1217"/>
      <c r="H211" s="1217"/>
      <c r="I211" s="1217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</row>
    <row r="212" spans="1:33" s="36" customFormat="1" ht="12.75" thickBot="1">
      <c r="A212" s="38" t="s">
        <v>282</v>
      </c>
      <c r="F212" s="1397"/>
      <c r="I212" s="37" t="s">
        <v>281</v>
      </c>
    </row>
    <row r="213" spans="1:33" s="3" customFormat="1" ht="12.75" thickBot="1">
      <c r="A213" s="83" t="s">
        <v>4</v>
      </c>
      <c r="B213" s="69" t="s">
        <v>318</v>
      </c>
      <c r="C213" s="1049">
        <f>+C214+C215</f>
        <v>0</v>
      </c>
      <c r="D213" s="28">
        <f>+D214+D215</f>
        <v>-9589</v>
      </c>
      <c r="E213" s="28">
        <f>+E214+E215</f>
        <v>-9589</v>
      </c>
      <c r="F213" s="1408">
        <f>IF(ISERROR(E213/D213),"-",E213/D213)</f>
        <v>1</v>
      </c>
      <c r="G213" s="27">
        <f>+G214+G215</f>
        <v>0</v>
      </c>
      <c r="H213" s="28">
        <f>+H214+H215</f>
        <v>-9589</v>
      </c>
      <c r="I213" s="29">
        <f>+I214+I215</f>
        <v>0</v>
      </c>
      <c r="K213" s="3">
        <f>+E213-G213-H213-I213</f>
        <v>0</v>
      </c>
    </row>
    <row r="214" spans="1:33">
      <c r="A214" s="84" t="s">
        <v>81</v>
      </c>
      <c r="B214" s="72" t="s">
        <v>319</v>
      </c>
      <c r="C214" s="1051">
        <f>+C10-C109</f>
        <v>0</v>
      </c>
      <c r="D214" s="10">
        <f>+D10-D109</f>
        <v>-9589</v>
      </c>
      <c r="E214" s="10">
        <f>+E10-E109</f>
        <v>-9589</v>
      </c>
      <c r="F214" s="1410">
        <f>IF(ISERROR(E214/D214),"-",E214/D214)</f>
        <v>1</v>
      </c>
      <c r="G214" s="34">
        <f>+G10-G109</f>
        <v>0</v>
      </c>
      <c r="H214" s="10">
        <f>+H10-H109</f>
        <v>-9589</v>
      </c>
      <c r="I214" s="35">
        <f>+I10-I109</f>
        <v>0</v>
      </c>
      <c r="K214" s="4">
        <f>+E214-G214-H214-I214</f>
        <v>0</v>
      </c>
    </row>
    <row r="215" spans="1:33" ht="12.75" thickBot="1">
      <c r="A215" s="88" t="s">
        <v>82</v>
      </c>
      <c r="B215" s="73" t="s">
        <v>320</v>
      </c>
      <c r="C215" s="503">
        <f>+C50-C149</f>
        <v>0</v>
      </c>
      <c r="D215" s="17">
        <f>+D50-D149</f>
        <v>0</v>
      </c>
      <c r="E215" s="17">
        <f>+E50-E149</f>
        <v>0</v>
      </c>
      <c r="F215" s="1416" t="str">
        <f>IF(ISERROR(E215/D215),"-",E215/D215)</f>
        <v>-</v>
      </c>
      <c r="G215" s="40">
        <f>+G50-G149</f>
        <v>0</v>
      </c>
      <c r="H215" s="17">
        <f>+H50-H149</f>
        <v>0</v>
      </c>
      <c r="I215" s="39">
        <f>+I50-I149</f>
        <v>0</v>
      </c>
      <c r="K215" s="4">
        <f>+E215-G215-H215-I215</f>
        <v>0</v>
      </c>
    </row>
    <row r="218" spans="1:33" s="1" customFormat="1" ht="15.75">
      <c r="A218" s="1217" t="s">
        <v>90</v>
      </c>
      <c r="B218" s="1217"/>
      <c r="C218" s="1217"/>
      <c r="D218" s="1217"/>
      <c r="E218" s="1217"/>
      <c r="F218" s="1217"/>
      <c r="G218" s="1217"/>
      <c r="H218" s="1217"/>
      <c r="I218" s="1217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</row>
    <row r="219" spans="1:33" s="36" customFormat="1" ht="12.75" thickBot="1">
      <c r="A219" s="38" t="s">
        <v>283</v>
      </c>
      <c r="F219" s="1397"/>
      <c r="I219" s="37" t="s">
        <v>281</v>
      </c>
    </row>
    <row r="220" spans="1:33" s="3" customFormat="1" ht="12.75" thickBot="1">
      <c r="A220" s="83" t="s">
        <v>4</v>
      </c>
      <c r="B220" s="69" t="s">
        <v>321</v>
      </c>
      <c r="C220" s="1049">
        <f>+C221+C228</f>
        <v>0</v>
      </c>
      <c r="D220" s="28">
        <f>+D221+D228</f>
        <v>9589</v>
      </c>
      <c r="E220" s="28">
        <f>+E221+E228</f>
        <v>9604</v>
      </c>
      <c r="F220" s="1408">
        <f t="shared" ref="F220:F234" si="6">IF(ISERROR(E220/D220),"-",E220/D220)</f>
        <v>1.0015642924183961</v>
      </c>
      <c r="G220" s="27">
        <f>+G221+G228</f>
        <v>0</v>
      </c>
      <c r="H220" s="28">
        <f>+H221+H228</f>
        <v>9604</v>
      </c>
      <c r="I220" s="29">
        <f>+I221+I228</f>
        <v>0</v>
      </c>
      <c r="K220" s="3">
        <f>+E220-G220-H220-I220</f>
        <v>0</v>
      </c>
    </row>
    <row r="221" spans="1:33" s="3" customFormat="1" ht="12.75" thickBot="1">
      <c r="A221" s="83" t="s">
        <v>5</v>
      </c>
      <c r="B221" s="64" t="s">
        <v>322</v>
      </c>
      <c r="C221" s="1049">
        <f>+C222-C225</f>
        <v>0</v>
      </c>
      <c r="D221" s="28">
        <f>+D222-D225</f>
        <v>9589</v>
      </c>
      <c r="E221" s="28">
        <f>+E222-E225</f>
        <v>9604</v>
      </c>
      <c r="F221" s="1408">
        <f t="shared" si="6"/>
        <v>1.0015642924183961</v>
      </c>
      <c r="G221" s="27">
        <f>+G222-G225</f>
        <v>0</v>
      </c>
      <c r="H221" s="28">
        <f>+H222-H225</f>
        <v>9604</v>
      </c>
      <c r="I221" s="29">
        <f>+I222-I225</f>
        <v>0</v>
      </c>
      <c r="K221" s="3">
        <f>+E221-G221-H221-I221</f>
        <v>0</v>
      </c>
    </row>
    <row r="222" spans="1:33">
      <c r="A222" s="84" t="s">
        <v>54</v>
      </c>
      <c r="B222" s="65" t="s">
        <v>323</v>
      </c>
      <c r="C222" s="1051">
        <f>+C223+C224</f>
        <v>0</v>
      </c>
      <c r="D222" s="10">
        <f>+D223+D224</f>
        <v>9589</v>
      </c>
      <c r="E222" s="10">
        <f>+E223+E224</f>
        <v>9604</v>
      </c>
      <c r="F222" s="1410">
        <f t="shared" si="6"/>
        <v>1.0015642924183961</v>
      </c>
      <c r="G222" s="34">
        <f>+G223+G224</f>
        <v>0</v>
      </c>
      <c r="H222" s="10">
        <f>+H223+H224</f>
        <v>9604</v>
      </c>
      <c r="I222" s="35">
        <f>+I223+I224</f>
        <v>0</v>
      </c>
      <c r="K222" s="4">
        <f>+E222-G222-H222-I222</f>
        <v>0</v>
      </c>
    </row>
    <row r="223" spans="1:33" s="13" customFormat="1">
      <c r="A223" s="86" t="s">
        <v>190</v>
      </c>
      <c r="B223" s="66" t="s">
        <v>285</v>
      </c>
      <c r="C223" s="502">
        <f>+C76+C80</f>
        <v>0</v>
      </c>
      <c r="D223" s="12">
        <f>+D76+D80</f>
        <v>12</v>
      </c>
      <c r="E223" s="12">
        <f>+E76+E80</f>
        <v>12</v>
      </c>
      <c r="F223" s="1412">
        <f t="shared" si="6"/>
        <v>1</v>
      </c>
      <c r="G223" s="19">
        <f>+G76+G80</f>
        <v>0</v>
      </c>
      <c r="H223" s="12">
        <f>+H76+H80</f>
        <v>12</v>
      </c>
      <c r="I223" s="15">
        <f>+I76+I80</f>
        <v>0</v>
      </c>
      <c r="K223" s="13">
        <f>+E223-G223-H223-I223</f>
        <v>0</v>
      </c>
    </row>
    <row r="224" spans="1:33" s="13" customFormat="1">
      <c r="A224" s="86" t="s">
        <v>191</v>
      </c>
      <c r="B224" s="66" t="s">
        <v>286</v>
      </c>
      <c r="C224" s="502">
        <f>+C74+C75+C77+C78+C79+C81</f>
        <v>0</v>
      </c>
      <c r="D224" s="12">
        <f>+D74+D75+D77+D78+D79+D81</f>
        <v>9577</v>
      </c>
      <c r="E224" s="12">
        <f>+E74+E75+E77+E78+E79+E81</f>
        <v>9592</v>
      </c>
      <c r="F224" s="1412">
        <f t="shared" si="6"/>
        <v>1.0015662524798998</v>
      </c>
      <c r="G224" s="19">
        <f>+G74+G75+G77+G78+G79+G81</f>
        <v>0</v>
      </c>
      <c r="H224" s="12">
        <f>+H74+H75+H77+H78+H79+H81</f>
        <v>9592</v>
      </c>
      <c r="I224" s="15">
        <f>+I74+I75+I77+I78+I79+I81</f>
        <v>0</v>
      </c>
      <c r="K224" s="13">
        <f>+E224-G224-H224-I224</f>
        <v>0</v>
      </c>
    </row>
    <row r="225" spans="1:33">
      <c r="A225" s="85" t="s">
        <v>55</v>
      </c>
      <c r="B225" s="67" t="s">
        <v>324</v>
      </c>
      <c r="C225" s="501">
        <f>+C227</f>
        <v>0</v>
      </c>
      <c r="D225" s="11">
        <f>+D227</f>
        <v>0</v>
      </c>
      <c r="E225" s="11">
        <f>+E227</f>
        <v>0</v>
      </c>
      <c r="F225" s="1412" t="str">
        <f t="shared" si="6"/>
        <v>-</v>
      </c>
      <c r="G225" s="20">
        <f>+G227</f>
        <v>0</v>
      </c>
      <c r="H225" s="11">
        <f>+H227</f>
        <v>0</v>
      </c>
      <c r="I225" s="16">
        <f>+I227</f>
        <v>0</v>
      </c>
      <c r="K225" s="4">
        <f>+E225-G225-H225-I225</f>
        <v>0</v>
      </c>
    </row>
    <row r="226" spans="1:33" s="13" customFormat="1">
      <c r="A226" s="86" t="s">
        <v>56</v>
      </c>
      <c r="B226" s="66" t="s">
        <v>287</v>
      </c>
      <c r="C226" s="502">
        <f>+C185</f>
        <v>0</v>
      </c>
      <c r="D226" s="12">
        <f>+D185</f>
        <v>0</v>
      </c>
      <c r="E226" s="12">
        <f>+E185</f>
        <v>0</v>
      </c>
      <c r="F226" s="1412" t="str">
        <f t="shared" si="6"/>
        <v>-</v>
      </c>
      <c r="G226" s="19">
        <f>+G185</f>
        <v>0</v>
      </c>
      <c r="H226" s="12">
        <f>+H185</f>
        <v>0</v>
      </c>
      <c r="I226" s="15">
        <f>+I185</f>
        <v>0</v>
      </c>
      <c r="K226" s="13">
        <f>+E226-G226-H226-I226</f>
        <v>0</v>
      </c>
    </row>
    <row r="227" spans="1:33" s="13" customFormat="1" ht="12.75" thickBot="1">
      <c r="A227" s="89" t="s">
        <v>57</v>
      </c>
      <c r="B227" s="74" t="s">
        <v>288</v>
      </c>
      <c r="C227" s="1050">
        <f>+C180+C181+C182+C183+C184+C186+C187</f>
        <v>0</v>
      </c>
      <c r="D227" s="43">
        <f>+D180+D181+D182+D183+D184+D186+D187</f>
        <v>0</v>
      </c>
      <c r="E227" s="43">
        <f>+E180+E181+E182+E183+E184+E186+E187</f>
        <v>0</v>
      </c>
      <c r="F227" s="1411" t="str">
        <f t="shared" si="6"/>
        <v>-</v>
      </c>
      <c r="G227" s="45">
        <f>+G180+G181+G182+G183+G184+G186+G187</f>
        <v>0</v>
      </c>
      <c r="H227" s="43">
        <f>+H180+H181+H182+H183+H184+H186+H187</f>
        <v>0</v>
      </c>
      <c r="I227" s="44">
        <f>+I180+I181+I182+I183+I184+I186+I187</f>
        <v>0</v>
      </c>
      <c r="K227" s="13">
        <f>+E227-G227-H227-I227</f>
        <v>0</v>
      </c>
    </row>
    <row r="228" spans="1:33" s="3" customFormat="1" ht="12.75" thickBot="1">
      <c r="A228" s="83" t="s">
        <v>6</v>
      </c>
      <c r="B228" s="64" t="s">
        <v>325</v>
      </c>
      <c r="C228" s="1049">
        <f>+C229-C232</f>
        <v>0</v>
      </c>
      <c r="D228" s="28">
        <f>+D229-D232</f>
        <v>0</v>
      </c>
      <c r="E228" s="28">
        <f>+E229-E232</f>
        <v>0</v>
      </c>
      <c r="F228" s="1408" t="str">
        <f t="shared" si="6"/>
        <v>-</v>
      </c>
      <c r="G228" s="27">
        <f>+G229-G232</f>
        <v>0</v>
      </c>
      <c r="H228" s="28">
        <f>+H229-H232</f>
        <v>0</v>
      </c>
      <c r="I228" s="29">
        <f>+I229-I232</f>
        <v>0</v>
      </c>
      <c r="K228" s="3">
        <f>+E228-G228-H228-I228</f>
        <v>0</v>
      </c>
    </row>
    <row r="229" spans="1:33">
      <c r="A229" s="84" t="s">
        <v>58</v>
      </c>
      <c r="B229" s="65" t="s">
        <v>326</v>
      </c>
      <c r="C229" s="1051">
        <f>+C230+C231</f>
        <v>0</v>
      </c>
      <c r="D229" s="10">
        <f>+D230+D231</f>
        <v>0</v>
      </c>
      <c r="E229" s="10">
        <f>+E230+E231</f>
        <v>0</v>
      </c>
      <c r="F229" s="1410" t="str">
        <f t="shared" si="6"/>
        <v>-</v>
      </c>
      <c r="G229" s="34">
        <f>+G230+G231</f>
        <v>0</v>
      </c>
      <c r="H229" s="10">
        <f>+H230+H231</f>
        <v>0</v>
      </c>
      <c r="I229" s="35">
        <f>+I230+I231</f>
        <v>0</v>
      </c>
      <c r="K229" s="4">
        <f>+E229-G229-H229-I229</f>
        <v>0</v>
      </c>
    </row>
    <row r="230" spans="1:33" s="13" customFormat="1">
      <c r="A230" s="86" t="s">
        <v>293</v>
      </c>
      <c r="B230" s="66" t="s">
        <v>291</v>
      </c>
      <c r="C230" s="502">
        <f>+C91+C95</f>
        <v>0</v>
      </c>
      <c r="D230" s="12">
        <f>+D91+D95</f>
        <v>0</v>
      </c>
      <c r="E230" s="12">
        <f>+E91+E95</f>
        <v>0</v>
      </c>
      <c r="F230" s="1412" t="str">
        <f t="shared" si="6"/>
        <v>-</v>
      </c>
      <c r="G230" s="19">
        <f>+G91+G95</f>
        <v>0</v>
      </c>
      <c r="H230" s="12">
        <f>+H91+H95</f>
        <v>0</v>
      </c>
      <c r="I230" s="15">
        <f>+I91+I95</f>
        <v>0</v>
      </c>
      <c r="K230" s="13">
        <f>+E230-G230-H230-I230</f>
        <v>0</v>
      </c>
    </row>
    <row r="231" spans="1:33" s="13" customFormat="1">
      <c r="A231" s="86" t="s">
        <v>294</v>
      </c>
      <c r="B231" s="66" t="s">
        <v>292</v>
      </c>
      <c r="C231" s="502">
        <f>+C89+C90+C92+C93+C94+C96</f>
        <v>0</v>
      </c>
      <c r="D231" s="12">
        <f>+D89+D90+D92+D93+D94+D96</f>
        <v>0</v>
      </c>
      <c r="E231" s="12">
        <f>+E89+E90+E92+E93+E94+E96</f>
        <v>0</v>
      </c>
      <c r="F231" s="1412" t="str">
        <f t="shared" si="6"/>
        <v>-</v>
      </c>
      <c r="G231" s="19">
        <f>+G89+G90+G92+G93+G94+G96</f>
        <v>0</v>
      </c>
      <c r="H231" s="12">
        <f>+H89+H90+H92+H93+H94+H96</f>
        <v>0</v>
      </c>
      <c r="I231" s="15">
        <f>+I89+I90+I92+I93+I94+I96</f>
        <v>0</v>
      </c>
      <c r="K231" s="13">
        <f>+E231-G231-H231-I231</f>
        <v>0</v>
      </c>
    </row>
    <row r="232" spans="1:33">
      <c r="A232" s="85" t="s">
        <v>59</v>
      </c>
      <c r="B232" s="67" t="s">
        <v>327</v>
      </c>
      <c r="C232" s="501">
        <f>+C233+C234</f>
        <v>0</v>
      </c>
      <c r="D232" s="11">
        <f>+D233+D234</f>
        <v>0</v>
      </c>
      <c r="E232" s="11">
        <f>+E233+E234</f>
        <v>0</v>
      </c>
      <c r="F232" s="1412" t="str">
        <f t="shared" si="6"/>
        <v>-</v>
      </c>
      <c r="G232" s="20">
        <f>+G233+G234</f>
        <v>0</v>
      </c>
      <c r="H232" s="11">
        <f>+H233+H234</f>
        <v>0</v>
      </c>
      <c r="I232" s="16">
        <f>+I233+I234</f>
        <v>0</v>
      </c>
      <c r="K232" s="4">
        <f>+E232-G232-H232-I232</f>
        <v>0</v>
      </c>
    </row>
    <row r="233" spans="1:33" s="13" customFormat="1">
      <c r="A233" s="86" t="s">
        <v>295</v>
      </c>
      <c r="B233" s="66" t="s">
        <v>289</v>
      </c>
      <c r="C233" s="502">
        <f>+C200</f>
        <v>0</v>
      </c>
      <c r="D233" s="12">
        <f>+D200</f>
        <v>0</v>
      </c>
      <c r="E233" s="12">
        <f>+E200</f>
        <v>0</v>
      </c>
      <c r="F233" s="1412" t="str">
        <f t="shared" si="6"/>
        <v>-</v>
      </c>
      <c r="G233" s="19">
        <f>+G200</f>
        <v>0</v>
      </c>
      <c r="H233" s="12">
        <f>+H200</f>
        <v>0</v>
      </c>
      <c r="I233" s="15">
        <f>+I200</f>
        <v>0</v>
      </c>
      <c r="K233" s="13">
        <f>+E233-G233-H233-I233</f>
        <v>0</v>
      </c>
    </row>
    <row r="234" spans="1:33" s="13" customFormat="1" ht="12.75" thickBot="1">
      <c r="A234" s="90" t="s">
        <v>296</v>
      </c>
      <c r="B234" s="75" t="s">
        <v>290</v>
      </c>
      <c r="C234" s="1059">
        <f>+C195+C196+C197+C198+C199+C201+C202</f>
        <v>0</v>
      </c>
      <c r="D234" s="41">
        <f>+D195+D196+D197+D198+D199+D201+D202</f>
        <v>0</v>
      </c>
      <c r="E234" s="41">
        <f>+E195+E196+E197+E198+E199+E201+E202</f>
        <v>0</v>
      </c>
      <c r="F234" s="1416" t="str">
        <f t="shared" si="6"/>
        <v>-</v>
      </c>
      <c r="G234" s="46">
        <f>+G195+G196+G197+G198+G199+G201+G202</f>
        <v>0</v>
      </c>
      <c r="H234" s="41">
        <f>+H195+H196+H197+H198+H199+H201+H202</f>
        <v>0</v>
      </c>
      <c r="I234" s="42">
        <f>+I195+I196+I197+I198+I199+I201+I202</f>
        <v>0</v>
      </c>
      <c r="K234" s="13">
        <f>+E234-G234-H234-I234</f>
        <v>0</v>
      </c>
    </row>
    <row r="237" spans="1:33" s="1" customFormat="1" ht="15.75">
      <c r="A237" s="1217" t="s">
        <v>1323</v>
      </c>
      <c r="B237" s="1217"/>
      <c r="C237" s="1217"/>
      <c r="D237" s="1217"/>
      <c r="E237" s="1217"/>
      <c r="F237" s="1217"/>
      <c r="G237" s="1217"/>
      <c r="H237" s="1217"/>
      <c r="I237" s="1217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</row>
    <row r="238" spans="1:33" s="36" customFormat="1" ht="12.75" thickBot="1">
      <c r="A238" s="38" t="s">
        <v>284</v>
      </c>
      <c r="F238" s="1397"/>
      <c r="I238" s="37"/>
    </row>
    <row r="239" spans="1:33" s="3" customFormat="1">
      <c r="A239" s="91" t="s">
        <v>4</v>
      </c>
      <c r="B239" s="76" t="s">
        <v>91</v>
      </c>
      <c r="C239" s="1060">
        <v>3</v>
      </c>
      <c r="D239" s="55">
        <v>3</v>
      </c>
      <c r="E239" s="55">
        <v>3</v>
      </c>
      <c r="F239" s="1409">
        <f>IF(ISERROR(E239/D239),"-",E239/D239)</f>
        <v>1</v>
      </c>
      <c r="G239" s="54"/>
      <c r="H239" s="55">
        <v>3</v>
      </c>
      <c r="I239" s="56"/>
      <c r="K239" s="3">
        <f>+E239-G239-H239-I239</f>
        <v>0</v>
      </c>
    </row>
    <row r="240" spans="1:33" s="13" customFormat="1">
      <c r="A240" s="89" t="s">
        <v>351</v>
      </c>
      <c r="B240" s="99" t="s">
        <v>352</v>
      </c>
      <c r="C240" s="1061"/>
      <c r="D240" s="101"/>
      <c r="E240" s="101"/>
      <c r="F240" s="1411" t="str">
        <f>IF(ISERROR(E240/D240),"-",E240/D240)</f>
        <v>-</v>
      </c>
      <c r="G240" s="100"/>
      <c r="H240" s="101"/>
      <c r="I240" s="102"/>
      <c r="K240" s="13">
        <f>+E240-G240-H240-I240</f>
        <v>0</v>
      </c>
    </row>
    <row r="241" spans="1:11" s="3" customFormat="1" ht="12.75" thickBot="1">
      <c r="A241" s="92" t="s">
        <v>5</v>
      </c>
      <c r="B241" s="77" t="s">
        <v>92</v>
      </c>
      <c r="C241" s="1062"/>
      <c r="D241" s="58"/>
      <c r="E241" s="58"/>
      <c r="F241" s="1417" t="str">
        <f>IF(ISERROR(E241/D241),"-",E241/D241)</f>
        <v>-</v>
      </c>
      <c r="G241" s="57"/>
      <c r="H241" s="58"/>
      <c r="I241" s="59"/>
      <c r="K241" s="3">
        <f>+E241-G241-H241-I241</f>
        <v>0</v>
      </c>
    </row>
    <row r="242" spans="1:11" s="3" customFormat="1" ht="12.75" thickBot="1">
      <c r="A242" s="83" t="s">
        <v>6</v>
      </c>
      <c r="B242" s="69" t="s">
        <v>330</v>
      </c>
      <c r="C242" s="1063">
        <f>+C239+C241</f>
        <v>3</v>
      </c>
      <c r="D242" s="61">
        <f>+D239+D241</f>
        <v>3</v>
      </c>
      <c r="E242" s="61">
        <f>+E239+E241</f>
        <v>3</v>
      </c>
      <c r="F242" s="1408">
        <f>IF(ISERROR(E242/D242),"-",E242/D242)</f>
        <v>1</v>
      </c>
      <c r="G242" s="60">
        <f>+G239+G241</f>
        <v>0</v>
      </c>
      <c r="H242" s="61">
        <f>+H239+H241</f>
        <v>3</v>
      </c>
      <c r="I242" s="62">
        <f>+I239+I241</f>
        <v>0</v>
      </c>
      <c r="K242" s="3">
        <f>+E242-G242-H242-I242</f>
        <v>0</v>
      </c>
    </row>
  </sheetData>
  <mergeCells count="9">
    <mergeCell ref="A218:I218"/>
    <mergeCell ref="A237:I237"/>
    <mergeCell ref="C9:I9"/>
    <mergeCell ref="C108:I108"/>
    <mergeCell ref="A3:I3"/>
    <mergeCell ref="A4:I4"/>
    <mergeCell ref="A6:I6"/>
    <mergeCell ref="A105:I105"/>
    <mergeCell ref="A211:I211"/>
  </mergeCells>
  <conditionalFormatting sqref="F26:F31 F89:F100 F65:F69 F59:F63 F52:F57 F45:F49 F33:F43 F13:F24 F195:F206 F180:F191 F166:F175 F151:F158 F147:F148 F133:F145 F124:F131 F117:F122 F111:F115 F160:F164 F74:F85">
    <cfRule type="cellIs" dxfId="7" priority="2" stopIfTrue="1" operator="equal">
      <formula>0</formula>
    </cfRule>
  </conditionalFormatting>
  <conditionalFormatting sqref="F65:F69 F59:F63 F52:F57 F45:F49 F33:F43 F13:F24 F195:F206 F180:F191 F166:F175 F160:F164 F151:F158 F147:F148 F133:F145 F124:F131 F117:F122 F111:F115 F26:F31 F89:F100 F74:F85">
    <cfRule type="cellIs" dxfId="6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44" fitToHeight="2" orientation="portrait" r:id="rId1"/>
  <headerFooter>
    <oddHeader>&amp;C 1.5. melléklet - &amp;P. oldal</oddHeader>
  </headerFooter>
  <rowBreaks count="1" manualBreakCount="1">
    <brk id="104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 codeName="Munka3">
    <tabColor rgb="FF00B0F0"/>
  </sheetPr>
  <dimension ref="A1:AG242"/>
  <sheetViews>
    <sheetView zoomScaleNormal="100" workbookViewId="0"/>
  </sheetViews>
  <sheetFormatPr defaultRowHeight="12"/>
  <cols>
    <col min="1" max="1" width="6.5703125" style="4" customWidth="1"/>
    <col min="2" max="2" width="109.5703125" style="4" bestFit="1" customWidth="1"/>
    <col min="3" max="5" width="9.28515625" style="4" customWidth="1"/>
    <col min="6" max="6" width="9.28515625" style="1415" customWidth="1"/>
    <col min="7" max="9" width="9.28515625" style="4" customWidth="1"/>
    <col min="10" max="10" width="9.140625" style="4" customWidth="1"/>
    <col min="11" max="11" width="9.140625" style="4" hidden="1" customWidth="1"/>
    <col min="12" max="16384" width="9.140625" style="4"/>
  </cols>
  <sheetData>
    <row r="1" spans="1:11" s="50" customFormat="1" ht="15.75">
      <c r="F1" s="1396"/>
      <c r="I1" s="51" t="s">
        <v>1169</v>
      </c>
    </row>
    <row r="2" spans="1:11" s="50" customFormat="1" ht="15.75">
      <c r="F2" s="1396"/>
    </row>
    <row r="3" spans="1:11" s="52" customFormat="1" ht="15.75">
      <c r="A3" s="1216" t="s">
        <v>1168</v>
      </c>
      <c r="B3" s="1216"/>
      <c r="C3" s="1216"/>
      <c r="D3" s="1216"/>
      <c r="E3" s="1216"/>
      <c r="F3" s="1216"/>
      <c r="G3" s="1216"/>
      <c r="H3" s="1216"/>
      <c r="I3" s="1216"/>
    </row>
    <row r="4" spans="1:11" s="52" customFormat="1" ht="15.75">
      <c r="A4" s="1216" t="s">
        <v>1324</v>
      </c>
      <c r="B4" s="1216"/>
      <c r="C4" s="1216"/>
      <c r="D4" s="1216"/>
      <c r="E4" s="1216"/>
      <c r="F4" s="1216"/>
      <c r="G4" s="1216"/>
      <c r="H4" s="1216"/>
      <c r="I4" s="1216"/>
    </row>
    <row r="5" spans="1:11" s="50" customFormat="1" ht="15.75">
      <c r="F5" s="1396"/>
    </row>
    <row r="6" spans="1:11" s="52" customFormat="1" ht="15.75">
      <c r="A6" s="1216" t="s">
        <v>48</v>
      </c>
      <c r="B6" s="1216"/>
      <c r="C6" s="1216"/>
      <c r="D6" s="1216"/>
      <c r="E6" s="1216"/>
      <c r="F6" s="1216"/>
      <c r="G6" s="1216"/>
      <c r="H6" s="1216"/>
      <c r="I6" s="1216"/>
    </row>
    <row r="7" spans="1:11" s="36" customFormat="1" ht="12.75" thickBot="1">
      <c r="A7" s="38" t="s">
        <v>280</v>
      </c>
      <c r="F7" s="1397"/>
      <c r="I7" s="37" t="s">
        <v>281</v>
      </c>
    </row>
    <row r="8" spans="1:11" s="8" customFormat="1" ht="54" customHeight="1" thickBot="1">
      <c r="A8" s="79" t="s">
        <v>17</v>
      </c>
      <c r="B8" s="93" t="s">
        <v>328</v>
      </c>
      <c r="C8" s="1057" t="s">
        <v>1474</v>
      </c>
      <c r="D8" s="6" t="s">
        <v>1475</v>
      </c>
      <c r="E8" s="6" t="s">
        <v>1529</v>
      </c>
      <c r="F8" s="1398" t="s">
        <v>1527</v>
      </c>
      <c r="G8" s="5" t="s">
        <v>51</v>
      </c>
      <c r="H8" s="6" t="s">
        <v>52</v>
      </c>
      <c r="I8" s="7" t="s">
        <v>53</v>
      </c>
    </row>
    <row r="9" spans="1:11" s="3" customFormat="1" ht="12.75" thickBot="1">
      <c r="A9" s="83" t="s">
        <v>253</v>
      </c>
      <c r="B9" s="94" t="s">
        <v>254</v>
      </c>
      <c r="C9" s="1218" t="s">
        <v>255</v>
      </c>
      <c r="D9" s="1218"/>
      <c r="E9" s="1218"/>
      <c r="F9" s="1218"/>
      <c r="G9" s="1219"/>
      <c r="H9" s="1219"/>
      <c r="I9" s="1220"/>
    </row>
    <row r="10" spans="1:11" s="3" customFormat="1" ht="12.75" thickBot="1">
      <c r="A10" s="95" t="s">
        <v>4</v>
      </c>
      <c r="B10" s="63" t="s">
        <v>297</v>
      </c>
      <c r="C10" s="1048">
        <f>+C11+C25+C32+C44</f>
        <v>0</v>
      </c>
      <c r="D10" s="134">
        <f>+D11+D25+D32+D44</f>
        <v>79</v>
      </c>
      <c r="E10" s="134">
        <f>+E11+E25+E32+E44</f>
        <v>79</v>
      </c>
      <c r="F10" s="1399">
        <f t="shared" ref="F10:F73" si="0">IF(ISERROR(E10/D10),"-",E10/D10)</f>
        <v>1</v>
      </c>
      <c r="G10" s="31">
        <f>+G11+G25+G32+G44</f>
        <v>79</v>
      </c>
      <c r="H10" s="32">
        <f>+H11+H25+H32+H44</f>
        <v>0</v>
      </c>
      <c r="I10" s="33">
        <f>+I11+I25+I32+I44</f>
        <v>0</v>
      </c>
      <c r="K10" s="3">
        <f>+E10-G10-H10-I10</f>
        <v>0</v>
      </c>
    </row>
    <row r="11" spans="1:11" s="3" customFormat="1" ht="12.75" customHeight="1" thickBot="1">
      <c r="A11" s="83" t="s">
        <v>5</v>
      </c>
      <c r="B11" s="64" t="s">
        <v>298</v>
      </c>
      <c r="C11" s="1049">
        <f>+C12+C19+C20+C21+C22+C23</f>
        <v>0</v>
      </c>
      <c r="D11" s="28">
        <f>+D12+D19+D20+D21+D22+D23</f>
        <v>0</v>
      </c>
      <c r="E11" s="28">
        <f>+E12+E19+E20+E21+E22+E23</f>
        <v>0</v>
      </c>
      <c r="F11" s="1400" t="str">
        <f t="shared" si="0"/>
        <v>-</v>
      </c>
      <c r="G11" s="27">
        <f>+G12+G19+G20+G21+G22+G23</f>
        <v>0</v>
      </c>
      <c r="H11" s="28">
        <f>+H12+H19+H20+H21+H22+H23</f>
        <v>0</v>
      </c>
      <c r="I11" s="29">
        <f>+I12+I19+I20+I21+I22+I23</f>
        <v>0</v>
      </c>
      <c r="K11" s="3">
        <f>+E11-G11-H11-I11</f>
        <v>0</v>
      </c>
    </row>
    <row r="12" spans="1:11" s="3" customFormat="1">
      <c r="A12" s="84" t="s">
        <v>54</v>
      </c>
      <c r="B12" s="65" t="s">
        <v>299</v>
      </c>
      <c r="C12" s="1051">
        <f>+C13+C14+C15+C16+C17+C18</f>
        <v>0</v>
      </c>
      <c r="D12" s="10">
        <f>+D13+D14+D15+D16+D17+D18</f>
        <v>0</v>
      </c>
      <c r="E12" s="9">
        <f>+E13+E14+E15+E16+E17+E18</f>
        <v>0</v>
      </c>
      <c r="F12" s="1401" t="str">
        <f t="shared" si="0"/>
        <v>-</v>
      </c>
      <c r="G12" s="18">
        <f>+G13+G14+G15+G16+G17+G18</f>
        <v>0</v>
      </c>
      <c r="H12" s="9">
        <f>+H13+H14+H15+H16+H17+H18</f>
        <v>0</v>
      </c>
      <c r="I12" s="14">
        <f>+I13+I14+I15+I16+I17+I18</f>
        <v>0</v>
      </c>
      <c r="K12" s="4">
        <f>+E12-G12-H12-I12</f>
        <v>0</v>
      </c>
    </row>
    <row r="13" spans="1:11" s="13" customFormat="1">
      <c r="A13" s="86" t="s">
        <v>190</v>
      </c>
      <c r="B13" s="66" t="s">
        <v>93</v>
      </c>
      <c r="C13" s="502"/>
      <c r="D13" s="12"/>
      <c r="E13" s="12"/>
      <c r="F13" s="1402" t="str">
        <f t="shared" si="0"/>
        <v>-</v>
      </c>
      <c r="G13" s="19"/>
      <c r="H13" s="12"/>
      <c r="I13" s="15"/>
      <c r="K13" s="13">
        <f>+E13-G13-H13-I13</f>
        <v>0</v>
      </c>
    </row>
    <row r="14" spans="1:11" s="13" customFormat="1">
      <c r="A14" s="86" t="s">
        <v>191</v>
      </c>
      <c r="B14" s="66" t="s">
        <v>94</v>
      </c>
      <c r="C14" s="502"/>
      <c r="D14" s="12"/>
      <c r="E14" s="12"/>
      <c r="F14" s="1402" t="str">
        <f t="shared" si="0"/>
        <v>-</v>
      </c>
      <c r="G14" s="19"/>
      <c r="H14" s="12"/>
      <c r="I14" s="15"/>
      <c r="K14" s="13">
        <f>+E14-G14-H14-I14</f>
        <v>0</v>
      </c>
    </row>
    <row r="15" spans="1:11" s="13" customFormat="1">
      <c r="A15" s="86" t="s">
        <v>192</v>
      </c>
      <c r="B15" s="66" t="s">
        <v>95</v>
      </c>
      <c r="C15" s="502"/>
      <c r="D15" s="12"/>
      <c r="E15" s="12"/>
      <c r="F15" s="1402" t="str">
        <f t="shared" si="0"/>
        <v>-</v>
      </c>
      <c r="G15" s="19"/>
      <c r="H15" s="12"/>
      <c r="I15" s="15"/>
      <c r="K15" s="13">
        <f>+E15-G15-H15-I15</f>
        <v>0</v>
      </c>
    </row>
    <row r="16" spans="1:11" s="13" customFormat="1">
      <c r="A16" s="86" t="s">
        <v>193</v>
      </c>
      <c r="B16" s="66" t="s">
        <v>96</v>
      </c>
      <c r="C16" s="502"/>
      <c r="D16" s="12"/>
      <c r="E16" s="12"/>
      <c r="F16" s="1402" t="str">
        <f t="shared" si="0"/>
        <v>-</v>
      </c>
      <c r="G16" s="19"/>
      <c r="H16" s="12"/>
      <c r="I16" s="15"/>
      <c r="K16" s="13">
        <f>+E16-G16-H16-I16</f>
        <v>0</v>
      </c>
    </row>
    <row r="17" spans="1:11" s="13" customFormat="1">
      <c r="A17" s="86" t="s">
        <v>194</v>
      </c>
      <c r="B17" s="66" t="s">
        <v>959</v>
      </c>
      <c r="C17" s="502"/>
      <c r="D17" s="12"/>
      <c r="E17" s="12"/>
      <c r="F17" s="1403" t="str">
        <f t="shared" si="0"/>
        <v>-</v>
      </c>
      <c r="G17" s="19"/>
      <c r="H17" s="12"/>
      <c r="I17" s="15"/>
      <c r="K17" s="13">
        <f>+E17-G17-H17-I17</f>
        <v>0</v>
      </c>
    </row>
    <row r="18" spans="1:11" s="13" customFormat="1">
      <c r="A18" s="86" t="s">
        <v>195</v>
      </c>
      <c r="B18" s="66" t="s">
        <v>960</v>
      </c>
      <c r="C18" s="502"/>
      <c r="D18" s="12"/>
      <c r="E18" s="12"/>
      <c r="F18" s="1403" t="str">
        <f t="shared" si="0"/>
        <v>-</v>
      </c>
      <c r="G18" s="19"/>
      <c r="H18" s="12"/>
      <c r="I18" s="15"/>
      <c r="K18" s="13">
        <f>+E18-G18-H18-I18</f>
        <v>0</v>
      </c>
    </row>
    <row r="19" spans="1:11">
      <c r="A19" s="85" t="s">
        <v>55</v>
      </c>
      <c r="B19" s="67" t="s">
        <v>97</v>
      </c>
      <c r="C19" s="501"/>
      <c r="D19" s="11"/>
      <c r="E19" s="11"/>
      <c r="F19" s="1402" t="str">
        <f t="shared" si="0"/>
        <v>-</v>
      </c>
      <c r="G19" s="20"/>
      <c r="H19" s="11"/>
      <c r="I19" s="16"/>
      <c r="K19" s="4">
        <f>+E19-G19-H19-I19</f>
        <v>0</v>
      </c>
    </row>
    <row r="20" spans="1:11">
      <c r="A20" s="85" t="s">
        <v>83</v>
      </c>
      <c r="B20" s="67" t="s">
        <v>98</v>
      </c>
      <c r="C20" s="501"/>
      <c r="D20" s="11"/>
      <c r="E20" s="11"/>
      <c r="F20" s="1402" t="str">
        <f t="shared" si="0"/>
        <v>-</v>
      </c>
      <c r="G20" s="20"/>
      <c r="H20" s="11"/>
      <c r="I20" s="16"/>
      <c r="K20" s="4">
        <f>+E20-G20-H20-I20</f>
        <v>0</v>
      </c>
    </row>
    <row r="21" spans="1:11">
      <c r="A21" s="85" t="s">
        <v>84</v>
      </c>
      <c r="B21" s="67" t="s">
        <v>99</v>
      </c>
      <c r="C21" s="501"/>
      <c r="D21" s="11"/>
      <c r="E21" s="11"/>
      <c r="F21" s="1402" t="str">
        <f t="shared" si="0"/>
        <v>-</v>
      </c>
      <c r="G21" s="20"/>
      <c r="H21" s="11"/>
      <c r="I21" s="16"/>
      <c r="K21" s="4">
        <f>+E21-G21-H21-I21</f>
        <v>0</v>
      </c>
    </row>
    <row r="22" spans="1:11">
      <c r="A22" s="85" t="s">
        <v>85</v>
      </c>
      <c r="B22" s="67" t="s">
        <v>100</v>
      </c>
      <c r="C22" s="501"/>
      <c r="D22" s="11"/>
      <c r="E22" s="11"/>
      <c r="F22" s="1402" t="str">
        <f t="shared" si="0"/>
        <v>-</v>
      </c>
      <c r="G22" s="20"/>
      <c r="H22" s="11"/>
      <c r="I22" s="16"/>
      <c r="K22" s="4">
        <f>+E22-G22-H22-I22</f>
        <v>0</v>
      </c>
    </row>
    <row r="23" spans="1:11">
      <c r="A23" s="78" t="s">
        <v>86</v>
      </c>
      <c r="B23" s="68" t="s">
        <v>101</v>
      </c>
      <c r="C23" s="500"/>
      <c r="D23" s="22"/>
      <c r="E23" s="22"/>
      <c r="F23" s="1404" t="str">
        <f t="shared" si="0"/>
        <v>-</v>
      </c>
      <c r="G23" s="21"/>
      <c r="H23" s="22"/>
      <c r="I23" s="23"/>
      <c r="K23" s="4">
        <f>+E23-G23-H23-I23</f>
        <v>0</v>
      </c>
    </row>
    <row r="24" spans="1:11" s="13" customFormat="1" ht="12.75" thickBot="1">
      <c r="A24" s="89" t="s">
        <v>332</v>
      </c>
      <c r="B24" s="818" t="s">
        <v>333</v>
      </c>
      <c r="C24" s="1050"/>
      <c r="D24" s="43"/>
      <c r="E24" s="43"/>
      <c r="F24" s="1404" t="str">
        <f t="shared" si="0"/>
        <v>-</v>
      </c>
      <c r="G24" s="45"/>
      <c r="H24" s="43"/>
      <c r="I24" s="44"/>
      <c r="K24" s="13">
        <f>+E24-G24-H24-I24</f>
        <v>0</v>
      </c>
    </row>
    <row r="25" spans="1:11" s="3" customFormat="1" ht="12.75" customHeight="1" thickBot="1">
      <c r="A25" s="83" t="s">
        <v>6</v>
      </c>
      <c r="B25" s="64" t="s">
        <v>835</v>
      </c>
      <c r="C25" s="1049">
        <f>+C26+C27+C28+C29+C30+C31</f>
        <v>0</v>
      </c>
      <c r="D25" s="28">
        <f>+D26+D27+D28+D29+D30+D31</f>
        <v>0</v>
      </c>
      <c r="E25" s="28">
        <f>+E26+E27+E28+E29+E30+E31</f>
        <v>0</v>
      </c>
      <c r="F25" s="1400" t="str">
        <f t="shared" si="0"/>
        <v>-</v>
      </c>
      <c r="G25" s="27">
        <f>+G26+G27+G28+G29+G30+G31</f>
        <v>0</v>
      </c>
      <c r="H25" s="28">
        <f>+H26+H27+H28+H29+H30+H31</f>
        <v>0</v>
      </c>
      <c r="I25" s="29">
        <f>+I26+I27+I28+I29+I30+I31</f>
        <v>0</v>
      </c>
      <c r="K25" s="3">
        <f>+E25-G25-H25-I25</f>
        <v>0</v>
      </c>
    </row>
    <row r="26" spans="1:11" ht="12.75" customHeight="1">
      <c r="A26" s="84" t="s">
        <v>58</v>
      </c>
      <c r="B26" s="65" t="s">
        <v>102</v>
      </c>
      <c r="C26" s="1051"/>
      <c r="D26" s="10"/>
      <c r="E26" s="10"/>
      <c r="F26" s="1401" t="str">
        <f t="shared" si="0"/>
        <v>-</v>
      </c>
      <c r="G26" s="34"/>
      <c r="H26" s="10"/>
      <c r="I26" s="35"/>
      <c r="K26" s="4">
        <f>+E26-G26-H26-I26</f>
        <v>0</v>
      </c>
    </row>
    <row r="27" spans="1:11" ht="12.75" customHeight="1">
      <c r="A27" s="85" t="s">
        <v>59</v>
      </c>
      <c r="B27" s="67" t="s">
        <v>103</v>
      </c>
      <c r="C27" s="501"/>
      <c r="D27" s="11"/>
      <c r="E27" s="11"/>
      <c r="F27" s="1402" t="str">
        <f t="shared" si="0"/>
        <v>-</v>
      </c>
      <c r="G27" s="20"/>
      <c r="H27" s="11"/>
      <c r="I27" s="16"/>
      <c r="K27" s="4">
        <f>+E27-G27-H27-I27</f>
        <v>0</v>
      </c>
    </row>
    <row r="28" spans="1:11" ht="12.75" customHeight="1">
      <c r="A28" s="85" t="s">
        <v>60</v>
      </c>
      <c r="B28" s="67" t="s">
        <v>104</v>
      </c>
      <c r="C28" s="501"/>
      <c r="D28" s="11"/>
      <c r="E28" s="11"/>
      <c r="F28" s="1402" t="str">
        <f t="shared" si="0"/>
        <v>-</v>
      </c>
      <c r="G28" s="20"/>
      <c r="H28" s="11"/>
      <c r="I28" s="16"/>
      <c r="K28" s="4">
        <f>+E28-G28-H28-I28</f>
        <v>0</v>
      </c>
    </row>
    <row r="29" spans="1:11" ht="12.75" customHeight="1">
      <c r="A29" s="85" t="s">
        <v>180</v>
      </c>
      <c r="B29" s="67" t="s">
        <v>105</v>
      </c>
      <c r="C29" s="501"/>
      <c r="D29" s="11"/>
      <c r="E29" s="11"/>
      <c r="F29" s="1402" t="str">
        <f t="shared" si="0"/>
        <v>-</v>
      </c>
      <c r="G29" s="20"/>
      <c r="H29" s="11"/>
      <c r="I29" s="16"/>
      <c r="K29" s="4">
        <f>+E29-G29-H29-I29</f>
        <v>0</v>
      </c>
    </row>
    <row r="30" spans="1:11" ht="12.75" customHeight="1">
      <c r="A30" s="78" t="s">
        <v>181</v>
      </c>
      <c r="B30" s="68" t="s">
        <v>106</v>
      </c>
      <c r="C30" s="500"/>
      <c r="D30" s="22"/>
      <c r="E30" s="22"/>
      <c r="F30" s="1404" t="str">
        <f t="shared" si="0"/>
        <v>-</v>
      </c>
      <c r="G30" s="20"/>
      <c r="H30" s="11"/>
      <c r="I30" s="16"/>
      <c r="K30" s="4">
        <f>+E30-G30-H30-I30</f>
        <v>0</v>
      </c>
    </row>
    <row r="31" spans="1:11" ht="12.75" customHeight="1" thickBot="1">
      <c r="A31" s="78" t="s">
        <v>834</v>
      </c>
      <c r="B31" s="68" t="s">
        <v>836</v>
      </c>
      <c r="C31" s="500"/>
      <c r="D31" s="22"/>
      <c r="E31" s="22"/>
      <c r="F31" s="1404" t="str">
        <f t="shared" si="0"/>
        <v>-</v>
      </c>
      <c r="G31" s="20"/>
      <c r="H31" s="11"/>
      <c r="I31" s="16"/>
      <c r="K31" s="4">
        <f>+E31-G31-H31-I31</f>
        <v>0</v>
      </c>
    </row>
    <row r="32" spans="1:11" s="3" customFormat="1" ht="12.75" customHeight="1" thickBot="1">
      <c r="A32" s="83" t="s">
        <v>3</v>
      </c>
      <c r="B32" s="64" t="s">
        <v>1040</v>
      </c>
      <c r="C32" s="1049">
        <f>+C33+C34+C35+C36+C37+C38+C39+C40+C41+C42+C43</f>
        <v>0</v>
      </c>
      <c r="D32" s="28">
        <f>+D33+D34+D35+D36+D37+D38+D39+D40+D41+D42+D43</f>
        <v>79</v>
      </c>
      <c r="E32" s="28">
        <f>+E33+E34+E35+E36+E37+E38+E39+E40+E41+E42+E43</f>
        <v>79</v>
      </c>
      <c r="F32" s="1400">
        <f t="shared" si="0"/>
        <v>1</v>
      </c>
      <c r="G32" s="27">
        <f>+G33+G34+G35+G36+G37+G38+G39+G40+G41+G42+G43</f>
        <v>79</v>
      </c>
      <c r="H32" s="28">
        <f>+H33+H34+H35+H36+H37+H38+H39+H40+H41+H42+H43</f>
        <v>0</v>
      </c>
      <c r="I32" s="29">
        <f>+I33+I34+I35+I36+I37+I38+I39+I40+I41+I42+I43</f>
        <v>0</v>
      </c>
      <c r="K32" s="3">
        <f>+E32-G32-H32-I32</f>
        <v>0</v>
      </c>
    </row>
    <row r="33" spans="1:11" ht="12.75" customHeight="1">
      <c r="A33" s="84" t="s">
        <v>61</v>
      </c>
      <c r="B33" s="65" t="s">
        <v>107</v>
      </c>
      <c r="C33" s="1051"/>
      <c r="D33" s="10"/>
      <c r="E33" s="10"/>
      <c r="F33" s="1401" t="str">
        <f t="shared" si="0"/>
        <v>-</v>
      </c>
      <c r="G33" s="34"/>
      <c r="H33" s="10"/>
      <c r="I33" s="35"/>
      <c r="K33" s="4">
        <f>+E33-G33-H33-I33</f>
        <v>0</v>
      </c>
    </row>
    <row r="34" spans="1:11" ht="12.75" customHeight="1">
      <c r="A34" s="85" t="s">
        <v>62</v>
      </c>
      <c r="B34" s="67" t="s">
        <v>108</v>
      </c>
      <c r="C34" s="501"/>
      <c r="D34" s="11"/>
      <c r="E34" s="11"/>
      <c r="F34" s="1402" t="str">
        <f t="shared" si="0"/>
        <v>-</v>
      </c>
      <c r="G34" s="20"/>
      <c r="H34" s="11"/>
      <c r="I34" s="16"/>
      <c r="K34" s="4">
        <f>+E34-G34-H34-I34</f>
        <v>0</v>
      </c>
    </row>
    <row r="35" spans="1:11" ht="12.75" customHeight="1">
      <c r="A35" s="85" t="s">
        <v>63</v>
      </c>
      <c r="B35" s="67" t="s">
        <v>109</v>
      </c>
      <c r="C35" s="501"/>
      <c r="D35" s="11"/>
      <c r="E35" s="11"/>
      <c r="F35" s="1402" t="str">
        <f t="shared" si="0"/>
        <v>-</v>
      </c>
      <c r="G35" s="20"/>
      <c r="H35" s="11"/>
      <c r="I35" s="16"/>
      <c r="K35" s="4">
        <f>+E35-G35-H35-I35</f>
        <v>0</v>
      </c>
    </row>
    <row r="36" spans="1:11" ht="12.75" customHeight="1">
      <c r="A36" s="85" t="s">
        <v>64</v>
      </c>
      <c r="B36" s="67" t="s">
        <v>110</v>
      </c>
      <c r="C36" s="501"/>
      <c r="D36" s="11"/>
      <c r="E36" s="11"/>
      <c r="F36" s="1402" t="str">
        <f t="shared" si="0"/>
        <v>-</v>
      </c>
      <c r="G36" s="20"/>
      <c r="H36" s="11"/>
      <c r="I36" s="16"/>
      <c r="K36" s="4">
        <f>+E36-G36-H36-I36</f>
        <v>0</v>
      </c>
    </row>
    <row r="37" spans="1:11" ht="12.75" customHeight="1">
      <c r="A37" s="85" t="s">
        <v>65</v>
      </c>
      <c r="B37" s="67" t="s">
        <v>111</v>
      </c>
      <c r="C37" s="501"/>
      <c r="D37" s="11"/>
      <c r="E37" s="11"/>
      <c r="F37" s="1402" t="str">
        <f t="shared" si="0"/>
        <v>-</v>
      </c>
      <c r="G37" s="20"/>
      <c r="H37" s="11"/>
      <c r="I37" s="16"/>
      <c r="K37" s="4">
        <f>+E37-G37-H37-I37</f>
        <v>0</v>
      </c>
    </row>
    <row r="38" spans="1:11" ht="12.75" customHeight="1">
      <c r="A38" s="85" t="s">
        <v>222</v>
      </c>
      <c r="B38" s="67" t="s">
        <v>112</v>
      </c>
      <c r="C38" s="501"/>
      <c r="D38" s="11"/>
      <c r="E38" s="11"/>
      <c r="F38" s="1402" t="str">
        <f t="shared" si="0"/>
        <v>-</v>
      </c>
      <c r="G38" s="20"/>
      <c r="H38" s="11"/>
      <c r="I38" s="16"/>
      <c r="K38" s="4">
        <f>+E38-G38-H38-I38</f>
        <v>0</v>
      </c>
    </row>
    <row r="39" spans="1:11" ht="12.75" customHeight="1">
      <c r="A39" s="85" t="s">
        <v>223</v>
      </c>
      <c r="B39" s="67" t="s">
        <v>113</v>
      </c>
      <c r="C39" s="501"/>
      <c r="D39" s="11"/>
      <c r="E39" s="11"/>
      <c r="F39" s="1402" t="str">
        <f t="shared" si="0"/>
        <v>-</v>
      </c>
      <c r="G39" s="20"/>
      <c r="H39" s="11"/>
      <c r="I39" s="16"/>
      <c r="K39" s="4">
        <f>+E39-G39-H39-I39</f>
        <v>0</v>
      </c>
    </row>
    <row r="40" spans="1:11" ht="12.75" customHeight="1">
      <c r="A40" s="85" t="s">
        <v>224</v>
      </c>
      <c r="B40" s="67" t="s">
        <v>1050</v>
      </c>
      <c r="C40" s="501"/>
      <c r="D40" s="11"/>
      <c r="E40" s="11"/>
      <c r="F40" s="1402" t="str">
        <f t="shared" si="0"/>
        <v>-</v>
      </c>
      <c r="G40" s="20"/>
      <c r="H40" s="11"/>
      <c r="I40" s="16"/>
      <c r="K40" s="4">
        <f>+E40-G40-H40-I40</f>
        <v>0</v>
      </c>
    </row>
    <row r="41" spans="1:11" ht="12.75" customHeight="1">
      <c r="A41" s="85" t="s">
        <v>225</v>
      </c>
      <c r="B41" s="67" t="s">
        <v>114</v>
      </c>
      <c r="C41" s="501"/>
      <c r="D41" s="11"/>
      <c r="E41" s="11"/>
      <c r="F41" s="1402" t="str">
        <f t="shared" si="0"/>
        <v>-</v>
      </c>
      <c r="G41" s="20"/>
      <c r="H41" s="11"/>
      <c r="I41" s="16"/>
      <c r="K41" s="4">
        <f>+E41-G41-H41-I41</f>
        <v>0</v>
      </c>
    </row>
    <row r="42" spans="1:11" ht="12.75" customHeight="1">
      <c r="A42" s="78" t="s">
        <v>226</v>
      </c>
      <c r="B42" s="68" t="s">
        <v>962</v>
      </c>
      <c r="C42" s="501"/>
      <c r="D42" s="11"/>
      <c r="E42" s="11"/>
      <c r="F42" s="1402" t="str">
        <f t="shared" si="0"/>
        <v>-</v>
      </c>
      <c r="G42" s="20"/>
      <c r="H42" s="11"/>
      <c r="I42" s="16"/>
      <c r="K42" s="4">
        <f>+E42-G42-H42-I42</f>
        <v>0</v>
      </c>
    </row>
    <row r="43" spans="1:11" ht="12.75" customHeight="1" thickBot="1">
      <c r="A43" s="78" t="s">
        <v>961</v>
      </c>
      <c r="B43" s="68" t="s">
        <v>963</v>
      </c>
      <c r="C43" s="500"/>
      <c r="D43" s="22">
        <v>79</v>
      </c>
      <c r="E43" s="22">
        <v>79</v>
      </c>
      <c r="F43" s="1404">
        <f t="shared" si="0"/>
        <v>1</v>
      </c>
      <c r="G43" s="21">
        <v>79</v>
      </c>
      <c r="H43" s="22"/>
      <c r="I43" s="23"/>
      <c r="K43" s="4">
        <f>+E43-G43-H43-I43</f>
        <v>0</v>
      </c>
    </row>
    <row r="44" spans="1:11" s="3" customFormat="1" ht="12.75" thickBot="1">
      <c r="A44" s="83" t="s">
        <v>16</v>
      </c>
      <c r="B44" s="64" t="s">
        <v>1041</v>
      </c>
      <c r="C44" s="1049">
        <f>+C45+C46+C47+C48+C49</f>
        <v>0</v>
      </c>
      <c r="D44" s="28">
        <f>+D45+D46+D47+D48+D49</f>
        <v>0</v>
      </c>
      <c r="E44" s="28">
        <f>+E45+E46+E47+E48+E49</f>
        <v>0</v>
      </c>
      <c r="F44" s="1400" t="str">
        <f t="shared" si="0"/>
        <v>-</v>
      </c>
      <c r="G44" s="27">
        <f>+G45+G46+G47+G48+G49</f>
        <v>0</v>
      </c>
      <c r="H44" s="28">
        <f>+H45+H46+H47+H48+H49</f>
        <v>0</v>
      </c>
      <c r="I44" s="29">
        <f>+I45+I46+I47+I48+I49</f>
        <v>0</v>
      </c>
      <c r="K44" s="3">
        <f>+E44-G44-H44-I44</f>
        <v>0</v>
      </c>
    </row>
    <row r="45" spans="1:11" ht="12.75" customHeight="1">
      <c r="A45" s="84" t="s">
        <v>227</v>
      </c>
      <c r="B45" s="65" t="s">
        <v>115</v>
      </c>
      <c r="C45" s="1051"/>
      <c r="D45" s="10"/>
      <c r="E45" s="10"/>
      <c r="F45" s="1401" t="str">
        <f t="shared" si="0"/>
        <v>-</v>
      </c>
      <c r="G45" s="34"/>
      <c r="H45" s="10"/>
      <c r="I45" s="35"/>
      <c r="K45" s="4">
        <f>+E45-G45-H45-I45</f>
        <v>0</v>
      </c>
    </row>
    <row r="46" spans="1:11" ht="12.75" customHeight="1">
      <c r="A46" s="84" t="s">
        <v>228</v>
      </c>
      <c r="B46" s="65" t="s">
        <v>964</v>
      </c>
      <c r="C46" s="1051"/>
      <c r="D46" s="10"/>
      <c r="E46" s="11"/>
      <c r="F46" s="1401" t="str">
        <f t="shared" si="0"/>
        <v>-</v>
      </c>
      <c r="G46" s="34"/>
      <c r="H46" s="10"/>
      <c r="I46" s="35"/>
      <c r="K46" s="4">
        <f>+E46-G46-H46-I46</f>
        <v>0</v>
      </c>
    </row>
    <row r="47" spans="1:11" ht="12.75" customHeight="1">
      <c r="A47" s="84" t="s">
        <v>229</v>
      </c>
      <c r="B47" s="65" t="s">
        <v>965</v>
      </c>
      <c r="C47" s="1051"/>
      <c r="D47" s="10"/>
      <c r="E47" s="22"/>
      <c r="F47" s="1401" t="str">
        <f t="shared" si="0"/>
        <v>-</v>
      </c>
      <c r="G47" s="34"/>
      <c r="H47" s="10"/>
      <c r="I47" s="35"/>
      <c r="K47" s="4">
        <f>+E47-G47-H47-I47</f>
        <v>0</v>
      </c>
    </row>
    <row r="48" spans="1:11" ht="12.75" customHeight="1">
      <c r="A48" s="85" t="s">
        <v>257</v>
      </c>
      <c r="B48" s="67" t="s">
        <v>966</v>
      </c>
      <c r="C48" s="501"/>
      <c r="D48" s="11"/>
      <c r="E48" s="11"/>
      <c r="F48" s="1402" t="str">
        <f t="shared" si="0"/>
        <v>-</v>
      </c>
      <c r="G48" s="20"/>
      <c r="H48" s="11"/>
      <c r="I48" s="16"/>
      <c r="K48" s="4">
        <f>+E48-G48-H48-I48</f>
        <v>0</v>
      </c>
    </row>
    <row r="49" spans="1:11" ht="12.75" customHeight="1" thickBot="1">
      <c r="A49" s="78" t="s">
        <v>258</v>
      </c>
      <c r="B49" s="68" t="s">
        <v>967</v>
      </c>
      <c r="C49" s="500"/>
      <c r="D49" s="22"/>
      <c r="E49" s="22"/>
      <c r="F49" s="1404" t="str">
        <f t="shared" si="0"/>
        <v>-</v>
      </c>
      <c r="G49" s="21"/>
      <c r="H49" s="22"/>
      <c r="I49" s="23"/>
      <c r="K49" s="4">
        <f>+E49-G49-H49-I49</f>
        <v>0</v>
      </c>
    </row>
    <row r="50" spans="1:11" s="3" customFormat="1" ht="12.75" thickBot="1">
      <c r="A50" s="83" t="s">
        <v>15</v>
      </c>
      <c r="B50" s="69" t="s">
        <v>300</v>
      </c>
      <c r="C50" s="1049">
        <f>+C51+C58+C64</f>
        <v>0</v>
      </c>
      <c r="D50" s="28">
        <f>+D51+D58+D64</f>
        <v>1200</v>
      </c>
      <c r="E50" s="28">
        <f>+E51+E58+E64</f>
        <v>1200</v>
      </c>
      <c r="F50" s="1400">
        <f t="shared" si="0"/>
        <v>1</v>
      </c>
      <c r="G50" s="27">
        <f>+G51+G58+G64</f>
        <v>1200</v>
      </c>
      <c r="H50" s="28">
        <f>+H51+H58+H64</f>
        <v>0</v>
      </c>
      <c r="I50" s="29">
        <f>+I51+I58+I64</f>
        <v>0</v>
      </c>
      <c r="K50" s="3">
        <f>+E50-G50-H50-I50</f>
        <v>0</v>
      </c>
    </row>
    <row r="51" spans="1:11" s="3" customFormat="1" ht="12.75" customHeight="1" thickBot="1">
      <c r="A51" s="83" t="s">
        <v>14</v>
      </c>
      <c r="B51" s="64" t="s">
        <v>301</v>
      </c>
      <c r="C51" s="1049">
        <f>+C52+C53+C54+C55+C56</f>
        <v>0</v>
      </c>
      <c r="D51" s="28">
        <f>+D52+D53+D54+D55+D56</f>
        <v>0</v>
      </c>
      <c r="E51" s="28">
        <f>+E52+E53+E54+E55+E56</f>
        <v>0</v>
      </c>
      <c r="F51" s="1400" t="str">
        <f t="shared" si="0"/>
        <v>-</v>
      </c>
      <c r="G51" s="27">
        <f>+G52+G53+G54+G55+G56</f>
        <v>0</v>
      </c>
      <c r="H51" s="28">
        <f>+H52+H53+H54+H55+H56</f>
        <v>0</v>
      </c>
      <c r="I51" s="29">
        <f>+I52+I53+I54+I55+I56</f>
        <v>0</v>
      </c>
      <c r="K51" s="3">
        <f>+E51-G51-H51-I51</f>
        <v>0</v>
      </c>
    </row>
    <row r="52" spans="1:11">
      <c r="A52" s="84" t="s">
        <v>185</v>
      </c>
      <c r="B52" s="113" t="s">
        <v>116</v>
      </c>
      <c r="C52" s="1051"/>
      <c r="D52" s="10"/>
      <c r="E52" s="10"/>
      <c r="F52" s="1401" t="str">
        <f t="shared" si="0"/>
        <v>-</v>
      </c>
      <c r="G52" s="34"/>
      <c r="H52" s="10"/>
      <c r="I52" s="35"/>
      <c r="K52" s="4">
        <f>+E52-G52-H52-I52</f>
        <v>0</v>
      </c>
    </row>
    <row r="53" spans="1:11">
      <c r="A53" s="85" t="s">
        <v>186</v>
      </c>
      <c r="B53" s="67" t="s">
        <v>117</v>
      </c>
      <c r="C53" s="501"/>
      <c r="D53" s="11"/>
      <c r="E53" s="11"/>
      <c r="F53" s="1402" t="str">
        <f t="shared" si="0"/>
        <v>-</v>
      </c>
      <c r="G53" s="20"/>
      <c r="H53" s="11"/>
      <c r="I53" s="16"/>
      <c r="K53" s="4">
        <f>+E53-G53-H53-I53</f>
        <v>0</v>
      </c>
    </row>
    <row r="54" spans="1:11">
      <c r="A54" s="85" t="s">
        <v>187</v>
      </c>
      <c r="B54" s="67" t="s">
        <v>118</v>
      </c>
      <c r="C54" s="501"/>
      <c r="D54" s="11"/>
      <c r="E54" s="11"/>
      <c r="F54" s="1402" t="str">
        <f t="shared" si="0"/>
        <v>-</v>
      </c>
      <c r="G54" s="20"/>
      <c r="H54" s="11"/>
      <c r="I54" s="16"/>
      <c r="K54" s="4">
        <f>+E54-G54-H54-I54</f>
        <v>0</v>
      </c>
    </row>
    <row r="55" spans="1:11">
      <c r="A55" s="85" t="s">
        <v>188</v>
      </c>
      <c r="B55" s="67" t="s">
        <v>119</v>
      </c>
      <c r="C55" s="501"/>
      <c r="D55" s="11"/>
      <c r="E55" s="11"/>
      <c r="F55" s="1402" t="str">
        <f t="shared" si="0"/>
        <v>-</v>
      </c>
      <c r="G55" s="20"/>
      <c r="H55" s="11"/>
      <c r="I55" s="16"/>
      <c r="K55" s="4">
        <f>+E55-G55-H55-I55</f>
        <v>0</v>
      </c>
    </row>
    <row r="56" spans="1:11">
      <c r="A56" s="78" t="s">
        <v>189</v>
      </c>
      <c r="B56" s="68" t="s">
        <v>120</v>
      </c>
      <c r="C56" s="500"/>
      <c r="D56" s="22"/>
      <c r="E56" s="22"/>
      <c r="F56" s="1404" t="str">
        <f t="shared" si="0"/>
        <v>-</v>
      </c>
      <c r="G56" s="21"/>
      <c r="H56" s="22"/>
      <c r="I56" s="23"/>
      <c r="K56" s="4">
        <f>+E56-G56-H56-I56</f>
        <v>0</v>
      </c>
    </row>
    <row r="57" spans="1:11" s="13" customFormat="1" ht="12.75" thickBot="1">
      <c r="A57" s="89" t="s">
        <v>334</v>
      </c>
      <c r="B57" s="818" t="s">
        <v>338</v>
      </c>
      <c r="C57" s="1050"/>
      <c r="D57" s="43"/>
      <c r="E57" s="43"/>
      <c r="F57" s="1404" t="str">
        <f t="shared" si="0"/>
        <v>-</v>
      </c>
      <c r="G57" s="45"/>
      <c r="H57" s="43"/>
      <c r="I57" s="44"/>
      <c r="K57" s="13">
        <f>+E57-G57-H57-I57</f>
        <v>0</v>
      </c>
    </row>
    <row r="58" spans="1:11" s="3" customFormat="1" ht="12.75" customHeight="1" thickBot="1">
      <c r="A58" s="83" t="s">
        <v>13</v>
      </c>
      <c r="B58" s="64" t="s">
        <v>302</v>
      </c>
      <c r="C58" s="1049">
        <f>+C59+C60+C61+C62+C63</f>
        <v>0</v>
      </c>
      <c r="D58" s="28">
        <f>+D59+D60+D61+D62+D63</f>
        <v>1200</v>
      </c>
      <c r="E58" s="28">
        <f>+E59+E60+E61+E62+E63</f>
        <v>1200</v>
      </c>
      <c r="F58" s="1400">
        <f t="shared" si="0"/>
        <v>1</v>
      </c>
      <c r="G58" s="27">
        <f>+G59+G60+G61+G62+G63</f>
        <v>1200</v>
      </c>
      <c r="H58" s="28">
        <f>+H59+H60+H61+H62+H63</f>
        <v>0</v>
      </c>
      <c r="I58" s="29">
        <f>+I59+I60+I61+I62+I63</f>
        <v>0</v>
      </c>
      <c r="K58" s="3">
        <f>+E58-G58-H58-I58</f>
        <v>0</v>
      </c>
    </row>
    <row r="59" spans="1:11" ht="12.75" customHeight="1">
      <c r="A59" s="84" t="s">
        <v>66</v>
      </c>
      <c r="B59" s="65" t="s">
        <v>121</v>
      </c>
      <c r="C59" s="1051"/>
      <c r="D59" s="10"/>
      <c r="E59" s="10"/>
      <c r="F59" s="1401" t="str">
        <f t="shared" si="0"/>
        <v>-</v>
      </c>
      <c r="G59" s="34"/>
      <c r="H59" s="10"/>
      <c r="I59" s="35"/>
      <c r="K59" s="4">
        <f>+E59-G59-H59-I59</f>
        <v>0</v>
      </c>
    </row>
    <row r="60" spans="1:11" ht="12.75" customHeight="1">
      <c r="A60" s="85" t="s">
        <v>67</v>
      </c>
      <c r="B60" s="67" t="s">
        <v>122</v>
      </c>
      <c r="C60" s="501"/>
      <c r="D60" s="11"/>
      <c r="E60" s="11"/>
      <c r="F60" s="1402" t="str">
        <f t="shared" si="0"/>
        <v>-</v>
      </c>
      <c r="G60" s="20"/>
      <c r="H60" s="11"/>
      <c r="I60" s="16"/>
      <c r="K60" s="4">
        <f>+E60-G60-H60-I60</f>
        <v>0</v>
      </c>
    </row>
    <row r="61" spans="1:11" ht="12.75" customHeight="1">
      <c r="A61" s="85" t="s">
        <v>68</v>
      </c>
      <c r="B61" s="67" t="s">
        <v>123</v>
      </c>
      <c r="C61" s="501"/>
      <c r="D61" s="11">
        <v>1200</v>
      </c>
      <c r="E61" s="11">
        <v>1200</v>
      </c>
      <c r="F61" s="1402">
        <f t="shared" si="0"/>
        <v>1</v>
      </c>
      <c r="G61" s="20">
        <f>0+1200</f>
        <v>1200</v>
      </c>
      <c r="H61" s="11"/>
      <c r="I61" s="16"/>
      <c r="K61" s="4">
        <f>+E61-G61-H61-I61</f>
        <v>0</v>
      </c>
    </row>
    <row r="62" spans="1:11" ht="12.75" customHeight="1">
      <c r="A62" s="85" t="s">
        <v>230</v>
      </c>
      <c r="B62" s="67" t="s">
        <v>124</v>
      </c>
      <c r="C62" s="501"/>
      <c r="D62" s="11"/>
      <c r="E62" s="11"/>
      <c r="F62" s="1402" t="str">
        <f t="shared" si="0"/>
        <v>-</v>
      </c>
      <c r="G62" s="20"/>
      <c r="H62" s="11"/>
      <c r="I62" s="16"/>
      <c r="K62" s="4">
        <f>+E62-G62-H62-I62</f>
        <v>0</v>
      </c>
    </row>
    <row r="63" spans="1:11" ht="12.75" customHeight="1" thickBot="1">
      <c r="A63" s="78" t="s">
        <v>231</v>
      </c>
      <c r="B63" s="68" t="s">
        <v>125</v>
      </c>
      <c r="C63" s="500"/>
      <c r="D63" s="22"/>
      <c r="E63" s="22"/>
      <c r="F63" s="1404" t="str">
        <f t="shared" si="0"/>
        <v>-</v>
      </c>
      <c r="G63" s="21"/>
      <c r="H63" s="22"/>
      <c r="I63" s="23"/>
      <c r="K63" s="4">
        <f>+E63-G63-H63-I63</f>
        <v>0</v>
      </c>
    </row>
    <row r="64" spans="1:11" s="3" customFormat="1" ht="12.75" thickBot="1">
      <c r="A64" s="83" t="s">
        <v>12</v>
      </c>
      <c r="B64" s="64" t="s">
        <v>971</v>
      </c>
      <c r="C64" s="1049">
        <f>+C65+C66+C67+C68+C69</f>
        <v>0</v>
      </c>
      <c r="D64" s="28">
        <f>+D65+D66+D67+D68+D69</f>
        <v>0</v>
      </c>
      <c r="E64" s="28">
        <f>+E65+E66+E67+E68+E69</f>
        <v>0</v>
      </c>
      <c r="F64" s="1400" t="str">
        <f t="shared" si="0"/>
        <v>-</v>
      </c>
      <c r="G64" s="27">
        <f>+G65+G66+G67+G68+G69</f>
        <v>0</v>
      </c>
      <c r="H64" s="28">
        <f>+H65+H66+H67+H68+H69</f>
        <v>0</v>
      </c>
      <c r="I64" s="29">
        <f>+I65+I66+I67+I68+I69</f>
        <v>0</v>
      </c>
      <c r="K64" s="3">
        <f>+E64-G64-H64-I64</f>
        <v>0</v>
      </c>
    </row>
    <row r="65" spans="1:11">
      <c r="A65" s="84" t="s">
        <v>69</v>
      </c>
      <c r="B65" s="65" t="s">
        <v>126</v>
      </c>
      <c r="C65" s="1051"/>
      <c r="D65" s="10"/>
      <c r="E65" s="10"/>
      <c r="F65" s="1401" t="str">
        <f t="shared" si="0"/>
        <v>-</v>
      </c>
      <c r="G65" s="34"/>
      <c r="H65" s="10"/>
      <c r="I65" s="35"/>
      <c r="K65" s="4">
        <f>+E65-G65-H65-I65</f>
        <v>0</v>
      </c>
    </row>
    <row r="66" spans="1:11">
      <c r="A66" s="84" t="s">
        <v>70</v>
      </c>
      <c r="B66" s="65" t="s">
        <v>972</v>
      </c>
      <c r="C66" s="1051"/>
      <c r="D66" s="10"/>
      <c r="E66" s="11"/>
      <c r="F66" s="1401" t="str">
        <f t="shared" si="0"/>
        <v>-</v>
      </c>
      <c r="G66" s="34"/>
      <c r="H66" s="10"/>
      <c r="I66" s="35"/>
      <c r="K66" s="4">
        <f>+E66-G66-H66-I66</f>
        <v>0</v>
      </c>
    </row>
    <row r="67" spans="1:11">
      <c r="A67" s="84" t="s">
        <v>71</v>
      </c>
      <c r="B67" s="65" t="s">
        <v>973</v>
      </c>
      <c r="C67" s="1051"/>
      <c r="D67" s="10"/>
      <c r="E67" s="22"/>
      <c r="F67" s="1401" t="str">
        <f t="shared" si="0"/>
        <v>-</v>
      </c>
      <c r="G67" s="34"/>
      <c r="H67" s="10"/>
      <c r="I67" s="35"/>
      <c r="K67" s="4">
        <f>+E67-G67-H67-I67</f>
        <v>0</v>
      </c>
    </row>
    <row r="68" spans="1:11">
      <c r="A68" s="85" t="s">
        <v>72</v>
      </c>
      <c r="B68" s="67" t="s">
        <v>969</v>
      </c>
      <c r="C68" s="501"/>
      <c r="D68" s="11"/>
      <c r="E68" s="11"/>
      <c r="F68" s="1402" t="str">
        <f t="shared" si="0"/>
        <v>-</v>
      </c>
      <c r="G68" s="20"/>
      <c r="H68" s="11"/>
      <c r="I68" s="16"/>
      <c r="K68" s="4">
        <f>+E68-G68-H68-I68</f>
        <v>0</v>
      </c>
    </row>
    <row r="69" spans="1:11" ht="12.75" thickBot="1">
      <c r="A69" s="78" t="s">
        <v>968</v>
      </c>
      <c r="B69" s="68" t="s">
        <v>970</v>
      </c>
      <c r="C69" s="500"/>
      <c r="D69" s="22"/>
      <c r="E69" s="22"/>
      <c r="F69" s="1404" t="str">
        <f t="shared" si="0"/>
        <v>-</v>
      </c>
      <c r="G69" s="21"/>
      <c r="H69" s="22"/>
      <c r="I69" s="23"/>
      <c r="K69" s="4">
        <f>+E69-G69-H69-I69</f>
        <v>0</v>
      </c>
    </row>
    <row r="70" spans="1:11" s="3" customFormat="1" ht="12.75" thickBot="1">
      <c r="A70" s="83" t="s">
        <v>11</v>
      </c>
      <c r="B70" s="69" t="s">
        <v>303</v>
      </c>
      <c r="C70" s="1049">
        <f>+C10+C50</f>
        <v>0</v>
      </c>
      <c r="D70" s="28">
        <f>+D10+D50</f>
        <v>1279</v>
      </c>
      <c r="E70" s="28">
        <f>+E10+E50</f>
        <v>1279</v>
      </c>
      <c r="F70" s="1400">
        <f t="shared" si="0"/>
        <v>1</v>
      </c>
      <c r="G70" s="27">
        <f>+G10+G50</f>
        <v>1279</v>
      </c>
      <c r="H70" s="28">
        <f>+H10+H50</f>
        <v>0</v>
      </c>
      <c r="I70" s="29">
        <f>+I10+I50</f>
        <v>0</v>
      </c>
      <c r="K70" s="3">
        <f>+E70-G70-H70-I70</f>
        <v>0</v>
      </c>
    </row>
    <row r="71" spans="1:11" s="3" customFormat="1" ht="12.75" thickBot="1">
      <c r="A71" s="83" t="s">
        <v>10</v>
      </c>
      <c r="B71" s="70" t="s">
        <v>304</v>
      </c>
      <c r="C71" s="1049">
        <f>+C72</f>
        <v>51211</v>
      </c>
      <c r="D71" s="28">
        <f>+D72</f>
        <v>58547</v>
      </c>
      <c r="E71" s="28">
        <f>+E72</f>
        <v>58674</v>
      </c>
      <c r="F71" s="1400">
        <f t="shared" si="0"/>
        <v>1.0021691973969631</v>
      </c>
      <c r="G71" s="27">
        <f>+G72</f>
        <v>58674</v>
      </c>
      <c r="H71" s="28">
        <f>+H72</f>
        <v>0</v>
      </c>
      <c r="I71" s="29">
        <f>+I72</f>
        <v>0</v>
      </c>
      <c r="K71" s="3">
        <f>+E71-G71-H71-I71</f>
        <v>0</v>
      </c>
    </row>
    <row r="72" spans="1:11" s="3" customFormat="1" ht="12.75" thickBot="1">
      <c r="A72" s="83" t="s">
        <v>9</v>
      </c>
      <c r="B72" s="64" t="s">
        <v>980</v>
      </c>
      <c r="C72" s="1049">
        <f>+C73+C83+C84+C85</f>
        <v>51211</v>
      </c>
      <c r="D72" s="28">
        <f>+D73+D83+D84+D85</f>
        <v>58547</v>
      </c>
      <c r="E72" s="28">
        <f>+E73+E83+E84+E85</f>
        <v>58674</v>
      </c>
      <c r="F72" s="1400">
        <f t="shared" si="0"/>
        <v>1.0021691973969631</v>
      </c>
      <c r="G72" s="27">
        <f>+G73+G83+G84+G85</f>
        <v>58674</v>
      </c>
      <c r="H72" s="28">
        <f>+H73+H83+H84+H85</f>
        <v>0</v>
      </c>
      <c r="I72" s="29">
        <f>+I73+I83+I84+I85</f>
        <v>0</v>
      </c>
      <c r="K72" s="3">
        <f>+E72-G72-H72-I72</f>
        <v>0</v>
      </c>
    </row>
    <row r="73" spans="1:11">
      <c r="A73" s="84" t="s">
        <v>73</v>
      </c>
      <c r="B73" s="65" t="s">
        <v>975</v>
      </c>
      <c r="C73" s="1051">
        <f>+C74+C75+C76+C77+C78+C79+C80+C81+C82</f>
        <v>51211</v>
      </c>
      <c r="D73" s="10">
        <f>+D74+D75+D76+D77+D78+D79+D80+D81+D82</f>
        <v>58547</v>
      </c>
      <c r="E73" s="10">
        <f>+E74+E75+E76+E77+E78+E79+E80+E81+E82</f>
        <v>58674</v>
      </c>
      <c r="F73" s="1401">
        <f t="shared" si="0"/>
        <v>1.0021691973969631</v>
      </c>
      <c r="G73" s="34">
        <f>+G74+G75+G76+G77+G78+G79+G80+G81+G82</f>
        <v>58674</v>
      </c>
      <c r="H73" s="10">
        <f>+H74+H75+H76+H77+H78+H79+H80+H81+H82</f>
        <v>0</v>
      </c>
      <c r="I73" s="35">
        <f>+I74+I75+I76+I77+I78+I79+I80+I81+I82</f>
        <v>0</v>
      </c>
      <c r="K73" s="4">
        <f>+E73-G73-H73-I73</f>
        <v>0</v>
      </c>
    </row>
    <row r="74" spans="1:11" s="13" customFormat="1">
      <c r="A74" s="86" t="s">
        <v>196</v>
      </c>
      <c r="B74" s="66" t="s">
        <v>974</v>
      </c>
      <c r="C74" s="502"/>
      <c r="D74" s="12"/>
      <c r="E74" s="12"/>
      <c r="F74" s="1402" t="str">
        <f t="shared" ref="F74:F102" si="1">IF(ISERROR(E74/D74),"-",E74/D74)</f>
        <v>-</v>
      </c>
      <c r="G74" s="19"/>
      <c r="H74" s="12"/>
      <c r="I74" s="15"/>
      <c r="K74" s="13">
        <f>+E74-G74-H74-I74</f>
        <v>0</v>
      </c>
    </row>
    <row r="75" spans="1:11" s="13" customFormat="1">
      <c r="A75" s="86" t="s">
        <v>197</v>
      </c>
      <c r="B75" s="66" t="s">
        <v>247</v>
      </c>
      <c r="C75" s="502"/>
      <c r="D75" s="12"/>
      <c r="E75" s="12"/>
      <c r="F75" s="1402" t="str">
        <f t="shared" si="1"/>
        <v>-</v>
      </c>
      <c r="G75" s="19"/>
      <c r="H75" s="12"/>
      <c r="I75" s="15"/>
      <c r="K75" s="13">
        <f>+E75-G75-H75-I75</f>
        <v>0</v>
      </c>
    </row>
    <row r="76" spans="1:11" s="13" customFormat="1">
      <c r="A76" s="86" t="s">
        <v>198</v>
      </c>
      <c r="B76" s="66" t="s">
        <v>248</v>
      </c>
      <c r="C76" s="502"/>
      <c r="D76" s="12">
        <f>0+44</f>
        <v>44</v>
      </c>
      <c r="E76" s="12">
        <v>44</v>
      </c>
      <c r="F76" s="1402">
        <f t="shared" si="1"/>
        <v>1</v>
      </c>
      <c r="G76" s="19">
        <v>44</v>
      </c>
      <c r="H76" s="12"/>
      <c r="I76" s="15"/>
      <c r="K76" s="13">
        <f>+E76-G76-H76-I76</f>
        <v>0</v>
      </c>
    </row>
    <row r="77" spans="1:11" s="13" customFormat="1">
      <c r="A77" s="86" t="s">
        <v>199</v>
      </c>
      <c r="B77" s="66" t="s">
        <v>249</v>
      </c>
      <c r="C77" s="502"/>
      <c r="D77" s="12"/>
      <c r="E77" s="12"/>
      <c r="F77" s="1402" t="str">
        <f t="shared" si="1"/>
        <v>-</v>
      </c>
      <c r="G77" s="19"/>
      <c r="H77" s="12"/>
      <c r="I77" s="15"/>
      <c r="K77" s="13">
        <f>+E77-G77-H77-I77</f>
        <v>0</v>
      </c>
    </row>
    <row r="78" spans="1:11" s="13" customFormat="1">
      <c r="A78" s="86" t="s">
        <v>200</v>
      </c>
      <c r="B78" s="66" t="s">
        <v>250</v>
      </c>
      <c r="C78" s="502"/>
      <c r="D78" s="12"/>
      <c r="E78" s="12"/>
      <c r="F78" s="1402" t="str">
        <f t="shared" si="1"/>
        <v>-</v>
      </c>
      <c r="G78" s="19"/>
      <c r="H78" s="12"/>
      <c r="I78" s="15"/>
      <c r="K78" s="13">
        <f>+E78-G78-H78-I78</f>
        <v>0</v>
      </c>
    </row>
    <row r="79" spans="1:11" s="13" customFormat="1">
      <c r="A79" s="108" t="s">
        <v>201</v>
      </c>
      <c r="B79" s="109" t="s">
        <v>251</v>
      </c>
      <c r="C79" s="502">
        <f t="shared" ref="C79:F79" si="2">+C109-C10+C178-C74-C75-C76-C77-C78-C80-C81-C83-C84-C85</f>
        <v>51211</v>
      </c>
      <c r="D79" s="12">
        <f>67493-D94+1</f>
        <v>58503</v>
      </c>
      <c r="E79" s="12">
        <f>67621-E94</f>
        <v>58630</v>
      </c>
      <c r="F79" s="1402">
        <f t="shared" si="1"/>
        <v>1.002170828846384</v>
      </c>
      <c r="G79" s="19">
        <v>58630</v>
      </c>
      <c r="H79" s="12"/>
      <c r="I79" s="15"/>
      <c r="K79" s="117">
        <f>+E79-G79-H79-I79</f>
        <v>0</v>
      </c>
    </row>
    <row r="80" spans="1:11" s="13" customFormat="1">
      <c r="A80" s="86" t="s">
        <v>204</v>
      </c>
      <c r="B80" s="66" t="s">
        <v>252</v>
      </c>
      <c r="C80" s="502"/>
      <c r="D80" s="12"/>
      <c r="E80" s="744"/>
      <c r="F80" s="1402" t="str">
        <f t="shared" si="1"/>
        <v>-</v>
      </c>
      <c r="G80" s="19"/>
      <c r="H80" s="12"/>
      <c r="I80" s="15"/>
      <c r="K80" s="117">
        <f>+E80-G80-H80-I80</f>
        <v>0</v>
      </c>
    </row>
    <row r="81" spans="1:11" s="13" customFormat="1">
      <c r="A81" s="86" t="s">
        <v>202</v>
      </c>
      <c r="B81" s="66" t="s">
        <v>245</v>
      </c>
      <c r="C81" s="502"/>
      <c r="D81" s="12"/>
      <c r="E81" s="744"/>
      <c r="F81" s="1402" t="str">
        <f t="shared" si="1"/>
        <v>-</v>
      </c>
      <c r="G81" s="19"/>
      <c r="H81" s="12"/>
      <c r="I81" s="15"/>
      <c r="K81" s="117">
        <f>+E81-G81-H81-I81</f>
        <v>0</v>
      </c>
    </row>
    <row r="82" spans="1:11" s="13" customFormat="1">
      <c r="A82" s="86" t="s">
        <v>976</v>
      </c>
      <c r="B82" s="66" t="s">
        <v>977</v>
      </c>
      <c r="C82" s="502"/>
      <c r="D82" s="12"/>
      <c r="E82" s="744"/>
      <c r="F82" s="1402" t="str">
        <f t="shared" si="1"/>
        <v>-</v>
      </c>
      <c r="G82" s="19"/>
      <c r="H82" s="12"/>
      <c r="I82" s="15"/>
      <c r="K82" s="117">
        <f>+E82-G82-H82-I82</f>
        <v>0</v>
      </c>
    </row>
    <row r="83" spans="1:11">
      <c r="A83" s="85" t="s">
        <v>74</v>
      </c>
      <c r="B83" s="67" t="s">
        <v>243</v>
      </c>
      <c r="C83" s="501"/>
      <c r="D83" s="11"/>
      <c r="E83" s="988"/>
      <c r="F83" s="1402" t="str">
        <f t="shared" si="1"/>
        <v>-</v>
      </c>
      <c r="G83" s="20"/>
      <c r="H83" s="11"/>
      <c r="I83" s="16"/>
      <c r="K83" s="118">
        <f>+E83-G83-H83-I83</f>
        <v>0</v>
      </c>
    </row>
    <row r="84" spans="1:11">
      <c r="A84" s="78" t="s">
        <v>203</v>
      </c>
      <c r="B84" s="68" t="s">
        <v>244</v>
      </c>
      <c r="C84" s="500"/>
      <c r="D84" s="22"/>
      <c r="E84" s="991"/>
      <c r="F84" s="1404" t="str">
        <f t="shared" si="1"/>
        <v>-</v>
      </c>
      <c r="G84" s="21"/>
      <c r="H84" s="22"/>
      <c r="I84" s="23"/>
      <c r="K84" s="118">
        <f>+E84-G84-H84-I84</f>
        <v>0</v>
      </c>
    </row>
    <row r="85" spans="1:11" ht="12.75" thickBot="1">
      <c r="A85" s="78" t="s">
        <v>978</v>
      </c>
      <c r="B85" s="68" t="s">
        <v>979</v>
      </c>
      <c r="C85" s="500"/>
      <c r="D85" s="22"/>
      <c r="E85" s="991"/>
      <c r="F85" s="1404" t="str">
        <f t="shared" si="1"/>
        <v>-</v>
      </c>
      <c r="G85" s="21"/>
      <c r="H85" s="22"/>
      <c r="I85" s="23"/>
      <c r="K85" s="118">
        <f>+E85-G85-H85-I85</f>
        <v>0</v>
      </c>
    </row>
    <row r="86" spans="1:11" s="3" customFormat="1" ht="12.75" thickBot="1">
      <c r="A86" s="83" t="s">
        <v>45</v>
      </c>
      <c r="B86" s="70" t="s">
        <v>305</v>
      </c>
      <c r="C86" s="1049">
        <f>+C87</f>
        <v>0</v>
      </c>
      <c r="D86" s="28">
        <f>+D87</f>
        <v>8991</v>
      </c>
      <c r="E86" s="111">
        <f>+E87</f>
        <v>8991</v>
      </c>
      <c r="F86" s="1400">
        <f t="shared" si="1"/>
        <v>1</v>
      </c>
      <c r="G86" s="27">
        <f>+G87</f>
        <v>8991</v>
      </c>
      <c r="H86" s="28">
        <f>+H87</f>
        <v>0</v>
      </c>
      <c r="I86" s="29">
        <f>+I87</f>
        <v>0</v>
      </c>
      <c r="K86" s="119">
        <f>+E86-G86-H86-I86</f>
        <v>0</v>
      </c>
    </row>
    <row r="87" spans="1:11" s="3" customFormat="1" ht="12.75" thickBot="1">
      <c r="A87" s="83" t="s">
        <v>44</v>
      </c>
      <c r="B87" s="64" t="s">
        <v>982</v>
      </c>
      <c r="C87" s="1049">
        <f>+C88+C98+C99+C100</f>
        <v>0</v>
      </c>
      <c r="D87" s="28">
        <f>+D88+D98+D99+D100</f>
        <v>8991</v>
      </c>
      <c r="E87" s="111">
        <f>+E88+E98+E99+E100</f>
        <v>8991</v>
      </c>
      <c r="F87" s="1400">
        <f t="shared" si="1"/>
        <v>1</v>
      </c>
      <c r="G87" s="27">
        <f>+G88+G98+G99+G100</f>
        <v>8991</v>
      </c>
      <c r="H87" s="28">
        <f>+H88+H98+H99+H100</f>
        <v>0</v>
      </c>
      <c r="I87" s="29">
        <f>+I88+I98+I99+I100</f>
        <v>0</v>
      </c>
      <c r="K87" s="119">
        <f>+E87-G87-H87-I87</f>
        <v>0</v>
      </c>
    </row>
    <row r="88" spans="1:11">
      <c r="A88" s="84" t="s">
        <v>232</v>
      </c>
      <c r="B88" s="65" t="s">
        <v>1042</v>
      </c>
      <c r="C88" s="1051">
        <f>+C89+C90+C91+C92+C93+C94+C95+C96+C97</f>
        <v>0</v>
      </c>
      <c r="D88" s="10">
        <f>+D89+D90+D91+D92+D93+D94+D95+D96+D97</f>
        <v>8991</v>
      </c>
      <c r="E88" s="115">
        <f>+E89+E90+E91+E92+E93+E94+E95+E96+E97</f>
        <v>8991</v>
      </c>
      <c r="F88" s="1401">
        <f t="shared" si="1"/>
        <v>1</v>
      </c>
      <c r="G88" s="34">
        <f>+G89+G90+G91+G92+G93+G94+G95+G96+G97</f>
        <v>8991</v>
      </c>
      <c r="H88" s="10">
        <f>+H89+H90+H91+H92+H93+H94+H95+H96+H97</f>
        <v>0</v>
      </c>
      <c r="I88" s="35">
        <f>+I89+I90+I91+I92+I93+I94+I95+I96+I97</f>
        <v>0</v>
      </c>
      <c r="K88" s="118">
        <f>+E88-G88-H88-I88</f>
        <v>0</v>
      </c>
    </row>
    <row r="89" spans="1:11" s="13" customFormat="1">
      <c r="A89" s="86" t="s">
        <v>233</v>
      </c>
      <c r="B89" s="66" t="s">
        <v>974</v>
      </c>
      <c r="C89" s="502"/>
      <c r="D89" s="12"/>
      <c r="E89" s="744"/>
      <c r="F89" s="1402" t="str">
        <f t="shared" si="1"/>
        <v>-</v>
      </c>
      <c r="G89" s="19"/>
      <c r="H89" s="12"/>
      <c r="I89" s="15"/>
      <c r="K89" s="117">
        <f>+E89-G89-H89-I89</f>
        <v>0</v>
      </c>
    </row>
    <row r="90" spans="1:11" s="13" customFormat="1">
      <c r="A90" s="86" t="s">
        <v>234</v>
      </c>
      <c r="B90" s="66" t="s">
        <v>247</v>
      </c>
      <c r="C90" s="502"/>
      <c r="D90" s="12"/>
      <c r="E90" s="744"/>
      <c r="F90" s="1402" t="str">
        <f t="shared" si="1"/>
        <v>-</v>
      </c>
      <c r="G90" s="19"/>
      <c r="H90" s="12"/>
      <c r="I90" s="15"/>
      <c r="K90" s="117">
        <f>+E90-G90-H90-I90</f>
        <v>0</v>
      </c>
    </row>
    <row r="91" spans="1:11" s="13" customFormat="1">
      <c r="A91" s="86" t="s">
        <v>235</v>
      </c>
      <c r="B91" s="66" t="s">
        <v>248</v>
      </c>
      <c r="C91" s="502"/>
      <c r="D91" s="12"/>
      <c r="E91" s="744"/>
      <c r="F91" s="1402" t="str">
        <f t="shared" si="1"/>
        <v>-</v>
      </c>
      <c r="G91" s="19"/>
      <c r="H91" s="12"/>
      <c r="I91" s="15"/>
      <c r="K91" s="117">
        <f>+E91-G91-H91-I91</f>
        <v>0</v>
      </c>
    </row>
    <row r="92" spans="1:11" s="13" customFormat="1">
      <c r="A92" s="86" t="s">
        <v>236</v>
      </c>
      <c r="B92" s="66" t="s">
        <v>249</v>
      </c>
      <c r="C92" s="502"/>
      <c r="D92" s="12"/>
      <c r="E92" s="744"/>
      <c r="F92" s="1402" t="str">
        <f t="shared" si="1"/>
        <v>-</v>
      </c>
      <c r="G92" s="19"/>
      <c r="H92" s="12"/>
      <c r="I92" s="15"/>
      <c r="K92" s="117">
        <f>+E92-G92-H92-I92</f>
        <v>0</v>
      </c>
    </row>
    <row r="93" spans="1:11" s="13" customFormat="1">
      <c r="A93" s="86" t="s">
        <v>237</v>
      </c>
      <c r="B93" s="66" t="s">
        <v>250</v>
      </c>
      <c r="C93" s="502"/>
      <c r="D93" s="12"/>
      <c r="E93" s="744"/>
      <c r="F93" s="1402" t="str">
        <f t="shared" si="1"/>
        <v>-</v>
      </c>
      <c r="G93" s="19"/>
      <c r="H93" s="12"/>
      <c r="I93" s="15"/>
      <c r="K93" s="117">
        <f>+E93-G93-H93-I93</f>
        <v>0</v>
      </c>
    </row>
    <row r="94" spans="1:11" s="13" customFormat="1">
      <c r="A94" s="108" t="s">
        <v>238</v>
      </c>
      <c r="B94" s="109" t="s">
        <v>251</v>
      </c>
      <c r="C94" s="502">
        <f t="shared" ref="C94:F94" si="3">+C149-C50+C192-C89-C90-C91-C92-C93-C95-C96-C98-C99-C100</f>
        <v>0</v>
      </c>
      <c r="D94" s="12">
        <f t="shared" si="3"/>
        <v>8991</v>
      </c>
      <c r="E94" s="12">
        <f t="shared" si="3"/>
        <v>8991</v>
      </c>
      <c r="F94" s="1403">
        <f t="shared" si="1"/>
        <v>1</v>
      </c>
      <c r="G94" s="19">
        <f>+G149-G50+G192-G89-G90-G91-G92-G93-G95-G96-G98-G99-G100</f>
        <v>8991</v>
      </c>
      <c r="H94" s="12">
        <f>+H149-H50+H192-H89-H90-H91-H92-H93-H95-H96-H98-H99-H100</f>
        <v>0</v>
      </c>
      <c r="I94" s="15">
        <f>+I149-I50+I192-I89-I90-I91-I92-I93-I95-I96-I98-I99-I100</f>
        <v>0</v>
      </c>
      <c r="K94" s="117">
        <f>+E94-G94-H94-I94</f>
        <v>0</v>
      </c>
    </row>
    <row r="95" spans="1:11" s="13" customFormat="1">
      <c r="A95" s="86" t="s">
        <v>239</v>
      </c>
      <c r="B95" s="66" t="s">
        <v>252</v>
      </c>
      <c r="C95" s="502"/>
      <c r="D95" s="12"/>
      <c r="E95" s="12"/>
      <c r="F95" s="1402" t="str">
        <f t="shared" si="1"/>
        <v>-</v>
      </c>
      <c r="G95" s="19"/>
      <c r="H95" s="12"/>
      <c r="I95" s="15"/>
      <c r="K95" s="13">
        <f>+E95-G95-H95-I95</f>
        <v>0</v>
      </c>
    </row>
    <row r="96" spans="1:11" s="13" customFormat="1">
      <c r="A96" s="86" t="s">
        <v>240</v>
      </c>
      <c r="B96" s="66" t="s">
        <v>245</v>
      </c>
      <c r="C96" s="502"/>
      <c r="D96" s="12"/>
      <c r="E96" s="12"/>
      <c r="F96" s="1402" t="str">
        <f t="shared" si="1"/>
        <v>-</v>
      </c>
      <c r="G96" s="19"/>
      <c r="H96" s="12"/>
      <c r="I96" s="15"/>
      <c r="K96" s="13">
        <f>+E96-G96-H96-I96</f>
        <v>0</v>
      </c>
    </row>
    <row r="97" spans="1:11" s="13" customFormat="1">
      <c r="A97" s="86" t="s">
        <v>981</v>
      </c>
      <c r="B97" s="66" t="s">
        <v>977</v>
      </c>
      <c r="C97" s="502"/>
      <c r="D97" s="12"/>
      <c r="E97" s="12"/>
      <c r="F97" s="1402" t="str">
        <f t="shared" si="1"/>
        <v>-</v>
      </c>
      <c r="G97" s="19"/>
      <c r="H97" s="12"/>
      <c r="I97" s="15"/>
      <c r="K97" s="13">
        <f>+E97-G97-H97-I97</f>
        <v>0</v>
      </c>
    </row>
    <row r="98" spans="1:11">
      <c r="A98" s="85" t="s">
        <v>241</v>
      </c>
      <c r="B98" s="67" t="s">
        <v>243</v>
      </c>
      <c r="C98" s="501"/>
      <c r="D98" s="11"/>
      <c r="E98" s="11"/>
      <c r="F98" s="1402" t="str">
        <f t="shared" si="1"/>
        <v>-</v>
      </c>
      <c r="G98" s="20"/>
      <c r="H98" s="11"/>
      <c r="I98" s="16"/>
      <c r="K98" s="4">
        <f>+E98-G98-H98-I98</f>
        <v>0</v>
      </c>
    </row>
    <row r="99" spans="1:11">
      <c r="A99" s="78" t="s">
        <v>242</v>
      </c>
      <c r="B99" s="68" t="s">
        <v>244</v>
      </c>
      <c r="C99" s="500"/>
      <c r="D99" s="22"/>
      <c r="E99" s="22"/>
      <c r="F99" s="1404" t="str">
        <f t="shared" si="1"/>
        <v>-</v>
      </c>
      <c r="G99" s="21"/>
      <c r="H99" s="22"/>
      <c r="I99" s="23"/>
      <c r="K99" s="4">
        <f>+E99-G99-H99-I99</f>
        <v>0</v>
      </c>
    </row>
    <row r="100" spans="1:11" ht="12.75" thickBot="1">
      <c r="A100" s="78" t="s">
        <v>983</v>
      </c>
      <c r="B100" s="68" t="s">
        <v>979</v>
      </c>
      <c r="C100" s="500"/>
      <c r="D100" s="22"/>
      <c r="E100" s="22"/>
      <c r="F100" s="1404" t="str">
        <f t="shared" si="1"/>
        <v>-</v>
      </c>
      <c r="G100" s="21"/>
      <c r="H100" s="22"/>
      <c r="I100" s="23"/>
      <c r="K100" s="4">
        <f>+E100-G100-H100-I100</f>
        <v>0</v>
      </c>
    </row>
    <row r="101" spans="1:11" s="3" customFormat="1" ht="12.75" thickBot="1">
      <c r="A101" s="83" t="s">
        <v>43</v>
      </c>
      <c r="B101" s="69" t="s">
        <v>306</v>
      </c>
      <c r="C101" s="1049">
        <f>+C71+C86</f>
        <v>51211</v>
      </c>
      <c r="D101" s="28">
        <f>+D71+D86</f>
        <v>67538</v>
      </c>
      <c r="E101" s="28">
        <f>+E71+E86</f>
        <v>67665</v>
      </c>
      <c r="F101" s="1400">
        <f t="shared" si="1"/>
        <v>1.0018804228730493</v>
      </c>
      <c r="G101" s="27">
        <f>+G71+G86</f>
        <v>67665</v>
      </c>
      <c r="H101" s="28">
        <f>+H71+H86</f>
        <v>0</v>
      </c>
      <c r="I101" s="29">
        <f>+I71+I86</f>
        <v>0</v>
      </c>
      <c r="K101" s="3">
        <f>+E101-G101-H101-I101</f>
        <v>0</v>
      </c>
    </row>
    <row r="102" spans="1:11" s="3" customFormat="1" ht="12.75" thickBot="1">
      <c r="A102" s="87" t="s">
        <v>40</v>
      </c>
      <c r="B102" s="71" t="s">
        <v>307</v>
      </c>
      <c r="C102" s="1056">
        <f>+C70+C101</f>
        <v>51211</v>
      </c>
      <c r="D102" s="25">
        <f>+D70+D101</f>
        <v>68817</v>
      </c>
      <c r="E102" s="25">
        <f>+E70+E101</f>
        <v>68944</v>
      </c>
      <c r="F102" s="1406">
        <f t="shared" si="1"/>
        <v>1.0018454742287517</v>
      </c>
      <c r="G102" s="24">
        <f>+G70+G101</f>
        <v>68944</v>
      </c>
      <c r="H102" s="25">
        <f>+H70+H101</f>
        <v>0</v>
      </c>
      <c r="I102" s="26">
        <f>+I70+I101</f>
        <v>0</v>
      </c>
      <c r="K102" s="3">
        <f>+E102-G102-H102-I102</f>
        <v>0</v>
      </c>
    </row>
    <row r="103" spans="1:11" s="3" customFormat="1">
      <c r="A103" s="53"/>
      <c r="B103" s="30"/>
      <c r="C103" s="30"/>
      <c r="D103" s="30"/>
      <c r="E103" s="30"/>
      <c r="F103" s="1397"/>
      <c r="G103" s="30"/>
      <c r="H103" s="30"/>
      <c r="I103" s="30"/>
    </row>
    <row r="104" spans="1:11" s="3" customFormat="1">
      <c r="A104" s="53"/>
      <c r="B104" s="30"/>
      <c r="C104" s="30"/>
      <c r="D104" s="30"/>
      <c r="E104" s="30"/>
      <c r="F104" s="1407"/>
      <c r="G104" s="30"/>
      <c r="H104" s="30"/>
      <c r="I104" s="30"/>
    </row>
    <row r="105" spans="1:11" s="52" customFormat="1" ht="15.75">
      <c r="A105" s="1216" t="s">
        <v>80</v>
      </c>
      <c r="B105" s="1216"/>
      <c r="C105" s="1216"/>
      <c r="D105" s="1216"/>
      <c r="E105" s="1216"/>
      <c r="F105" s="1216"/>
      <c r="G105" s="1216"/>
      <c r="H105" s="1216"/>
      <c r="I105" s="1216"/>
    </row>
    <row r="106" spans="1:11" s="36" customFormat="1" ht="12.75" thickBot="1">
      <c r="A106" s="38" t="s">
        <v>279</v>
      </c>
      <c r="F106" s="1397"/>
      <c r="I106" s="37" t="s">
        <v>281</v>
      </c>
    </row>
    <row r="107" spans="1:11" s="3" customFormat="1" ht="48.75" thickBot="1">
      <c r="A107" s="79" t="s">
        <v>17</v>
      </c>
      <c r="B107" s="80" t="s">
        <v>329</v>
      </c>
      <c r="C107" s="1057" t="s">
        <v>1474</v>
      </c>
      <c r="D107" s="6" t="s">
        <v>1475</v>
      </c>
      <c r="E107" s="6" t="s">
        <v>1529</v>
      </c>
      <c r="F107" s="1398" t="s">
        <v>1527</v>
      </c>
      <c r="G107" s="5" t="s">
        <v>51</v>
      </c>
      <c r="H107" s="6" t="s">
        <v>52</v>
      </c>
      <c r="I107" s="7" t="s">
        <v>53</v>
      </c>
    </row>
    <row r="108" spans="1:11" s="3" customFormat="1" ht="12.75" thickBot="1">
      <c r="A108" s="81" t="s">
        <v>253</v>
      </c>
      <c r="B108" s="82" t="s">
        <v>254</v>
      </c>
      <c r="C108" s="1221" t="s">
        <v>255</v>
      </c>
      <c r="D108" s="1222"/>
      <c r="E108" s="1222"/>
      <c r="F108" s="1222"/>
      <c r="G108" s="1223"/>
      <c r="H108" s="1223"/>
      <c r="I108" s="1224"/>
    </row>
    <row r="109" spans="1:11" s="3" customFormat="1" ht="12.75" thickBot="1">
      <c r="A109" s="83" t="s">
        <v>4</v>
      </c>
      <c r="B109" s="69" t="s">
        <v>308</v>
      </c>
      <c r="C109" s="1049">
        <f>+C110+C114+C116+C123+C132</f>
        <v>51211</v>
      </c>
      <c r="D109" s="28">
        <f>+D110+D114+D116+D123+D132</f>
        <v>58626</v>
      </c>
      <c r="E109" s="28">
        <f>+E110+E114+E116+E123+E132</f>
        <v>58606</v>
      </c>
      <c r="F109" s="1408">
        <f t="shared" ref="F109:F172" si="4">IF(ISERROR(E109/D109),"-",E109/D109)</f>
        <v>0.99965885443318669</v>
      </c>
      <c r="G109" s="27">
        <f>+G110+G114+G116+G123+G132</f>
        <v>58606</v>
      </c>
      <c r="H109" s="28">
        <f>+H110+H114+H116+H123+H132</f>
        <v>0</v>
      </c>
      <c r="I109" s="29">
        <f>+I110+I114+I116+I123+I132</f>
        <v>0</v>
      </c>
      <c r="K109" s="3">
        <f>+E109-G109-H109-I109</f>
        <v>0</v>
      </c>
    </row>
    <row r="110" spans="1:11" s="3" customFormat="1" ht="12.75" thickBot="1">
      <c r="A110" s="83" t="s">
        <v>5</v>
      </c>
      <c r="B110" s="64" t="s">
        <v>309</v>
      </c>
      <c r="C110" s="1049">
        <f>+C112+C113</f>
        <v>37881</v>
      </c>
      <c r="D110" s="28">
        <f>+D112+D113</f>
        <v>45729</v>
      </c>
      <c r="E110" s="28">
        <f>+E112+E113</f>
        <v>45729</v>
      </c>
      <c r="F110" s="1408">
        <f t="shared" si="4"/>
        <v>1</v>
      </c>
      <c r="G110" s="27">
        <f>+G112+G113</f>
        <v>45729</v>
      </c>
      <c r="H110" s="28">
        <f>+H112+H113</f>
        <v>0</v>
      </c>
      <c r="I110" s="29">
        <f>+I112+I113</f>
        <v>0</v>
      </c>
      <c r="K110" s="3">
        <f>+E110-G110-H110-I110</f>
        <v>0</v>
      </c>
    </row>
    <row r="111" spans="1:11" s="36" customFormat="1">
      <c r="A111" s="819" t="s">
        <v>349</v>
      </c>
      <c r="B111" s="820" t="s">
        <v>350</v>
      </c>
      <c r="C111" s="1058"/>
      <c r="D111" s="97"/>
      <c r="E111" s="97"/>
      <c r="F111" s="1409" t="str">
        <f t="shared" si="4"/>
        <v>-</v>
      </c>
      <c r="G111" s="96"/>
      <c r="H111" s="97"/>
      <c r="I111" s="98"/>
      <c r="K111" s="36">
        <f>+E111-G111-H111-I111</f>
        <v>0</v>
      </c>
    </row>
    <row r="112" spans="1:11">
      <c r="A112" s="84" t="s">
        <v>54</v>
      </c>
      <c r="B112" s="65" t="s">
        <v>127</v>
      </c>
      <c r="C112" s="1051">
        <v>37781</v>
      </c>
      <c r="D112" s="10">
        <v>45645</v>
      </c>
      <c r="E112" s="10">
        <v>45645</v>
      </c>
      <c r="F112" s="1410">
        <f t="shared" si="4"/>
        <v>1</v>
      </c>
      <c r="G112" s="34">
        <v>45645</v>
      </c>
      <c r="H112" s="10"/>
      <c r="I112" s="35"/>
      <c r="K112" s="4">
        <f>+E112-G112-H112-I112</f>
        <v>0</v>
      </c>
    </row>
    <row r="113" spans="1:11" ht="12.75" thickBot="1">
      <c r="A113" s="78" t="s">
        <v>55</v>
      </c>
      <c r="B113" s="68" t="s">
        <v>128</v>
      </c>
      <c r="C113" s="500">
        <v>100</v>
      </c>
      <c r="D113" s="22">
        <v>84</v>
      </c>
      <c r="E113" s="22">
        <v>84</v>
      </c>
      <c r="F113" s="1411">
        <f t="shared" si="4"/>
        <v>1</v>
      </c>
      <c r="G113" s="21">
        <v>84</v>
      </c>
      <c r="H113" s="22"/>
      <c r="I113" s="23"/>
      <c r="K113" s="4">
        <f>+E113-G113-H113-I113</f>
        <v>0</v>
      </c>
    </row>
    <row r="114" spans="1:11" s="3" customFormat="1" ht="12.75" thickBot="1">
      <c r="A114" s="83" t="s">
        <v>6</v>
      </c>
      <c r="B114" s="64" t="s">
        <v>256</v>
      </c>
      <c r="C114" s="1049">
        <v>7316</v>
      </c>
      <c r="D114" s="28">
        <v>8760</v>
      </c>
      <c r="E114" s="28">
        <v>8760</v>
      </c>
      <c r="F114" s="1408">
        <f t="shared" si="4"/>
        <v>1</v>
      </c>
      <c r="G114" s="27">
        <v>8760</v>
      </c>
      <c r="H114" s="28"/>
      <c r="I114" s="29"/>
      <c r="K114" s="3">
        <f>+E114-G114-H114-I114</f>
        <v>0</v>
      </c>
    </row>
    <row r="115" spans="1:11" s="36" customFormat="1" ht="12.75" thickBot="1">
      <c r="A115" s="819" t="s">
        <v>346</v>
      </c>
      <c r="B115" s="820" t="s">
        <v>347</v>
      </c>
      <c r="C115" s="1058"/>
      <c r="D115" s="97"/>
      <c r="E115" s="97"/>
      <c r="F115" s="1409" t="str">
        <f t="shared" si="4"/>
        <v>-</v>
      </c>
      <c r="G115" s="96"/>
      <c r="H115" s="97"/>
      <c r="I115" s="98"/>
      <c r="K115" s="36">
        <f>+E115-G115-H115-I115</f>
        <v>0</v>
      </c>
    </row>
    <row r="116" spans="1:11" s="3" customFormat="1" ht="12.75" thickBot="1">
      <c r="A116" s="83" t="s">
        <v>3</v>
      </c>
      <c r="B116" s="64" t="s">
        <v>343</v>
      </c>
      <c r="C116" s="1049">
        <f>+C118+C119+C120+C121+C122</f>
        <v>6014</v>
      </c>
      <c r="D116" s="28">
        <f>+D118+D119+D120+D121+D122</f>
        <v>4093</v>
      </c>
      <c r="E116" s="28">
        <f>+E118+E119+E120+E121+E122</f>
        <v>4073</v>
      </c>
      <c r="F116" s="1408">
        <f t="shared" si="4"/>
        <v>0.99511360860004883</v>
      </c>
      <c r="G116" s="27">
        <f>+G118+G119+G120+G121+G122</f>
        <v>4073</v>
      </c>
      <c r="H116" s="28">
        <f>+H118+H119+H120+H121+H122</f>
        <v>0</v>
      </c>
      <c r="I116" s="29">
        <f>+I118+I119+I120+I121+I122</f>
        <v>0</v>
      </c>
      <c r="K116" s="3">
        <f>+E116-G116-H116-I116</f>
        <v>0</v>
      </c>
    </row>
    <row r="117" spans="1:11" s="36" customFormat="1">
      <c r="A117" s="819" t="s">
        <v>341</v>
      </c>
      <c r="B117" s="820" t="s">
        <v>348</v>
      </c>
      <c r="C117" s="1058"/>
      <c r="D117" s="97"/>
      <c r="E117" s="97"/>
      <c r="F117" s="1409" t="str">
        <f t="shared" si="4"/>
        <v>-</v>
      </c>
      <c r="G117" s="96"/>
      <c r="H117" s="97"/>
      <c r="I117" s="98"/>
      <c r="K117" s="36">
        <f>+E117-G117-H117-I117</f>
        <v>0</v>
      </c>
    </row>
    <row r="118" spans="1:11">
      <c r="A118" s="84" t="s">
        <v>61</v>
      </c>
      <c r="B118" s="65" t="s">
        <v>129</v>
      </c>
      <c r="C118" s="1051">
        <v>675</v>
      </c>
      <c r="D118" s="10">
        <v>1059</v>
      </c>
      <c r="E118" s="10">
        <v>1059</v>
      </c>
      <c r="F118" s="1410">
        <f t="shared" si="4"/>
        <v>1</v>
      </c>
      <c r="G118" s="34">
        <v>1059</v>
      </c>
      <c r="H118" s="10"/>
      <c r="I118" s="35"/>
      <c r="K118" s="4">
        <f>+E118-G118-H118-I118</f>
        <v>0</v>
      </c>
    </row>
    <row r="119" spans="1:11">
      <c r="A119" s="85" t="s">
        <v>62</v>
      </c>
      <c r="B119" s="67" t="s">
        <v>130</v>
      </c>
      <c r="C119" s="501">
        <v>500</v>
      </c>
      <c r="D119" s="11">
        <v>545</v>
      </c>
      <c r="E119" s="11">
        <v>534</v>
      </c>
      <c r="F119" s="1412">
        <f t="shared" si="4"/>
        <v>0.97981651376146794</v>
      </c>
      <c r="G119" s="20">
        <v>534</v>
      </c>
      <c r="H119" s="11"/>
      <c r="I119" s="16"/>
      <c r="K119" s="4">
        <f>+E119-G119-H119-I119</f>
        <v>0</v>
      </c>
    </row>
    <row r="120" spans="1:11">
      <c r="A120" s="85" t="s">
        <v>63</v>
      </c>
      <c r="B120" s="67" t="s">
        <v>131</v>
      </c>
      <c r="C120" s="501">
        <v>3479</v>
      </c>
      <c r="D120" s="11">
        <v>1604</v>
      </c>
      <c r="E120" s="11">
        <v>1599</v>
      </c>
      <c r="F120" s="1412">
        <f t="shared" si="4"/>
        <v>0.99688279301745641</v>
      </c>
      <c r="G120" s="20">
        <v>1599</v>
      </c>
      <c r="H120" s="11"/>
      <c r="I120" s="16"/>
      <c r="K120" s="4">
        <f>+E120-G120-H120-I120</f>
        <v>0</v>
      </c>
    </row>
    <row r="121" spans="1:11">
      <c r="A121" s="85" t="s">
        <v>64</v>
      </c>
      <c r="B121" s="67" t="s">
        <v>132</v>
      </c>
      <c r="C121" s="501">
        <v>800</v>
      </c>
      <c r="D121" s="11">
        <v>112</v>
      </c>
      <c r="E121" s="11">
        <v>112</v>
      </c>
      <c r="F121" s="1412">
        <f t="shared" si="4"/>
        <v>1</v>
      </c>
      <c r="G121" s="20">
        <v>112</v>
      </c>
      <c r="H121" s="11"/>
      <c r="I121" s="16"/>
      <c r="K121" s="4">
        <f>+E121-G121-H121-I121</f>
        <v>0</v>
      </c>
    </row>
    <row r="122" spans="1:11" ht="12.75" thickBot="1">
      <c r="A122" s="78" t="s">
        <v>65</v>
      </c>
      <c r="B122" s="68" t="s">
        <v>133</v>
      </c>
      <c r="C122" s="500">
        <v>560</v>
      </c>
      <c r="D122" s="22">
        <v>773</v>
      </c>
      <c r="E122" s="22">
        <v>769</v>
      </c>
      <c r="F122" s="1411">
        <f t="shared" si="4"/>
        <v>0.99482535575679176</v>
      </c>
      <c r="G122" s="21">
        <v>769</v>
      </c>
      <c r="H122" s="22"/>
      <c r="I122" s="23"/>
      <c r="K122" s="4">
        <f>+E122-G122-H122-I122</f>
        <v>0</v>
      </c>
    </row>
    <row r="123" spans="1:11" s="3" customFormat="1" ht="12.75" thickBot="1">
      <c r="A123" s="83" t="s">
        <v>16</v>
      </c>
      <c r="B123" s="64" t="s">
        <v>310</v>
      </c>
      <c r="C123" s="1049">
        <f>+C124+C125+C126+C127+C128+C129+C130+C131</f>
        <v>0</v>
      </c>
      <c r="D123" s="28">
        <f>+D124+D125+D126+D127+D128+D129+D130+D131</f>
        <v>0</v>
      </c>
      <c r="E123" s="28">
        <f>+E124+E125+E126+E127+E128+E129+E130+E131</f>
        <v>0</v>
      </c>
      <c r="F123" s="1408" t="str">
        <f t="shared" si="4"/>
        <v>-</v>
      </c>
      <c r="G123" s="27">
        <f>+G124+G125+G126+G127+G128+G129+G130+G131</f>
        <v>0</v>
      </c>
      <c r="H123" s="28">
        <f>+H124+H125+H126+H127+H128+H129+H130+H131</f>
        <v>0</v>
      </c>
      <c r="I123" s="29">
        <f>+I124+I125+I126+I127+I128+I129+I130+I131</f>
        <v>0</v>
      </c>
      <c r="K123" s="3">
        <f>+E123-G123-H123-I123</f>
        <v>0</v>
      </c>
    </row>
    <row r="124" spans="1:11">
      <c r="A124" s="84" t="s">
        <v>227</v>
      </c>
      <c r="B124" s="65" t="s">
        <v>134</v>
      </c>
      <c r="C124" s="1051"/>
      <c r="D124" s="10"/>
      <c r="E124" s="10"/>
      <c r="F124" s="1410" t="str">
        <f t="shared" si="4"/>
        <v>-</v>
      </c>
      <c r="G124" s="34"/>
      <c r="H124" s="10"/>
      <c r="I124" s="35"/>
      <c r="K124" s="4">
        <f>+E124-G124-H124-I124</f>
        <v>0</v>
      </c>
    </row>
    <row r="125" spans="1:11">
      <c r="A125" s="85" t="s">
        <v>228</v>
      </c>
      <c r="B125" s="67" t="s">
        <v>135</v>
      </c>
      <c r="C125" s="501"/>
      <c r="D125" s="11"/>
      <c r="E125" s="11"/>
      <c r="F125" s="1412" t="str">
        <f t="shared" si="4"/>
        <v>-</v>
      </c>
      <c r="G125" s="20"/>
      <c r="H125" s="11"/>
      <c r="I125" s="16"/>
      <c r="K125" s="4">
        <f>+E125-G125-H125-I125</f>
        <v>0</v>
      </c>
    </row>
    <row r="126" spans="1:11">
      <c r="A126" s="85" t="s">
        <v>229</v>
      </c>
      <c r="B126" s="67" t="s">
        <v>136</v>
      </c>
      <c r="C126" s="501"/>
      <c r="D126" s="11"/>
      <c r="E126" s="11"/>
      <c r="F126" s="1412" t="str">
        <f t="shared" si="4"/>
        <v>-</v>
      </c>
      <c r="G126" s="20"/>
      <c r="H126" s="11"/>
      <c r="I126" s="16"/>
      <c r="K126" s="4">
        <f>+E126-G126-H126-I126</f>
        <v>0</v>
      </c>
    </row>
    <row r="127" spans="1:11">
      <c r="A127" s="85" t="s">
        <v>257</v>
      </c>
      <c r="B127" s="67" t="s">
        <v>137</v>
      </c>
      <c r="C127" s="501"/>
      <c r="D127" s="11"/>
      <c r="E127" s="11"/>
      <c r="F127" s="1412" t="str">
        <f t="shared" si="4"/>
        <v>-</v>
      </c>
      <c r="G127" s="20"/>
      <c r="H127" s="11"/>
      <c r="I127" s="16"/>
      <c r="K127" s="4">
        <f>+E127-G127-H127-I127</f>
        <v>0</v>
      </c>
    </row>
    <row r="128" spans="1:11">
      <c r="A128" s="85" t="s">
        <v>258</v>
      </c>
      <c r="B128" s="67" t="s">
        <v>138</v>
      </c>
      <c r="C128" s="501"/>
      <c r="D128" s="11"/>
      <c r="E128" s="11"/>
      <c r="F128" s="1412" t="str">
        <f t="shared" si="4"/>
        <v>-</v>
      </c>
      <c r="G128" s="20"/>
      <c r="H128" s="11"/>
      <c r="I128" s="16"/>
      <c r="K128" s="4">
        <f>+E128-G128-H128-I128</f>
        <v>0</v>
      </c>
    </row>
    <row r="129" spans="1:11">
      <c r="A129" s="85" t="s">
        <v>259</v>
      </c>
      <c r="B129" s="67" t="s">
        <v>139</v>
      </c>
      <c r="C129" s="501"/>
      <c r="D129" s="11"/>
      <c r="E129" s="11"/>
      <c r="F129" s="1412" t="str">
        <f t="shared" si="4"/>
        <v>-</v>
      </c>
      <c r="G129" s="20"/>
      <c r="H129" s="11"/>
      <c r="I129" s="16"/>
      <c r="K129" s="4">
        <f>+E129-G129-H129-I129</f>
        <v>0</v>
      </c>
    </row>
    <row r="130" spans="1:11">
      <c r="A130" s="85" t="s">
        <v>260</v>
      </c>
      <c r="B130" s="67" t="s">
        <v>140</v>
      </c>
      <c r="C130" s="501"/>
      <c r="D130" s="11"/>
      <c r="E130" s="11"/>
      <c r="F130" s="1412" t="str">
        <f t="shared" si="4"/>
        <v>-</v>
      </c>
      <c r="G130" s="20"/>
      <c r="H130" s="11"/>
      <c r="I130" s="16"/>
      <c r="K130" s="4">
        <f>+E130-G130-H130-I130</f>
        <v>0</v>
      </c>
    </row>
    <row r="131" spans="1:11" ht="12.75" thickBot="1">
      <c r="A131" s="78" t="s">
        <v>261</v>
      </c>
      <c r="B131" s="68" t="s">
        <v>141</v>
      </c>
      <c r="C131" s="500"/>
      <c r="D131" s="22"/>
      <c r="E131" s="22"/>
      <c r="F131" s="1411" t="str">
        <f t="shared" si="4"/>
        <v>-</v>
      </c>
      <c r="G131" s="21"/>
      <c r="H131" s="22"/>
      <c r="I131" s="23"/>
      <c r="K131" s="4">
        <f>+E131-G131-H131-I131</f>
        <v>0</v>
      </c>
    </row>
    <row r="132" spans="1:11" s="3" customFormat="1" ht="12.75" thickBot="1">
      <c r="A132" s="83" t="s">
        <v>15</v>
      </c>
      <c r="B132" s="64" t="s">
        <v>987</v>
      </c>
      <c r="C132" s="1049">
        <f>+C133+C134+C135+C136+C137+C138+C140+C141+C142+C143+C144+C145+C146</f>
        <v>0</v>
      </c>
      <c r="D132" s="28">
        <f>+D133+D134+D135+D136+D137+D138+D140+D141+D142+D143+D144+D145+D146</f>
        <v>44</v>
      </c>
      <c r="E132" s="28">
        <f>+E133+E134+E135+E136+E137+E138+E144+E140+E141+E142+E143+E145+E146</f>
        <v>44</v>
      </c>
      <c r="F132" s="1408">
        <f t="shared" si="4"/>
        <v>1</v>
      </c>
      <c r="G132" s="27">
        <f>+G133+G134+G135+G136+G137+G138+G140+G141+G142+G143+G144+G145+G146</f>
        <v>44</v>
      </c>
      <c r="H132" s="28">
        <f>+H133+H134+H135+H136+H137+H138+H140+H141+H142+H143+H144+H145+H146</f>
        <v>0</v>
      </c>
      <c r="I132" s="29">
        <f>+I133+I134+I135+I136+I137+I138+I140+I141+I142+I143+I144+I145+I146</f>
        <v>0</v>
      </c>
      <c r="K132" s="3">
        <f>+E132-G132-H132-I132</f>
        <v>0</v>
      </c>
    </row>
    <row r="133" spans="1:11">
      <c r="A133" s="84" t="s">
        <v>87</v>
      </c>
      <c r="B133" s="65" t="s">
        <v>142</v>
      </c>
      <c r="C133" s="1051"/>
      <c r="D133" s="10"/>
      <c r="E133" s="10"/>
      <c r="F133" s="1410" t="str">
        <f t="shared" si="4"/>
        <v>-</v>
      </c>
      <c r="G133" s="34"/>
      <c r="H133" s="10"/>
      <c r="I133" s="35"/>
      <c r="K133" s="4">
        <f>+E133-G133-H133-I133</f>
        <v>0</v>
      </c>
    </row>
    <row r="134" spans="1:11">
      <c r="A134" s="85" t="s">
        <v>88</v>
      </c>
      <c r="B134" s="67" t="s">
        <v>143</v>
      </c>
      <c r="C134" s="501"/>
      <c r="D134" s="11">
        <f>0+44</f>
        <v>44</v>
      </c>
      <c r="E134" s="11">
        <v>44</v>
      </c>
      <c r="F134" s="1412">
        <f t="shared" si="4"/>
        <v>1</v>
      </c>
      <c r="G134" s="20">
        <v>44</v>
      </c>
      <c r="H134" s="11"/>
      <c r="I134" s="16"/>
      <c r="K134" s="4">
        <f>+E134-G134-H134-I134</f>
        <v>0</v>
      </c>
    </row>
    <row r="135" spans="1:11">
      <c r="A135" s="85" t="s">
        <v>182</v>
      </c>
      <c r="B135" s="67" t="s">
        <v>144</v>
      </c>
      <c r="C135" s="501"/>
      <c r="D135" s="11"/>
      <c r="E135" s="11"/>
      <c r="F135" s="1412" t="str">
        <f t="shared" si="4"/>
        <v>-</v>
      </c>
      <c r="G135" s="20"/>
      <c r="H135" s="11"/>
      <c r="I135" s="16"/>
      <c r="K135" s="4">
        <f>+E135-G135-H135-I135</f>
        <v>0</v>
      </c>
    </row>
    <row r="136" spans="1:11">
      <c r="A136" s="85" t="s">
        <v>183</v>
      </c>
      <c r="B136" s="67" t="s">
        <v>145</v>
      </c>
      <c r="C136" s="501"/>
      <c r="D136" s="11"/>
      <c r="E136" s="11"/>
      <c r="F136" s="1412" t="str">
        <f t="shared" si="4"/>
        <v>-</v>
      </c>
      <c r="G136" s="20"/>
      <c r="H136" s="11"/>
      <c r="I136" s="16"/>
      <c r="K136" s="4">
        <f>+E136-G136-H136-I136</f>
        <v>0</v>
      </c>
    </row>
    <row r="137" spans="1:11">
      <c r="A137" s="85" t="s">
        <v>184</v>
      </c>
      <c r="B137" s="67" t="s">
        <v>146</v>
      </c>
      <c r="C137" s="501"/>
      <c r="D137" s="11"/>
      <c r="E137" s="11"/>
      <c r="F137" s="1412" t="str">
        <f t="shared" si="4"/>
        <v>-</v>
      </c>
      <c r="G137" s="20"/>
      <c r="H137" s="11"/>
      <c r="I137" s="16"/>
      <c r="K137" s="4">
        <f>+E137-G137-H137-I137</f>
        <v>0</v>
      </c>
    </row>
    <row r="138" spans="1:11">
      <c r="A138" s="85" t="s">
        <v>262</v>
      </c>
      <c r="B138" s="67" t="s">
        <v>147</v>
      </c>
      <c r="C138" s="501"/>
      <c r="D138" s="11"/>
      <c r="E138" s="11"/>
      <c r="F138" s="1412" t="str">
        <f t="shared" si="4"/>
        <v>-</v>
      </c>
      <c r="G138" s="20"/>
      <c r="H138" s="11"/>
      <c r="I138" s="16"/>
      <c r="K138" s="4">
        <f>+E138-G138-H138-I138</f>
        <v>0</v>
      </c>
    </row>
    <row r="139" spans="1:11" s="13" customFormat="1">
      <c r="A139" s="89" t="s">
        <v>336</v>
      </c>
      <c r="B139" s="818" t="s">
        <v>993</v>
      </c>
      <c r="C139" s="1050"/>
      <c r="D139" s="43"/>
      <c r="E139" s="43"/>
      <c r="F139" s="1411" t="str">
        <f t="shared" si="4"/>
        <v>-</v>
      </c>
      <c r="G139" s="45"/>
      <c r="H139" s="43"/>
      <c r="I139" s="44"/>
      <c r="K139" s="13">
        <f>+E139-G139-H139-I139</f>
        <v>0</v>
      </c>
    </row>
    <row r="140" spans="1:11">
      <c r="A140" s="85" t="s">
        <v>263</v>
      </c>
      <c r="B140" s="67" t="s">
        <v>148</v>
      </c>
      <c r="C140" s="501"/>
      <c r="D140" s="11"/>
      <c r="E140" s="11"/>
      <c r="F140" s="1412" t="str">
        <f t="shared" si="4"/>
        <v>-</v>
      </c>
      <c r="G140" s="20"/>
      <c r="H140" s="11"/>
      <c r="I140" s="16"/>
      <c r="K140" s="4">
        <f>+E140-G140-H140-I140</f>
        <v>0</v>
      </c>
    </row>
    <row r="141" spans="1:11">
      <c r="A141" s="85" t="s">
        <v>264</v>
      </c>
      <c r="B141" s="67" t="s">
        <v>149</v>
      </c>
      <c r="C141" s="501"/>
      <c r="D141" s="11"/>
      <c r="E141" s="11"/>
      <c r="F141" s="1412" t="str">
        <f t="shared" si="4"/>
        <v>-</v>
      </c>
      <c r="G141" s="20"/>
      <c r="H141" s="11"/>
      <c r="I141" s="16"/>
      <c r="K141" s="4">
        <f>+E141-G141-H141-I141</f>
        <v>0</v>
      </c>
    </row>
    <row r="142" spans="1:11">
      <c r="A142" s="85" t="s">
        <v>265</v>
      </c>
      <c r="B142" s="67" t="s">
        <v>150</v>
      </c>
      <c r="C142" s="501"/>
      <c r="D142" s="11"/>
      <c r="E142" s="11"/>
      <c r="F142" s="1412" t="str">
        <f t="shared" si="4"/>
        <v>-</v>
      </c>
      <c r="G142" s="20"/>
      <c r="H142" s="11"/>
      <c r="I142" s="16"/>
      <c r="K142" s="4">
        <f>+E142-G142-H142-I142</f>
        <v>0</v>
      </c>
    </row>
    <row r="143" spans="1:11">
      <c r="A143" s="85" t="s">
        <v>266</v>
      </c>
      <c r="B143" s="67" t="s">
        <v>151</v>
      </c>
      <c r="C143" s="501"/>
      <c r="D143" s="11"/>
      <c r="E143" s="11"/>
      <c r="F143" s="1412" t="str">
        <f t="shared" si="4"/>
        <v>-</v>
      </c>
      <c r="G143" s="20"/>
      <c r="H143" s="11"/>
      <c r="I143" s="16"/>
      <c r="K143" s="4">
        <f>+E143-G143-H143-I143</f>
        <v>0</v>
      </c>
    </row>
    <row r="144" spans="1:11">
      <c r="A144" s="85" t="s">
        <v>267</v>
      </c>
      <c r="B144" s="67" t="s">
        <v>988</v>
      </c>
      <c r="C144" s="501"/>
      <c r="D144" s="11"/>
      <c r="E144" s="11"/>
      <c r="F144" s="1412" t="str">
        <f t="shared" si="4"/>
        <v>-</v>
      </c>
      <c r="G144" s="20"/>
      <c r="H144" s="11"/>
      <c r="I144" s="16"/>
      <c r="K144" s="4">
        <f>+E144-G144-H144-I144</f>
        <v>0</v>
      </c>
    </row>
    <row r="145" spans="1:11">
      <c r="A145" s="85" t="s">
        <v>268</v>
      </c>
      <c r="B145" s="67" t="s">
        <v>989</v>
      </c>
      <c r="C145" s="501"/>
      <c r="D145" s="11"/>
      <c r="E145" s="11"/>
      <c r="F145" s="1412" t="str">
        <f t="shared" si="4"/>
        <v>-</v>
      </c>
      <c r="G145" s="20"/>
      <c r="H145" s="11"/>
      <c r="I145" s="16"/>
      <c r="K145" s="4">
        <f>+E145-G145-H145-I145</f>
        <v>0</v>
      </c>
    </row>
    <row r="146" spans="1:11">
      <c r="A146" s="78" t="s">
        <v>984</v>
      </c>
      <c r="B146" s="68" t="s">
        <v>990</v>
      </c>
      <c r="C146" s="500">
        <f>+C147+C148</f>
        <v>0</v>
      </c>
      <c r="D146" s="22">
        <f>+D147+D148</f>
        <v>0</v>
      </c>
      <c r="E146" s="22">
        <f>+E147+E148</f>
        <v>0</v>
      </c>
      <c r="F146" s="1411" t="str">
        <f t="shared" si="4"/>
        <v>-</v>
      </c>
      <c r="G146" s="21">
        <f>+G147+G148</f>
        <v>0</v>
      </c>
      <c r="H146" s="22">
        <f>+H147+H148</f>
        <v>0</v>
      </c>
      <c r="I146" s="23">
        <f>+I147+I148</f>
        <v>0</v>
      </c>
      <c r="K146" s="4">
        <f>+E146-G146-H146-I146</f>
        <v>0</v>
      </c>
    </row>
    <row r="147" spans="1:11" s="13" customFormat="1">
      <c r="A147" s="89" t="s">
        <v>985</v>
      </c>
      <c r="B147" s="74" t="s">
        <v>991</v>
      </c>
      <c r="C147" s="1050"/>
      <c r="D147" s="43"/>
      <c r="E147" s="43"/>
      <c r="F147" s="1411" t="str">
        <f t="shared" si="4"/>
        <v>-</v>
      </c>
      <c r="G147" s="45"/>
      <c r="H147" s="43"/>
      <c r="I147" s="44"/>
      <c r="K147" s="13">
        <f>+E147-G147-H147-I147</f>
        <v>0</v>
      </c>
    </row>
    <row r="148" spans="1:11" s="13" customFormat="1" ht="12.75" thickBot="1">
      <c r="A148" s="89" t="s">
        <v>986</v>
      </c>
      <c r="B148" s="74" t="s">
        <v>992</v>
      </c>
      <c r="C148" s="1050"/>
      <c r="D148" s="43"/>
      <c r="E148" s="43"/>
      <c r="F148" s="1411" t="str">
        <f t="shared" si="4"/>
        <v>-</v>
      </c>
      <c r="G148" s="45"/>
      <c r="H148" s="43"/>
      <c r="I148" s="44"/>
      <c r="K148" s="13">
        <f>+E148-G148-H148-I148</f>
        <v>0</v>
      </c>
    </row>
    <row r="149" spans="1:11" s="3" customFormat="1" ht="12.75" thickBot="1">
      <c r="A149" s="83" t="s">
        <v>14</v>
      </c>
      <c r="B149" s="69" t="s">
        <v>311</v>
      </c>
      <c r="C149" s="1049">
        <f>+C150+C159+C165</f>
        <v>0</v>
      </c>
      <c r="D149" s="28">
        <f>+D150+D159+D165</f>
        <v>10191</v>
      </c>
      <c r="E149" s="28">
        <f>+E150+E159+E165</f>
        <v>10191</v>
      </c>
      <c r="F149" s="1408">
        <f t="shared" si="4"/>
        <v>1</v>
      </c>
      <c r="G149" s="27">
        <f>+G150+G159+G165</f>
        <v>10191</v>
      </c>
      <c r="H149" s="28">
        <f>+H150+H159+H165</f>
        <v>0</v>
      </c>
      <c r="I149" s="29">
        <f>+I150+I159+I165</f>
        <v>0</v>
      </c>
      <c r="K149" s="3">
        <f>+E149-G149-H149-I149</f>
        <v>0</v>
      </c>
    </row>
    <row r="150" spans="1:11" s="3" customFormat="1" ht="12.75" thickBot="1">
      <c r="A150" s="83" t="s">
        <v>13</v>
      </c>
      <c r="B150" s="64" t="s">
        <v>312</v>
      </c>
      <c r="C150" s="1049">
        <f>+C152+C153+C154+C155+C156+C157+C158</f>
        <v>0</v>
      </c>
      <c r="D150" s="28">
        <f>+D152+D153+D154+D155+D156+D157+D158</f>
        <v>10191</v>
      </c>
      <c r="E150" s="28">
        <f>+E152+E153+E154+E155+E156+E157+E158</f>
        <v>10191</v>
      </c>
      <c r="F150" s="1408">
        <f t="shared" si="4"/>
        <v>1</v>
      </c>
      <c r="G150" s="27">
        <f>+G152+G153+G154+G155+G156+G157+G158</f>
        <v>10191</v>
      </c>
      <c r="H150" s="28">
        <f>+H152+H153+H154+H155+H156+H157+H158</f>
        <v>0</v>
      </c>
      <c r="I150" s="29">
        <f>+I152+I153+I154+I155+I156+I157+I158</f>
        <v>0</v>
      </c>
      <c r="K150" s="3">
        <f>+E150-G150-H150-I150</f>
        <v>0</v>
      </c>
    </row>
    <row r="151" spans="1:11" s="36" customFormat="1">
      <c r="A151" s="819" t="s">
        <v>994</v>
      </c>
      <c r="B151" s="820" t="s">
        <v>342</v>
      </c>
      <c r="C151" s="1058"/>
      <c r="D151" s="97"/>
      <c r="E151" s="97"/>
      <c r="F151" s="1409" t="str">
        <f t="shared" si="4"/>
        <v>-</v>
      </c>
      <c r="G151" s="96"/>
      <c r="H151" s="97"/>
      <c r="I151" s="98"/>
      <c r="K151" s="36">
        <f>+E151-G151-H151-I151</f>
        <v>0</v>
      </c>
    </row>
    <row r="152" spans="1:11">
      <c r="A152" s="84" t="s">
        <v>66</v>
      </c>
      <c r="B152" s="65" t="s">
        <v>152</v>
      </c>
      <c r="C152" s="1051"/>
      <c r="D152" s="10">
        <v>866</v>
      </c>
      <c r="E152" s="10">
        <v>866</v>
      </c>
      <c r="F152" s="1410">
        <f t="shared" si="4"/>
        <v>1</v>
      </c>
      <c r="G152" s="34">
        <v>866</v>
      </c>
      <c r="H152" s="10"/>
      <c r="I152" s="35"/>
      <c r="K152" s="4">
        <f>+E152-G152-H152-I152</f>
        <v>0</v>
      </c>
    </row>
    <row r="153" spans="1:11">
      <c r="A153" s="85" t="s">
        <v>67</v>
      </c>
      <c r="B153" s="67" t="s">
        <v>153</v>
      </c>
      <c r="C153" s="501"/>
      <c r="D153" s="11"/>
      <c r="E153" s="11"/>
      <c r="F153" s="1412" t="str">
        <f t="shared" si="4"/>
        <v>-</v>
      </c>
      <c r="G153" s="20"/>
      <c r="H153" s="11"/>
      <c r="I153" s="16"/>
      <c r="K153" s="4">
        <f>+E153-G153-H153-I153</f>
        <v>0</v>
      </c>
    </row>
    <row r="154" spans="1:11">
      <c r="A154" s="85" t="s">
        <v>68</v>
      </c>
      <c r="B154" s="67" t="s">
        <v>154</v>
      </c>
      <c r="C154" s="501"/>
      <c r="D154" s="11">
        <v>777</v>
      </c>
      <c r="E154" s="11">
        <v>777</v>
      </c>
      <c r="F154" s="1412">
        <f t="shared" si="4"/>
        <v>1</v>
      </c>
      <c r="G154" s="20">
        <v>777</v>
      </c>
      <c r="H154" s="11"/>
      <c r="I154" s="16"/>
      <c r="K154" s="4">
        <f>+E154-G154-H154-I154</f>
        <v>0</v>
      </c>
    </row>
    <row r="155" spans="1:11">
      <c r="A155" s="85" t="s">
        <v>230</v>
      </c>
      <c r="B155" s="67" t="s">
        <v>155</v>
      </c>
      <c r="C155" s="501"/>
      <c r="D155" s="11">
        <v>6381</v>
      </c>
      <c r="E155" s="11">
        <v>6381</v>
      </c>
      <c r="F155" s="1412">
        <f t="shared" si="4"/>
        <v>1</v>
      </c>
      <c r="G155" s="20">
        <v>6381</v>
      </c>
      <c r="H155" s="11"/>
      <c r="I155" s="16"/>
      <c r="K155" s="4">
        <f>+E155-G155-H155-I155</f>
        <v>0</v>
      </c>
    </row>
    <row r="156" spans="1:11">
      <c r="A156" s="85" t="s">
        <v>231</v>
      </c>
      <c r="B156" s="67" t="s">
        <v>156</v>
      </c>
      <c r="C156" s="501"/>
      <c r="D156" s="11"/>
      <c r="E156" s="11"/>
      <c r="F156" s="1412" t="str">
        <f t="shared" si="4"/>
        <v>-</v>
      </c>
      <c r="G156" s="20"/>
      <c r="H156" s="11"/>
      <c r="I156" s="16"/>
      <c r="K156" s="4">
        <f>+E156-G156-H156-I156</f>
        <v>0</v>
      </c>
    </row>
    <row r="157" spans="1:11">
      <c r="A157" s="85" t="s">
        <v>269</v>
      </c>
      <c r="B157" s="67" t="s">
        <v>157</v>
      </c>
      <c r="C157" s="501"/>
      <c r="D157" s="11"/>
      <c r="E157" s="11"/>
      <c r="F157" s="1412" t="str">
        <f t="shared" si="4"/>
        <v>-</v>
      </c>
      <c r="G157" s="20"/>
      <c r="H157" s="11"/>
      <c r="I157" s="16"/>
      <c r="K157" s="4">
        <f>+E157-G157-H157-I157</f>
        <v>0</v>
      </c>
    </row>
    <row r="158" spans="1:11" ht="12.75" thickBot="1">
      <c r="A158" s="78" t="s">
        <v>270</v>
      </c>
      <c r="B158" s="68" t="s">
        <v>158</v>
      </c>
      <c r="C158" s="500"/>
      <c r="D158" s="22">
        <v>2167</v>
      </c>
      <c r="E158" s="22">
        <v>2167</v>
      </c>
      <c r="F158" s="1411">
        <f t="shared" si="4"/>
        <v>1</v>
      </c>
      <c r="G158" s="21">
        <v>2167</v>
      </c>
      <c r="H158" s="22"/>
      <c r="I158" s="23"/>
      <c r="K158" s="4">
        <f>+E158-G158-H158-I158</f>
        <v>0</v>
      </c>
    </row>
    <row r="159" spans="1:11" s="3" customFormat="1" ht="12.75" thickBot="1">
      <c r="A159" s="83" t="s">
        <v>12</v>
      </c>
      <c r="B159" s="64" t="s">
        <v>313</v>
      </c>
      <c r="C159" s="1049">
        <f>+C161+C162+C163+C164</f>
        <v>0</v>
      </c>
      <c r="D159" s="28">
        <f>+D161+D162+D163+D164</f>
        <v>0</v>
      </c>
      <c r="E159" s="28">
        <f>+E161+E162+E163+E164</f>
        <v>0</v>
      </c>
      <c r="F159" s="1408" t="str">
        <f t="shared" si="4"/>
        <v>-</v>
      </c>
      <c r="G159" s="27">
        <f>+G161+G162+G163+G164</f>
        <v>0</v>
      </c>
      <c r="H159" s="28">
        <f>+H161+H162+H163+H164</f>
        <v>0</v>
      </c>
      <c r="I159" s="29">
        <f>+I161+I162+I163+I164</f>
        <v>0</v>
      </c>
      <c r="K159" s="3">
        <f>+E159-G159-H159-I159</f>
        <v>0</v>
      </c>
    </row>
    <row r="160" spans="1:11" s="36" customFormat="1">
      <c r="A160" s="819" t="s">
        <v>344</v>
      </c>
      <c r="B160" s="820" t="s">
        <v>345</v>
      </c>
      <c r="C160" s="1058"/>
      <c r="D160" s="97"/>
      <c r="E160" s="97"/>
      <c r="F160" s="1409" t="str">
        <f t="shared" si="4"/>
        <v>-</v>
      </c>
      <c r="G160" s="96"/>
      <c r="H160" s="97"/>
      <c r="I160" s="98"/>
      <c r="K160" s="36">
        <f>+E160-G160-H160-I160</f>
        <v>0</v>
      </c>
    </row>
    <row r="161" spans="1:11">
      <c r="A161" s="84" t="s">
        <v>69</v>
      </c>
      <c r="B161" s="65" t="s">
        <v>159</v>
      </c>
      <c r="C161" s="1051"/>
      <c r="D161" s="10"/>
      <c r="E161" s="10"/>
      <c r="F161" s="1410" t="str">
        <f t="shared" si="4"/>
        <v>-</v>
      </c>
      <c r="G161" s="34"/>
      <c r="H161" s="10"/>
      <c r="I161" s="35"/>
      <c r="K161" s="4">
        <f>+E161-G161-H161-I161</f>
        <v>0</v>
      </c>
    </row>
    <row r="162" spans="1:11">
      <c r="A162" s="85" t="s">
        <v>70</v>
      </c>
      <c r="B162" s="67" t="s">
        <v>160</v>
      </c>
      <c r="C162" s="501"/>
      <c r="D162" s="11"/>
      <c r="E162" s="11"/>
      <c r="F162" s="1412" t="str">
        <f t="shared" si="4"/>
        <v>-</v>
      </c>
      <c r="G162" s="20"/>
      <c r="H162" s="11"/>
      <c r="I162" s="16"/>
      <c r="K162" s="4">
        <f>+E162-G162-H162-I162</f>
        <v>0</v>
      </c>
    </row>
    <row r="163" spans="1:11">
      <c r="A163" s="85" t="s">
        <v>71</v>
      </c>
      <c r="B163" s="67" t="s">
        <v>161</v>
      </c>
      <c r="C163" s="501"/>
      <c r="D163" s="11"/>
      <c r="E163" s="11"/>
      <c r="F163" s="1412" t="str">
        <f t="shared" si="4"/>
        <v>-</v>
      </c>
      <c r="G163" s="20"/>
      <c r="H163" s="11"/>
      <c r="I163" s="16"/>
      <c r="K163" s="4">
        <f>+E163-G163-H163-I163</f>
        <v>0</v>
      </c>
    </row>
    <row r="164" spans="1:11" ht="12.75" thickBot="1">
      <c r="A164" s="78" t="s">
        <v>72</v>
      </c>
      <c r="B164" s="68" t="s">
        <v>162</v>
      </c>
      <c r="C164" s="500"/>
      <c r="D164" s="22"/>
      <c r="E164" s="22"/>
      <c r="F164" s="1411" t="str">
        <f t="shared" si="4"/>
        <v>-</v>
      </c>
      <c r="G164" s="21"/>
      <c r="H164" s="22"/>
      <c r="I164" s="23"/>
      <c r="K164" s="4">
        <f>+E164-G164-H164-I164</f>
        <v>0</v>
      </c>
    </row>
    <row r="165" spans="1:11" s="3" customFormat="1" ht="12.75" thickBot="1">
      <c r="A165" s="83" t="s">
        <v>11</v>
      </c>
      <c r="B165" s="64" t="s">
        <v>996</v>
      </c>
      <c r="C165" s="1049">
        <f>+C166+C167+C168+C169+C171+C172+C173+C174+C175</f>
        <v>0</v>
      </c>
      <c r="D165" s="28">
        <f>+D166+D167+D168+D169+D171+D172+D173+D174+D175</f>
        <v>0</v>
      </c>
      <c r="E165" s="28">
        <f>+E166+E167+E168+E169+E171+E172+E173+E174+E175</f>
        <v>0</v>
      </c>
      <c r="F165" s="1408" t="str">
        <f t="shared" si="4"/>
        <v>-</v>
      </c>
      <c r="G165" s="27">
        <f>+G166+G167+G168+G169+G171+G172+G173+G174+G175</f>
        <v>0</v>
      </c>
      <c r="H165" s="28">
        <f>+H166+H167+H168+H169+H171+H172+H173+H174+H175</f>
        <v>0</v>
      </c>
      <c r="I165" s="29">
        <f>+I166+I167+I168+I169+I171+I172+I173+I174+I175</f>
        <v>0</v>
      </c>
      <c r="K165" s="3">
        <f>+E165-G165-H165-I165</f>
        <v>0</v>
      </c>
    </row>
    <row r="166" spans="1:11">
      <c r="A166" s="84" t="s">
        <v>271</v>
      </c>
      <c r="B166" s="65" t="s">
        <v>163</v>
      </c>
      <c r="C166" s="1051"/>
      <c r="D166" s="10"/>
      <c r="E166" s="10"/>
      <c r="F166" s="1410" t="str">
        <f t="shared" si="4"/>
        <v>-</v>
      </c>
      <c r="G166" s="34"/>
      <c r="H166" s="10"/>
      <c r="I166" s="35"/>
      <c r="K166" s="4">
        <f>+E166-G166-H166-I166</f>
        <v>0</v>
      </c>
    </row>
    <row r="167" spans="1:11">
      <c r="A167" s="85" t="s">
        <v>272</v>
      </c>
      <c r="B167" s="67" t="s">
        <v>164</v>
      </c>
      <c r="C167" s="501"/>
      <c r="D167" s="11"/>
      <c r="E167" s="11"/>
      <c r="F167" s="1412" t="str">
        <f t="shared" si="4"/>
        <v>-</v>
      </c>
      <c r="G167" s="20"/>
      <c r="H167" s="11"/>
      <c r="I167" s="16"/>
      <c r="K167" s="4">
        <f>+E167-G167-H167-I167</f>
        <v>0</v>
      </c>
    </row>
    <row r="168" spans="1:11">
      <c r="A168" s="85" t="s">
        <v>273</v>
      </c>
      <c r="B168" s="67" t="s">
        <v>165</v>
      </c>
      <c r="C168" s="501"/>
      <c r="D168" s="11"/>
      <c r="E168" s="11"/>
      <c r="F168" s="1412" t="str">
        <f t="shared" si="4"/>
        <v>-</v>
      </c>
      <c r="G168" s="20"/>
      <c r="H168" s="11"/>
      <c r="I168" s="16"/>
      <c r="K168" s="4">
        <f>+E168-G168-H168-I168</f>
        <v>0</v>
      </c>
    </row>
    <row r="169" spans="1:11">
      <c r="A169" s="85" t="s">
        <v>274</v>
      </c>
      <c r="B169" s="67" t="s">
        <v>166</v>
      </c>
      <c r="C169" s="501"/>
      <c r="D169" s="11"/>
      <c r="E169" s="11"/>
      <c r="F169" s="1412" t="str">
        <f t="shared" si="4"/>
        <v>-</v>
      </c>
      <c r="G169" s="20"/>
      <c r="H169" s="11"/>
      <c r="I169" s="16"/>
      <c r="K169" s="4">
        <f>+E169-G169-H169-I169</f>
        <v>0</v>
      </c>
    </row>
    <row r="170" spans="1:11" s="13" customFormat="1">
      <c r="A170" s="89" t="s">
        <v>339</v>
      </c>
      <c r="B170" s="818" t="s">
        <v>340</v>
      </c>
      <c r="C170" s="1050"/>
      <c r="D170" s="43"/>
      <c r="E170" s="43"/>
      <c r="F170" s="1411" t="str">
        <f t="shared" si="4"/>
        <v>-</v>
      </c>
      <c r="G170" s="45"/>
      <c r="H170" s="43"/>
      <c r="I170" s="44"/>
      <c r="K170" s="13">
        <f>+E170-G170-H170-I170</f>
        <v>0</v>
      </c>
    </row>
    <row r="171" spans="1:11">
      <c r="A171" s="85" t="s">
        <v>275</v>
      </c>
      <c r="B171" s="67" t="s">
        <v>167</v>
      </c>
      <c r="C171" s="501"/>
      <c r="D171" s="11"/>
      <c r="E171" s="11"/>
      <c r="F171" s="1412" t="str">
        <f t="shared" si="4"/>
        <v>-</v>
      </c>
      <c r="G171" s="20"/>
      <c r="H171" s="11"/>
      <c r="I171" s="16"/>
      <c r="K171" s="4">
        <f>+E171-G171-H171-I171</f>
        <v>0</v>
      </c>
    </row>
    <row r="172" spans="1:11">
      <c r="A172" s="85" t="s">
        <v>276</v>
      </c>
      <c r="B172" s="67" t="s">
        <v>168</v>
      </c>
      <c r="C172" s="501"/>
      <c r="D172" s="11"/>
      <c r="E172" s="11"/>
      <c r="F172" s="1412" t="str">
        <f t="shared" si="4"/>
        <v>-</v>
      </c>
      <c r="G172" s="20"/>
      <c r="H172" s="11"/>
      <c r="I172" s="16"/>
      <c r="K172" s="4">
        <f>+E172-G172-H172-I172</f>
        <v>0</v>
      </c>
    </row>
    <row r="173" spans="1:11">
      <c r="A173" s="85" t="s">
        <v>277</v>
      </c>
      <c r="B173" s="67" t="s">
        <v>169</v>
      </c>
      <c r="C173" s="501"/>
      <c r="D173" s="11"/>
      <c r="E173" s="11"/>
      <c r="F173" s="1412" t="str">
        <f t="shared" ref="F173:F208" si="5">IF(ISERROR(E173/D173),"-",E173/D173)</f>
        <v>-</v>
      </c>
      <c r="G173" s="20"/>
      <c r="H173" s="11"/>
      <c r="I173" s="16"/>
      <c r="K173" s="4">
        <f>+E173-G173-H173-I173</f>
        <v>0</v>
      </c>
    </row>
    <row r="174" spans="1:11">
      <c r="A174" s="85" t="s">
        <v>278</v>
      </c>
      <c r="B174" s="67" t="s">
        <v>997</v>
      </c>
      <c r="C174" s="501"/>
      <c r="D174" s="11"/>
      <c r="E174" s="11"/>
      <c r="F174" s="1412" t="str">
        <f t="shared" si="5"/>
        <v>-</v>
      </c>
      <c r="G174" s="20"/>
      <c r="H174" s="11"/>
      <c r="I174" s="16"/>
      <c r="K174" s="4">
        <f>+E174-G174-H174-I174</f>
        <v>0</v>
      </c>
    </row>
    <row r="175" spans="1:11" ht="12.75" thickBot="1">
      <c r="A175" s="78" t="s">
        <v>995</v>
      </c>
      <c r="B175" s="68" t="s">
        <v>998</v>
      </c>
      <c r="C175" s="500"/>
      <c r="D175" s="22"/>
      <c r="E175" s="22"/>
      <c r="F175" s="1411" t="str">
        <f t="shared" si="5"/>
        <v>-</v>
      </c>
      <c r="G175" s="21"/>
      <c r="H175" s="22"/>
      <c r="I175" s="23"/>
      <c r="K175" s="4">
        <f>+E175-G175-H175-I175</f>
        <v>0</v>
      </c>
    </row>
    <row r="176" spans="1:11" s="3" customFormat="1" ht="12.75" thickBot="1">
      <c r="A176" s="83" t="s">
        <v>10</v>
      </c>
      <c r="B176" s="69" t="s">
        <v>314</v>
      </c>
      <c r="C176" s="1049">
        <f>+C109+C149</f>
        <v>51211</v>
      </c>
      <c r="D176" s="28">
        <f>+D109+D149</f>
        <v>68817</v>
      </c>
      <c r="E176" s="28">
        <f>+E109+E149</f>
        <v>68797</v>
      </c>
      <c r="F176" s="1408">
        <f t="shared" si="5"/>
        <v>0.99970937413720451</v>
      </c>
      <c r="G176" s="27">
        <f>+G109+G149</f>
        <v>68797</v>
      </c>
      <c r="H176" s="28">
        <f>+H109+H149</f>
        <v>0</v>
      </c>
      <c r="I176" s="29">
        <f>+I109+I149</f>
        <v>0</v>
      </c>
      <c r="K176" s="3">
        <f>+E176-G176-H176-I176</f>
        <v>0</v>
      </c>
    </row>
    <row r="177" spans="1:11" s="3" customFormat="1" ht="12.75" thickBot="1">
      <c r="A177" s="83" t="s">
        <v>9</v>
      </c>
      <c r="B177" s="70" t="s">
        <v>315</v>
      </c>
      <c r="C177" s="1049">
        <f>+C178</f>
        <v>0</v>
      </c>
      <c r="D177" s="28">
        <f>+D178</f>
        <v>0</v>
      </c>
      <c r="E177" s="28">
        <f>+E178</f>
        <v>0</v>
      </c>
      <c r="F177" s="1408" t="str">
        <f t="shared" si="5"/>
        <v>-</v>
      </c>
      <c r="G177" s="27">
        <f>+G178</f>
        <v>0</v>
      </c>
      <c r="H177" s="28">
        <f>+H178</f>
        <v>0</v>
      </c>
      <c r="I177" s="29">
        <f>+I178</f>
        <v>0</v>
      </c>
      <c r="K177" s="3">
        <f>+E177-G177-H177-I177</f>
        <v>0</v>
      </c>
    </row>
    <row r="178" spans="1:11" s="3" customFormat="1" ht="12.75" thickBot="1">
      <c r="A178" s="83" t="s">
        <v>45</v>
      </c>
      <c r="B178" s="64" t="s">
        <v>1005</v>
      </c>
      <c r="C178" s="1049">
        <f>+C179+C189+C190+C191</f>
        <v>0</v>
      </c>
      <c r="D178" s="28">
        <f>+D179+D189+D190+D191</f>
        <v>0</v>
      </c>
      <c r="E178" s="28">
        <f>+E179+E189+E190+E191</f>
        <v>0</v>
      </c>
      <c r="F178" s="1408" t="str">
        <f t="shared" si="5"/>
        <v>-</v>
      </c>
      <c r="G178" s="27">
        <f>+G179+G189+G190+G191</f>
        <v>0</v>
      </c>
      <c r="H178" s="28">
        <f>+H179+H189+H190+H191</f>
        <v>0</v>
      </c>
      <c r="I178" s="29">
        <f>+I179+I189+I190+I191</f>
        <v>0</v>
      </c>
      <c r="K178" s="3">
        <f>+E178-G178-H178-I178</f>
        <v>0</v>
      </c>
    </row>
    <row r="179" spans="1:11">
      <c r="A179" s="84" t="s">
        <v>75</v>
      </c>
      <c r="B179" s="65" t="s">
        <v>1006</v>
      </c>
      <c r="C179" s="1051">
        <f>+C180+C181+C182+C183+C184+C185+C186+C187+C188</f>
        <v>0</v>
      </c>
      <c r="D179" s="10">
        <f>+D180+D181+D182+D183+D184+D185+D186+D187+D188</f>
        <v>0</v>
      </c>
      <c r="E179" s="47">
        <f>+E180+E181+E182+E183+E184+E185+E186+E187+E188</f>
        <v>0</v>
      </c>
      <c r="F179" s="1410" t="str">
        <f t="shared" si="5"/>
        <v>-</v>
      </c>
      <c r="G179" s="34">
        <f>+G180+G181+G182+G183+G184+G185+G186+G187+G188</f>
        <v>0</v>
      </c>
      <c r="H179" s="10">
        <f>+H180+H181+H182+H183+H184+H185+H186+H187+H188</f>
        <v>0</v>
      </c>
      <c r="I179" s="35">
        <f>+I180+I181+I182+I183+I184+I185+I186+I187+I188</f>
        <v>0</v>
      </c>
      <c r="K179" s="4">
        <f>+E179-G179-H179-I179</f>
        <v>0</v>
      </c>
    </row>
    <row r="180" spans="1:11" s="13" customFormat="1">
      <c r="A180" s="86" t="s">
        <v>205</v>
      </c>
      <c r="B180" s="66" t="s">
        <v>170</v>
      </c>
      <c r="C180" s="502"/>
      <c r="D180" s="12"/>
      <c r="E180" s="12"/>
      <c r="F180" s="1412" t="str">
        <f t="shared" si="5"/>
        <v>-</v>
      </c>
      <c r="G180" s="19"/>
      <c r="H180" s="12"/>
      <c r="I180" s="15"/>
      <c r="K180" s="13">
        <f>+E180-G180-H180-I180</f>
        <v>0</v>
      </c>
    </row>
    <row r="181" spans="1:11" s="13" customFormat="1">
      <c r="A181" s="86" t="s">
        <v>206</v>
      </c>
      <c r="B181" s="66" t="s">
        <v>171</v>
      </c>
      <c r="C181" s="502"/>
      <c r="D181" s="12"/>
      <c r="E181" s="12"/>
      <c r="F181" s="1412" t="str">
        <f t="shared" si="5"/>
        <v>-</v>
      </c>
      <c r="G181" s="19"/>
      <c r="H181" s="12"/>
      <c r="I181" s="15"/>
      <c r="K181" s="13">
        <f>+E181-G181-H181-I181</f>
        <v>0</v>
      </c>
    </row>
    <row r="182" spans="1:11" s="13" customFormat="1">
      <c r="A182" s="86" t="s">
        <v>207</v>
      </c>
      <c r="B182" s="66" t="s">
        <v>172</v>
      </c>
      <c r="C182" s="502"/>
      <c r="D182" s="12"/>
      <c r="E182" s="12"/>
      <c r="F182" s="1412" t="str">
        <f t="shared" si="5"/>
        <v>-</v>
      </c>
      <c r="G182" s="19"/>
      <c r="H182" s="12"/>
      <c r="I182" s="15"/>
      <c r="K182" s="13">
        <f>+E182-G182-H182-I182</f>
        <v>0</v>
      </c>
    </row>
    <row r="183" spans="1:11" s="13" customFormat="1">
      <c r="A183" s="86" t="s">
        <v>208</v>
      </c>
      <c r="B183" s="66" t="s">
        <v>173</v>
      </c>
      <c r="C183" s="502"/>
      <c r="D183" s="12"/>
      <c r="E183" s="12"/>
      <c r="F183" s="1412" t="str">
        <f t="shared" si="5"/>
        <v>-</v>
      </c>
      <c r="G183" s="19"/>
      <c r="H183" s="12"/>
      <c r="I183" s="15"/>
      <c r="K183" s="13">
        <f>+E183-G183-H183-I183</f>
        <v>0</v>
      </c>
    </row>
    <row r="184" spans="1:11" s="13" customFormat="1">
      <c r="A184" s="108" t="s">
        <v>209</v>
      </c>
      <c r="B184" s="109" t="s">
        <v>174</v>
      </c>
      <c r="C184" s="502"/>
      <c r="D184" s="12"/>
      <c r="E184" s="744"/>
      <c r="F184" s="1418" t="str">
        <f t="shared" si="5"/>
        <v>-</v>
      </c>
      <c r="G184" s="743"/>
      <c r="H184" s="744"/>
      <c r="I184" s="745"/>
      <c r="K184" s="117">
        <f>+E184-G184-H184-I184</f>
        <v>0</v>
      </c>
    </row>
    <row r="185" spans="1:11" s="13" customFormat="1">
      <c r="A185" s="86" t="s">
        <v>210</v>
      </c>
      <c r="B185" s="66" t="s">
        <v>179</v>
      </c>
      <c r="C185" s="502"/>
      <c r="D185" s="12"/>
      <c r="E185" s="12"/>
      <c r="F185" s="1412" t="str">
        <f t="shared" si="5"/>
        <v>-</v>
      </c>
      <c r="G185" s="743"/>
      <c r="H185" s="744"/>
      <c r="I185" s="745"/>
      <c r="K185" s="13">
        <f>+E185-G185-H185-I185</f>
        <v>0</v>
      </c>
    </row>
    <row r="186" spans="1:11" s="13" customFormat="1">
      <c r="A186" s="86" t="s">
        <v>211</v>
      </c>
      <c r="B186" s="66" t="s">
        <v>175</v>
      </c>
      <c r="C186" s="502"/>
      <c r="D186" s="12"/>
      <c r="E186" s="12"/>
      <c r="F186" s="1412" t="str">
        <f t="shared" si="5"/>
        <v>-</v>
      </c>
      <c r="G186" s="743"/>
      <c r="H186" s="744"/>
      <c r="I186" s="745"/>
      <c r="K186" s="13">
        <f>+E186-G186-H186-I186</f>
        <v>0</v>
      </c>
    </row>
    <row r="187" spans="1:11" s="13" customFormat="1">
      <c r="A187" s="86" t="s">
        <v>212</v>
      </c>
      <c r="B187" s="66" t="s">
        <v>176</v>
      </c>
      <c r="C187" s="502"/>
      <c r="D187" s="12"/>
      <c r="E187" s="12"/>
      <c r="F187" s="1412" t="str">
        <f t="shared" si="5"/>
        <v>-</v>
      </c>
      <c r="G187" s="743"/>
      <c r="H187" s="744"/>
      <c r="I187" s="745"/>
      <c r="K187" s="13">
        <f>+E187-G187-H187-I187</f>
        <v>0</v>
      </c>
    </row>
    <row r="188" spans="1:11" s="13" customFormat="1">
      <c r="A188" s="86" t="s">
        <v>999</v>
      </c>
      <c r="B188" s="66" t="s">
        <v>1001</v>
      </c>
      <c r="C188" s="502"/>
      <c r="D188" s="12"/>
      <c r="E188" s="12"/>
      <c r="F188" s="1412" t="str">
        <f t="shared" si="5"/>
        <v>-</v>
      </c>
      <c r="G188" s="743"/>
      <c r="H188" s="744"/>
      <c r="I188" s="745"/>
      <c r="K188" s="13">
        <f>+E188-G188-H188-I188</f>
        <v>0</v>
      </c>
    </row>
    <row r="189" spans="1:11">
      <c r="A189" s="85" t="s">
        <v>76</v>
      </c>
      <c r="B189" s="67" t="s">
        <v>177</v>
      </c>
      <c r="C189" s="501"/>
      <c r="D189" s="11"/>
      <c r="E189" s="11"/>
      <c r="F189" s="1412" t="str">
        <f t="shared" si="5"/>
        <v>-</v>
      </c>
      <c r="G189" s="987"/>
      <c r="H189" s="988"/>
      <c r="I189" s="989"/>
      <c r="K189" s="4">
        <f>+E189-G189-H189-I189</f>
        <v>0</v>
      </c>
    </row>
    <row r="190" spans="1:11">
      <c r="A190" s="78" t="s">
        <v>77</v>
      </c>
      <c r="B190" s="68" t="s">
        <v>178</v>
      </c>
      <c r="C190" s="500"/>
      <c r="D190" s="22"/>
      <c r="E190" s="22"/>
      <c r="F190" s="1411" t="str">
        <f t="shared" si="5"/>
        <v>-</v>
      </c>
      <c r="G190" s="990"/>
      <c r="H190" s="991"/>
      <c r="I190" s="992"/>
      <c r="K190" s="4">
        <f>+E190-G190-H190-I190</f>
        <v>0</v>
      </c>
    </row>
    <row r="191" spans="1:11" ht="12.75" thickBot="1">
      <c r="A191" s="78" t="s">
        <v>1004</v>
      </c>
      <c r="B191" s="68" t="s">
        <v>1002</v>
      </c>
      <c r="C191" s="500"/>
      <c r="D191" s="22"/>
      <c r="E191" s="17"/>
      <c r="F191" s="1411" t="str">
        <f t="shared" si="5"/>
        <v>-</v>
      </c>
      <c r="G191" s="990"/>
      <c r="H191" s="991"/>
      <c r="I191" s="992"/>
      <c r="K191" s="4">
        <f>+E191-G191-H191-I191</f>
        <v>0</v>
      </c>
    </row>
    <row r="192" spans="1:11" s="3" customFormat="1" ht="12.75" thickBot="1">
      <c r="A192" s="83" t="s">
        <v>44</v>
      </c>
      <c r="B192" s="69" t="s">
        <v>316</v>
      </c>
      <c r="C192" s="1049">
        <f>+C193</f>
        <v>0</v>
      </c>
      <c r="D192" s="28">
        <f>+D193</f>
        <v>0</v>
      </c>
      <c r="E192" s="28">
        <f>+E193</f>
        <v>0</v>
      </c>
      <c r="F192" s="1408" t="str">
        <f t="shared" si="5"/>
        <v>-</v>
      </c>
      <c r="G192" s="110">
        <f>+G193</f>
        <v>0</v>
      </c>
      <c r="H192" s="111">
        <f>+H193</f>
        <v>0</v>
      </c>
      <c r="I192" s="112">
        <f>+I193</f>
        <v>0</v>
      </c>
      <c r="K192" s="3">
        <f>+E192-G192-H192-I192</f>
        <v>0</v>
      </c>
    </row>
    <row r="193" spans="1:11" s="3" customFormat="1" ht="12.75" thickBot="1">
      <c r="A193" s="83" t="s">
        <v>43</v>
      </c>
      <c r="B193" s="64" t="s">
        <v>1000</v>
      </c>
      <c r="C193" s="1049">
        <f>+C194+C204+C205+C206</f>
        <v>0</v>
      </c>
      <c r="D193" s="28">
        <f>+D194+D204+D205+D206</f>
        <v>0</v>
      </c>
      <c r="E193" s="28">
        <f>+E194+E204+E205+E206</f>
        <v>0</v>
      </c>
      <c r="F193" s="1408" t="str">
        <f t="shared" si="5"/>
        <v>-</v>
      </c>
      <c r="G193" s="27">
        <f>+G194+G204+G205+G206</f>
        <v>0</v>
      </c>
      <c r="H193" s="28">
        <f>+H194+H204+H205+H206</f>
        <v>0</v>
      </c>
      <c r="I193" s="29">
        <f>+I194+I204+I205+I206</f>
        <v>0</v>
      </c>
      <c r="K193" s="3">
        <f>+E193-G193-H193-I193</f>
        <v>0</v>
      </c>
    </row>
    <row r="194" spans="1:11">
      <c r="A194" s="84" t="s">
        <v>78</v>
      </c>
      <c r="B194" s="65" t="s">
        <v>1043</v>
      </c>
      <c r="C194" s="1051">
        <f>+C195+C196+C197+C198+C199+C200+C201+C202+C203</f>
        <v>0</v>
      </c>
      <c r="D194" s="10">
        <f>+D195+D196+D197+D198+D199+D200+D201+D202+D203</f>
        <v>0</v>
      </c>
      <c r="E194" s="47">
        <f>+E195+E196+E197+E198+E199+E200+E201+E202+E203</f>
        <v>0</v>
      </c>
      <c r="F194" s="1410" t="str">
        <f t="shared" si="5"/>
        <v>-</v>
      </c>
      <c r="G194" s="34">
        <f>+G195+G196+G197+G198+G199+G200+G201+G202+G203</f>
        <v>0</v>
      </c>
      <c r="H194" s="10">
        <f>+H195+H196+H197+H198+H199+H200+H201+H202+H203</f>
        <v>0</v>
      </c>
      <c r="I194" s="35">
        <f>+I195+I196+I197+I198+I199+I200+I201+I202+I203</f>
        <v>0</v>
      </c>
      <c r="K194" s="4">
        <f>+E194-G194-H194-I194</f>
        <v>0</v>
      </c>
    </row>
    <row r="195" spans="1:11" s="13" customFormat="1">
      <c r="A195" s="86" t="s">
        <v>213</v>
      </c>
      <c r="B195" s="66" t="s">
        <v>170</v>
      </c>
      <c r="C195" s="502"/>
      <c r="D195" s="12"/>
      <c r="E195" s="12"/>
      <c r="F195" s="1412" t="str">
        <f t="shared" si="5"/>
        <v>-</v>
      </c>
      <c r="G195" s="743"/>
      <c r="H195" s="744"/>
      <c r="I195" s="745"/>
      <c r="K195" s="13">
        <f>+E195-G195-H195-I195</f>
        <v>0</v>
      </c>
    </row>
    <row r="196" spans="1:11" s="13" customFormat="1">
      <c r="A196" s="86" t="s">
        <v>214</v>
      </c>
      <c r="B196" s="66" t="s">
        <v>171</v>
      </c>
      <c r="C196" s="502"/>
      <c r="D196" s="12"/>
      <c r="E196" s="12"/>
      <c r="F196" s="1412" t="str">
        <f t="shared" si="5"/>
        <v>-</v>
      </c>
      <c r="G196" s="743"/>
      <c r="H196" s="744"/>
      <c r="I196" s="745"/>
      <c r="K196" s="13">
        <f>+E196-G196-H196-I196</f>
        <v>0</v>
      </c>
    </row>
    <row r="197" spans="1:11" s="13" customFormat="1">
      <c r="A197" s="86" t="s">
        <v>215</v>
      </c>
      <c r="B197" s="66" t="s">
        <v>172</v>
      </c>
      <c r="C197" s="502"/>
      <c r="D197" s="12"/>
      <c r="E197" s="12"/>
      <c r="F197" s="1412" t="str">
        <f t="shared" si="5"/>
        <v>-</v>
      </c>
      <c r="G197" s="743"/>
      <c r="H197" s="744"/>
      <c r="I197" s="745"/>
      <c r="K197" s="13">
        <f>+E197-G197-H197-I197</f>
        <v>0</v>
      </c>
    </row>
    <row r="198" spans="1:11" s="13" customFormat="1">
      <c r="A198" s="86" t="s">
        <v>216</v>
      </c>
      <c r="B198" s="66" t="s">
        <v>173</v>
      </c>
      <c r="C198" s="502"/>
      <c r="D198" s="12"/>
      <c r="E198" s="12"/>
      <c r="F198" s="1412" t="str">
        <f t="shared" si="5"/>
        <v>-</v>
      </c>
      <c r="G198" s="743"/>
      <c r="H198" s="744"/>
      <c r="I198" s="745"/>
      <c r="K198" s="13">
        <f>+E198-G198-H198-I198</f>
        <v>0</v>
      </c>
    </row>
    <row r="199" spans="1:11" s="13" customFormat="1">
      <c r="A199" s="108" t="s">
        <v>217</v>
      </c>
      <c r="B199" s="109" t="s">
        <v>174</v>
      </c>
      <c r="C199" s="502"/>
      <c r="D199" s="12"/>
      <c r="E199" s="744"/>
      <c r="F199" s="1418" t="str">
        <f t="shared" si="5"/>
        <v>-</v>
      </c>
      <c r="G199" s="743"/>
      <c r="H199" s="744"/>
      <c r="I199" s="745"/>
      <c r="K199" s="117">
        <f>+E199-G199-H199-I199</f>
        <v>0</v>
      </c>
    </row>
    <row r="200" spans="1:11" s="13" customFormat="1">
      <c r="A200" s="86" t="s">
        <v>218</v>
      </c>
      <c r="B200" s="66" t="s">
        <v>179</v>
      </c>
      <c r="C200" s="502"/>
      <c r="D200" s="12"/>
      <c r="E200" s="12"/>
      <c r="F200" s="1412" t="str">
        <f t="shared" si="5"/>
        <v>-</v>
      </c>
      <c r="G200" s="743"/>
      <c r="H200" s="744"/>
      <c r="I200" s="745"/>
      <c r="K200" s="13">
        <f>+E200-G200-H200-I200</f>
        <v>0</v>
      </c>
    </row>
    <row r="201" spans="1:11" s="13" customFormat="1">
      <c r="A201" s="86" t="s">
        <v>219</v>
      </c>
      <c r="B201" s="66" t="s">
        <v>175</v>
      </c>
      <c r="C201" s="502"/>
      <c r="D201" s="12"/>
      <c r="E201" s="12"/>
      <c r="F201" s="1412" t="str">
        <f t="shared" si="5"/>
        <v>-</v>
      </c>
      <c r="G201" s="19"/>
      <c r="H201" s="12"/>
      <c r="I201" s="15"/>
      <c r="K201" s="13">
        <f>+E201-G201-H201-I201</f>
        <v>0</v>
      </c>
    </row>
    <row r="202" spans="1:11" s="13" customFormat="1">
      <c r="A202" s="86" t="s">
        <v>220</v>
      </c>
      <c r="B202" s="66" t="s">
        <v>176</v>
      </c>
      <c r="C202" s="502"/>
      <c r="D202" s="12"/>
      <c r="E202" s="12"/>
      <c r="F202" s="1412" t="str">
        <f t="shared" si="5"/>
        <v>-</v>
      </c>
      <c r="G202" s="19"/>
      <c r="H202" s="12"/>
      <c r="I202" s="15"/>
      <c r="K202" s="13">
        <f>+E202-G202-H202-I202</f>
        <v>0</v>
      </c>
    </row>
    <row r="203" spans="1:11" s="13" customFormat="1">
      <c r="A203" s="86" t="s">
        <v>999</v>
      </c>
      <c r="B203" s="66" t="s">
        <v>1001</v>
      </c>
      <c r="C203" s="502"/>
      <c r="D203" s="12"/>
      <c r="E203" s="12"/>
      <c r="F203" s="1412" t="str">
        <f t="shared" si="5"/>
        <v>-</v>
      </c>
      <c r="G203" s="19"/>
      <c r="H203" s="12"/>
      <c r="I203" s="15"/>
      <c r="K203" s="13">
        <f>+E203-G203-H203-I203</f>
        <v>0</v>
      </c>
    </row>
    <row r="204" spans="1:11">
      <c r="A204" s="85" t="s">
        <v>79</v>
      </c>
      <c r="B204" s="67" t="s">
        <v>177</v>
      </c>
      <c r="C204" s="501"/>
      <c r="D204" s="11"/>
      <c r="E204" s="11"/>
      <c r="F204" s="1412" t="str">
        <f t="shared" si="5"/>
        <v>-</v>
      </c>
      <c r="G204" s="20"/>
      <c r="H204" s="11"/>
      <c r="I204" s="16"/>
      <c r="K204" s="4">
        <f>+E204-G204-H204-I204</f>
        <v>0</v>
      </c>
    </row>
    <row r="205" spans="1:11">
      <c r="A205" s="78" t="s">
        <v>221</v>
      </c>
      <c r="B205" s="68" t="s">
        <v>178</v>
      </c>
      <c r="C205" s="500"/>
      <c r="D205" s="22"/>
      <c r="E205" s="22"/>
      <c r="F205" s="1411" t="str">
        <f t="shared" si="5"/>
        <v>-</v>
      </c>
      <c r="G205" s="21"/>
      <c r="H205" s="22"/>
      <c r="I205" s="23"/>
      <c r="K205" s="4">
        <f>+E205-G205-H205-I205</f>
        <v>0</v>
      </c>
    </row>
    <row r="206" spans="1:11" ht="12.75" thickBot="1">
      <c r="A206" s="78" t="s">
        <v>1003</v>
      </c>
      <c r="B206" s="68" t="s">
        <v>1002</v>
      </c>
      <c r="C206" s="500"/>
      <c r="D206" s="22"/>
      <c r="E206" s="17"/>
      <c r="F206" s="1411" t="str">
        <f t="shared" si="5"/>
        <v>-</v>
      </c>
      <c r="G206" s="21"/>
      <c r="H206" s="22"/>
      <c r="I206" s="23"/>
      <c r="K206" s="4">
        <f>+E206-G206-H206-I206</f>
        <v>0</v>
      </c>
    </row>
    <row r="207" spans="1:11" s="3" customFormat="1" ht="12.75" thickBot="1">
      <c r="A207" s="83" t="s">
        <v>40</v>
      </c>
      <c r="B207" s="69" t="s">
        <v>317</v>
      </c>
      <c r="C207" s="1049">
        <f>+C177+C192</f>
        <v>0</v>
      </c>
      <c r="D207" s="28">
        <f>+D177+D192</f>
        <v>0</v>
      </c>
      <c r="E207" s="28">
        <f>+E177+E192</f>
        <v>0</v>
      </c>
      <c r="F207" s="1408" t="str">
        <f t="shared" si="5"/>
        <v>-</v>
      </c>
      <c r="G207" s="27">
        <f>+G177+G192</f>
        <v>0</v>
      </c>
      <c r="H207" s="28">
        <f>+H177+H192</f>
        <v>0</v>
      </c>
      <c r="I207" s="29">
        <f>+I177+I192</f>
        <v>0</v>
      </c>
      <c r="K207" s="3">
        <f>+E207-G207-H207-I207</f>
        <v>0</v>
      </c>
    </row>
    <row r="208" spans="1:11" s="3" customFormat="1" ht="12.75" thickBot="1">
      <c r="A208" s="87" t="s">
        <v>39</v>
      </c>
      <c r="B208" s="71" t="s">
        <v>335</v>
      </c>
      <c r="C208" s="1056">
        <f>+C176+C207</f>
        <v>51211</v>
      </c>
      <c r="D208" s="25">
        <f>+D176+D207</f>
        <v>68817</v>
      </c>
      <c r="E208" s="25">
        <f>+E176+E207</f>
        <v>68797</v>
      </c>
      <c r="F208" s="1414">
        <f t="shared" si="5"/>
        <v>0.99970937413720451</v>
      </c>
      <c r="G208" s="24">
        <f>+G176+G207</f>
        <v>68797</v>
      </c>
      <c r="H208" s="25">
        <f>+H176+H207</f>
        <v>0</v>
      </c>
      <c r="I208" s="26">
        <f>+I176+I207</f>
        <v>0</v>
      </c>
      <c r="K208" s="3">
        <f>+E208-G208-H208-I208</f>
        <v>0</v>
      </c>
    </row>
    <row r="211" spans="1:33" s="1" customFormat="1" ht="15.75">
      <c r="A211" s="1217" t="s">
        <v>89</v>
      </c>
      <c r="B211" s="1217"/>
      <c r="C211" s="1217"/>
      <c r="D211" s="1217"/>
      <c r="E211" s="1217"/>
      <c r="F211" s="1217"/>
      <c r="G211" s="1217"/>
      <c r="H211" s="1217"/>
      <c r="I211" s="1217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</row>
    <row r="212" spans="1:33" s="36" customFormat="1" ht="12.75" thickBot="1">
      <c r="A212" s="38" t="s">
        <v>282</v>
      </c>
      <c r="F212" s="1397"/>
      <c r="I212" s="37" t="s">
        <v>281</v>
      </c>
    </row>
    <row r="213" spans="1:33" s="3" customFormat="1" ht="12.75" thickBot="1">
      <c r="A213" s="83" t="s">
        <v>4</v>
      </c>
      <c r="B213" s="69" t="s">
        <v>318</v>
      </c>
      <c r="C213" s="1049">
        <f>+C214+C215</f>
        <v>-51211</v>
      </c>
      <c r="D213" s="28">
        <f>+D214+D215</f>
        <v>-67538</v>
      </c>
      <c r="E213" s="28">
        <f>+E214+E215</f>
        <v>-67518</v>
      </c>
      <c r="F213" s="1408">
        <f>IF(ISERROR(E213/D213),"-",E213/D213)</f>
        <v>0.99970387041369302</v>
      </c>
      <c r="G213" s="27">
        <f>+G214+G215</f>
        <v>-67518</v>
      </c>
      <c r="H213" s="28">
        <f>+H214+H215</f>
        <v>0</v>
      </c>
      <c r="I213" s="29">
        <f>+I214+I215</f>
        <v>0</v>
      </c>
      <c r="K213" s="3">
        <f>+E213-G213-H213-I213</f>
        <v>0</v>
      </c>
    </row>
    <row r="214" spans="1:33">
      <c r="A214" s="84" t="s">
        <v>81</v>
      </c>
      <c r="B214" s="72" t="s">
        <v>319</v>
      </c>
      <c r="C214" s="1051">
        <f>+C10-C109</f>
        <v>-51211</v>
      </c>
      <c r="D214" s="10">
        <f>+D10-D109</f>
        <v>-58547</v>
      </c>
      <c r="E214" s="10">
        <f>+E10-E109</f>
        <v>-58527</v>
      </c>
      <c r="F214" s="1410">
        <f>IF(ISERROR(E214/D214),"-",E214/D214)</f>
        <v>0.99965839411071444</v>
      </c>
      <c r="G214" s="34">
        <f>+G10-G109</f>
        <v>-58527</v>
      </c>
      <c r="H214" s="10">
        <f>+H10-H109</f>
        <v>0</v>
      </c>
      <c r="I214" s="35">
        <f>+I10-I109</f>
        <v>0</v>
      </c>
      <c r="K214" s="4">
        <f>+E214-G214-H214-I214</f>
        <v>0</v>
      </c>
    </row>
    <row r="215" spans="1:33" ht="12.75" thickBot="1">
      <c r="A215" s="88" t="s">
        <v>82</v>
      </c>
      <c r="B215" s="73" t="s">
        <v>320</v>
      </c>
      <c r="C215" s="503">
        <f>+C50-C149</f>
        <v>0</v>
      </c>
      <c r="D215" s="17">
        <f>+D50-D149</f>
        <v>-8991</v>
      </c>
      <c r="E215" s="17">
        <f>+E50-E149</f>
        <v>-8991</v>
      </c>
      <c r="F215" s="1416">
        <f>IF(ISERROR(E215/D215),"-",E215/D215)</f>
        <v>1</v>
      </c>
      <c r="G215" s="40">
        <f>+G50-G149</f>
        <v>-8991</v>
      </c>
      <c r="H215" s="17">
        <f>+H50-H149</f>
        <v>0</v>
      </c>
      <c r="I215" s="39">
        <f>+I50-I149</f>
        <v>0</v>
      </c>
      <c r="K215" s="4">
        <f>+E215-G215-H215-I215</f>
        <v>0</v>
      </c>
    </row>
    <row r="218" spans="1:33" s="1" customFormat="1" ht="15.75">
      <c r="A218" s="1217" t="s">
        <v>90</v>
      </c>
      <c r="B218" s="1217"/>
      <c r="C218" s="1217"/>
      <c r="D218" s="1217"/>
      <c r="E218" s="1217"/>
      <c r="F218" s="1217"/>
      <c r="G218" s="1217"/>
      <c r="H218" s="1217"/>
      <c r="I218" s="1217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</row>
    <row r="219" spans="1:33" s="36" customFormat="1" ht="12.75" thickBot="1">
      <c r="A219" s="38" t="s">
        <v>283</v>
      </c>
      <c r="F219" s="1397"/>
      <c r="I219" s="37" t="s">
        <v>281</v>
      </c>
    </row>
    <row r="220" spans="1:33" s="3" customFormat="1" ht="12.75" thickBot="1">
      <c r="A220" s="83" t="s">
        <v>4</v>
      </c>
      <c r="B220" s="69" t="s">
        <v>321</v>
      </c>
      <c r="C220" s="1049">
        <f>+C221+C228</f>
        <v>51211</v>
      </c>
      <c r="D220" s="28">
        <f>+D221+D228</f>
        <v>67538</v>
      </c>
      <c r="E220" s="28">
        <f>+E221+E228</f>
        <v>67665</v>
      </c>
      <c r="F220" s="1408">
        <f t="shared" ref="F220:F234" si="6">IF(ISERROR(E220/D220),"-",E220/D220)</f>
        <v>1.0018804228730493</v>
      </c>
      <c r="G220" s="27">
        <f>+G221+G228</f>
        <v>67665</v>
      </c>
      <c r="H220" s="28">
        <f>+H221+H228</f>
        <v>0</v>
      </c>
      <c r="I220" s="29">
        <f>+I221+I228</f>
        <v>0</v>
      </c>
      <c r="K220" s="3">
        <f>+E220-G220-H220-I220</f>
        <v>0</v>
      </c>
    </row>
    <row r="221" spans="1:33" s="3" customFormat="1" ht="12.75" thickBot="1">
      <c r="A221" s="83" t="s">
        <v>5</v>
      </c>
      <c r="B221" s="64" t="s">
        <v>322</v>
      </c>
      <c r="C221" s="1049">
        <f>+C222-C225</f>
        <v>51211</v>
      </c>
      <c r="D221" s="28">
        <f>+D222-D225</f>
        <v>58547</v>
      </c>
      <c r="E221" s="28">
        <f>+E222-E225</f>
        <v>58674</v>
      </c>
      <c r="F221" s="1408">
        <f t="shared" si="6"/>
        <v>1.0021691973969631</v>
      </c>
      <c r="G221" s="27">
        <f>+G222-G225</f>
        <v>58674</v>
      </c>
      <c r="H221" s="28">
        <f>+H222-H225</f>
        <v>0</v>
      </c>
      <c r="I221" s="29">
        <f>+I222-I225</f>
        <v>0</v>
      </c>
      <c r="K221" s="3">
        <f>+E221-G221-H221-I221</f>
        <v>0</v>
      </c>
    </row>
    <row r="222" spans="1:33">
      <c r="A222" s="84" t="s">
        <v>54</v>
      </c>
      <c r="B222" s="65" t="s">
        <v>323</v>
      </c>
      <c r="C222" s="1051">
        <f>+C223+C224</f>
        <v>51211</v>
      </c>
      <c r="D222" s="10">
        <f>+D223+D224</f>
        <v>58547</v>
      </c>
      <c r="E222" s="10">
        <f>+E223+E224</f>
        <v>58674</v>
      </c>
      <c r="F222" s="1410">
        <f t="shared" si="6"/>
        <v>1.0021691973969631</v>
      </c>
      <c r="G222" s="34">
        <f>+G223+G224</f>
        <v>58674</v>
      </c>
      <c r="H222" s="10">
        <f>+H223+H224</f>
        <v>0</v>
      </c>
      <c r="I222" s="35">
        <f>+I223+I224</f>
        <v>0</v>
      </c>
      <c r="K222" s="4">
        <f>+E222-G222-H222-I222</f>
        <v>0</v>
      </c>
    </row>
    <row r="223" spans="1:33" s="13" customFormat="1">
      <c r="A223" s="86" t="s">
        <v>190</v>
      </c>
      <c r="B223" s="66" t="s">
        <v>285</v>
      </c>
      <c r="C223" s="502">
        <f>+C76+C80</f>
        <v>0</v>
      </c>
      <c r="D223" s="12">
        <f>+D76+D80</f>
        <v>44</v>
      </c>
      <c r="E223" s="12">
        <f>+E76+E80</f>
        <v>44</v>
      </c>
      <c r="F223" s="1412">
        <f t="shared" si="6"/>
        <v>1</v>
      </c>
      <c r="G223" s="19">
        <f>+G76+G80</f>
        <v>44</v>
      </c>
      <c r="H223" s="12">
        <f>+H76+H80</f>
        <v>0</v>
      </c>
      <c r="I223" s="15">
        <f>+I76+I80</f>
        <v>0</v>
      </c>
      <c r="K223" s="13">
        <f>+E223-G223-H223-I223</f>
        <v>0</v>
      </c>
    </row>
    <row r="224" spans="1:33" s="13" customFormat="1">
      <c r="A224" s="86" t="s">
        <v>191</v>
      </c>
      <c r="B224" s="66" t="s">
        <v>286</v>
      </c>
      <c r="C224" s="502">
        <f>+C74+C75+C77+C78+C79+C81</f>
        <v>51211</v>
      </c>
      <c r="D224" s="12">
        <f>+D74+D75+D77+D78+D79+D81</f>
        <v>58503</v>
      </c>
      <c r="E224" s="12">
        <f>+E74+E75+E77+E78+E79+E81</f>
        <v>58630</v>
      </c>
      <c r="F224" s="1412">
        <f t="shared" si="6"/>
        <v>1.002170828846384</v>
      </c>
      <c r="G224" s="19">
        <f>+G74+G75+G77+G78+G79+G81</f>
        <v>58630</v>
      </c>
      <c r="H224" s="12">
        <f>+H74+H75+H77+H78+H79+H81</f>
        <v>0</v>
      </c>
      <c r="I224" s="15">
        <f>+I74+I75+I77+I78+I79+I81</f>
        <v>0</v>
      </c>
      <c r="K224" s="13">
        <f>+E224-G224-H224-I224</f>
        <v>0</v>
      </c>
    </row>
    <row r="225" spans="1:33">
      <c r="A225" s="85" t="s">
        <v>55</v>
      </c>
      <c r="B225" s="67" t="s">
        <v>324</v>
      </c>
      <c r="C225" s="501">
        <f>+C227</f>
        <v>0</v>
      </c>
      <c r="D225" s="11">
        <f>+D227</f>
        <v>0</v>
      </c>
      <c r="E225" s="11">
        <f>+E227</f>
        <v>0</v>
      </c>
      <c r="F225" s="1412" t="str">
        <f t="shared" si="6"/>
        <v>-</v>
      </c>
      <c r="G225" s="20">
        <f>+G227</f>
        <v>0</v>
      </c>
      <c r="H225" s="11">
        <f>+H227</f>
        <v>0</v>
      </c>
      <c r="I225" s="16">
        <f>+I227</f>
        <v>0</v>
      </c>
      <c r="K225" s="4">
        <f>+E225-G225-H225-I225</f>
        <v>0</v>
      </c>
    </row>
    <row r="226" spans="1:33" s="13" customFormat="1">
      <c r="A226" s="86" t="s">
        <v>56</v>
      </c>
      <c r="B226" s="66" t="s">
        <v>287</v>
      </c>
      <c r="C226" s="502">
        <f>+C185</f>
        <v>0</v>
      </c>
      <c r="D226" s="12">
        <f>+D185</f>
        <v>0</v>
      </c>
      <c r="E226" s="12">
        <f>+E185</f>
        <v>0</v>
      </c>
      <c r="F226" s="1412" t="str">
        <f t="shared" si="6"/>
        <v>-</v>
      </c>
      <c r="G226" s="19">
        <f>+G185</f>
        <v>0</v>
      </c>
      <c r="H226" s="12">
        <f>+H185</f>
        <v>0</v>
      </c>
      <c r="I226" s="15">
        <f>+I185</f>
        <v>0</v>
      </c>
      <c r="K226" s="13">
        <f>+E226-G226-H226-I226</f>
        <v>0</v>
      </c>
    </row>
    <row r="227" spans="1:33" s="13" customFormat="1" ht="12.75" thickBot="1">
      <c r="A227" s="89" t="s">
        <v>57</v>
      </c>
      <c r="B227" s="74" t="s">
        <v>288</v>
      </c>
      <c r="C227" s="1050">
        <f>+C180+C181+C182+C183+C184+C186+C187</f>
        <v>0</v>
      </c>
      <c r="D227" s="43">
        <f>+D180+D181+D182+D183+D184+D186+D187</f>
        <v>0</v>
      </c>
      <c r="E227" s="43">
        <f>+E180+E181+E182+E183+E184+E186+E187</f>
        <v>0</v>
      </c>
      <c r="F227" s="1411" t="str">
        <f t="shared" si="6"/>
        <v>-</v>
      </c>
      <c r="G227" s="45">
        <f>+G180+G181+G182+G183+G184+G186+G187</f>
        <v>0</v>
      </c>
      <c r="H227" s="43">
        <f>+H180+H181+H182+H183+H184+H186+H187</f>
        <v>0</v>
      </c>
      <c r="I227" s="44">
        <f>+I180+I181+I182+I183+I184+I186+I187</f>
        <v>0</v>
      </c>
      <c r="K227" s="13">
        <f>+E227-G227-H227-I227</f>
        <v>0</v>
      </c>
    </row>
    <row r="228" spans="1:33" s="3" customFormat="1" ht="12.75" thickBot="1">
      <c r="A228" s="83" t="s">
        <v>6</v>
      </c>
      <c r="B228" s="64" t="s">
        <v>325</v>
      </c>
      <c r="C228" s="1049">
        <f>+C229-C232</f>
        <v>0</v>
      </c>
      <c r="D228" s="28">
        <f>+D229-D232</f>
        <v>8991</v>
      </c>
      <c r="E228" s="28">
        <f>+E229-E232</f>
        <v>8991</v>
      </c>
      <c r="F228" s="1408">
        <f t="shared" si="6"/>
        <v>1</v>
      </c>
      <c r="G228" s="27">
        <f>+G229-G232</f>
        <v>8991</v>
      </c>
      <c r="H228" s="28">
        <f>+H229-H232</f>
        <v>0</v>
      </c>
      <c r="I228" s="29">
        <f>+I229-I232</f>
        <v>0</v>
      </c>
      <c r="K228" s="3">
        <f>+E228-G228-H228-I228</f>
        <v>0</v>
      </c>
    </row>
    <row r="229" spans="1:33">
      <c r="A229" s="84" t="s">
        <v>58</v>
      </c>
      <c r="B229" s="65" t="s">
        <v>326</v>
      </c>
      <c r="C229" s="1051">
        <f>+C230+C231</f>
        <v>0</v>
      </c>
      <c r="D229" s="10">
        <f>+D230+D231</f>
        <v>8991</v>
      </c>
      <c r="E229" s="10">
        <f>+E230+E231</f>
        <v>8991</v>
      </c>
      <c r="F229" s="1410">
        <f t="shared" si="6"/>
        <v>1</v>
      </c>
      <c r="G229" s="34">
        <f>+G230+G231</f>
        <v>8991</v>
      </c>
      <c r="H229" s="10">
        <f>+H230+H231</f>
        <v>0</v>
      </c>
      <c r="I229" s="35">
        <f>+I230+I231</f>
        <v>0</v>
      </c>
      <c r="K229" s="4">
        <f>+E229-G229-H229-I229</f>
        <v>0</v>
      </c>
    </row>
    <row r="230" spans="1:33" s="13" customFormat="1">
      <c r="A230" s="86" t="s">
        <v>293</v>
      </c>
      <c r="B230" s="66" t="s">
        <v>291</v>
      </c>
      <c r="C230" s="502">
        <f>+C91+C95</f>
        <v>0</v>
      </c>
      <c r="D230" s="12">
        <f>+D91+D95</f>
        <v>0</v>
      </c>
      <c r="E230" s="12">
        <f>+E91+E95</f>
        <v>0</v>
      </c>
      <c r="F230" s="1412" t="str">
        <f t="shared" si="6"/>
        <v>-</v>
      </c>
      <c r="G230" s="19">
        <f>+G91+G95</f>
        <v>0</v>
      </c>
      <c r="H230" s="12">
        <f>+H91+H95</f>
        <v>0</v>
      </c>
      <c r="I230" s="15">
        <f>+I91+I95</f>
        <v>0</v>
      </c>
      <c r="K230" s="13">
        <f>+E230-G230-H230-I230</f>
        <v>0</v>
      </c>
    </row>
    <row r="231" spans="1:33" s="13" customFormat="1">
      <c r="A231" s="86" t="s">
        <v>294</v>
      </c>
      <c r="B231" s="66" t="s">
        <v>292</v>
      </c>
      <c r="C231" s="502">
        <f>+C89+C90+C92+C93+C94+C96</f>
        <v>0</v>
      </c>
      <c r="D231" s="12">
        <f>+D89+D90+D92+D93+D94+D96</f>
        <v>8991</v>
      </c>
      <c r="E231" s="12">
        <f>+E89+E90+E92+E93+E94+E96</f>
        <v>8991</v>
      </c>
      <c r="F231" s="1412">
        <f t="shared" si="6"/>
        <v>1</v>
      </c>
      <c r="G231" s="19">
        <f>+G89+G90+G92+G93+G94+G96</f>
        <v>8991</v>
      </c>
      <c r="H231" s="12">
        <f>+H89+H90+H92+H93+H94+H96</f>
        <v>0</v>
      </c>
      <c r="I231" s="15">
        <f>+I89+I90+I92+I93+I94+I96</f>
        <v>0</v>
      </c>
      <c r="K231" s="13">
        <f>+E231-G231-H231-I231</f>
        <v>0</v>
      </c>
    </row>
    <row r="232" spans="1:33">
      <c r="A232" s="85" t="s">
        <v>59</v>
      </c>
      <c r="B232" s="67" t="s">
        <v>327</v>
      </c>
      <c r="C232" s="501">
        <f>+C233+C234</f>
        <v>0</v>
      </c>
      <c r="D232" s="11">
        <f>+D233+D234</f>
        <v>0</v>
      </c>
      <c r="E232" s="11">
        <f>+E233+E234</f>
        <v>0</v>
      </c>
      <c r="F232" s="1412" t="str">
        <f t="shared" si="6"/>
        <v>-</v>
      </c>
      <c r="G232" s="20">
        <f>+G233+G234</f>
        <v>0</v>
      </c>
      <c r="H232" s="11">
        <f>+H233+H234</f>
        <v>0</v>
      </c>
      <c r="I232" s="16">
        <f>+I233+I234</f>
        <v>0</v>
      </c>
      <c r="K232" s="4">
        <f>+E232-G232-H232-I232</f>
        <v>0</v>
      </c>
    </row>
    <row r="233" spans="1:33" s="13" customFormat="1">
      <c r="A233" s="86" t="s">
        <v>295</v>
      </c>
      <c r="B233" s="66" t="s">
        <v>289</v>
      </c>
      <c r="C233" s="502">
        <f>+C200</f>
        <v>0</v>
      </c>
      <c r="D233" s="12">
        <f>+D200</f>
        <v>0</v>
      </c>
      <c r="E233" s="12">
        <f>+E200</f>
        <v>0</v>
      </c>
      <c r="F233" s="1412" t="str">
        <f t="shared" si="6"/>
        <v>-</v>
      </c>
      <c r="G233" s="19">
        <f>+G200</f>
        <v>0</v>
      </c>
      <c r="H233" s="12">
        <f>+H200</f>
        <v>0</v>
      </c>
      <c r="I233" s="15">
        <f>+I200</f>
        <v>0</v>
      </c>
      <c r="K233" s="13">
        <f>+E233-G233-H233-I233</f>
        <v>0</v>
      </c>
    </row>
    <row r="234" spans="1:33" s="13" customFormat="1" ht="12.75" thickBot="1">
      <c r="A234" s="90" t="s">
        <v>296</v>
      </c>
      <c r="B234" s="75" t="s">
        <v>290</v>
      </c>
      <c r="C234" s="1059">
        <f>+C195+C196+C197+C198+C199+C201+C202</f>
        <v>0</v>
      </c>
      <c r="D234" s="41">
        <f>+D195+D196+D197+D198+D199+D201+D202</f>
        <v>0</v>
      </c>
      <c r="E234" s="41">
        <f>+E195+E196+E197+E198+E199+E201+E202</f>
        <v>0</v>
      </c>
      <c r="F234" s="1416" t="str">
        <f t="shared" si="6"/>
        <v>-</v>
      </c>
      <c r="G234" s="46">
        <f>+G195+G196+G197+G198+G199+G201+G202</f>
        <v>0</v>
      </c>
      <c r="H234" s="41">
        <f>+H195+H196+H197+H198+H199+H201+H202</f>
        <v>0</v>
      </c>
      <c r="I234" s="42">
        <f>+I195+I196+I197+I198+I199+I201+I202</f>
        <v>0</v>
      </c>
      <c r="K234" s="13">
        <f>+E234-G234-H234-I234</f>
        <v>0</v>
      </c>
    </row>
    <row r="237" spans="1:33" s="1" customFormat="1" ht="15.75">
      <c r="A237" s="1217" t="s">
        <v>1323</v>
      </c>
      <c r="B237" s="1217"/>
      <c r="C237" s="1217"/>
      <c r="D237" s="1217"/>
      <c r="E237" s="1217"/>
      <c r="F237" s="1217"/>
      <c r="G237" s="1217"/>
      <c r="H237" s="1217"/>
      <c r="I237" s="1217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</row>
    <row r="238" spans="1:33" s="36" customFormat="1" ht="12.75" thickBot="1">
      <c r="A238" s="38" t="s">
        <v>284</v>
      </c>
      <c r="F238" s="1397"/>
      <c r="I238" s="37"/>
    </row>
    <row r="239" spans="1:33" s="3" customFormat="1">
      <c r="A239" s="91" t="s">
        <v>4</v>
      </c>
      <c r="B239" s="76" t="s">
        <v>91</v>
      </c>
      <c r="C239" s="1060">
        <v>15</v>
      </c>
      <c r="D239" s="55">
        <v>15</v>
      </c>
      <c r="E239" s="55">
        <v>14</v>
      </c>
      <c r="F239" s="1409">
        <f>IF(ISERROR(E239/D239),"-",E239/D239)</f>
        <v>0.93333333333333335</v>
      </c>
      <c r="G239" s="54">
        <v>14</v>
      </c>
      <c r="H239" s="55"/>
      <c r="I239" s="56"/>
      <c r="K239" s="3">
        <f>+E239-G239-H239-I239</f>
        <v>0</v>
      </c>
    </row>
    <row r="240" spans="1:33" s="13" customFormat="1">
      <c r="A240" s="89" t="s">
        <v>351</v>
      </c>
      <c r="B240" s="99" t="s">
        <v>352</v>
      </c>
      <c r="C240" s="1061"/>
      <c r="D240" s="101"/>
      <c r="E240" s="101"/>
      <c r="F240" s="1411" t="str">
        <f>IF(ISERROR(E240/D240),"-",E240/D240)</f>
        <v>-</v>
      </c>
      <c r="G240" s="100"/>
      <c r="H240" s="101"/>
      <c r="I240" s="102"/>
      <c r="K240" s="13">
        <f>+E240-G240-H240-I240</f>
        <v>0</v>
      </c>
    </row>
    <row r="241" spans="1:11" s="3" customFormat="1" ht="12.75" thickBot="1">
      <c r="A241" s="92" t="s">
        <v>5</v>
      </c>
      <c r="B241" s="77" t="s">
        <v>92</v>
      </c>
      <c r="C241" s="1062"/>
      <c r="D241" s="58"/>
      <c r="E241" s="58"/>
      <c r="F241" s="1417" t="str">
        <f>IF(ISERROR(E241/D241),"-",E241/D241)</f>
        <v>-</v>
      </c>
      <c r="G241" s="57"/>
      <c r="H241" s="58"/>
      <c r="I241" s="59"/>
      <c r="K241" s="3">
        <f>+E241-G241-H241-I241</f>
        <v>0</v>
      </c>
    </row>
    <row r="242" spans="1:11" s="3" customFormat="1" ht="12.75" thickBot="1">
      <c r="A242" s="83" t="s">
        <v>6</v>
      </c>
      <c r="B242" s="69" t="s">
        <v>330</v>
      </c>
      <c r="C242" s="1063">
        <f>+C239+C241</f>
        <v>15</v>
      </c>
      <c r="D242" s="61">
        <f>+D239+D241</f>
        <v>15</v>
      </c>
      <c r="E242" s="61">
        <f>+E239+E241</f>
        <v>14</v>
      </c>
      <c r="F242" s="1408">
        <f>IF(ISERROR(E242/D242),"-",E242/D242)</f>
        <v>0.93333333333333335</v>
      </c>
      <c r="G242" s="60">
        <f>+G239+G241</f>
        <v>14</v>
      </c>
      <c r="H242" s="61">
        <f>+H239+H241</f>
        <v>0</v>
      </c>
      <c r="I242" s="62">
        <f>+I239+I241</f>
        <v>0</v>
      </c>
      <c r="K242" s="3">
        <f>+E242-G242-H242-I242</f>
        <v>0</v>
      </c>
    </row>
  </sheetData>
  <mergeCells count="9">
    <mergeCell ref="A211:I211"/>
    <mergeCell ref="A218:I218"/>
    <mergeCell ref="A237:I237"/>
    <mergeCell ref="A3:I3"/>
    <mergeCell ref="A4:I4"/>
    <mergeCell ref="A6:I6"/>
    <mergeCell ref="C9:I9"/>
    <mergeCell ref="A105:I105"/>
    <mergeCell ref="C108:I108"/>
  </mergeCells>
  <conditionalFormatting sqref="F26:F31 F89:F100 F65:F69 F59:F63 F52:F57 F45:F49 F33:F43 F13:F24 F195:F206 F180:F191 F166:F175 F151:F158 F147:F148 F133:F145 F124:F131 F117:F122 F111:F115 F160:F164 F74:F85">
    <cfRule type="cellIs" dxfId="5" priority="2" stopIfTrue="1" operator="equal">
      <formula>0</formula>
    </cfRule>
  </conditionalFormatting>
  <conditionalFormatting sqref="F65:F69 F59:F63 F52:F57 F45:F49 F33:F43 F13:F24 F195:F206 F180:F191 F166:F175 F160:F164 F151:F158 F147:F148 F133:F145 F124:F131 F117:F122 F111:F115 F26:F31 F89:F100 F74:F85">
    <cfRule type="cellIs" dxfId="4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44" fitToHeight="2" orientation="portrait" r:id="rId1"/>
  <headerFooter>
    <oddHeader>&amp;C 1.6. melléklet - &amp;P. oldal</oddHeader>
  </headerFooter>
  <rowBreaks count="1" manualBreakCount="1">
    <brk id="10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Munka13">
    <tabColor rgb="FF00B0F0"/>
    <pageSetUpPr fitToPage="1"/>
  </sheetPr>
  <dimension ref="A1:Q35"/>
  <sheetViews>
    <sheetView zoomScaleNormal="100" workbookViewId="0"/>
  </sheetViews>
  <sheetFormatPr defaultRowHeight="12"/>
  <cols>
    <col min="1" max="1" width="6.5703125" style="4" customWidth="1"/>
    <col min="2" max="2" width="70.42578125" style="4" customWidth="1"/>
    <col min="3" max="5" width="9.28515625" style="4" customWidth="1"/>
    <col min="6" max="6" width="9.28515625" style="1415" customWidth="1"/>
    <col min="7" max="9" width="9.28515625" style="4" customWidth="1"/>
    <col min="10" max="10" width="60" style="4" customWidth="1"/>
    <col min="11" max="13" width="9.28515625" style="4" customWidth="1"/>
    <col min="14" max="14" width="9.28515625" style="1415" customWidth="1"/>
    <col min="15" max="17" width="9.28515625" style="4" customWidth="1"/>
    <col min="18" max="16384" width="9.140625" style="4"/>
  </cols>
  <sheetData>
    <row r="1" spans="1:17" s="50" customFormat="1" ht="15.75">
      <c r="F1" s="1396"/>
      <c r="N1" s="1396"/>
      <c r="Q1" s="51" t="s">
        <v>388</v>
      </c>
    </row>
    <row r="2" spans="1:17" s="50" customFormat="1" ht="15.75">
      <c r="F2" s="1396"/>
      <c r="N2" s="1396"/>
    </row>
    <row r="3" spans="1:17" s="52" customFormat="1" ht="15.75">
      <c r="A3" s="1216" t="s">
        <v>331</v>
      </c>
      <c r="B3" s="1216"/>
      <c r="C3" s="1216"/>
      <c r="D3" s="1216"/>
      <c r="E3" s="1216"/>
      <c r="F3" s="1216"/>
      <c r="G3" s="1216"/>
      <c r="H3" s="1216"/>
      <c r="I3" s="1216"/>
      <c r="J3" s="1216"/>
      <c r="K3" s="1216"/>
      <c r="L3" s="1216"/>
      <c r="M3" s="1216"/>
      <c r="N3" s="1216"/>
      <c r="O3" s="1216"/>
      <c r="P3" s="1216"/>
      <c r="Q3" s="1216"/>
    </row>
    <row r="4" spans="1:17" s="52" customFormat="1" ht="15.75">
      <c r="A4" s="1216" t="s">
        <v>1325</v>
      </c>
      <c r="B4" s="1216"/>
      <c r="C4" s="1216"/>
      <c r="D4" s="1216"/>
      <c r="E4" s="1216"/>
      <c r="F4" s="1216"/>
      <c r="G4" s="1216"/>
      <c r="H4" s="1216"/>
      <c r="I4" s="1216"/>
      <c r="J4" s="1216"/>
      <c r="K4" s="1216"/>
      <c r="L4" s="1216"/>
      <c r="M4" s="1216"/>
      <c r="N4" s="1216"/>
      <c r="O4" s="1216"/>
      <c r="P4" s="1216"/>
      <c r="Q4" s="1216"/>
    </row>
    <row r="5" spans="1:17" s="36" customFormat="1" ht="12.75" thickBot="1">
      <c r="A5" s="38"/>
      <c r="F5" s="1397"/>
      <c r="N5" s="1397"/>
      <c r="Q5" s="37" t="s">
        <v>281</v>
      </c>
    </row>
    <row r="6" spans="1:17" s="8" customFormat="1" ht="54" customHeight="1" thickBot="1">
      <c r="A6" s="79" t="s">
        <v>17</v>
      </c>
      <c r="B6" s="93" t="s">
        <v>328</v>
      </c>
      <c r="C6" s="1057" t="s">
        <v>1474</v>
      </c>
      <c r="D6" s="6" t="s">
        <v>1475</v>
      </c>
      <c r="E6" s="6" t="s">
        <v>1529</v>
      </c>
      <c r="F6" s="1398" t="s">
        <v>1527</v>
      </c>
      <c r="G6" s="131" t="s">
        <v>51</v>
      </c>
      <c r="H6" s="130" t="s">
        <v>52</v>
      </c>
      <c r="I6" s="129" t="s">
        <v>53</v>
      </c>
      <c r="J6" s="80" t="s">
        <v>329</v>
      </c>
      <c r="K6" s="1057" t="s">
        <v>1474</v>
      </c>
      <c r="L6" s="6" t="s">
        <v>1475</v>
      </c>
      <c r="M6" s="6" t="s">
        <v>1529</v>
      </c>
      <c r="N6" s="1398" t="s">
        <v>1527</v>
      </c>
      <c r="O6" s="131" t="s">
        <v>51</v>
      </c>
      <c r="P6" s="130" t="s">
        <v>52</v>
      </c>
      <c r="Q6" s="129" t="s">
        <v>53</v>
      </c>
    </row>
    <row r="7" spans="1:17" s="3" customFormat="1" ht="12.75" thickBot="1">
      <c r="A7" s="83" t="s">
        <v>253</v>
      </c>
      <c r="B7" s="94" t="s">
        <v>254</v>
      </c>
      <c r="C7" s="1228" t="s">
        <v>255</v>
      </c>
      <c r="D7" s="1228"/>
      <c r="E7" s="1228"/>
      <c r="F7" s="1228"/>
      <c r="G7" s="1229"/>
      <c r="H7" s="1229"/>
      <c r="I7" s="1230"/>
      <c r="J7" s="82" t="s">
        <v>361</v>
      </c>
      <c r="K7" s="1231" t="s">
        <v>362</v>
      </c>
      <c r="L7" s="1232"/>
      <c r="M7" s="1232"/>
      <c r="N7" s="1232"/>
      <c r="O7" s="1233"/>
      <c r="P7" s="1233"/>
      <c r="Q7" s="1234"/>
    </row>
    <row r="8" spans="1:17" s="3" customFormat="1" ht="12.75" thickBot="1">
      <c r="A8" s="95" t="s">
        <v>4</v>
      </c>
      <c r="B8" s="63" t="s">
        <v>371</v>
      </c>
      <c r="C8" s="1048">
        <f t="shared" ref="C8:F8" si="0">+C9+C11+C13+C15</f>
        <v>1378638</v>
      </c>
      <c r="D8" s="134">
        <f t="shared" si="0"/>
        <v>2258118</v>
      </c>
      <c r="E8" s="134">
        <f t="shared" si="0"/>
        <v>2076943</v>
      </c>
      <c r="F8" s="1421">
        <f t="shared" ref="F8:F35" si="1">IF(ISERROR(E8/D8),"-",E8/D8)</f>
        <v>0.91976725751267208</v>
      </c>
      <c r="G8" s="31">
        <f>+G9+G11+G13+G15</f>
        <v>2047336</v>
      </c>
      <c r="H8" s="32">
        <f>+H9+H11+H13+H15</f>
        <v>26780</v>
      </c>
      <c r="I8" s="33">
        <f>+I9+I11+I13+I15</f>
        <v>2827</v>
      </c>
      <c r="J8" s="69" t="s">
        <v>372</v>
      </c>
      <c r="K8" s="1049">
        <f t="shared" ref="K8:N8" si="2">+K9+K11+K13+K15+K16</f>
        <v>1565130</v>
      </c>
      <c r="L8" s="28">
        <f t="shared" si="2"/>
        <v>5003351</v>
      </c>
      <c r="M8" s="28">
        <f t="shared" si="2"/>
        <v>1807005</v>
      </c>
      <c r="N8" s="1408">
        <f t="shared" ref="N8:N35" si="3">IF(ISERROR(M8/L8),"-",M8/L8)</f>
        <v>0.36115895127085829</v>
      </c>
      <c r="O8" s="27">
        <f>+O9+O11+O13+O15+O16</f>
        <v>1765075</v>
      </c>
      <c r="P8" s="28">
        <f>+P9+P11+P13+P15+P16</f>
        <v>38594</v>
      </c>
      <c r="Q8" s="29">
        <f>+Q9+Q11+Q13+Q15+Q16</f>
        <v>3336</v>
      </c>
    </row>
    <row r="9" spans="1:17" ht="12.75" customHeight="1">
      <c r="A9" s="125" t="s">
        <v>5</v>
      </c>
      <c r="B9" s="120" t="s">
        <v>374</v>
      </c>
      <c r="C9" s="631">
        <f>+'1.mell._Össz_Mérleg2018'!C11</f>
        <v>907219</v>
      </c>
      <c r="D9" s="47">
        <f>+'1.mell._Össz_Mérleg2018'!D11</f>
        <v>1592229</v>
      </c>
      <c r="E9" s="47">
        <f>+'1.mell._Össz_Mérleg2018'!E11</f>
        <v>1592229</v>
      </c>
      <c r="F9" s="1422">
        <f t="shared" si="1"/>
        <v>1</v>
      </c>
      <c r="G9" s="49">
        <f>+'1.mell._Össz_Mérleg2018'!G11</f>
        <v>1589402</v>
      </c>
      <c r="H9" s="47">
        <f>+'1.mell._Össz_Mérleg2018'!H11</f>
        <v>0</v>
      </c>
      <c r="I9" s="48">
        <f>+'1.mell._Össz_Mérleg2018'!I11</f>
        <v>2827</v>
      </c>
      <c r="J9" s="126" t="s">
        <v>379</v>
      </c>
      <c r="K9" s="631">
        <f>+'1.mell._Össz_Mérleg2018'!C110</f>
        <v>613440</v>
      </c>
      <c r="L9" s="47">
        <f>+'1.mell._Össz_Mérleg2018'!D110</f>
        <v>839058</v>
      </c>
      <c r="M9" s="47">
        <f>+'1.mell._Össz_Mérleg2018'!E110</f>
        <v>839058</v>
      </c>
      <c r="N9" s="1422">
        <f t="shared" si="3"/>
        <v>1</v>
      </c>
      <c r="O9" s="49">
        <f>+'1.mell._Össz_Mérleg2018'!G110</f>
        <v>823102</v>
      </c>
      <c r="P9" s="47">
        <f>+'1.mell._Össz_Mérleg2018'!H110</f>
        <v>13453</v>
      </c>
      <c r="Q9" s="48">
        <f>+'1.mell._Össz_Mérleg2018'!I110</f>
        <v>2503</v>
      </c>
    </row>
    <row r="10" spans="1:17" s="13" customFormat="1" ht="24">
      <c r="A10" s="86" t="s">
        <v>349</v>
      </c>
      <c r="B10" s="137" t="s">
        <v>333</v>
      </c>
      <c r="C10" s="502">
        <f>+'1.mell._Össz_Mérleg2018'!C24</f>
        <v>0</v>
      </c>
      <c r="D10" s="12">
        <f>+'1.mell._Össz_Mérleg2018'!D24</f>
        <v>564550</v>
      </c>
      <c r="E10" s="12">
        <f>+'1.mell._Össz_Mérleg2018'!E24</f>
        <v>564550</v>
      </c>
      <c r="F10" s="1412">
        <f t="shared" si="1"/>
        <v>1</v>
      </c>
      <c r="G10" s="19">
        <f>+'1.mell._Össz_Mérleg2018'!G24</f>
        <v>564550</v>
      </c>
      <c r="H10" s="12">
        <f>+'1.mell._Össz_Mérleg2018'!H24</f>
        <v>0</v>
      </c>
      <c r="I10" s="15">
        <f>+'1.mell._Össz_Mérleg2018'!I24</f>
        <v>0</v>
      </c>
      <c r="J10" s="139" t="s">
        <v>350</v>
      </c>
      <c r="K10" s="502">
        <f>+'1.mell._Össz_Mérleg2018'!C111</f>
        <v>16807</v>
      </c>
      <c r="L10" s="12">
        <f>+'1.mell._Össz_Mérleg2018'!D111</f>
        <v>96862</v>
      </c>
      <c r="M10" s="12">
        <f>+'1.mell._Össz_Mérleg2018'!E111</f>
        <v>96862</v>
      </c>
      <c r="N10" s="1412">
        <f t="shared" si="3"/>
        <v>1</v>
      </c>
      <c r="O10" s="19">
        <f>+'1.mell._Össz_Mérleg2018'!G111</f>
        <v>96862</v>
      </c>
      <c r="P10" s="12">
        <f>+'1.mell._Össz_Mérleg2018'!H111</f>
        <v>0</v>
      </c>
      <c r="Q10" s="15">
        <f>+'1.mell._Össz_Mérleg2018'!I111</f>
        <v>0</v>
      </c>
    </row>
    <row r="11" spans="1:17" ht="12.75" customHeight="1">
      <c r="A11" s="85" t="s">
        <v>6</v>
      </c>
      <c r="B11" s="127" t="s">
        <v>375</v>
      </c>
      <c r="C11" s="501">
        <f>+'1.mell._Össz_Mérleg2018'!C25</f>
        <v>328710</v>
      </c>
      <c r="D11" s="11">
        <f>+'1.mell._Össz_Mérleg2018'!D25</f>
        <v>488335</v>
      </c>
      <c r="E11" s="11">
        <f>+'1.mell._Össz_Mérleg2018'!E25</f>
        <v>356668</v>
      </c>
      <c r="F11" s="1412">
        <f t="shared" si="1"/>
        <v>0.73037566424687972</v>
      </c>
      <c r="G11" s="20">
        <f>+'1.mell._Össz_Mérleg2018'!G25</f>
        <v>353603</v>
      </c>
      <c r="H11" s="11">
        <f>+'1.mell._Össz_Mérleg2018'!H25</f>
        <v>3065</v>
      </c>
      <c r="I11" s="16">
        <f>+'1.mell._Össz_Mérleg2018'!I25</f>
        <v>0</v>
      </c>
      <c r="J11" s="128" t="s">
        <v>373</v>
      </c>
      <c r="K11" s="501">
        <f>+'1.mell._Össz_Mérleg2018'!C114</f>
        <v>124419</v>
      </c>
      <c r="L11" s="11">
        <f>+'1.mell._Össz_Mérleg2018'!D114</f>
        <v>154821</v>
      </c>
      <c r="M11" s="11">
        <f>+'1.mell._Össz_Mérleg2018'!E114</f>
        <v>153994</v>
      </c>
      <c r="N11" s="1412">
        <f t="shared" si="3"/>
        <v>0.99465834738181513</v>
      </c>
      <c r="O11" s="20">
        <f>+'1.mell._Össz_Mérleg2018'!G114</f>
        <v>150952</v>
      </c>
      <c r="P11" s="11">
        <f>+'1.mell._Össz_Mérleg2018'!H114</f>
        <v>2481</v>
      </c>
      <c r="Q11" s="16">
        <f>+'1.mell._Össz_Mérleg2018'!I114</f>
        <v>561</v>
      </c>
    </row>
    <row r="12" spans="1:17" s="13" customFormat="1" ht="24">
      <c r="A12" s="86" t="s">
        <v>346</v>
      </c>
      <c r="B12" s="122"/>
      <c r="C12" s="502"/>
      <c r="D12" s="12"/>
      <c r="E12" s="12"/>
      <c r="F12" s="1412"/>
      <c r="G12" s="19"/>
      <c r="H12" s="12"/>
      <c r="I12" s="15"/>
      <c r="J12" s="139" t="s">
        <v>347</v>
      </c>
      <c r="K12" s="502">
        <f>+'1.mell._Össz_Mérleg2018'!C115</f>
        <v>4547</v>
      </c>
      <c r="L12" s="12">
        <f>+'1.mell._Össz_Mérleg2018'!D115</f>
        <v>16944</v>
      </c>
      <c r="M12" s="12">
        <f>+'1.mell._Össz_Mérleg2018'!E115</f>
        <v>16944</v>
      </c>
      <c r="N12" s="1412">
        <f t="shared" si="3"/>
        <v>1</v>
      </c>
      <c r="O12" s="19">
        <f>+'1.mell._Össz_Mérleg2018'!G115</f>
        <v>16944</v>
      </c>
      <c r="P12" s="12">
        <f>+'1.mell._Össz_Mérleg2018'!H115</f>
        <v>0</v>
      </c>
      <c r="Q12" s="15">
        <f>+'1.mell._Össz_Mérleg2018'!I115</f>
        <v>0</v>
      </c>
    </row>
    <row r="13" spans="1:17">
      <c r="A13" s="85" t="s">
        <v>3</v>
      </c>
      <c r="B13" s="127" t="s">
        <v>376</v>
      </c>
      <c r="C13" s="501">
        <f>+'1.mell._Össz_Mérleg2018'!C32</f>
        <v>140709</v>
      </c>
      <c r="D13" s="11">
        <f>+'1.mell._Össz_Mérleg2018'!D32</f>
        <v>137160</v>
      </c>
      <c r="E13" s="11">
        <f>+'1.mell._Össz_Mérleg2018'!E32</f>
        <v>124554</v>
      </c>
      <c r="F13" s="1412">
        <f t="shared" si="1"/>
        <v>0.908092738407699</v>
      </c>
      <c r="G13" s="20">
        <f>+'1.mell._Össz_Mérleg2018'!G32</f>
        <v>100839</v>
      </c>
      <c r="H13" s="11">
        <f>+'1.mell._Össz_Mérleg2018'!H32</f>
        <v>23715</v>
      </c>
      <c r="I13" s="16">
        <f>+'1.mell._Össz_Mérleg2018'!I32</f>
        <v>0</v>
      </c>
      <c r="J13" s="128" t="s">
        <v>380</v>
      </c>
      <c r="K13" s="501">
        <f>+'1.mell._Össz_Mérleg2018'!C116</f>
        <v>441900</v>
      </c>
      <c r="L13" s="11">
        <f>+'1.mell._Össz_Mérleg2018'!D116</f>
        <v>744258</v>
      </c>
      <c r="M13" s="11">
        <f>+'1.mell._Össz_Mérleg2018'!E116</f>
        <v>690773</v>
      </c>
      <c r="N13" s="1412">
        <f t="shared" si="3"/>
        <v>0.92813647955413314</v>
      </c>
      <c r="O13" s="20">
        <f>+'1.mell._Össz_Mérleg2018'!G116</f>
        <v>667853</v>
      </c>
      <c r="P13" s="11">
        <f>+'1.mell._Össz_Mérleg2018'!H116</f>
        <v>22648</v>
      </c>
      <c r="Q13" s="16">
        <f>+'1.mell._Össz_Mérleg2018'!I116</f>
        <v>272</v>
      </c>
    </row>
    <row r="14" spans="1:17" s="13" customFormat="1" ht="24">
      <c r="A14" s="86" t="s">
        <v>341</v>
      </c>
      <c r="B14" s="123"/>
      <c r="C14" s="502"/>
      <c r="D14" s="12"/>
      <c r="E14" s="12"/>
      <c r="F14" s="1412"/>
      <c r="G14" s="19"/>
      <c r="H14" s="12"/>
      <c r="I14" s="15"/>
      <c r="J14" s="139" t="s">
        <v>348</v>
      </c>
      <c r="K14" s="502">
        <f>+'1.mell._Össz_Mérleg2018'!C117</f>
        <v>63554</v>
      </c>
      <c r="L14" s="12">
        <f>+'1.mell._Össz_Mérleg2018'!D117</f>
        <v>274265</v>
      </c>
      <c r="M14" s="12">
        <f>+'1.mell._Össz_Mérleg2018'!E117</f>
        <v>271494</v>
      </c>
      <c r="N14" s="1412">
        <f t="shared" si="3"/>
        <v>0.98989663281862428</v>
      </c>
      <c r="O14" s="19">
        <f>+'1.mell._Össz_Mérleg2018'!G117</f>
        <v>271494</v>
      </c>
      <c r="P14" s="12">
        <f>+'1.mell._Össz_Mérleg2018'!H117</f>
        <v>0</v>
      </c>
      <c r="Q14" s="15">
        <f>+'1.mell._Össz_Mérleg2018'!I117</f>
        <v>0</v>
      </c>
    </row>
    <row r="15" spans="1:17" ht="12.75" customHeight="1">
      <c r="A15" s="85" t="s">
        <v>16</v>
      </c>
      <c r="B15" s="127" t="s">
        <v>377</v>
      </c>
      <c r="C15" s="501">
        <f>+'1.mell._Össz_Mérleg2018'!C44</f>
        <v>2000</v>
      </c>
      <c r="D15" s="11">
        <f>+'1.mell._Össz_Mérleg2018'!D44</f>
        <v>40394</v>
      </c>
      <c r="E15" s="11">
        <f>+'1.mell._Össz_Mérleg2018'!E44</f>
        <v>3492</v>
      </c>
      <c r="F15" s="1412">
        <f t="shared" si="1"/>
        <v>8.6448482447888303E-2</v>
      </c>
      <c r="G15" s="20">
        <f>+'1.mell._Össz_Mérleg2018'!G44</f>
        <v>3492</v>
      </c>
      <c r="H15" s="11">
        <f>+'1.mell._Össz_Mérleg2018'!H44</f>
        <v>0</v>
      </c>
      <c r="I15" s="16">
        <f>+'1.mell._Össz_Mérleg2018'!I44</f>
        <v>0</v>
      </c>
      <c r="J15" s="128" t="s">
        <v>381</v>
      </c>
      <c r="K15" s="501">
        <f>+'1.mell._Össz_Mérleg2018'!C123</f>
        <v>51635</v>
      </c>
      <c r="L15" s="11">
        <f>+'1.mell._Össz_Mérleg2018'!D123</f>
        <v>56062</v>
      </c>
      <c r="M15" s="11">
        <f>+'1.mell._Össz_Mérleg2018'!E123</f>
        <v>54350</v>
      </c>
      <c r="N15" s="1412">
        <f t="shared" si="3"/>
        <v>0.96946238093539294</v>
      </c>
      <c r="O15" s="20">
        <f>+'1.mell._Össz_Mérleg2018'!G123</f>
        <v>54350</v>
      </c>
      <c r="P15" s="11">
        <f>+'1.mell._Össz_Mérleg2018'!H123</f>
        <v>0</v>
      </c>
      <c r="Q15" s="16">
        <f>+'1.mell._Össz_Mérleg2018'!I123</f>
        <v>0</v>
      </c>
    </row>
    <row r="16" spans="1:17" s="13" customFormat="1">
      <c r="A16" s="85" t="s">
        <v>15</v>
      </c>
      <c r="B16" s="127"/>
      <c r="C16" s="501"/>
      <c r="D16" s="11"/>
      <c r="E16" s="11"/>
      <c r="F16" s="1412"/>
      <c r="G16" s="20"/>
      <c r="H16" s="11"/>
      <c r="I16" s="16"/>
      <c r="J16" s="128" t="s">
        <v>382</v>
      </c>
      <c r="K16" s="501">
        <f>+'1.mell._Össz_Mérleg2018'!C132</f>
        <v>333736</v>
      </c>
      <c r="L16" s="11">
        <f>+'1.mell._Össz_Mérleg2018'!D132</f>
        <v>3209152</v>
      </c>
      <c r="M16" s="11">
        <f>+'1.mell._Össz_Mérleg2018'!E132</f>
        <v>68830</v>
      </c>
      <c r="N16" s="1412">
        <f t="shared" si="3"/>
        <v>2.1448033623835829E-2</v>
      </c>
      <c r="O16" s="20">
        <f>+'1.mell._Össz_Mérleg2018'!G132</f>
        <v>68818</v>
      </c>
      <c r="P16" s="11">
        <f>+'1.mell._Össz_Mérleg2018'!H132</f>
        <v>12</v>
      </c>
      <c r="Q16" s="16">
        <f>+'1.mell._Össz_Mérleg2018'!I132</f>
        <v>0</v>
      </c>
    </row>
    <row r="17" spans="1:17" s="13" customFormat="1" ht="24.75" thickBot="1">
      <c r="A17" s="90" t="s">
        <v>360</v>
      </c>
      <c r="B17" s="124"/>
      <c r="C17" s="1059"/>
      <c r="D17" s="41"/>
      <c r="E17" s="41"/>
      <c r="F17" s="1416"/>
      <c r="G17" s="46"/>
      <c r="H17" s="41"/>
      <c r="I17" s="42"/>
      <c r="J17" s="138" t="s">
        <v>337</v>
      </c>
      <c r="K17" s="1059">
        <f>+'1.mell._Össz_Mérleg2018'!C139</f>
        <v>0</v>
      </c>
      <c r="L17" s="41">
        <f>+'1.mell._Össz_Mérleg2018'!D139</f>
        <v>2720</v>
      </c>
      <c r="M17" s="41">
        <f>+'1.mell._Össz_Mérleg2018'!E139</f>
        <v>2720</v>
      </c>
      <c r="N17" s="1416">
        <f t="shared" si="3"/>
        <v>1</v>
      </c>
      <c r="O17" s="46">
        <f>+'1.mell._Össz_Mérleg2018'!G139</f>
        <v>2720</v>
      </c>
      <c r="P17" s="41">
        <f>+'1.mell._Össz_Mérleg2018'!H139</f>
        <v>0</v>
      </c>
      <c r="Q17" s="42">
        <f>+'1.mell._Össz_Mérleg2018'!I139</f>
        <v>0</v>
      </c>
    </row>
    <row r="18" spans="1:17" s="3" customFormat="1" ht="12.75" thickBot="1">
      <c r="A18" s="83" t="s">
        <v>14</v>
      </c>
      <c r="B18" s="70" t="s">
        <v>378</v>
      </c>
      <c r="C18" s="1049">
        <f t="shared" ref="C18:F18" si="4">+C19</f>
        <v>1832034</v>
      </c>
      <c r="D18" s="28">
        <f t="shared" si="4"/>
        <v>449560</v>
      </c>
      <c r="E18" s="28">
        <f t="shared" si="4"/>
        <v>449560</v>
      </c>
      <c r="F18" s="1408">
        <f t="shared" si="1"/>
        <v>1</v>
      </c>
      <c r="G18" s="27">
        <f>+G19</f>
        <v>449548</v>
      </c>
      <c r="H18" s="28">
        <f>+H19</f>
        <v>12</v>
      </c>
      <c r="I18" s="29">
        <f>+I19</f>
        <v>0</v>
      </c>
      <c r="J18" s="70" t="s">
        <v>383</v>
      </c>
      <c r="K18" s="1049">
        <f t="shared" ref="K18:N18" si="5">+K19</f>
        <v>25346</v>
      </c>
      <c r="L18" s="28">
        <f t="shared" si="5"/>
        <v>151382</v>
      </c>
      <c r="M18" s="28">
        <f t="shared" si="5"/>
        <v>110911</v>
      </c>
      <c r="N18" s="1408">
        <f t="shared" si="3"/>
        <v>0.73265645849572603</v>
      </c>
      <c r="O18" s="27">
        <f>+O19</f>
        <v>110911</v>
      </c>
      <c r="P18" s="28">
        <f>+P19</f>
        <v>0</v>
      </c>
      <c r="Q18" s="29">
        <f>+Q19</f>
        <v>0</v>
      </c>
    </row>
    <row r="19" spans="1:17">
      <c r="A19" s="125" t="s">
        <v>13</v>
      </c>
      <c r="B19" s="120" t="s">
        <v>1011</v>
      </c>
      <c r="C19" s="631">
        <f t="shared" ref="C19:F19" si="6">+C20+C30+C31+C32</f>
        <v>1832034</v>
      </c>
      <c r="D19" s="47">
        <f t="shared" si="6"/>
        <v>449560</v>
      </c>
      <c r="E19" s="47">
        <f t="shared" si="6"/>
        <v>449560</v>
      </c>
      <c r="F19" s="1422">
        <f t="shared" si="1"/>
        <v>1</v>
      </c>
      <c r="G19" s="49">
        <f>+G20+G30+G31+G32</f>
        <v>449548</v>
      </c>
      <c r="H19" s="47">
        <f>+H20+H30+H31+H32</f>
        <v>12</v>
      </c>
      <c r="I19" s="48">
        <f>+I20+I30+I31+I32</f>
        <v>0</v>
      </c>
      <c r="J19" s="120" t="s">
        <v>1010</v>
      </c>
      <c r="K19" s="631">
        <f t="shared" ref="K19:N19" si="7">+K20+K30+K31+K32</f>
        <v>25346</v>
      </c>
      <c r="L19" s="47">
        <f t="shared" si="7"/>
        <v>151382</v>
      </c>
      <c r="M19" s="47">
        <f t="shared" si="7"/>
        <v>110911</v>
      </c>
      <c r="N19" s="1422">
        <f t="shared" si="3"/>
        <v>0.73265645849572603</v>
      </c>
      <c r="O19" s="49">
        <f>+O20+O30+O31+O32</f>
        <v>110911</v>
      </c>
      <c r="P19" s="47">
        <f>+P20+P30+P31+P32</f>
        <v>0</v>
      </c>
      <c r="Q19" s="48">
        <f>+Q20+Q30+Q31+Q32</f>
        <v>0</v>
      </c>
    </row>
    <row r="20" spans="1:17" s="13" customFormat="1">
      <c r="A20" s="84" t="s">
        <v>66</v>
      </c>
      <c r="B20" s="65" t="s">
        <v>1008</v>
      </c>
      <c r="C20" s="1051">
        <f t="shared" ref="C20:F20" si="8">+C21+C22+C23+C24+C25+C26+C27+C28+C29</f>
        <v>1832034</v>
      </c>
      <c r="D20" s="10">
        <f t="shared" si="8"/>
        <v>449560</v>
      </c>
      <c r="E20" s="10">
        <f t="shared" si="8"/>
        <v>449560</v>
      </c>
      <c r="F20" s="1410">
        <f t="shared" si="1"/>
        <v>1</v>
      </c>
      <c r="G20" s="34">
        <f>+G21+G22+G23+G24+G25+G26+G27+G28+G29</f>
        <v>449548</v>
      </c>
      <c r="H20" s="10">
        <f>+H21+H22+H23+H24+H25+H26+H27+H28+H29</f>
        <v>12</v>
      </c>
      <c r="I20" s="35">
        <f>+I21+I22+I23+I24+I25+I26+I27+I28+I29</f>
        <v>0</v>
      </c>
      <c r="J20" s="65" t="s">
        <v>1009</v>
      </c>
      <c r="K20" s="1051">
        <f t="shared" ref="K20:N20" si="9">+K21+K22+K23+K24+K25+K26+K27+K28+K29</f>
        <v>25346</v>
      </c>
      <c r="L20" s="10">
        <f t="shared" si="9"/>
        <v>151382</v>
      </c>
      <c r="M20" s="10">
        <f t="shared" si="9"/>
        <v>110911</v>
      </c>
      <c r="N20" s="1410">
        <f t="shared" si="3"/>
        <v>0.73265645849572603</v>
      </c>
      <c r="O20" s="34">
        <f>+O21+O22+O23+O24+O25+O26+O27+O28+O29</f>
        <v>110911</v>
      </c>
      <c r="P20" s="10">
        <f>+P21+P22+P23+P24+P25+P26+P27+P28+P29</f>
        <v>0</v>
      </c>
      <c r="Q20" s="35">
        <f>+Q21+Q22+Q23+Q24+Q25+Q26+Q27+Q28+Q29</f>
        <v>0</v>
      </c>
    </row>
    <row r="21" spans="1:17" s="13" customFormat="1">
      <c r="A21" s="86" t="s">
        <v>363</v>
      </c>
      <c r="B21" s="66" t="s">
        <v>246</v>
      </c>
      <c r="C21" s="502">
        <f>+'1.mell._Össz_Mérleg2018'!C74</f>
        <v>0</v>
      </c>
      <c r="D21" s="12">
        <f>+'1.mell._Össz_Mérleg2018'!D74</f>
        <v>85565</v>
      </c>
      <c r="E21" s="12">
        <f>+'1.mell._Össz_Mérleg2018'!E74</f>
        <v>85565</v>
      </c>
      <c r="F21" s="1412">
        <f t="shared" si="1"/>
        <v>1</v>
      </c>
      <c r="G21" s="19">
        <f>+'1.mell._Össz_Mérleg2018'!G74</f>
        <v>85565</v>
      </c>
      <c r="H21" s="12">
        <f>+'1.mell._Össz_Mérleg2018'!H74</f>
        <v>0</v>
      </c>
      <c r="I21" s="15">
        <f>+'1.mell._Össz_Mérleg2018'!I74</f>
        <v>0</v>
      </c>
      <c r="J21" s="66" t="s">
        <v>170</v>
      </c>
      <c r="K21" s="502">
        <f>+'1.mell._Össz_Mérleg2018'!C180</f>
        <v>0</v>
      </c>
      <c r="L21" s="12">
        <f>+'1.mell._Össz_Mérleg2018'!D180</f>
        <v>85565</v>
      </c>
      <c r="M21" s="12">
        <f>+'1.mell._Össz_Mérleg2018'!E180</f>
        <v>85565</v>
      </c>
      <c r="N21" s="1412">
        <f t="shared" si="3"/>
        <v>1</v>
      </c>
      <c r="O21" s="19">
        <f>+'1.mell._Össz_Mérleg2018'!G180</f>
        <v>85565</v>
      </c>
      <c r="P21" s="12">
        <f>+'1.mell._Össz_Mérleg2018'!H180</f>
        <v>0</v>
      </c>
      <c r="Q21" s="15">
        <f>+'1.mell._Össz_Mérleg2018'!I180</f>
        <v>0</v>
      </c>
    </row>
    <row r="22" spans="1:17" s="13" customFormat="1">
      <c r="A22" s="86" t="s">
        <v>364</v>
      </c>
      <c r="B22" s="66" t="s">
        <v>247</v>
      </c>
      <c r="C22" s="502">
        <f>+'1.mell._Össz_Mérleg2018'!C75</f>
        <v>0</v>
      </c>
      <c r="D22" s="12">
        <f>+'1.mell._Össz_Mérleg2018'!D75</f>
        <v>0</v>
      </c>
      <c r="E22" s="12">
        <f>+'1.mell._Össz_Mérleg2018'!E75</f>
        <v>0</v>
      </c>
      <c r="F22" s="1412" t="str">
        <f t="shared" si="1"/>
        <v>-</v>
      </c>
      <c r="G22" s="19">
        <f>+'1.mell._Össz_Mérleg2018'!G75</f>
        <v>0</v>
      </c>
      <c r="H22" s="12">
        <f>+'1.mell._Össz_Mérleg2018'!H75</f>
        <v>0</v>
      </c>
      <c r="I22" s="15">
        <f>+'1.mell._Össz_Mérleg2018'!I75</f>
        <v>0</v>
      </c>
      <c r="J22" s="66" t="s">
        <v>171</v>
      </c>
      <c r="K22" s="502">
        <f>+'1.mell._Össz_Mérleg2018'!C181</f>
        <v>0</v>
      </c>
      <c r="L22" s="12">
        <f>+'1.mell._Össz_Mérleg2018'!D181</f>
        <v>0</v>
      </c>
      <c r="M22" s="12">
        <f>+'1.mell._Össz_Mérleg2018'!E181</f>
        <v>0</v>
      </c>
      <c r="N22" s="1412" t="str">
        <f t="shared" si="3"/>
        <v>-</v>
      </c>
      <c r="O22" s="19">
        <f>+'1.mell._Össz_Mérleg2018'!G181</f>
        <v>0</v>
      </c>
      <c r="P22" s="12">
        <f>+'1.mell._Össz_Mérleg2018'!H181</f>
        <v>0</v>
      </c>
      <c r="Q22" s="15">
        <f>+'1.mell._Össz_Mérleg2018'!I181</f>
        <v>0</v>
      </c>
    </row>
    <row r="23" spans="1:17" s="13" customFormat="1">
      <c r="A23" s="86" t="s">
        <v>365</v>
      </c>
      <c r="B23" s="66" t="s">
        <v>248</v>
      </c>
      <c r="C23" s="502">
        <f>+'1.mell._Össz_Mérleg2018'!C76</f>
        <v>1832034</v>
      </c>
      <c r="D23" s="12">
        <f>+'1.mell._Össz_Mérleg2018'!D76</f>
        <v>337324</v>
      </c>
      <c r="E23" s="12">
        <f>+'1.mell._Össz_Mérleg2018'!E76</f>
        <v>337324</v>
      </c>
      <c r="F23" s="1412">
        <f t="shared" si="1"/>
        <v>1</v>
      </c>
      <c r="G23" s="19">
        <f>+'1.mell._Össz_Mérleg2018'!G76</f>
        <v>337312</v>
      </c>
      <c r="H23" s="12">
        <f>+'1.mell._Össz_Mérleg2018'!H76</f>
        <v>12</v>
      </c>
      <c r="I23" s="15">
        <f>+'1.mell._Össz_Mérleg2018'!I76</f>
        <v>0</v>
      </c>
      <c r="J23" s="66" t="s">
        <v>172</v>
      </c>
      <c r="K23" s="502">
        <f>+'1.mell._Össz_Mérleg2018'!C182</f>
        <v>0</v>
      </c>
      <c r="L23" s="12">
        <f>+'1.mell._Össz_Mérleg2018'!D182</f>
        <v>0</v>
      </c>
      <c r="M23" s="12">
        <f>+'1.mell._Össz_Mérleg2018'!E182</f>
        <v>0</v>
      </c>
      <c r="N23" s="1412" t="str">
        <f t="shared" si="3"/>
        <v>-</v>
      </c>
      <c r="O23" s="19">
        <f>+'1.mell._Össz_Mérleg2018'!G182</f>
        <v>0</v>
      </c>
      <c r="P23" s="12">
        <f>+'1.mell._Össz_Mérleg2018'!H182</f>
        <v>0</v>
      </c>
      <c r="Q23" s="15">
        <f>+'1.mell._Össz_Mérleg2018'!I182</f>
        <v>0</v>
      </c>
    </row>
    <row r="24" spans="1:17" s="13" customFormat="1">
      <c r="A24" s="86" t="s">
        <v>366</v>
      </c>
      <c r="B24" s="66" t="s">
        <v>249</v>
      </c>
      <c r="C24" s="502">
        <f>+'1.mell._Össz_Mérleg2018'!C77</f>
        <v>0</v>
      </c>
      <c r="D24" s="12">
        <f>+'1.mell._Össz_Mérleg2018'!D77</f>
        <v>26671</v>
      </c>
      <c r="E24" s="12">
        <f>+'1.mell._Össz_Mérleg2018'!E77</f>
        <v>26671</v>
      </c>
      <c r="F24" s="1412">
        <f t="shared" si="1"/>
        <v>1</v>
      </c>
      <c r="G24" s="19">
        <f>+'1.mell._Össz_Mérleg2018'!G77</f>
        <v>26671</v>
      </c>
      <c r="H24" s="12">
        <f>+'1.mell._Össz_Mérleg2018'!H77</f>
        <v>0</v>
      </c>
      <c r="I24" s="15">
        <f>+'1.mell._Össz_Mérleg2018'!I77</f>
        <v>0</v>
      </c>
      <c r="J24" s="66" t="s">
        <v>173</v>
      </c>
      <c r="K24" s="502">
        <f>+'1.mell._Össz_Mérleg2018'!C183</f>
        <v>25346</v>
      </c>
      <c r="L24" s="12">
        <f>+'1.mell._Össz_Mérleg2018'!D183</f>
        <v>25346</v>
      </c>
      <c r="M24" s="12">
        <f>+'1.mell._Össz_Mérleg2018'!E183</f>
        <v>25346</v>
      </c>
      <c r="N24" s="1412">
        <f t="shared" si="3"/>
        <v>1</v>
      </c>
      <c r="O24" s="19">
        <f>+'1.mell._Össz_Mérleg2018'!G183</f>
        <v>25346</v>
      </c>
      <c r="P24" s="12">
        <f>+'1.mell._Össz_Mérleg2018'!H183</f>
        <v>0</v>
      </c>
      <c r="Q24" s="15">
        <f>+'1.mell._Össz_Mérleg2018'!I183</f>
        <v>0</v>
      </c>
    </row>
    <row r="25" spans="1:17" s="13" customFormat="1">
      <c r="A25" s="86" t="s">
        <v>367</v>
      </c>
      <c r="B25" s="66" t="s">
        <v>250</v>
      </c>
      <c r="C25" s="502">
        <f>+'1.mell._Össz_Mérleg2018'!C78</f>
        <v>0</v>
      </c>
      <c r="D25" s="12">
        <f>+'1.mell._Össz_Mérleg2018'!D78</f>
        <v>0</v>
      </c>
      <c r="E25" s="12">
        <f>+'1.mell._Össz_Mérleg2018'!E78</f>
        <v>0</v>
      </c>
      <c r="F25" s="1412" t="str">
        <f t="shared" si="1"/>
        <v>-</v>
      </c>
      <c r="G25" s="19">
        <f>+'1.mell._Össz_Mérleg2018'!G78</f>
        <v>0</v>
      </c>
      <c r="H25" s="12">
        <f>+'1.mell._Össz_Mérleg2018'!H78</f>
        <v>0</v>
      </c>
      <c r="I25" s="15">
        <f>+'1.mell._Össz_Mérleg2018'!I78</f>
        <v>0</v>
      </c>
      <c r="J25" s="66" t="s">
        <v>174</v>
      </c>
      <c r="K25" s="502">
        <f>+'1.mell._Össz_Mérleg2018'!C184</f>
        <v>0</v>
      </c>
      <c r="L25" s="12">
        <f>+'1.mell._Össz_Mérleg2018'!D184</f>
        <v>40471</v>
      </c>
      <c r="M25" s="12">
        <f>+'1.mell._Össz_Mérleg2018'!E184</f>
        <v>0</v>
      </c>
      <c r="N25" s="1412">
        <f t="shared" si="3"/>
        <v>0</v>
      </c>
      <c r="O25" s="19">
        <f>+'1.mell._Össz_Mérleg2018'!G184</f>
        <v>0</v>
      </c>
      <c r="P25" s="12">
        <f>+'1.mell._Össz_Mérleg2018'!H184</f>
        <v>0</v>
      </c>
      <c r="Q25" s="15">
        <f>+'1.mell._Össz_Mérleg2018'!I184</f>
        <v>0</v>
      </c>
    </row>
    <row r="26" spans="1:17" s="13" customFormat="1">
      <c r="A26" s="86" t="s">
        <v>368</v>
      </c>
      <c r="B26" s="66" t="s">
        <v>251</v>
      </c>
      <c r="C26" s="502">
        <f>+'1.mell._Össz_Mérleg2018'!C79</f>
        <v>0</v>
      </c>
      <c r="D26" s="12">
        <f>+'1.mell._Össz_Mérleg2018'!D79</f>
        <v>0</v>
      </c>
      <c r="E26" s="12">
        <f>+'1.mell._Össz_Mérleg2018'!E79</f>
        <v>0</v>
      </c>
      <c r="F26" s="1412" t="str">
        <f t="shared" si="1"/>
        <v>-</v>
      </c>
      <c r="G26" s="19">
        <f>+'1.mell._Össz_Mérleg2018'!G79</f>
        <v>0</v>
      </c>
      <c r="H26" s="12">
        <f>+'1.mell._Össz_Mérleg2018'!H79</f>
        <v>0</v>
      </c>
      <c r="I26" s="15">
        <f>+'1.mell._Össz_Mérleg2018'!I79</f>
        <v>0</v>
      </c>
      <c r="J26" s="66" t="s">
        <v>179</v>
      </c>
      <c r="K26" s="502">
        <f>+'1.mell._Össz_Mérleg2018'!C185</f>
        <v>0</v>
      </c>
      <c r="L26" s="12">
        <f>+'1.mell._Össz_Mérleg2018'!D185</f>
        <v>0</v>
      </c>
      <c r="M26" s="12">
        <f>+'1.mell._Össz_Mérleg2018'!E185</f>
        <v>0</v>
      </c>
      <c r="N26" s="1412" t="str">
        <f t="shared" si="3"/>
        <v>-</v>
      </c>
      <c r="O26" s="19">
        <f>+'1.mell._Össz_Mérleg2018'!G185</f>
        <v>0</v>
      </c>
      <c r="P26" s="12">
        <f>+'1.mell._Össz_Mérleg2018'!H185</f>
        <v>0</v>
      </c>
      <c r="Q26" s="15">
        <f>+'1.mell._Össz_Mérleg2018'!I185</f>
        <v>0</v>
      </c>
    </row>
    <row r="27" spans="1:17" s="13" customFormat="1">
      <c r="A27" s="86" t="s">
        <v>369</v>
      </c>
      <c r="B27" s="66" t="s">
        <v>252</v>
      </c>
      <c r="C27" s="502">
        <f>+'1.mell._Össz_Mérleg2018'!C80</f>
        <v>0</v>
      </c>
      <c r="D27" s="12">
        <f>+'1.mell._Össz_Mérleg2018'!D80</f>
        <v>0</v>
      </c>
      <c r="E27" s="12">
        <f>+'1.mell._Össz_Mérleg2018'!E80</f>
        <v>0</v>
      </c>
      <c r="F27" s="1412" t="str">
        <f t="shared" si="1"/>
        <v>-</v>
      </c>
      <c r="G27" s="19">
        <f>+'1.mell._Össz_Mérleg2018'!G80</f>
        <v>0</v>
      </c>
      <c r="H27" s="12">
        <f>+'1.mell._Össz_Mérleg2018'!H80</f>
        <v>0</v>
      </c>
      <c r="I27" s="15">
        <f>+'1.mell._Össz_Mérleg2018'!I80</f>
        <v>0</v>
      </c>
      <c r="J27" s="66" t="s">
        <v>175</v>
      </c>
      <c r="K27" s="502">
        <f>+'1.mell._Össz_Mérleg2018'!C186</f>
        <v>0</v>
      </c>
      <c r="L27" s="12">
        <f>+'1.mell._Össz_Mérleg2018'!D186</f>
        <v>0</v>
      </c>
      <c r="M27" s="12">
        <f>+'1.mell._Össz_Mérleg2018'!E186</f>
        <v>0</v>
      </c>
      <c r="N27" s="1412" t="str">
        <f t="shared" si="3"/>
        <v>-</v>
      </c>
      <c r="O27" s="19">
        <f>+'1.mell._Össz_Mérleg2018'!G186</f>
        <v>0</v>
      </c>
      <c r="P27" s="12">
        <f>+'1.mell._Össz_Mérleg2018'!H186</f>
        <v>0</v>
      </c>
      <c r="Q27" s="15">
        <f>+'1.mell._Össz_Mérleg2018'!I186</f>
        <v>0</v>
      </c>
    </row>
    <row r="28" spans="1:17">
      <c r="A28" s="86" t="s">
        <v>370</v>
      </c>
      <c r="B28" s="66" t="s">
        <v>245</v>
      </c>
      <c r="C28" s="502">
        <f>+'1.mell._Össz_Mérleg2018'!C81</f>
        <v>0</v>
      </c>
      <c r="D28" s="12">
        <f>+'1.mell._Össz_Mérleg2018'!D81</f>
        <v>0</v>
      </c>
      <c r="E28" s="12">
        <f>+'1.mell._Össz_Mérleg2018'!E81</f>
        <v>0</v>
      </c>
      <c r="F28" s="1412" t="str">
        <f t="shared" si="1"/>
        <v>-</v>
      </c>
      <c r="G28" s="19">
        <f>+'1.mell._Össz_Mérleg2018'!G81</f>
        <v>0</v>
      </c>
      <c r="H28" s="12">
        <f>+'1.mell._Össz_Mérleg2018'!H81</f>
        <v>0</v>
      </c>
      <c r="I28" s="15">
        <f>+'1.mell._Össz_Mérleg2018'!I81</f>
        <v>0</v>
      </c>
      <c r="J28" s="66" t="s">
        <v>176</v>
      </c>
      <c r="K28" s="502">
        <f>+'1.mell._Össz_Mérleg2018'!C187</f>
        <v>0</v>
      </c>
      <c r="L28" s="12">
        <f>+'1.mell._Össz_Mérleg2018'!D187</f>
        <v>0</v>
      </c>
      <c r="M28" s="12">
        <f>+'1.mell._Össz_Mérleg2018'!E187</f>
        <v>0</v>
      </c>
      <c r="N28" s="1412" t="str">
        <f t="shared" si="3"/>
        <v>-</v>
      </c>
      <c r="O28" s="19">
        <f>+'1.mell._Össz_Mérleg2018'!G187</f>
        <v>0</v>
      </c>
      <c r="P28" s="12">
        <f>+'1.mell._Össz_Mérleg2018'!H187</f>
        <v>0</v>
      </c>
      <c r="Q28" s="15">
        <f>+'1.mell._Össz_Mérleg2018'!I187</f>
        <v>0</v>
      </c>
    </row>
    <row r="29" spans="1:17">
      <c r="A29" s="86" t="s">
        <v>1007</v>
      </c>
      <c r="B29" s="66" t="s">
        <v>977</v>
      </c>
      <c r="C29" s="502">
        <f>+'1.mell._Össz_Mérleg2018'!C82</f>
        <v>0</v>
      </c>
      <c r="D29" s="12">
        <f>+'1.mell._Össz_Mérleg2018'!D82</f>
        <v>0</v>
      </c>
      <c r="E29" s="12">
        <f>+'1.mell._Össz_Mérleg2018'!E82</f>
        <v>0</v>
      </c>
      <c r="F29" s="1412" t="str">
        <f t="shared" si="1"/>
        <v>-</v>
      </c>
      <c r="G29" s="19">
        <f>+'1.mell._Össz_Mérleg2018'!G82</f>
        <v>0</v>
      </c>
      <c r="H29" s="12">
        <f>+'1.mell._Össz_Mérleg2018'!H82</f>
        <v>0</v>
      </c>
      <c r="I29" s="15">
        <f>+'1.mell._Össz_Mérleg2018'!I82</f>
        <v>0</v>
      </c>
      <c r="J29" s="66" t="s">
        <v>1001</v>
      </c>
      <c r="K29" s="502">
        <f>+'1.mell._Össz_Mérleg2018'!C188</f>
        <v>0</v>
      </c>
      <c r="L29" s="12">
        <f>+'1.mell._Össz_Mérleg2018'!D188</f>
        <v>0</v>
      </c>
      <c r="M29" s="12">
        <f>+'1.mell._Össz_Mérleg2018'!E188</f>
        <v>0</v>
      </c>
      <c r="N29" s="1412" t="str">
        <f t="shared" si="3"/>
        <v>-</v>
      </c>
      <c r="O29" s="19">
        <f>+'1.mell._Össz_Mérleg2018'!G188</f>
        <v>0</v>
      </c>
      <c r="P29" s="12">
        <f>+'1.mell._Össz_Mérleg2018'!H188</f>
        <v>0</v>
      </c>
      <c r="Q29" s="15">
        <f>+'1.mell._Össz_Mérleg2018'!I188</f>
        <v>0</v>
      </c>
    </row>
    <row r="30" spans="1:17">
      <c r="A30" s="85" t="s">
        <v>67</v>
      </c>
      <c r="B30" s="67" t="s">
        <v>243</v>
      </c>
      <c r="C30" s="501">
        <f>+'1.mell._Össz_Mérleg2018'!C83</f>
        <v>0</v>
      </c>
      <c r="D30" s="11">
        <f>+'1.mell._Össz_Mérleg2018'!D83</f>
        <v>0</v>
      </c>
      <c r="E30" s="11">
        <f>+'1.mell._Össz_Mérleg2018'!E83</f>
        <v>0</v>
      </c>
      <c r="F30" s="1412" t="str">
        <f t="shared" si="1"/>
        <v>-</v>
      </c>
      <c r="G30" s="20">
        <f>+'1.mell._Össz_Mérleg2018'!G83</f>
        <v>0</v>
      </c>
      <c r="H30" s="11">
        <f>+'1.mell._Össz_Mérleg2018'!H83</f>
        <v>0</v>
      </c>
      <c r="I30" s="16">
        <f>+'1.mell._Össz_Mérleg2018'!I83</f>
        <v>0</v>
      </c>
      <c r="J30" s="67" t="s">
        <v>177</v>
      </c>
      <c r="K30" s="501">
        <f>+'1.mell._Össz_Mérleg2018'!C189</f>
        <v>0</v>
      </c>
      <c r="L30" s="11">
        <f>+'1.mell._Össz_Mérleg2018'!D189</f>
        <v>0</v>
      </c>
      <c r="M30" s="11">
        <f>+'1.mell._Össz_Mérleg2018'!E189</f>
        <v>0</v>
      </c>
      <c r="N30" s="1412" t="str">
        <f t="shared" si="3"/>
        <v>-</v>
      </c>
      <c r="O30" s="20">
        <f>+'1.mell._Össz_Mérleg2018'!G189</f>
        <v>0</v>
      </c>
      <c r="P30" s="11">
        <f>+'1.mell._Össz_Mérleg2018'!H189</f>
        <v>0</v>
      </c>
      <c r="Q30" s="16">
        <f>+'1.mell._Össz_Mérleg2018'!I189</f>
        <v>0</v>
      </c>
    </row>
    <row r="31" spans="1:17" s="3" customFormat="1">
      <c r="A31" s="78" t="s">
        <v>68</v>
      </c>
      <c r="B31" s="68" t="s">
        <v>244</v>
      </c>
      <c r="C31" s="500">
        <f>+'1.mell._Össz_Mérleg2018'!C84</f>
        <v>0</v>
      </c>
      <c r="D31" s="22">
        <f>+'1.mell._Össz_Mérleg2018'!D84</f>
        <v>0</v>
      </c>
      <c r="E31" s="22">
        <f>+'1.mell._Össz_Mérleg2018'!E84</f>
        <v>0</v>
      </c>
      <c r="F31" s="1411" t="str">
        <f t="shared" si="1"/>
        <v>-</v>
      </c>
      <c r="G31" s="21">
        <f>+'1.mell._Össz_Mérleg2018'!G84</f>
        <v>0</v>
      </c>
      <c r="H31" s="22">
        <f>+'1.mell._Össz_Mérleg2018'!H84</f>
        <v>0</v>
      </c>
      <c r="I31" s="23">
        <f>+'1.mell._Össz_Mérleg2018'!I84</f>
        <v>0</v>
      </c>
      <c r="J31" s="68" t="s">
        <v>178</v>
      </c>
      <c r="K31" s="500">
        <f>+'1.mell._Össz_Mérleg2018'!C190</f>
        <v>0</v>
      </c>
      <c r="L31" s="22">
        <f>+'1.mell._Össz_Mérleg2018'!D190</f>
        <v>0</v>
      </c>
      <c r="M31" s="22">
        <f>+'1.mell._Össz_Mérleg2018'!E190</f>
        <v>0</v>
      </c>
      <c r="N31" s="1411" t="str">
        <f t="shared" si="3"/>
        <v>-</v>
      </c>
      <c r="O31" s="21">
        <f>+'1.mell._Össz_Mérleg2018'!G190</f>
        <v>0</v>
      </c>
      <c r="P31" s="22">
        <f>+'1.mell._Össz_Mérleg2018'!H190</f>
        <v>0</v>
      </c>
      <c r="Q31" s="23">
        <f>+'1.mell._Össz_Mérleg2018'!I190</f>
        <v>0</v>
      </c>
    </row>
    <row r="32" spans="1:17" s="3" customFormat="1" ht="12.75" thickBot="1">
      <c r="A32" s="78" t="s">
        <v>230</v>
      </c>
      <c r="B32" s="68" t="s">
        <v>979</v>
      </c>
      <c r="C32" s="500">
        <f>+'1.mell._Össz_Mérleg2018'!C85</f>
        <v>0</v>
      </c>
      <c r="D32" s="22">
        <f>+'1.mell._Össz_Mérleg2018'!D85</f>
        <v>0</v>
      </c>
      <c r="E32" s="22">
        <f>+'1.mell._Össz_Mérleg2018'!E85</f>
        <v>0</v>
      </c>
      <c r="F32" s="1411" t="str">
        <f t="shared" si="1"/>
        <v>-</v>
      </c>
      <c r="G32" s="21">
        <f>+'1.mell._Össz_Mérleg2018'!G85</f>
        <v>0</v>
      </c>
      <c r="H32" s="22">
        <f>+'1.mell._Össz_Mérleg2018'!H85</f>
        <v>0</v>
      </c>
      <c r="I32" s="23">
        <f>+'1.mell._Össz_Mérleg2018'!I85</f>
        <v>0</v>
      </c>
      <c r="J32" s="68" t="s">
        <v>1002</v>
      </c>
      <c r="K32" s="500">
        <f>+'1.mell._Össz_Mérleg2018'!C191</f>
        <v>0</v>
      </c>
      <c r="L32" s="22">
        <f>+'1.mell._Össz_Mérleg2018'!D191</f>
        <v>0</v>
      </c>
      <c r="M32" s="22">
        <f>+'1.mell._Össz_Mérleg2018'!E191</f>
        <v>0</v>
      </c>
      <c r="N32" s="1411" t="str">
        <f t="shared" si="3"/>
        <v>-</v>
      </c>
      <c r="O32" s="21">
        <f>+'1.mell._Össz_Mérleg2018'!G191</f>
        <v>0</v>
      </c>
      <c r="P32" s="22">
        <f>+'1.mell._Össz_Mérleg2018'!H191</f>
        <v>0</v>
      </c>
      <c r="Q32" s="23">
        <f>+'1.mell._Össz_Mérleg2018'!I191</f>
        <v>0</v>
      </c>
    </row>
    <row r="33" spans="1:17" s="3" customFormat="1" ht="12.75" thickBot="1">
      <c r="A33" s="81" t="s">
        <v>12</v>
      </c>
      <c r="B33" s="136" t="s">
        <v>384</v>
      </c>
      <c r="C33" s="1048">
        <f t="shared" ref="C33:F33" si="10">+C8+C18</f>
        <v>3210672</v>
      </c>
      <c r="D33" s="134">
        <f t="shared" si="10"/>
        <v>2707678</v>
      </c>
      <c r="E33" s="134">
        <f t="shared" si="10"/>
        <v>2526503</v>
      </c>
      <c r="F33" s="1421">
        <f t="shared" si="1"/>
        <v>0.93308842484224486</v>
      </c>
      <c r="G33" s="135">
        <f>+G8+G18</f>
        <v>2496884</v>
      </c>
      <c r="H33" s="134">
        <f>+H8+H18</f>
        <v>26792</v>
      </c>
      <c r="I33" s="133">
        <f>+I8+I18</f>
        <v>2827</v>
      </c>
      <c r="J33" s="121" t="s">
        <v>387</v>
      </c>
      <c r="K33" s="1049">
        <f t="shared" ref="K33:N33" si="11">+K8+K18</f>
        <v>1590476</v>
      </c>
      <c r="L33" s="28">
        <f t="shared" si="11"/>
        <v>5154733</v>
      </c>
      <c r="M33" s="28">
        <f t="shared" si="11"/>
        <v>1917916</v>
      </c>
      <c r="N33" s="1408">
        <f t="shared" si="3"/>
        <v>0.372068931601307</v>
      </c>
      <c r="O33" s="27">
        <f>+O8+O18</f>
        <v>1875986</v>
      </c>
      <c r="P33" s="28">
        <f>+P8+P18</f>
        <v>38594</v>
      </c>
      <c r="Q33" s="29">
        <f>+Q8+Q18</f>
        <v>3336</v>
      </c>
    </row>
    <row r="34" spans="1:17" s="3" customFormat="1" ht="12.75" thickBot="1">
      <c r="A34" s="83" t="s">
        <v>11</v>
      </c>
      <c r="B34" s="69" t="s">
        <v>385</v>
      </c>
      <c r="C34" s="1066">
        <f t="shared" ref="C34:F34" si="12">IF(((K8-C8)&gt;0),K8-C8,"----")</f>
        <v>186492</v>
      </c>
      <c r="D34" s="141">
        <f t="shared" si="12"/>
        <v>2745233</v>
      </c>
      <c r="E34" s="141" t="str">
        <f t="shared" si="12"/>
        <v>----</v>
      </c>
      <c r="F34" s="1408" t="str">
        <f t="shared" si="1"/>
        <v>-</v>
      </c>
      <c r="G34" s="142" t="str">
        <f>IF(((O8-G8)&gt;0),O8-G8,"----")</f>
        <v>----</v>
      </c>
      <c r="H34" s="141">
        <f>IF(((P8-H8)&gt;0),P8-H8,"----")</f>
        <v>11814</v>
      </c>
      <c r="I34" s="140">
        <f>IF(((Q8-I8)&gt;0),Q8-I8,"----")</f>
        <v>509</v>
      </c>
      <c r="J34" s="69" t="s">
        <v>386</v>
      </c>
      <c r="K34" s="1066" t="str">
        <f t="shared" ref="K34:N34" si="13">IF(((C8-K8)&gt;0),C8-K8,"----")</f>
        <v>----</v>
      </c>
      <c r="L34" s="141" t="str">
        <f t="shared" si="13"/>
        <v>----</v>
      </c>
      <c r="M34" s="141">
        <f t="shared" si="13"/>
        <v>269938</v>
      </c>
      <c r="N34" s="1408" t="str">
        <f t="shared" si="3"/>
        <v>-</v>
      </c>
      <c r="O34" s="142">
        <f>IF(((G8-O8)&gt;0),G8-O8,"----")</f>
        <v>282261</v>
      </c>
      <c r="P34" s="141" t="str">
        <f>IF(((H8-P8)&gt;0),H8-P8,"----")</f>
        <v>----</v>
      </c>
      <c r="Q34" s="140" t="str">
        <f>IF(((I8-Q8)&gt;0),I8-Q8,"----")</f>
        <v>----</v>
      </c>
    </row>
    <row r="35" spans="1:17" s="3" customFormat="1" ht="12.75" thickBot="1">
      <c r="A35" s="83" t="s">
        <v>10</v>
      </c>
      <c r="B35" s="69" t="s">
        <v>389</v>
      </c>
      <c r="C35" s="1066" t="str">
        <f t="shared" ref="C35:F35" si="14">IF(((K18-C18)&gt;0),K18-C18,"----")</f>
        <v>----</v>
      </c>
      <c r="D35" s="141" t="str">
        <f t="shared" si="14"/>
        <v>----</v>
      </c>
      <c r="E35" s="141" t="str">
        <f t="shared" si="14"/>
        <v>----</v>
      </c>
      <c r="F35" s="1408" t="str">
        <f t="shared" si="1"/>
        <v>-</v>
      </c>
      <c r="G35" s="142" t="str">
        <f>IF(((O18-G18)&gt;0),O18-G18,"----")</f>
        <v>----</v>
      </c>
      <c r="H35" s="141" t="str">
        <f>IF(((P18-H18)&gt;0),P18-H18,"----")</f>
        <v>----</v>
      </c>
      <c r="I35" s="140" t="str">
        <f>IF(((Q18-I18)&gt;0),Q18-I18,"----")</f>
        <v>----</v>
      </c>
      <c r="J35" s="69" t="s">
        <v>390</v>
      </c>
      <c r="K35" s="1066">
        <f t="shared" ref="K35:N35" si="15">IF(((C18-K18)&gt;0),C18-K18,"----")</f>
        <v>1806688</v>
      </c>
      <c r="L35" s="141">
        <f t="shared" si="15"/>
        <v>298178</v>
      </c>
      <c r="M35" s="141">
        <f t="shared" si="15"/>
        <v>338649</v>
      </c>
      <c r="N35" s="1408">
        <f t="shared" si="3"/>
        <v>1.1357276526101858</v>
      </c>
      <c r="O35" s="142">
        <f>IF(((G18-O18)&gt;0),G18-O18,"----")</f>
        <v>338637</v>
      </c>
      <c r="P35" s="141">
        <f>IF(((H18-P18)&gt;0),H18-P18,"----")</f>
        <v>12</v>
      </c>
      <c r="Q35" s="140" t="str">
        <f>IF(((I18-Q18)&gt;0),I18-Q18,"----")</f>
        <v>----</v>
      </c>
    </row>
  </sheetData>
  <mergeCells count="4">
    <mergeCell ref="A3:Q3"/>
    <mergeCell ref="A4:Q4"/>
    <mergeCell ref="C7:I7"/>
    <mergeCell ref="K7:Q7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38</vt:i4>
      </vt:variant>
      <vt:variant>
        <vt:lpstr>Névvel ellátott tartományok</vt:lpstr>
      </vt:variant>
      <vt:variant>
        <vt:i4>34</vt:i4>
      </vt:variant>
    </vt:vector>
  </HeadingPairs>
  <TitlesOfParts>
    <vt:vector size="72" baseType="lpstr">
      <vt:lpstr>Tartalomjegyzék</vt:lpstr>
      <vt:lpstr>1.mell._Össz_Mérleg2018</vt:lpstr>
      <vt:lpstr>1.1.mell._ÖNK_Mérleg2018</vt:lpstr>
      <vt:lpstr>1.2.mell._HKÖH_Mérleg2018</vt:lpstr>
      <vt:lpstr>1.3.mell._HVÓBKI_Mérleg2018</vt:lpstr>
      <vt:lpstr>1.4.mell._HKK_Mérleg2018</vt:lpstr>
      <vt:lpstr>1.5._mell._MŐSZ_Mérleg2018</vt:lpstr>
      <vt:lpstr>1.6._mell._HVGYKCSSZ_Mérleg2018</vt:lpstr>
      <vt:lpstr>2.a.mell._MMérleg2018</vt:lpstr>
      <vt:lpstr>2.b.mell._FMérleg2018</vt:lpstr>
      <vt:lpstr>3. mell._létszám2018</vt:lpstr>
      <vt:lpstr>4. mell. EUprojektek2017</vt:lpstr>
      <vt:lpstr>5.mell_adósság2018</vt:lpstr>
      <vt:lpstr>6.mell_Többévesköt.2018</vt:lpstr>
      <vt:lpstr>7. mell_KözvetettTám2018</vt:lpstr>
      <vt:lpstr>8.mell_EIfelhterv2018</vt:lpstr>
      <vt:lpstr>9.mell_ÖsszMérleg(telj)2018</vt:lpstr>
      <vt:lpstr>10.mell_támogatások2018</vt:lpstr>
      <vt:lpstr>11.mell_felhKiad2018</vt:lpstr>
      <vt:lpstr>12.mell_céltámogatások2018</vt:lpstr>
      <vt:lpstr>13.mell_ÖNKfeladatok2018</vt:lpstr>
      <vt:lpstr>14.mell_Önk kiegészítés2018</vt:lpstr>
      <vt:lpstr>15.mell 2018K01</vt:lpstr>
      <vt:lpstr>16.mell 2018K02</vt:lpstr>
      <vt:lpstr>17.mell 2018K03</vt:lpstr>
      <vt:lpstr>18.mell 2018K04</vt:lpstr>
      <vt:lpstr>19.mell 2018K12</vt:lpstr>
      <vt:lpstr>20.mell 2018K13</vt:lpstr>
      <vt:lpstr>21.mell Vagyonkim2018</vt:lpstr>
      <vt:lpstr>22.mell Részesedések2018</vt:lpstr>
      <vt:lpstr>23.mell_Adósságáll2018</vt:lpstr>
      <vt:lpstr>24.Hitelek2018</vt:lpstr>
      <vt:lpstr>25.mell_maradvány2018</vt:lpstr>
      <vt:lpstr>26.mell_maradványfeloszt2018</vt:lpstr>
      <vt:lpstr>15.mell_Tartozások2018</vt:lpstr>
      <vt:lpstr>16.mell_Étkezésdíj2018</vt:lpstr>
      <vt:lpstr>1.függVárosüzem2018</vt:lpstr>
      <vt:lpstr>2.függ_adósság2018 (határozat)</vt:lpstr>
      <vt:lpstr>'10.mell_támogatások2018'!Nyomtatási_cím</vt:lpstr>
      <vt:lpstr>'13.mell_ÖNKfeladatok2018'!Nyomtatási_cím</vt:lpstr>
      <vt:lpstr>'14.mell_Önk kiegészítés2018'!Nyomtatási_cím</vt:lpstr>
      <vt:lpstr>'15.mell 2018K01'!Nyomtatási_cím</vt:lpstr>
      <vt:lpstr>'16.mell 2018K02'!Nyomtatási_cím</vt:lpstr>
      <vt:lpstr>'1.1.mell._ÖNK_Mérleg2018'!Nyomtatási_terület</vt:lpstr>
      <vt:lpstr>'1.2.mell._HKÖH_Mérleg2018'!Nyomtatási_terület</vt:lpstr>
      <vt:lpstr>'1.3.mell._HVÓBKI_Mérleg2018'!Nyomtatási_terület</vt:lpstr>
      <vt:lpstr>'1.4.mell._HKK_Mérleg2018'!Nyomtatási_terület</vt:lpstr>
      <vt:lpstr>'1.5._mell._MŐSZ_Mérleg2018'!Nyomtatási_terület</vt:lpstr>
      <vt:lpstr>'1.6._mell._HVGYKCSSZ_Mérleg2018'!Nyomtatási_terület</vt:lpstr>
      <vt:lpstr>'1.függVárosüzem2018'!Nyomtatási_terület</vt:lpstr>
      <vt:lpstr>'1.mell._Össz_Mérleg2018'!Nyomtatási_terület</vt:lpstr>
      <vt:lpstr>'10.mell_támogatások2018'!Nyomtatási_terület</vt:lpstr>
      <vt:lpstr>'11.mell_felhKiad2018'!Nyomtatási_terület</vt:lpstr>
      <vt:lpstr>'12.mell_céltámogatások2018'!Nyomtatási_terület</vt:lpstr>
      <vt:lpstr>'13.mell_ÖNKfeladatok2018'!Nyomtatási_terület</vt:lpstr>
      <vt:lpstr>'14.mell_Önk kiegészítés2018'!Nyomtatási_terület</vt:lpstr>
      <vt:lpstr>'15.mell 2018K01'!Nyomtatási_terület</vt:lpstr>
      <vt:lpstr>'16.mell 2018K02'!Nyomtatási_terület</vt:lpstr>
      <vt:lpstr>'16.mell_Étkezésdíj2018'!Nyomtatási_terület</vt:lpstr>
      <vt:lpstr>'17.mell 2018K03'!Nyomtatási_terület</vt:lpstr>
      <vt:lpstr>'18.mell 2018K04'!Nyomtatási_terület</vt:lpstr>
      <vt:lpstr>'2.a.mell._MMérleg2018'!Nyomtatási_terület</vt:lpstr>
      <vt:lpstr>'2.b.mell._FMérleg2018'!Nyomtatási_terület</vt:lpstr>
      <vt:lpstr>'2.függ_adósság2018 (határozat)'!Nyomtatási_terület</vt:lpstr>
      <vt:lpstr>'21.mell Vagyonkim2018'!Nyomtatási_terület</vt:lpstr>
      <vt:lpstr>'23.mell_Adósságáll2018'!Nyomtatási_terület</vt:lpstr>
      <vt:lpstr>'25.mell_maradvány2018'!Nyomtatási_terület</vt:lpstr>
      <vt:lpstr>'3. mell._létszám2018'!Nyomtatási_terület</vt:lpstr>
      <vt:lpstr>'4. mell. EUprojektek2017'!Nyomtatási_terület</vt:lpstr>
      <vt:lpstr>'7. mell_KözvetettTám2018'!Nyomtatási_terület</vt:lpstr>
      <vt:lpstr>'8.mell_EIfelhterv2018'!Nyomtatási_terület</vt:lpstr>
      <vt:lpstr>'9.mell_ÖsszMérleg(telj)2018'!Nyomtatási_terület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Gábor Ecsegi</dc:creator>
  <cp:lastModifiedBy>ecsegi</cp:lastModifiedBy>
  <cp:lastPrinted>2019-05-25T08:30:56Z</cp:lastPrinted>
  <dcterms:created xsi:type="dcterms:W3CDTF">1998-12-06T10:54:59Z</dcterms:created>
  <dcterms:modified xsi:type="dcterms:W3CDTF">2019-05-25T08:53:06Z</dcterms:modified>
</cp:coreProperties>
</file>