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2" activeTab="0"/>
  </bookViews>
  <sheets>
    <sheet name="bevétfő " sheetId="1" r:id="rId1"/>
    <sheet name="kiadfő " sheetId="2" r:id="rId2"/>
    <sheet name="önállóan működő" sheetId="3" r:id="rId3"/>
    <sheet name="önállóan gazd." sheetId="4" r:id="rId4"/>
    <sheet name="hivatal1" sheetId="5" r:id="rId5"/>
    <sheet name="hivatal2" sheetId="6" r:id="rId6"/>
    <sheet name="hivatal3" sheetId="7" r:id="rId7"/>
    <sheet name="hivatal4" sheetId="8" r:id="rId8"/>
    <sheet name="hivatal5 " sheetId="9" r:id="rId9"/>
    <sheet name="hivatal6" sheetId="10" r:id="rId10"/>
    <sheet name="hivatal7" sheetId="11" r:id="rId11"/>
    <sheet name="hivatal8" sheetId="12" r:id="rId12"/>
    <sheet name="hivatal9" sheetId="13" r:id="rId13"/>
    <sheet name="támogatások" sheetId="14" r:id="rId14"/>
    <sheet name="segélyek" sheetId="15" r:id="rId15"/>
    <sheet name="felújítás" sheetId="16" r:id="rId16"/>
    <sheet name="beruházás" sheetId="17" r:id="rId17"/>
    <sheet name="tartalék" sheetId="18" r:id="rId18"/>
    <sheet name="pályázatok" sheetId="19" r:id="rId19"/>
    <sheet name="kötelező feladatok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4._sz._sor_részletezése">#REF!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Titles" localSheetId="16">'beruházás'!$3:$7</definedName>
    <definedName name="_xlnm.Print_Titles" localSheetId="15">'felújítás'!$3:$7</definedName>
    <definedName name="_xlnm.Print_Area" localSheetId="16">'beruházás'!$A$1:$E$194</definedName>
    <definedName name="_xlnm.Print_Area" localSheetId="0">'bevétfő '!$A$1:$I$92</definedName>
    <definedName name="_xlnm.Print_Area" localSheetId="15">'felújítás'!$A$1:$E$135</definedName>
    <definedName name="_xlnm.Print_Area" localSheetId="4">'hivatal1'!$A$1:$Q$63</definedName>
    <definedName name="_xlnm.Print_Area" localSheetId="5">'hivatal2'!$A$1:$Q$63</definedName>
    <definedName name="_xlnm.Print_Area" localSheetId="6">'hivatal3'!$A$1:$Q$63</definedName>
    <definedName name="_xlnm.Print_Area" localSheetId="7">'hivatal4'!$A$1:$Q$63</definedName>
    <definedName name="_xlnm.Print_Area" localSheetId="8">'hivatal5 '!$A$1:$Q$63</definedName>
    <definedName name="_xlnm.Print_Area" localSheetId="9">'hivatal6'!$A$1:$Q$63</definedName>
    <definedName name="_xlnm.Print_Area" localSheetId="10">'hivatal7'!$A$1:$N$63</definedName>
    <definedName name="_xlnm.Print_Area" localSheetId="11">'hivatal8'!$A$1:$K$63</definedName>
    <definedName name="_xlnm.Print_Area" localSheetId="12">'hivatal9'!$A$1:$K$63</definedName>
    <definedName name="_xlnm.Print_Area" localSheetId="1">'kiadfő '!$A$1:$H$80</definedName>
    <definedName name="_xlnm.Print_Area" localSheetId="19">'kötelező feladatok'!$B$1:$L$67</definedName>
    <definedName name="_xlnm.Print_Area" localSheetId="3">'önállóan gazd.'!$A$1:$Q$63</definedName>
    <definedName name="_xlnm.Print_Area" localSheetId="2">'önállóan működő'!$A$1:$Q$63</definedName>
    <definedName name="_xlnm.Print_Area" localSheetId="18">'pályázatok'!$A$1:$L$24</definedName>
    <definedName name="_xlnm.Print_Area" localSheetId="14">'segélyek'!$A$1:$H$31</definedName>
    <definedName name="_xlnm.Print_Area" localSheetId="13">'támogatások'!$A$1:$F$74</definedName>
    <definedName name="_xlnm.Print_Area" localSheetId="17">'tartalék'!$A$1:$F$37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'[1]Kötvény'!#REF!</definedName>
    <definedName name="ppb">'[1]Kötvény'!#REF!</definedName>
    <definedName name="ppc">'[1]Kötvény'!#REF!</definedName>
    <definedName name="ppd">'[1]Kötvény'!#REF!</definedName>
    <definedName name="ppe">'[1]Kötvény'!#REF!</definedName>
    <definedName name="ppf">'[1]Kötvény'!#REF!</definedName>
    <definedName name="ppg">'[1]Kötvény'!$H$4</definedName>
    <definedName name="ppn">'[2]Kötvény'!#REF!</definedName>
    <definedName name="ppo">'[2]Kötvény'!#REF!</definedName>
    <definedName name="sa">'[3]Sikeres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'[3]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fullCalcOnLoad="1"/>
</workbook>
</file>

<file path=xl/sharedStrings.xml><?xml version="1.0" encoding="utf-8"?>
<sst xmlns="http://schemas.openxmlformats.org/spreadsheetml/2006/main" count="2347" uniqueCount="921">
  <si>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</si>
  <si>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</si>
  <si>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</si>
  <si>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</si>
  <si>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</si>
  <si>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</si>
  <si>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visszatérítendő támogatások, kölcsönök nyújtása áht-n kívülre</t>
  </si>
  <si>
    <t>K508</t>
  </si>
  <si>
    <t>Egyéb működési célú támogatások államháztartáson kívülre</t>
  </si>
  <si>
    <t>K512</t>
  </si>
  <si>
    <t xml:space="preserve">     Általános tartalék</t>
  </si>
  <si>
    <t>Beruházások</t>
  </si>
  <si>
    <t>K6</t>
  </si>
  <si>
    <t>Felújítások</t>
  </si>
  <si>
    <t>K7</t>
  </si>
  <si>
    <t>K8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</si>
  <si>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</si>
  <si>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</si>
  <si>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</si>
  <si>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</si>
  <si>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</si>
  <si>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</si>
  <si>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visszatérítendő támogatások, kölcsönök nyújtása áht-n kívülre</t>
  </si>
  <si>
    <t>K86</t>
  </si>
  <si>
    <t>Egyéb felhalmozási célú támogatások államháztartáson kívülre</t>
  </si>
  <si>
    <t>Belföldi finanszírozás kiadásai</t>
  </si>
  <si>
    <t>K91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</si>
  <si>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</si>
  <si>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</si>
  <si>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</si>
  <si>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</si>
  <si>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</si>
  <si>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Rövid lejáratú hitelek, kölcsönök törlesztése</t>
  </si>
  <si>
    <t>K9113</t>
  </si>
  <si>
    <t>Belföldi értékpapírok kiadásai</t>
  </si>
  <si>
    <t>K912</t>
  </si>
  <si>
    <t>Pénzeszközök betétként elhelyezése</t>
  </si>
  <si>
    <t>K916</t>
  </si>
  <si>
    <t>Adóssághoz nem kapcsolódó származékos ügyletek kiadásai</t>
  </si>
  <si>
    <t>K93</t>
  </si>
  <si>
    <t>B83</t>
  </si>
  <si>
    <t>TÁRGYÉVI BEVÉTELEK ÖSSZESEN (C. + D.)</t>
  </si>
  <si>
    <t>D.</t>
  </si>
  <si>
    <t>E.</t>
  </si>
  <si>
    <t>B8</t>
  </si>
  <si>
    <t>Központi, irányítószervi támogatás</t>
  </si>
  <si>
    <t>feladatfinanszírozás összege</t>
  </si>
  <si>
    <t>Kamatbevételek</t>
  </si>
  <si>
    <t>Igazgatási szolgáltatási díj</t>
  </si>
  <si>
    <t>Egyéb bírság</t>
  </si>
  <si>
    <t>Immateriális javak értékesítése</t>
  </si>
  <si>
    <t xml:space="preserve">Képviselő-testület </t>
  </si>
  <si>
    <t>Intézmények Gazdasági Irodája 
Központ</t>
  </si>
  <si>
    <t>5.</t>
  </si>
  <si>
    <t>6.</t>
  </si>
  <si>
    <t>Tartalékok</t>
  </si>
  <si>
    <t>9.</t>
  </si>
  <si>
    <t>a.</t>
  </si>
  <si>
    <t>b.</t>
  </si>
  <si>
    <t>Idegenfogalmi feladatok</t>
  </si>
  <si>
    <t>Szociális feladatellátás</t>
  </si>
  <si>
    <t>Vagyongazdálkodás</t>
  </si>
  <si>
    <t>Önkormányzati bérlakások pénzbeli térítése</t>
  </si>
  <si>
    <t>Közfoglalkoztatás</t>
  </si>
  <si>
    <t>Főépítészi,  városrendezési feladatok</t>
  </si>
  <si>
    <t>Budafok-Tétényért Városfejlesztő Kft.</t>
  </si>
  <si>
    <t>Közalkalmazottak 2 %-os keresetkiegészítése</t>
  </si>
  <si>
    <t>XXII. ker. Önkormányzat összesen</t>
  </si>
  <si>
    <t xml:space="preserve">Önkormányzati egyéb bevételek               </t>
  </si>
  <si>
    <t>h</t>
  </si>
  <si>
    <t>Bevételek</t>
  </si>
  <si>
    <t>Kiadások</t>
  </si>
  <si>
    <t>Önként vállalt feladatok</t>
  </si>
  <si>
    <t>államigazgatási feladatok</t>
  </si>
  <si>
    <t>Tervezett kiadások összesen</t>
  </si>
  <si>
    <t>állami hozzájárulás</t>
  </si>
  <si>
    <t>Tervezett bevételek összesen</t>
  </si>
  <si>
    <t xml:space="preserve">    Borlovagrend</t>
  </si>
  <si>
    <t>Alapok, alapítványok támogatása</t>
  </si>
  <si>
    <t>Kártalanítás, utcamegnyitás</t>
  </si>
  <si>
    <t>Egyházi jogi személytől</t>
  </si>
  <si>
    <t>Háztartásoktól</t>
  </si>
  <si>
    <t>Egyéb felhalmozási célú átvett pénzeszközök áht-n kívülről</t>
  </si>
  <si>
    <t>KÖLTSÉGVETÉSI BEVÉTELEK ÖSSZESEN (A + B):</t>
  </si>
  <si>
    <t xml:space="preserve">                                                                                                                                          </t>
  </si>
  <si>
    <t>kötelező feladatok kiadásai</t>
  </si>
  <si>
    <t>Városüzemeltetési feladatok:</t>
  </si>
  <si>
    <t xml:space="preserve"> </t>
  </si>
  <si>
    <t>Kötelező-, önként vállalt és államigazgatási feladatok bontásban</t>
  </si>
  <si>
    <t>Eredeti előirányzat</t>
  </si>
  <si>
    <t>Intézmények által elvégzett felújítások:</t>
  </si>
  <si>
    <t xml:space="preserve">    Budafoki Péter Pál Utca Polgári Kör</t>
  </si>
  <si>
    <t xml:space="preserve">    Újbuda Prizma Nkft. - Szociális forglalkoztatás</t>
  </si>
  <si>
    <t>Önkormányzati rendelethez</t>
  </si>
  <si>
    <t>Sor-szám</t>
  </si>
  <si>
    <t>I.</t>
  </si>
  <si>
    <t>Építményadó</t>
  </si>
  <si>
    <t>Telekadó</t>
  </si>
  <si>
    <t>a</t>
  </si>
  <si>
    <t>b</t>
  </si>
  <si>
    <t>c</t>
  </si>
  <si>
    <t>d</t>
  </si>
  <si>
    <t>II.</t>
  </si>
  <si>
    <t>Kommunális adó</t>
  </si>
  <si>
    <t>Gépjárműadó</t>
  </si>
  <si>
    <t>III.</t>
  </si>
  <si>
    <t>IV.</t>
  </si>
  <si>
    <t>V.</t>
  </si>
  <si>
    <t>A</t>
  </si>
  <si>
    <t>B</t>
  </si>
  <si>
    <t>VIII.</t>
  </si>
  <si>
    <t>C.</t>
  </si>
  <si>
    <t>1.</t>
  </si>
  <si>
    <t>Személyi juttatások</t>
  </si>
  <si>
    <t>2.</t>
  </si>
  <si>
    <t>3.</t>
  </si>
  <si>
    <t>Dologi kiadások</t>
  </si>
  <si>
    <t>4.</t>
  </si>
  <si>
    <t>7.</t>
  </si>
  <si>
    <t>8.</t>
  </si>
  <si>
    <t>A.</t>
  </si>
  <si>
    <t>B.</t>
  </si>
  <si>
    <t>IX.</t>
  </si>
  <si>
    <t>1. oldal</t>
  </si>
  <si>
    <t>Sor-</t>
  </si>
  <si>
    <t>C í m r e n d</t>
  </si>
  <si>
    <t>szám</t>
  </si>
  <si>
    <t>Előirányzatok megnevezése</t>
  </si>
  <si>
    <t>módosítás            ( ± )</t>
  </si>
  <si>
    <t>K I A D Á S O K</t>
  </si>
  <si>
    <t>módosítás           ( ± )</t>
  </si>
  <si>
    <t>B E V É T E L E K</t>
  </si>
  <si>
    <t>2. oldal</t>
  </si>
  <si>
    <t>Intézmények összesen</t>
  </si>
  <si>
    <t>ezer Ft-ban</t>
  </si>
  <si>
    <t>Kerületi feladatok</t>
  </si>
  <si>
    <t>Kulturális feladatok</t>
  </si>
  <si>
    <t>Sajtó</t>
  </si>
  <si>
    <t>Környezetvédelem</t>
  </si>
  <si>
    <t>3. oldal</t>
  </si>
  <si>
    <t>Kerületi díjak</t>
  </si>
  <si>
    <t>Polgármesteri keret</t>
  </si>
  <si>
    <t>4. oldal</t>
  </si>
  <si>
    <t>5. oldal</t>
  </si>
  <si>
    <t>6. oldal</t>
  </si>
  <si>
    <t>7. oldal</t>
  </si>
  <si>
    <t>Tartalék</t>
  </si>
  <si>
    <t>Bevételek rendezése</t>
  </si>
  <si>
    <t>8. oldal</t>
  </si>
  <si>
    <t>9. oldal</t>
  </si>
  <si>
    <t>Környezetvédelmi Alap</t>
  </si>
  <si>
    <t>Feladat megnevezése</t>
  </si>
  <si>
    <t xml:space="preserve">    BMTE</t>
  </si>
  <si>
    <t xml:space="preserve">    BLC</t>
  </si>
  <si>
    <t xml:space="preserve">    Nagytétényi SE</t>
  </si>
  <si>
    <t xml:space="preserve">    Budatétényi SE</t>
  </si>
  <si>
    <t xml:space="preserve">    BKK</t>
  </si>
  <si>
    <t>Sportegyesületek támogatása összesen</t>
  </si>
  <si>
    <t>Halacska Református Óvoda</t>
  </si>
  <si>
    <t>Önkormányzat egyéb bevételei</t>
  </si>
  <si>
    <t>Vízvezeték építés összesen :</t>
  </si>
  <si>
    <t>INTÉZMÉNYEK ÖSSZESEN</t>
  </si>
  <si>
    <t>Egyesített Bölcsőde</t>
  </si>
  <si>
    <t>s.sz.</t>
  </si>
  <si>
    <t>Intézményi tartalék</t>
  </si>
  <si>
    <t>Közszolgálati műsorok támogatása (Sajtó)</t>
  </si>
  <si>
    <t xml:space="preserve">    Baross Gábor Telepi Polgári Kör</t>
  </si>
  <si>
    <t xml:space="preserve">    Budatétényi Polgári Kör</t>
  </si>
  <si>
    <t xml:space="preserve">    Nagytétényi Polgári Kör</t>
  </si>
  <si>
    <t xml:space="preserve">    Rózsavölgy Egyesület</t>
  </si>
  <si>
    <t xml:space="preserve">    Budafok-Tétény Baráti Körök </t>
  </si>
  <si>
    <t>Egyéb működési célú kiadások</t>
  </si>
  <si>
    <t>Ellátottak pénzbeli juttatásai</t>
  </si>
  <si>
    <t>Egyéb felhalmozási célú kiadások</t>
  </si>
  <si>
    <t>Beruházások   (ÁFA-val)</t>
  </si>
  <si>
    <t>egyéb közhatalmi bevételek</t>
  </si>
  <si>
    <t>Közhatalmi bevételek összesen</t>
  </si>
  <si>
    <t>Működési célú támogatások áht-n belülről</t>
  </si>
  <si>
    <t>felhalmozási célú támogatások áht-n belülről</t>
  </si>
  <si>
    <t>Finanszírozási célú kiadások összesen</t>
  </si>
  <si>
    <t>KIADÁSOK összesen:    (1-10-ig)</t>
  </si>
  <si>
    <t>Felhalmozási célú átvett pénzeszközök összesen:</t>
  </si>
  <si>
    <t xml:space="preserve">BEVÉTELEK összesen :                  (1-10-ig)      </t>
  </si>
  <si>
    <t>9/b</t>
  </si>
  <si>
    <t>Pénzmaradvány igénybevétele:</t>
  </si>
  <si>
    <t>sor-szám</t>
  </si>
  <si>
    <t>Tartalékolás jogcíme</t>
  </si>
  <si>
    <t>Általános tartalék</t>
  </si>
  <si>
    <t>Céltartalék</t>
  </si>
  <si>
    <t>Céltartalék összesen :</t>
  </si>
  <si>
    <t>Önkormányzati tartalék előirányzat összesen :</t>
  </si>
  <si>
    <t>Útépítések összesen:</t>
  </si>
  <si>
    <t>e</t>
  </si>
  <si>
    <t>Egyházak támogatása</t>
  </si>
  <si>
    <t>INTÉZMÉNYEK GAZDASÁGI IRODÁJA
  ÖSSZESEN</t>
  </si>
  <si>
    <t>Kulturális feladatok összesen</t>
  </si>
  <si>
    <t xml:space="preserve">    Nagytétényi Kastély Közalapítvány</t>
  </si>
  <si>
    <t>Alapok, alapítványok összesen</t>
  </si>
  <si>
    <t>Kisegítő mezőgazdasági szolgáltatások összesen:</t>
  </si>
  <si>
    <t>Intézmények tervezett beruházásai:</t>
  </si>
  <si>
    <t>Egyéb nem lakás célú helyiségek felújítása</t>
  </si>
  <si>
    <t>Orvosi rendelők felújítása</t>
  </si>
  <si>
    <t>Munkaadót terhelő járulékok és szociális hozzájárulási adó</t>
  </si>
  <si>
    <t>Önkormányzati igazgatás (841169)</t>
  </si>
  <si>
    <t>Képviselő-testület</t>
  </si>
  <si>
    <t>Idegenforgalmi feladatok</t>
  </si>
  <si>
    <t>Intézmények összesen :</t>
  </si>
  <si>
    <t xml:space="preserve">Önkormányzati feladatok összesen: </t>
  </si>
  <si>
    <t>Egyéb intézményi feladatok összesen:</t>
  </si>
  <si>
    <t>Műszaki ellenőrzések magas- és mélyépítési munkák</t>
  </si>
  <si>
    <t xml:space="preserve">Felszíni vizelvezetési fa.-ok  tervezés, építés </t>
  </si>
  <si>
    <t>Szennyvízcsatorna tervezés és építés</t>
  </si>
  <si>
    <t>Elektromos vezetékek kiép.közterületen</t>
  </si>
  <si>
    <t>Intézményekben tervezett beruházások</t>
  </si>
  <si>
    <t>Intézményekben tervezett felújítások</t>
  </si>
  <si>
    <t xml:space="preserve">Intézmények karbantartási kiadása </t>
  </si>
  <si>
    <t xml:space="preserve">Önkormányzat összesen: </t>
  </si>
  <si>
    <t>nem kötelező</t>
  </si>
  <si>
    <t>állíg</t>
  </si>
  <si>
    <t>éphat + pv + igazgatás + segély + anyakönyv</t>
  </si>
  <si>
    <t>bérlet+költségtér</t>
  </si>
  <si>
    <t>kötelező</t>
  </si>
  <si>
    <t>fenntartás</t>
  </si>
  <si>
    <t>KT döntött</t>
  </si>
  <si>
    <t>dologi</t>
  </si>
  <si>
    <t>közterületi jelenlét</t>
  </si>
  <si>
    <t>hiv-os kisaj+utcanyitás</t>
  </si>
  <si>
    <t>Hazai forrásból megvalósuló pályázatok</t>
  </si>
  <si>
    <t xml:space="preserve">    Szent Bernát Alapítvány</t>
  </si>
  <si>
    <t>FELÚJÍTÁSI KIADÁSOK ÖSSZESEN (A+B):</t>
  </si>
  <si>
    <t>.</t>
  </si>
  <si>
    <t>Rovat-
szám</t>
  </si>
  <si>
    <t>Működési célú támogatások államháztartáson belülről</t>
  </si>
  <si>
    <t>B1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</si>
  <si>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</si>
  <si>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</si>
  <si>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</si>
  <si>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</si>
  <si>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</si>
  <si>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</si>
  <si>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</si>
  <si>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</si>
  <si>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</si>
  <si>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</si>
  <si>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</si>
  <si>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Elvonások és befizetések bevételei</t>
  </si>
  <si>
    <t>B12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</si>
  <si>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</si>
  <si>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</si>
  <si>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</si>
  <si>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</si>
  <si>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</si>
  <si>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</si>
  <si>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ebből:</t>
  </si>
  <si>
    <t>Vagyoni típusú adók</t>
  </si>
  <si>
    <t>B34</t>
  </si>
  <si>
    <t>Termékek és szolgáltatások adói</t>
  </si>
  <si>
    <t>B35</t>
  </si>
  <si>
    <t>B351</t>
  </si>
  <si>
    <t>B354</t>
  </si>
  <si>
    <t>Egyéb áruhasználati és szolgáltatási adók</t>
  </si>
  <si>
    <t>B355</t>
  </si>
  <si>
    <t>Egyéb közhatalmi bevételek</t>
  </si>
  <si>
    <t>B36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</si>
  <si>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</si>
  <si>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</si>
  <si>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</si>
  <si>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</si>
  <si>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</si>
  <si>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</si>
  <si>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</si>
  <si>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</si>
  <si>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</si>
  <si>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</si>
  <si>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</si>
  <si>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</si>
  <si>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</si>
  <si>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</si>
  <si>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</si>
  <si>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</si>
  <si>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</si>
  <si>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</si>
  <si>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</si>
  <si>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</t>
  </si>
  <si>
    <t>B410</t>
  </si>
  <si>
    <t>Működési célú átvett pénzeszközök</t>
  </si>
  <si>
    <t>B6</t>
  </si>
  <si>
    <t>Működési célú visszatérítendő támogatások, kölcsönök visszatérülése áht-n kívülről</t>
  </si>
  <si>
    <t>Egyéb működési célú átvett pénzeszközök</t>
  </si>
  <si>
    <t>Felhalmozási célú támogatások államháztartáson belülről</t>
  </si>
  <si>
    <t>B2</t>
  </si>
  <si>
    <t>Felhalmozási célú önkormányzati támogatás</t>
  </si>
  <si>
    <t>B21</t>
  </si>
  <si>
    <t>Egyéb felhalmozási célú támogatások bevételei államháztartáson belülről</t>
  </si>
  <si>
    <t>B25</t>
  </si>
  <si>
    <t>Felhalmozási bevételek</t>
  </si>
  <si>
    <t>B5</t>
  </si>
  <si>
    <t>B51</t>
  </si>
  <si>
    <t>Ingatlanok értékesítése</t>
  </si>
  <si>
    <t>B52</t>
  </si>
  <si>
    <t>Egyéb tárgyi eszközök értékesítése</t>
  </si>
  <si>
    <t>B53</t>
  </si>
  <si>
    <t>B55</t>
  </si>
  <si>
    <t>Felhalmozási célú átvett pénzeszközök</t>
  </si>
  <si>
    <t>B7</t>
  </si>
  <si>
    <t>Felhalmozási célú visszatérítendő támogatások, kölcsönök visszatérülése áht-n kívülről</t>
  </si>
  <si>
    <t>Belföldi finanszírozás bevételei</t>
  </si>
  <si>
    <t>B81</t>
  </si>
  <si>
    <t>Hitel-, kölcsönfelvétel államháztartáson kívülről</t>
  </si>
  <si>
    <t>B811</t>
  </si>
  <si>
    <t>Belföldi értékpapírok bevételei</t>
  </si>
  <si>
    <t>B812</t>
  </si>
  <si>
    <t>Maradvány igénybevétele</t>
  </si>
  <si>
    <t>B813</t>
  </si>
  <si>
    <t>B8131</t>
  </si>
  <si>
    <t>Betétek megszüntetése</t>
  </si>
  <si>
    <t>B817</t>
  </si>
  <si>
    <t>Sorszám</t>
  </si>
  <si>
    <t>Előirányzat (rovat) megnevezése</t>
  </si>
  <si>
    <t>Önkormányzat működési támogatása (a - f)</t>
  </si>
  <si>
    <t>Helyi önkormányzatoktól és költségvetési szerveiktől</t>
  </si>
  <si>
    <t>Szabálysértési bírság</t>
  </si>
  <si>
    <t>Tárgyi eszköz bérbeadásából származó bevétel</t>
  </si>
  <si>
    <t>HACCP+CSAO+HSNY</t>
  </si>
  <si>
    <t>állati tetemek</t>
  </si>
  <si>
    <t>Főépítészi, városrendezési feladatok</t>
  </si>
  <si>
    <t>VI.</t>
  </si>
  <si>
    <t>VII.</t>
  </si>
  <si>
    <t>l</t>
  </si>
  <si>
    <t>Nemzetiségi önkormányzatok - pályázat</t>
  </si>
  <si>
    <t>Működési célú céltartalék</t>
  </si>
  <si>
    <t xml:space="preserve">Felhalmozási célú céltartalék </t>
  </si>
  <si>
    <t>Önkormányzati lakások felújítása</t>
  </si>
  <si>
    <t>Közterületi jelenlét</t>
  </si>
  <si>
    <t>X.</t>
  </si>
  <si>
    <t>Talajterhelési díj</t>
  </si>
  <si>
    <t>Elektromos vezetékek kiépítése összesen:</t>
  </si>
  <si>
    <t>Környezetvédelmi bírság</t>
  </si>
  <si>
    <t>Építésügyi bírság</t>
  </si>
  <si>
    <t>f</t>
  </si>
  <si>
    <t>g</t>
  </si>
  <si>
    <t>Egyesített Óvoda</t>
  </si>
  <si>
    <t>pályázat címe, pályázati cél</t>
  </si>
  <si>
    <t>pályázat / operatív program neve</t>
  </si>
  <si>
    <t xml:space="preserve">pályázati forrás </t>
  </si>
  <si>
    <t>saját forrás</t>
  </si>
  <si>
    <t>pályázati forrás</t>
  </si>
  <si>
    <t>tervezett összes kiadás</t>
  </si>
  <si>
    <t>Europai Uniós forrásból finanszírozott pályázatok összesen:</t>
  </si>
  <si>
    <t>Egyéb külföldi forrásból finanszírozott pályázatok összesen:</t>
  </si>
  <si>
    <t>Pályázatokból megvalósuló fejlesztések összesen (I+II+III.):</t>
  </si>
  <si>
    <t>Polgármesteri Hivatal</t>
  </si>
  <si>
    <t>Önkormányzati  feladatok mindösszesen</t>
  </si>
  <si>
    <t>Polgármesteri Hivatal által ellátott Önkormányzati feladatok összesen</t>
  </si>
  <si>
    <t>Önkormányzati igazgatás</t>
  </si>
  <si>
    <t>K1</t>
  </si>
  <si>
    <t>Munkaadókat terhelő járulékok és szociális hozzájárulási adó</t>
  </si>
  <si>
    <t>K2</t>
  </si>
  <si>
    <t>K3</t>
  </si>
  <si>
    <t>K4</t>
  </si>
  <si>
    <t>K5</t>
  </si>
  <si>
    <t>Elvonások és befizetések</t>
  </si>
  <si>
    <t>K502</t>
  </si>
  <si>
    <t xml:space="preserve">     Céltartalék</t>
  </si>
  <si>
    <t>Egyéb államháztartáson belüli szervezettől, központi kezelésű előirányzatból</t>
  </si>
  <si>
    <t>Egyéb</t>
  </si>
  <si>
    <t>Hitel-, kölcsöntörlesztés államháztartáson kívülre</t>
  </si>
  <si>
    <t>egyházi jogi személyek részére</t>
  </si>
  <si>
    <t>egyéb civil szervezetek részére</t>
  </si>
  <si>
    <t>háztartások részére</t>
  </si>
  <si>
    <t>önkormányzati tulajdonú gazdasági társaságoknak</t>
  </si>
  <si>
    <t>MŰKÖDÉSI KÖLTSÉGVETÉS EGYENLEGE (működési bevétel - működési kiadás)</t>
  </si>
  <si>
    <t>FELHALMOZÁSI KÖLTSÉGVETÉS EGYENLEGE (felhalmozási bevétel - felhalmozási kiadás)</t>
  </si>
  <si>
    <t>Önkormányzati beruházások</t>
  </si>
  <si>
    <t>Intézmények saját hatáskörben végrehajtott beruházásai</t>
  </si>
  <si>
    <t>Önkormányzati felújítások</t>
  </si>
  <si>
    <t>Intézmények saját hatáskörben végrehajtott felújításai</t>
  </si>
  <si>
    <t>egyéb gazdasági társaságnak</t>
  </si>
  <si>
    <t>KÖLTSÉGVETÉSI KIADÁSOK ÖSSZESEN (A + B):</t>
  </si>
  <si>
    <t>TÁRGYÉVI KIADÁSOK ÖSSZESEN (C. + D.)</t>
  </si>
  <si>
    <t>Értékesítési és forgalmi adók (Iparűzési adó)</t>
  </si>
  <si>
    <t>Egyéb bírság, pótlék</t>
  </si>
  <si>
    <t>Európai Uniótól</t>
  </si>
  <si>
    <t>elvonások és befizetések</t>
  </si>
  <si>
    <t>egyéb működési célú támogatások áht-n belülre</t>
  </si>
  <si>
    <t>egyéb működési célú támogatások áht-n kívül</t>
  </si>
  <si>
    <t>tartalékok</t>
  </si>
  <si>
    <t>egyéb felhalmozási célú támogatások áht-n belülre</t>
  </si>
  <si>
    <t>egyéb felhalmozási célú támogatások áht-n kívül</t>
  </si>
  <si>
    <t>Önkormányzat működési támogatása</t>
  </si>
  <si>
    <t>Műk. célú visszat. tám-ok, kölcsönök visszatérülése áht-n belül</t>
  </si>
  <si>
    <t>vagyoni típusú adók</t>
  </si>
  <si>
    <t>termékek és szolgáltatások adói</t>
  </si>
  <si>
    <t>Felh. célú visszat. tám-ok, kölcsönök visszatérülése áht-n belül</t>
  </si>
  <si>
    <t>Egyéb műk.c. támogatások  bevételei áht-n belül</t>
  </si>
  <si>
    <t>felhalm c. tám-ok, kölcsönök visszatérülése áht-n kívülről</t>
  </si>
  <si>
    <t>egyéb felhalmozási célú átvett pénzeszközök áht-n kívül</t>
  </si>
  <si>
    <t>egyéb finanszírozási célú bevételek összesen:</t>
  </si>
  <si>
    <t>9/a</t>
  </si>
  <si>
    <t>Működési célú támogatások összesen:</t>
  </si>
  <si>
    <t>Működési célú támogatások áht-n kívűlre összesen:</t>
  </si>
  <si>
    <t>Működési célú támogatások áht- belülre összesen:</t>
  </si>
  <si>
    <t>központi költségvetési szervek részére</t>
  </si>
  <si>
    <t>Rovat-szám</t>
  </si>
  <si>
    <t>K42</t>
  </si>
  <si>
    <t>K46</t>
  </si>
  <si>
    <t>K48</t>
  </si>
  <si>
    <t>Ellátottak pénzbeli juttatása összesen:</t>
  </si>
  <si>
    <t xml:space="preserve">Családi támogatások </t>
  </si>
  <si>
    <t>Lakhatással kapcsolatos ellátások</t>
  </si>
  <si>
    <t>Egyéb nem intézményi ellátások</t>
  </si>
  <si>
    <t>köztemetés [Szoctv. 48.§]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</si>
  <si>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</si>
  <si>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</si>
  <si>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jegyzői hatáskörben lévő segélyek (PH-által fizetendő)</t>
  </si>
  <si>
    <r>
      <t xml:space="preserve">lakásfenntartási támogatás
[Szoctv. 38. § (1) bek. a) és b) pontok] </t>
    </r>
    <r>
      <rPr>
        <b/>
        <i/>
        <sz val="11"/>
        <rFont val="Arial"/>
        <family val="2"/>
      </rPr>
      <t>(jegyzői)</t>
    </r>
  </si>
  <si>
    <t>jövedelemadók</t>
  </si>
  <si>
    <t>Működési kiadások összesen (I+II+III+IV+V)</t>
  </si>
  <si>
    <t>Felhalmozási kiadások összesen (VI+VII+VIII)</t>
  </si>
  <si>
    <t>Működési bevételek összesen (I+II+III+IV)</t>
  </si>
  <si>
    <t>Felhalmozási bevételek összesen (V+VI+VII):</t>
  </si>
  <si>
    <t>Finanszírozási kiadások összesen: (IX+X)</t>
  </si>
  <si>
    <t>IX</t>
  </si>
  <si>
    <t>Finanszírozási bevételek (VIII+IX):</t>
  </si>
  <si>
    <t>Feladathoz kapcsolódó egyéb támogatás</t>
  </si>
  <si>
    <t>Egészségügyi és szociális feladatok</t>
  </si>
  <si>
    <t>Egyéb felh.c. támogatások  bevételei áht-n belül</t>
  </si>
  <si>
    <t>irányítószervi és feladattámogatás</t>
  </si>
  <si>
    <t>Egyéb szervezetektől</t>
  </si>
  <si>
    <t xml:space="preserve">egyéb államháztartáson belüli szervezettől, </t>
  </si>
  <si>
    <t>Ellátottak pénzbeli juttatása (segélyek)</t>
  </si>
  <si>
    <t>cafetéria + bérlet  +isik besz.keret</t>
  </si>
  <si>
    <t>j</t>
  </si>
  <si>
    <t>Adóssághoz nem kapcsolódó származékos ügyletek bevételei</t>
  </si>
  <si>
    <t>Érvényes előirányzat</t>
  </si>
  <si>
    <t>Felújítások   (ÁFA-val)</t>
  </si>
  <si>
    <t>Felhalmozási célú támogatások összesen:</t>
  </si>
  <si>
    <t>helyi önkormányzatok és költségvetési szerveik részére</t>
  </si>
  <si>
    <t>módosítás     
( ± )</t>
  </si>
  <si>
    <t>KÖLTSÉGVETÉSI HIÁNY(-) / TÖBBLET (+): (költségvetési bevétel-költségvetési kiadás)</t>
  </si>
  <si>
    <t>Iparűzési adó bírság, pótlék</t>
  </si>
  <si>
    <t>Ellátottak pénzbeli juttatása
(önkormányzati segélyek)</t>
  </si>
  <si>
    <t>Közszolgáltatás fejlesztési feladatok</t>
  </si>
  <si>
    <t>egyéb fejezeti kezelésű előirányzatok</t>
  </si>
  <si>
    <t>helyi  nemzetiségi önkormányzatok és költségvetési szerveik részére</t>
  </si>
  <si>
    <t>Önkormányzat által bevezett helyi adók bírság, pótlék</t>
  </si>
  <si>
    <t>Ingatlanok vásárlása</t>
  </si>
  <si>
    <t xml:space="preserve"> teljes program forrásának tervezett összetétele</t>
  </si>
  <si>
    <t>pályázat teljes költsége</t>
  </si>
  <si>
    <t>10.</t>
  </si>
  <si>
    <t>11.</t>
  </si>
  <si>
    <t>12.</t>
  </si>
  <si>
    <t>Sportcélú pályázatok  (SZEB)</t>
  </si>
  <si>
    <t xml:space="preserve">    OKTB pályázatok</t>
  </si>
  <si>
    <t xml:space="preserve">    Moldvai Magyarok a Moldvai Magyarokért Szövetség</t>
  </si>
  <si>
    <r>
      <t>Rendkívüli gyermekvédelmi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</si>
  <si>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Krízis segély
[Szoctv. 45.§]</t>
    </r>
    <r>
      <rPr>
        <b/>
        <i/>
        <sz val="11"/>
        <rFont val="Arial"/>
        <family val="2"/>
      </rPr>
      <t xml:space="preserve"> (települési támogatás)</t>
    </r>
  </si>
  <si>
    <r>
      <t>Temetési segély
[Szoctv. 45.§]</t>
    </r>
    <r>
      <rPr>
        <b/>
        <i/>
        <sz val="11"/>
        <rFont val="Arial"/>
        <family val="2"/>
      </rPr>
      <t xml:space="preserve"> (települési támogatás)</t>
    </r>
  </si>
  <si>
    <r>
      <t>Lakhatási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</si>
  <si>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Hátralékkezelési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</si>
  <si>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Beteggondozási díj
[Szoctv. 45.§]</t>
    </r>
    <r>
      <rPr>
        <b/>
        <i/>
        <sz val="11"/>
        <rFont val="Arial"/>
        <family val="2"/>
      </rPr>
      <t xml:space="preserve"> (települési támogatás)</t>
    </r>
  </si>
  <si>
    <t>Települési támogatás</t>
  </si>
  <si>
    <r>
      <t>Gyógyszertámogatás
[Szoctv. 45.§]</t>
    </r>
    <r>
      <rPr>
        <b/>
        <i/>
        <sz val="11"/>
        <rFont val="Arial"/>
        <family val="2"/>
      </rPr>
      <t xml:space="preserve"> (települési támogatás)</t>
    </r>
  </si>
  <si>
    <t>Egyéb önkormányzati segély, támogatás</t>
  </si>
  <si>
    <t>Lakótelepek energiatakarékos korszerűsítése, társasház</t>
  </si>
  <si>
    <t>Közvilágítás hálózatok és lámpák, díszkivilágítás</t>
  </si>
  <si>
    <t>Útépítések tervezése</t>
  </si>
  <si>
    <t>Járda építések  összesen:</t>
  </si>
  <si>
    <t>Járda felújítások:</t>
  </si>
  <si>
    <t>Út-,  támfal- és lépcsőfelújítások:</t>
  </si>
  <si>
    <t>Előző év költségvetési maradványának igénybevétele</t>
  </si>
  <si>
    <t>Előző év vállalkozási maradványának igénybevétele</t>
  </si>
  <si>
    <t>B8132</t>
  </si>
  <si>
    <t>klik</t>
  </si>
  <si>
    <t>Vízvezeték építés összesen</t>
  </si>
  <si>
    <t>Útépítések összesen</t>
  </si>
  <si>
    <t>Járda építések</t>
  </si>
  <si>
    <t>Járda felújítások</t>
  </si>
  <si>
    <t>Közszolgáltatásfejlesztési feladatok</t>
  </si>
  <si>
    <t>B814</t>
  </si>
  <si>
    <t>Államháztartáson belüli megelőlegezések</t>
  </si>
  <si>
    <t>Parkoló építések, felújítások</t>
  </si>
  <si>
    <t>Út-, támfal- és lépcsők felújítása, építése</t>
  </si>
  <si>
    <t>Bursa,</t>
  </si>
  <si>
    <t>tervtanács+ped. tovább+plakett</t>
  </si>
  <si>
    <t>üdülő</t>
  </si>
  <si>
    <t>saját</t>
  </si>
  <si>
    <t xml:space="preserve">Halacska, Demjén, sulivár, SZEB, verseny, </t>
  </si>
  <si>
    <t>támogatások</t>
  </si>
  <si>
    <t xml:space="preserve">dologi </t>
  </si>
  <si>
    <t>k</t>
  </si>
  <si>
    <t>főváros</t>
  </si>
  <si>
    <t>K513</t>
  </si>
  <si>
    <t>K89</t>
  </si>
  <si>
    <t>B411</t>
  </si>
  <si>
    <t>Biztosító által fizetett kártérítés</t>
  </si>
  <si>
    <t>B64</t>
  </si>
  <si>
    <t>B65</t>
  </si>
  <si>
    <t>B74</t>
  </si>
  <si>
    <t>B75</t>
  </si>
  <si>
    <t>Egyéb városüzemeltetési feladatok</t>
  </si>
  <si>
    <t>Fogyasztási adók (jövedéki adó)</t>
  </si>
  <si>
    <t>B352</t>
  </si>
  <si>
    <r>
      <t xml:space="preserve">Kiegészítő Gyermekvédelmi támogatás </t>
    </r>
    <r>
      <rPr>
        <b/>
        <i/>
        <sz val="11"/>
        <rFont val="Arial"/>
        <family val="2"/>
      </rPr>
      <t>(jegyzői)</t>
    </r>
  </si>
  <si>
    <t>Kisegítő mezőgazdasági szolgáltatások</t>
  </si>
  <si>
    <t>Út-, járda-, lépcső-, támfal felújítások tervezése</t>
  </si>
  <si>
    <t>Útfenntartási kiadások:</t>
  </si>
  <si>
    <t>Intézményi beruházások, felújítások tervezése</t>
  </si>
  <si>
    <t>intézményi fűtésfelújítások összesen:</t>
  </si>
  <si>
    <t>intézményi vizesblokkok, vízvezetékek és csatornák felújítása összesen:</t>
  </si>
  <si>
    <t>sportcélú helyiségek, sportudvarok, udvarok összesen:</t>
  </si>
  <si>
    <t>intézményi tetőfelújítások összesen:</t>
  </si>
  <si>
    <t>intézményi világítás felújítások összesen:</t>
  </si>
  <si>
    <t>konyhafelújítások összesen:</t>
  </si>
  <si>
    <t>homlokzatfelújítások összesen:</t>
  </si>
  <si>
    <t>akadálymentesítés összesen:</t>
  </si>
  <si>
    <t>egyéb intézményi beruházások összesen:</t>
  </si>
  <si>
    <t>i</t>
  </si>
  <si>
    <t>intézményekbe egyedi bútorok beszerzése:</t>
  </si>
  <si>
    <t>Vagyongazdálkodási feladatok:</t>
  </si>
  <si>
    <t>Egészségügyi feladatok:</t>
  </si>
  <si>
    <t>Kártalanítás, utcamegnyitás:</t>
  </si>
  <si>
    <t>Önkormányzati bérlakások térítése</t>
  </si>
  <si>
    <t>Felhalmozási célú támogatások áht-n kívűlre</t>
  </si>
  <si>
    <t>Egyéb pályázatok</t>
  </si>
  <si>
    <t>Egészségügyi alapellátás fejlesztése</t>
  </si>
  <si>
    <t>Budafok-Tétény Polgárőrség</t>
  </si>
  <si>
    <t>Felszíni vízelvezetések tervezése</t>
  </si>
  <si>
    <t>Idegenforgalmi adó</t>
  </si>
  <si>
    <r>
      <t xml:space="preserve">Babakelengye támogatás  </t>
    </r>
    <r>
      <rPr>
        <b/>
        <i/>
        <sz val="11"/>
        <rFont val="Arial"/>
        <family val="2"/>
      </rPr>
      <t>(települési támogatás)</t>
    </r>
  </si>
  <si>
    <r>
      <t xml:space="preserve">Ingatlan helyreállítási támogatás </t>
    </r>
    <r>
      <rPr>
        <b/>
        <i/>
        <sz val="11"/>
        <rFont val="Arial"/>
        <family val="2"/>
      </rPr>
      <t>(települési támogatás)</t>
    </r>
  </si>
  <si>
    <t>Felszíni vízelvezetési  feladatok összesen:</t>
  </si>
  <si>
    <t>Dél-budai Egészségügyi Szolgálat:</t>
  </si>
  <si>
    <t>Városüzemeltetési feladatok összesen (1+…+6):</t>
  </si>
  <si>
    <t>Működési célú költségvetési támogatások és kiegészítő támogatások</t>
  </si>
  <si>
    <t>Elszámolásból származó bevételek</t>
  </si>
  <si>
    <t>CE331 - YouInHerit pályázat</t>
  </si>
  <si>
    <t>Interreg CENTRAL EUROPE</t>
  </si>
  <si>
    <t>Közterület-felügyeleti feladatok</t>
  </si>
  <si>
    <t>Meglévő közterületi sportpálya burkolatok karbantartása, felújítása</t>
  </si>
  <si>
    <t>Kisebb zöldterület fejlesztési munkák</t>
  </si>
  <si>
    <t>BKISZ VI. - VII. nyomvonalon felüli aszfaltburkolatok helyreállítása</t>
  </si>
  <si>
    <t>Szennyvízcsatorna tervezés és építés összesen:</t>
  </si>
  <si>
    <t xml:space="preserve">Szennyvízcsatorna tervezés </t>
  </si>
  <si>
    <t>Vízvezeték tervezések</t>
  </si>
  <si>
    <t>Parkolók Összesen:</t>
  </si>
  <si>
    <t>Közterület-felügyeleti feladatok:</t>
  </si>
  <si>
    <t>program 2019. évi ütemezése</t>
  </si>
  <si>
    <t>KÖFOP-1.2.1-VEKOP-16</t>
  </si>
  <si>
    <t>XXII. kerületi Egyesített Óvoda Bartók Tagóvoda és az Egyesített Bölcsőde Napraforgó Tagbölcsőde infrastruktúra-fejlesztése</t>
  </si>
  <si>
    <t>VEKOP-6.1.1-15-BP1-2016-00003</t>
  </si>
  <si>
    <t xml:space="preserve">Budapest XXII. kerület, Városház tér 11. szám alatti épület egyes felújítási munkái - folyosói padlólap rekonstrukció </t>
  </si>
  <si>
    <t>"Építészeti Örökségvédelmi Támogatás 2017"</t>
  </si>
  <si>
    <t>Útfenntartási kiadások összesen</t>
  </si>
  <si>
    <r>
      <t>Utcabútorok pótlása</t>
    </r>
    <r>
      <rPr>
        <b/>
        <sz val="10"/>
        <rFont val="Arial"/>
        <family val="2"/>
      </rPr>
      <t xml:space="preserve"> </t>
    </r>
  </si>
  <si>
    <t>c.</t>
  </si>
  <si>
    <t>d.</t>
  </si>
  <si>
    <t>Bursa Hungarica ösztöndíj</t>
  </si>
  <si>
    <t>Intézményekben tervezett felújítások (a+b+..+l) :</t>
  </si>
  <si>
    <t>2019. évi tervezett bevételei</t>
  </si>
  <si>
    <t>2019. évi tervezett kiadásai</t>
  </si>
  <si>
    <t>2019. évi tervezett előirányzatai</t>
  </si>
  <si>
    <t>2019. évi önkormányzati feladatainak tervezett előirányzatai</t>
  </si>
  <si>
    <t>2019. évi tervezett támogatások</t>
  </si>
  <si>
    <t xml:space="preserve">    Művészeti Programok szervezése</t>
  </si>
  <si>
    <t xml:space="preserve">    Budafoki Kézilabda SE</t>
  </si>
  <si>
    <t xml:space="preserve">    Képző- és Iparművészeti Közalapítvány a XXII. Kerület Kultúrájáért </t>
  </si>
  <si>
    <t>Szociális feladatellátás támogatása összesen</t>
  </si>
  <si>
    <t>2019. évben lakosságnak önkormányzat által nyújtott 
szociális és rászorultsági ellátások</t>
  </si>
  <si>
    <t>2019. évi tervezett felújítási kiadásai</t>
  </si>
  <si>
    <t>egyéb intézményi feladatok összesen:</t>
  </si>
  <si>
    <t>2019. évi tervezett beruházási kiadásai</t>
  </si>
  <si>
    <t>2019. évi tervezett tartalék előirányzata</t>
  </si>
  <si>
    <t>program 2020. évi ütemezése</t>
  </si>
  <si>
    <t>pályázati forrásokból megvalósuló feladatai és azok 2019. évi üteme</t>
  </si>
  <si>
    <t>2019. évi költségvetési bevételei és kiadásai</t>
  </si>
  <si>
    <t>Finanszírozási bevételek</t>
  </si>
  <si>
    <t>2019. évi iparűzési adó beszedésével kapcsolatos költségek (forrásmegosztás alapján)</t>
  </si>
  <si>
    <t>Pályázatok önrésze</t>
  </si>
  <si>
    <t>2019. évi létszámelőirányzat / fő</t>
  </si>
  <si>
    <t>Közfoglalkoztatottak 2019. évi létszámelőirányzata</t>
  </si>
  <si>
    <t>Kőbányász park felújítása</t>
  </si>
  <si>
    <t>Útfelújítások kivitelezése</t>
  </si>
  <si>
    <t>Intézményekben árnyékolás javítása</t>
  </si>
  <si>
    <t>Intézményekben magastetők és csapadékvíz elvezetés felülvizsgálata és javítása</t>
  </si>
  <si>
    <t>Intézményekben lapostetők és csapadékvíz elvezetés felülvizsgálata és javítása</t>
  </si>
  <si>
    <t>Intézményekben pincei vízszigetelés felülvizsgálata és javítása</t>
  </si>
  <si>
    <t>Intézményekben elektromos vezetékek, berendezések felülvizsgálata és javítása</t>
  </si>
  <si>
    <t>Intézményekben gépészeti vezetékek, berendezések felülvizsgálata és javítása</t>
  </si>
  <si>
    <t>Lakás felújítások bérbeszámítással</t>
  </si>
  <si>
    <t>Nem lakás célú helyiség felújítása bérbeszámítással</t>
  </si>
  <si>
    <t>Balatonakali üdülőházak cseréje</t>
  </si>
  <si>
    <t>Kossuth Lajos utcai homlokzatfelújítások és utcakép tervezés</t>
  </si>
  <si>
    <t>Csicsergő Tagóvoda -Vöröskereszt utca tetőfelújítás, csapadékvíz elvezető rendszer felújítása</t>
  </si>
  <si>
    <t>Napraforgó Tagbölcsőde - tető-és homlokzatszigetelési munkák, nyílászárók cseréje</t>
  </si>
  <si>
    <r>
      <t>Zöldterületek fejlesztésének tervezése</t>
    </r>
    <r>
      <rPr>
        <b/>
        <sz val="10"/>
        <rFont val="Arial"/>
        <family val="2"/>
      </rPr>
      <t xml:space="preserve"> </t>
    </r>
  </si>
  <si>
    <t xml:space="preserve">Faültetés, faültetési program </t>
  </si>
  <si>
    <t>Kossuth L. u. 26. - pergola építése</t>
  </si>
  <si>
    <t>Új játszótér építése Jósika utcában</t>
  </si>
  <si>
    <t>Gyalogátkelőhelyek létesítése közvilágítással</t>
  </si>
  <si>
    <t>Intézmények bútorozási és lambéria csere munkái</t>
  </si>
  <si>
    <t xml:space="preserve">Intézményekben hőérzet javítás </t>
  </si>
  <si>
    <t>Hajó utca – Duna-parti sétány környezetének fejlesztése című városrehabilitációs projekt megvalósítására</t>
  </si>
  <si>
    <t>Fővárosi TÉR_KÖZ Pályázat 2016</t>
  </si>
  <si>
    <t>Mementó Szmolenszkért-Kaczynski Emlékmű</t>
  </si>
  <si>
    <t>KV-0000/254/2018</t>
  </si>
  <si>
    <t>TÉR_KÖZ 2018 pályázat</t>
  </si>
  <si>
    <t xml:space="preserve">Tündérkert Tagóvoda - feljáró oldalsó támfalának megerősítése </t>
  </si>
  <si>
    <t>Tündérkert Tagóvóda - rézsűs terület lekerítése, felújítása, megtámasztása II.,csapadékvíz elvez.</t>
  </si>
  <si>
    <t xml:space="preserve">Szivárvány Tagóvoda - pincevilágítás kiépítése és az épület sötétedés utáni kivilágításának korszerűsítése </t>
  </si>
  <si>
    <t>Rózsakert Tagóvoda - tető felülvizsgálata és felújítása</t>
  </si>
  <si>
    <t xml:space="preserve">Szociális Szolgálat (Nagytétényi út 266.) - tető (4 db) gyors javítása a szakvélemény szerint </t>
  </si>
  <si>
    <t>Polgármesteri Hivatal (Városház tér) - pincei vízszigetelés I. és II. ütem</t>
  </si>
  <si>
    <t xml:space="preserve">Mocorgó Tagbölcsőde - alapvezetékek, tető, csapadékvíz elvezető rendszer felújítása </t>
  </si>
  <si>
    <t xml:space="preserve">Csicsergő Tagóvoda - alapvezetékek, tető, csapadékvíz elvezető rendszer felújítása </t>
  </si>
  <si>
    <t>Gyár utcai szennyvízcsatorna</t>
  </si>
  <si>
    <t xml:space="preserve">Hegybíró utca csapadékvízelvezetés </t>
  </si>
  <si>
    <t>Csicsergő Tagóvoda - Felnőtt öltöző és mosdó helyiségben tolóajtó, vagy harmonika ajtó felszerelése</t>
  </si>
  <si>
    <t>XI.</t>
  </si>
  <si>
    <r>
      <t>Diétás étkeztetés
[Szoctv. 45.§]</t>
    </r>
    <r>
      <rPr>
        <b/>
        <i/>
        <sz val="11"/>
        <rFont val="Arial"/>
        <family val="2"/>
      </rPr>
      <t xml:space="preserve"> (települési támogatás)</t>
    </r>
  </si>
  <si>
    <t>Sportcélú fejlesztések</t>
  </si>
  <si>
    <t>Szent István tér fejlesztése II. ütem</t>
  </si>
  <si>
    <t xml:space="preserve">Játszó- és sporteszközök telepítése, pótlása és cseréje közterületen és intézményekben </t>
  </si>
  <si>
    <t>"Régi idők új kapui" és "Budafok-Belváros megújul" pályázatokhoz fedezet biztosítás</t>
  </si>
  <si>
    <t>Társadalombiztosítás pénzügyi alapjaitól</t>
  </si>
  <si>
    <t>Részesedések megszűnéséhez kapcsolódó bevételek</t>
  </si>
  <si>
    <t>műk. célú visszatérítendő tám., kölcsön nyújtás áht-n belül</t>
  </si>
  <si>
    <t>műk. célú visszatérítendő tám., kölcsön törlesztése áht-n belül</t>
  </si>
  <si>
    <t>műk. célú visszatérítendő tám., kölcsön nyújtás áht-n kívül</t>
  </si>
  <si>
    <t>műk. célú visszatérítendő tám., kölcsön törlesztése áht-n kívül</t>
  </si>
  <si>
    <t>felh. célú visszatérítendő tám., kölcsön törlesztése áht-n belül</t>
  </si>
  <si>
    <t>felh. célú visszatérítendő tám., kölcsön nyújtás áht-n kívül</t>
  </si>
  <si>
    <t>felh. célú visszatérítendő tám., kölcsön nyújtás áht-n belül</t>
  </si>
  <si>
    <t>Család- és Gyermekjóléti Központ</t>
  </si>
  <si>
    <t>Szociális Szolgálat 22.</t>
  </si>
  <si>
    <t>Védőnői Szolgálat 22.</t>
  </si>
  <si>
    <t>Klauzál Gábor Budafok-Tétényi Művelődési Központ</t>
  </si>
  <si>
    <t>Nemzetiségi önkormányzatok támogatása</t>
  </si>
  <si>
    <t>Közterület-felügyelet</t>
  </si>
  <si>
    <t>Városüzemeltetési feladatok</t>
  </si>
  <si>
    <t>Dél-Budai Egészségügyi Szolgálat Közhasznú NKft.</t>
  </si>
  <si>
    <t>Budafoki Dohnányi Ernő Szimfonikus Zenekar Közhasznú NKft.</t>
  </si>
  <si>
    <t>Dél-budai Egészségügyi Szolgálat Közhasznú NKft.</t>
  </si>
  <si>
    <t>Közrendvédelmi rendezvények</t>
  </si>
  <si>
    <t>Polgármesteri Hivatal (Városház tér) - külső csatona felújítása</t>
  </si>
  <si>
    <t>Csicsergő Tagóvoda -Vöröskereszt utca kerítés javítása utcafronton</t>
  </si>
  <si>
    <t>Leányka utca 38. sz. mögött gépkocsi parkoló építés + közvilágítás</t>
  </si>
  <si>
    <t xml:space="preserve">Budafok-Tétény Budapest XXII. kerület Önkormányzata </t>
  </si>
  <si>
    <t>Budafok-Tétény Budapest XXII. kerület Önkormányzata</t>
  </si>
  <si>
    <t>Budafok-Tétény Budapest, XXII. kerület Önkormányzata</t>
  </si>
  <si>
    <t>Budafok-Tétény Budapest XXII. kerület Önkormányzata ASP központhoz való csatlakozása</t>
  </si>
  <si>
    <t xml:space="preserve">Budafoki Művészeti és Helytörténeti Galéria kialakítása </t>
  </si>
  <si>
    <t>Intézmények Gazdasági Irodája</t>
  </si>
  <si>
    <t>Budafok - Tétény Budapest XXII. kerület Önkormányzatának</t>
  </si>
  <si>
    <t>Budafok-Tétény Budapest XXII. kerület Önkormányzata Költségvetési Intézményeinek</t>
  </si>
  <si>
    <t xml:space="preserve">    Budafok-Tétény Budapest XXII. kerület Önkormányzata </t>
  </si>
  <si>
    <t xml:space="preserve">nem lakás célú helyiségek </t>
  </si>
  <si>
    <t>lakás felújítások</t>
  </si>
  <si>
    <t>Módosított előirányzat</t>
  </si>
  <si>
    <t xml:space="preserve">Hajó utca - Duna parti sétány környezetének fejl.-e </t>
  </si>
  <si>
    <t xml:space="preserve">Szent István tér komplex fejlesztése </t>
  </si>
  <si>
    <t>Memento Szmolenszkért emlékmű</t>
  </si>
  <si>
    <t>Budafoki Művészeti és Helytörténeti Galéria</t>
  </si>
  <si>
    <t>Közfoglalkoztatás támogatása</t>
  </si>
  <si>
    <t>Csatlakozás az Első Energia-beszerzési Önk. Társuláshoz</t>
  </si>
  <si>
    <t>Önkormányzat és Hivatal által nyújtott, visszajött segélyek technikai rendezése</t>
  </si>
  <si>
    <t>Előző évi működési támogatások elszámolása</t>
  </si>
  <si>
    <t xml:space="preserve">2018. évi rendszeres gyermekvédelmi támogatás elszámolása </t>
  </si>
  <si>
    <t>Veréb utcai Barlanglakás felújítása</t>
  </si>
  <si>
    <t>Nádasdy Művészeti Iskola - dobogó és színpad hátsó felületének akusztikai borítása</t>
  </si>
  <si>
    <t>Egyházat támogatása</t>
  </si>
  <si>
    <t>Szent István tér komplex fejlesztése</t>
  </si>
  <si>
    <t>Kisegítő mezőgazdasági szolgáltatások:</t>
  </si>
  <si>
    <t>Intézményekbe egyedi bútorok beszerzése:</t>
  </si>
  <si>
    <t>Intézményi beruházások, felújítások tervezése:</t>
  </si>
  <si>
    <t>Kerületi feladatok:</t>
  </si>
  <si>
    <t>Budafoki Művészeti és Helytörténeti Galéria:</t>
  </si>
  <si>
    <t>Önkormányzati felújítások összesen (I+II+III+IV):</t>
  </si>
  <si>
    <t>Szakorvosi rendelő - gépészet és mosdók felújítása I. ütem</t>
  </si>
  <si>
    <t xml:space="preserve">Szakorvosi rendelő - felújítás III. ütem + belső funkciómegtartó felújítás folytatása IV. ütem </t>
  </si>
  <si>
    <t>Vagyongazdálkodási feladatok tervezett kiadásai összesen (a+...+d):</t>
  </si>
  <si>
    <t>Rózsakert lakótelep felújítása</t>
  </si>
  <si>
    <t>BKISZ keretében végzett szennyvízcsatorna építések utáni útfelújítások - Árpád u.</t>
  </si>
  <si>
    <t>Hosszúhegy utca 8. közterületi támfal megerősítése</t>
  </si>
  <si>
    <t>Leányka Tagóvoda - dajka öltöző és zuhanyzó felújítása</t>
  </si>
  <si>
    <t>Klauzál Ház - mosdó, vizesblokk felújítás</t>
  </si>
  <si>
    <t>Polgármesteri Hivatal (Városház tér) - pince külső oldalfali vízszigetelés és külső közmű felújítás</t>
  </si>
  <si>
    <t>Mocorgó Tagbölcsőde - fűtésrendszer korszerűsítése</t>
  </si>
  <si>
    <t>Árnyaskert Tagóvoda - udvar komplex felújítása</t>
  </si>
  <si>
    <t xml:space="preserve">Árnyaskert Tagóvoda - udvari kisház külső felújítása, külső-belső festése, a kisház környékén műfüvezése, járda javítása </t>
  </si>
  <si>
    <t>Huncutka Tagóvoda - udvari játszóeszköz burkolatok kialakítása, felújítása</t>
  </si>
  <si>
    <t>Huncutka Tagóvoda - hátsó kerítés javítás</t>
  </si>
  <si>
    <t>Leányka Tagóvoda - bejáratánál lévő kockás hidegburkolat cseréje járólapra</t>
  </si>
  <si>
    <t>Leányka Tagóvoda - Süni és a Napocska csoportok udvarán a kerítés melletti járda felújítása</t>
  </si>
  <si>
    <t>Rózsakert Tagóvoda - udvari játszóeszköz burkolatok kialakítása, felújítása</t>
  </si>
  <si>
    <t>Szivárvány Tagóvoda - felpúposodott térburkolat javítása a kis- és középső csoport külső bejáratainál</t>
  </si>
  <si>
    <t>Tündérkert Tagóvoda - dekoraszfalt készítése, javítása</t>
  </si>
  <si>
    <t>Zöldecske Tagóvoda - udvari játszóeszköz burkolatok kialakítása, felújítása</t>
  </si>
  <si>
    <t>Rózsakert Tagóvoda - tető összefolyó javítás (2 db)</t>
  </si>
  <si>
    <t>Varázskastély Tagóvoda - épületén teljes tetőcsere</t>
  </si>
  <si>
    <t>Zöldecske Tagóvoda - tetőszerkezet felújítása, hőszigetelése</t>
  </si>
  <si>
    <t>Varázskastély Tagóvoda - csoportszobákban és az öltözőkben a lámpatestek cseréje</t>
  </si>
  <si>
    <t>Leányka Tagbölcsőde - I. csoport teraszán a burkolat cseréje</t>
  </si>
  <si>
    <t>Leányka Tagbölcsőde - előtérből leválasztott helyiség műanyag lambéria fala átalakítása</t>
  </si>
  <si>
    <t xml:space="preserve">Mocorgó Tagbölcsőde - csoportszobák parketta cseréje </t>
  </si>
  <si>
    <t>Napraforgó Tagbölcsőde - 3. csoport árnyékolójának fém-szerkezeti és vászon felújítása</t>
  </si>
  <si>
    <t xml:space="preserve">Napraforgó Tagbölcsőde - Katica csoport teraszának járólap cseréje </t>
  </si>
  <si>
    <t>Rózsakert Tagbölcsőde - dolgozók öltözőszekrényeinek cseréje</t>
  </si>
  <si>
    <t>Csemetekert Tagóvoda - alagsor teljes felújítása</t>
  </si>
  <si>
    <t>Csicsergő Tagóvoda - fa nyílászárók és erkélyajtó keret műanyagra cserélése két csoportban</t>
  </si>
  <si>
    <t>Csicsergő Tagóvoda - ablakpárkányon a bádog cseréje</t>
  </si>
  <si>
    <t>Napocska Napközi Tagóvoda - elektromos hálózat komplett felújítása</t>
  </si>
  <si>
    <t>Varázskastély Tagóvoda - pincei falak vizesedésének megszüntetése</t>
  </si>
  <si>
    <t>Zöldecske Tagóvoda - bejárati lépcsők karbantartása, festése</t>
  </si>
  <si>
    <t>Szociális Szolgálat (XVI. u. 22.) - nyílászárók cseréje</t>
  </si>
  <si>
    <t>Bartók Tagóvoda - tető-és homlokzatszigetelési munkák, nyílászárók cseréje</t>
  </si>
  <si>
    <t>Polgármesteri Hivatal - folyosói padlóburkolat rekonstrukciója (pályázat)</t>
  </si>
  <si>
    <t>Általános állagmegóvó intézményi beruházások</t>
  </si>
  <si>
    <t>Péter Pál utcai játszótér felújítása</t>
  </si>
  <si>
    <t>Pécsi utca közvilágítás II</t>
  </si>
  <si>
    <t>Jósika utca (zsákutca szakasz)</t>
  </si>
  <si>
    <t>Gyula vezér út (Névtelen u.-X. u.)</t>
  </si>
  <si>
    <t>Pécsi u. II. ütem (részben 2017. évi forrásból)</t>
  </si>
  <si>
    <t xml:space="preserve">Előre nem tervezhető járda és park felújításfelújítás </t>
  </si>
  <si>
    <t>Egyéb útfenntartási kiadások:</t>
  </si>
  <si>
    <t xml:space="preserve"> -- Zsoldos forduló - útszerkezetet megámasztó mélycölöp támasztó sor építése</t>
  </si>
  <si>
    <t xml:space="preserve"> -- Tatár forduló - szikkasztó elemek kiépítése</t>
  </si>
  <si>
    <t xml:space="preserve">Egyéb forgalomtechnikai létesítmények </t>
  </si>
  <si>
    <t>Huncutka Tagóvoda - épület süllyedésének megállapítása, alapvezeték kiváltása, fürdőszobák felújításával, iroda szárnyban</t>
  </si>
  <si>
    <t>Tündérkert Tagóvoda - fedett udvarrész falának teljes szigetelése, vakolása, festése, vízelvezetés megoldása</t>
  </si>
  <si>
    <t>Mocorgó Tagbölcsőde - bejárati kapunál biztonsági zár vagy lekerítés</t>
  </si>
  <si>
    <t xml:space="preserve">Mocorgó Tagbölcsőde - udvari ivókút kialakítása </t>
  </si>
  <si>
    <t>Mocorgó Tagbölcsőde - játszókertbe napvitorla kialakítása</t>
  </si>
  <si>
    <t>Mocorgó Tagbölcsőde - gazdasági bejáratnál fedett kukatároló kialakítása</t>
  </si>
  <si>
    <t>Rózsakert Tagbölcsőde - homokozók fölé napvitorla kialakítása</t>
  </si>
  <si>
    <t>Rózsakert Tagbölcsőde - I. egység párakapu kiépítése</t>
  </si>
  <si>
    <t>Csemetekert Tagóvoda - árnyékolók elhelyezése a homokozók fölé</t>
  </si>
  <si>
    <t>Rózsakert Tagóvoda - udvari pancsoló megszüntetése, helyette vízköpő, spriccelő kiépítése</t>
  </si>
  <si>
    <t>Szivárvány Tagóvoda - kerti játékok, műanyag motorok stb. tárolására alkalmas udvari tároló kialakítása</t>
  </si>
  <si>
    <t>Klauzál Ház - napvitorla, árnyékoló az udvari programokhoz</t>
  </si>
  <si>
    <t>Szociális Szolgálat (Anna u. 10.) - épület főbejáratánál előtető kialakítása</t>
  </si>
  <si>
    <t>Család- és Gyermekjóléti Központ (Nagytétényi út 276.) - mennyezeti világítótestek cseréje</t>
  </si>
  <si>
    <t xml:space="preserve">Mocorgó Tagbölcsőde - mozgásérzékelő világítás kihelyezése </t>
  </si>
  <si>
    <t>Huncutka Tagóvoda - elektromos hálózat bővítése</t>
  </si>
  <si>
    <t>Szivárvány Tagóvoda - pincevilágítás kiépítése</t>
  </si>
  <si>
    <t>Szivárvány Tagóvoda - alkonyatvilágítás korszerűsítése</t>
  </si>
  <si>
    <t>Napraforgó Tagbölcsőde - mozgásérzékelő világítás kihelyezése a teraszoknál (játszókert felöl)</t>
  </si>
  <si>
    <t xml:space="preserve">Leányka Tagbölcsőde - 1. egység tálalókonyhában konyhaszekrény cseréje </t>
  </si>
  <si>
    <t>Leányka Tagbölcsőde - 2 db tálalókonyhában konyhaszekrény kialakítása, tálalókonyha átalakítása</t>
  </si>
  <si>
    <t xml:space="preserve">Mocorgó Tagbölcsőde - konyhaszekrény cseréje </t>
  </si>
  <si>
    <t>Maci Tagóvoda - konyhában lévő bútorok cseréje</t>
  </si>
  <si>
    <t>Leányka Tagbölcsőde - vasút felöli kerítés lábazatának kialakítása</t>
  </si>
  <si>
    <t>Mocorgó Tagbölcsőde - fejlesztő szobában falon kívül futó kábelek felülvizsgálata, elburkolása</t>
  </si>
  <si>
    <t>Rózsakert Tagbölcsőde - iroda felőli bejáratnál rámpás védőkorlát felszerelése és beléptető ajtózár szerelése</t>
  </si>
  <si>
    <t>Bartók Tagóvoda - klímaberendezés elhelyezése a Pitypang és Csillagvirág csoportokban</t>
  </si>
  <si>
    <t>Csemetekert Tagóvoda - klímaberendezés elhelyezése, a Maci, Nyuszi, Süni, Csiga és Katica csoportokba</t>
  </si>
  <si>
    <t>Leányka Tagóvoda - Mackó és a Füles csoportokba klímaberendezés elhelyezése</t>
  </si>
  <si>
    <t>Tündérkert Tagóvoda - három csoportban a bukó ablakok kinyithatóvá tétele</t>
  </si>
  <si>
    <t>Szociális Szolgálat 22. (XII. u. 28.) - melléképületben válaszfal felhúzása</t>
  </si>
  <si>
    <t>Család- és Gyermekjóléti Központ (Nagytétényi út 261.) - klímaberendezés felszerelése</t>
  </si>
  <si>
    <t>Család- és Gyermekjóléti Központ (Nagytétényi út 276.) - klímaberendezés felszerelése</t>
  </si>
  <si>
    <t>Önkormányzati igazgatás:</t>
  </si>
  <si>
    <t>XII.</t>
  </si>
  <si>
    <t>Egyéb pályázatok:</t>
  </si>
  <si>
    <t>XIII.</t>
  </si>
  <si>
    <t>Hajó utca - Duna parti sétány környezetének fejl.-e:</t>
  </si>
  <si>
    <t>Memento Szmolenszkért emlékmű:</t>
  </si>
  <si>
    <t>XIV.</t>
  </si>
  <si>
    <t>XV.</t>
  </si>
  <si>
    <t>Általános hibaelhárítás</t>
  </si>
  <si>
    <t>Intézményekben tervezett beruházások (a+b+...+l):</t>
  </si>
  <si>
    <t>Külső ellenőrzések által előírt feladatok (NÉBIH HACCP)</t>
  </si>
  <si>
    <t>Védőnői Szolgálat (Káldor A. u.)</t>
  </si>
  <si>
    <t>- ebből: Napraforgó Tagbölcsőde - víz alapvezeték cseréje</t>
  </si>
  <si>
    <t xml:space="preserve">- ebből: Szociális Szolgálat (XII. u.) - klimatízálás </t>
  </si>
  <si>
    <t>- ebből: Baross Gábos Általános Iskola - udvari sátor világítás tervezése és kiépítése</t>
  </si>
  <si>
    <t>Kulturális feladatok:</t>
  </si>
  <si>
    <t>Környezetvédelem:</t>
  </si>
  <si>
    <t>Ingatlanok vásárlása:</t>
  </si>
  <si>
    <t>BERUHÁZÁSI KIADÁSOK ÖSSZESEN  (A+B):</t>
  </si>
  <si>
    <t>Városüzemeltetés feladatok összesen (1-től 10-ig) :</t>
  </si>
  <si>
    <t>Egyéb intézményi feladatok összesen</t>
  </si>
  <si>
    <t>- ebből: Huncutka Tagóvoda - rozsdamentes konyhai eszközök, bútorok beszerzése</t>
  </si>
  <si>
    <t xml:space="preserve">               Leányka Tagóvoda - rozsdamentes konyhai eszközök, bútorok beszerzése</t>
  </si>
  <si>
    <t xml:space="preserve">              Napocska Napközi Tagóvoda - rozsdamentes konyhai eszközök, bútorok beszerzése</t>
  </si>
  <si>
    <t>K914</t>
  </si>
  <si>
    <t>Államháztartáson belüli megelőlegezések visszafizetése</t>
  </si>
  <si>
    <t>Út-, járda- és közterületek fejlesztése</t>
  </si>
  <si>
    <t>Üzemeltetési és karbantartási kiadások tartaléka</t>
  </si>
  <si>
    <t>Terv utcai játszótér</t>
  </si>
  <si>
    <t>a „Szent István tér komplex fejlesztése” című városrehabilitációs projekt megvalósítására</t>
  </si>
  <si>
    <t>Felhalmozási kiadások (beruházások és felújítások) tartaléka</t>
  </si>
  <si>
    <t>József Attila lakótelepi játszótér felújítása</t>
  </si>
  <si>
    <t>Érvényes előiárnyzat</t>
  </si>
  <si>
    <t>módosítás
( ± )</t>
  </si>
  <si>
    <t xml:space="preserve">Érvényes előirányzat          </t>
  </si>
  <si>
    <t>I. félév</t>
  </si>
  <si>
    <t xml:space="preserve">Parkfenntartási részleg anyag és szerszám szükséglet </t>
  </si>
  <si>
    <t xml:space="preserve"> -- Hegesztőgép beszerzése parkfenntartás részére</t>
  </si>
  <si>
    <t>Közterületi útburkolati hibák lámpázása</t>
  </si>
  <si>
    <t xml:space="preserve">              Védőnői Szolgálat - behatolásjelző rendszer visszaépítése</t>
  </si>
  <si>
    <t xml:space="preserve">              Védőnői Szolgálat - Gyermekorvosi rendelővel összekötő informatikai rendszer kiépítése</t>
  </si>
  <si>
    <t>Lakáskarbantartás</t>
  </si>
  <si>
    <t>Nem lakás célú ingatlan karbantartása</t>
  </si>
  <si>
    <t>-- Tisza u.</t>
  </si>
  <si>
    <t>-- Kőbányász park</t>
  </si>
  <si>
    <t>-- Tőr u.</t>
  </si>
  <si>
    <t>-- Tűzmester u.</t>
  </si>
  <si>
    <t>-- Szlatina u.</t>
  </si>
  <si>
    <t>-- Zala u.</t>
  </si>
  <si>
    <t>-- Vitéz u.</t>
  </si>
  <si>
    <t>-- Dallam u.</t>
  </si>
  <si>
    <t>-- Aranytallér u.</t>
  </si>
  <si>
    <t>-- Szigetvári u.</t>
  </si>
  <si>
    <t>-- Rosta u. és Kender u.</t>
  </si>
  <si>
    <t>-- Só u.</t>
  </si>
  <si>
    <t>-- Karéj u.</t>
  </si>
  <si>
    <t>-- Szelence u.</t>
  </si>
  <si>
    <t>-- Muhi u.</t>
  </si>
  <si>
    <t>-- Klauzál Gábor u.</t>
  </si>
  <si>
    <t>-- Sándor u.</t>
  </si>
  <si>
    <t>-- Fenyőtoboz u.</t>
  </si>
  <si>
    <t>-- Méz u.</t>
  </si>
  <si>
    <t>-- Villa u.</t>
  </si>
  <si>
    <t>-- Fejedelem u.</t>
  </si>
  <si>
    <t>-- Csipkebogyó u.</t>
  </si>
  <si>
    <t>-- Kinizsi u.</t>
  </si>
  <si>
    <t>-- Szikla u.</t>
  </si>
  <si>
    <t>-- Barót köz</t>
  </si>
  <si>
    <t>-- Hanna u.</t>
  </si>
  <si>
    <t>-- Márvány u.</t>
  </si>
  <si>
    <t>-- Mandula u.</t>
  </si>
  <si>
    <t>-- Temesvári u.</t>
  </si>
  <si>
    <t>-- Naprét u.</t>
  </si>
  <si>
    <t>-- Kiskőbánya u.</t>
  </si>
  <si>
    <t>-- Angolna u.</t>
  </si>
  <si>
    <t>-- Márna u.</t>
  </si>
  <si>
    <t>-- Pikó u.</t>
  </si>
  <si>
    <t>-- Compó u.</t>
  </si>
  <si>
    <t>-- Törpeharcsa u.</t>
  </si>
  <si>
    <t>-- Zakariás u.</t>
  </si>
  <si>
    <t>-- Naphal u.</t>
  </si>
  <si>
    <t>-- Dévér park</t>
  </si>
  <si>
    <t>"Főváros kerületi belterületi szilárd burkolat nélküli utak szilárd burkolattal történő ellátása" pályázat - 2018, melyből:</t>
  </si>
  <si>
    <t xml:space="preserve"> -- Szakorvosi Rendelőintézet melletti parkoló nagyjavítása</t>
  </si>
  <si>
    <t>Intézményekben burkolatok (hideg és meleg) felújítása</t>
  </si>
  <si>
    <t>- ebből: Napraforgó Tagbölcsőde - napvitorlák rögzítésének átalakítása</t>
  </si>
  <si>
    <t>- ebből: Napocska Napközi Tagóvóda - hőközpont átalakítása</t>
  </si>
  <si>
    <t>Felügyeleti díj</t>
  </si>
  <si>
    <t>Környezetvédelem - szennyvízcsatorna rákötési támogatás</t>
  </si>
  <si>
    <t>Környezetvédelem - környezetvédelmi pályázatok</t>
  </si>
  <si>
    <t>Egészségügyi és szociális feladatok - Eü.-i, közbiztonsági és balesetmegelőzési prevenciós programok, szolgáltatások</t>
  </si>
  <si>
    <t>Polgármesteri Hivatal - EP képviselőinek választása</t>
  </si>
  <si>
    <t xml:space="preserve">    Bolgár Nemzetiségi Önkormányzat</t>
  </si>
  <si>
    <t xml:space="preserve">    Görög Nemzetiségi Önkormányzat</t>
  </si>
  <si>
    <t xml:space="preserve">    Horvát Önkormányzat</t>
  </si>
  <si>
    <t xml:space="preserve">    Német Nemzetiségi Önkormányzat</t>
  </si>
  <si>
    <t xml:space="preserve">    Roma  Önkormányzat</t>
  </si>
  <si>
    <t xml:space="preserve">     Kastélymúzeumi rendezvények</t>
  </si>
  <si>
    <t xml:space="preserve">     OKTB pályázatok</t>
  </si>
  <si>
    <t>nonprofit gazdasági társaságnak</t>
  </si>
  <si>
    <t>III. negyedév</t>
  </si>
  <si>
    <t>Árnyaskert  Tagóvoda - klímaberendezés elhelyezése a Zöld csoportba</t>
  </si>
  <si>
    <t>Zöldecske  Tagóvoda - klímaberendezés elhelyezése a Zöld csoportba</t>
  </si>
  <si>
    <t>- ebből: Rózsakert Tagbölcsőde - fűtési vezetékek részleges cseréje</t>
  </si>
  <si>
    <t xml:space="preserve"> -- Kálváriahegy u. - egyirányúsítás tervezése és engedélyeztetése</t>
  </si>
  <si>
    <t>Útépítések előtti közmű kiváltások</t>
  </si>
  <si>
    <t xml:space="preserve">             Cziffra György Nagytétényi Kulturális Központ - szerver helyiség hűtése</t>
  </si>
  <si>
    <t xml:space="preserve">             Polgármesteri Hivatal (Városház tér) - informatika ajtó beépítése</t>
  </si>
  <si>
    <t xml:space="preserve">Játszóeszközök alatti ütéscsillapító gumiburkolat javítása, cseréje </t>
  </si>
  <si>
    <t>-- Városház tér Rendőrkapitányság előtti járdaburkolat nagyjavítása</t>
  </si>
  <si>
    <t xml:space="preserve">             Csemetekert Tagóvoda - ablakrács készítése, lépcsőkorlát meghosszabítása</t>
  </si>
  <si>
    <t xml:space="preserve">             Nagytétényi út 31-33. - uszodatér homlokzati nyílászáró üvegeinek cseréje</t>
  </si>
  <si>
    <t>-- Iluska u. (Bartók B. út - Csút u.)</t>
  </si>
  <si>
    <t>-- Busa u. (Balin u. - Naphal u.)</t>
  </si>
  <si>
    <t>-- Libertás u. (Dukát u. - Kunyhó u.)</t>
  </si>
  <si>
    <t xml:space="preserve">-- Csúcs u. (Dukát u. - Barackos u.) </t>
  </si>
  <si>
    <t>-- Kövesföld u. (Szlatina u. - Körmöci u.)</t>
  </si>
  <si>
    <t>-- Dukát u. (Barackos u. - Szélkakas u.)</t>
  </si>
  <si>
    <t>-- Dukát u. (Szélkakas u. - Peták u.)</t>
  </si>
  <si>
    <t>-- Dukát u. (Peták u. - Kakukkhegyi u.)</t>
  </si>
  <si>
    <t>Járdafelújítások kivitelezése, melyből:</t>
  </si>
  <si>
    <t>-- Margit u. páros oldal</t>
  </si>
  <si>
    <t xml:space="preserve">-- Arany János u. páros oldal (Regényes u. - Remete u.) </t>
  </si>
  <si>
    <t>-- Arany János u. páros oldal (Regényes u. - Falka u.)</t>
  </si>
  <si>
    <t>-- Gádor u. páros oldal (Tüzér u. - Bocskai u.)</t>
  </si>
  <si>
    <t>-- Kiránduló u. páros oldal (Háros u. -Bozót u.)</t>
  </si>
  <si>
    <t>-- Kolozsvári u. páros oldal (Dunatelep)</t>
  </si>
  <si>
    <t>Járdaépítések kivitelezése, melyből:</t>
  </si>
  <si>
    <t>-- Remete u. - Tegzes u.</t>
  </si>
  <si>
    <t>-- Liszt Ferenc u.</t>
  </si>
  <si>
    <t>-- Bibic u.</t>
  </si>
  <si>
    <t>-- Rózsabarack u. 8. vízvezeték meghosszabítása</t>
  </si>
  <si>
    <t xml:space="preserve">Előre nem tervezhető törzshálózati ivóvíz vezeték építés, melyből: </t>
  </si>
  <si>
    <t>"Főváros kerületi belterületi szilárd burkolat nélküli utak szilárd burkolattal történő ellátása" pályázat - 2019, melyből:</t>
  </si>
  <si>
    <t>-- Honfoglalás út 22-vel szembeni játszótér ivóvíz ellátása</t>
  </si>
  <si>
    <t>-- Városház téri P+R parkolóban járdaburkolatok kiépítése</t>
  </si>
  <si>
    <t>-- Játék u. - Tűzoltó u. kereszteződésében burkolat kiemelése</t>
  </si>
  <si>
    <t>Minimálbér és garantált bérminimum emeléséből adódó bértöbblet kiegészítő támogatása</t>
  </si>
  <si>
    <t xml:space="preserve">Kerületi feladatok - BLC </t>
  </si>
  <si>
    <t xml:space="preserve">    Kiemelt önkormányzati rendezvények</t>
  </si>
  <si>
    <t>Egyéb pályázatok - YoulnHerit projekt</t>
  </si>
  <si>
    <r>
      <t xml:space="preserve">Pénzbeli Gyermekvédelmi támogatás </t>
    </r>
    <r>
      <rPr>
        <b/>
        <i/>
        <sz val="11"/>
        <rFont val="Arial"/>
        <family val="2"/>
      </rPr>
      <t>(jegyzői)</t>
    </r>
  </si>
  <si>
    <t>XVI.</t>
  </si>
  <si>
    <t>fejezeti kezelésű előirányzatok EU-s programokra</t>
  </si>
  <si>
    <t>URBACT III. Integrált városfejlesztést támogató transznacionális program</t>
  </si>
  <si>
    <t>URBACT III. Integrált városfejlesztést támogató transznacionális program 1555398745</t>
  </si>
  <si>
    <t>A fővárosi kerületi belterületi szilárd burkolat nélküli utak szilárd burkolattal történő ellátása I. ütem</t>
  </si>
  <si>
    <t>Miniszterelnökség</t>
  </si>
  <si>
    <t>A fővárosi kerületi belterületi szilárd burkolat nélküli utak szilárd burkolattal történő ellátása II. ütem</t>
  </si>
  <si>
    <t>Önkormányzati beruházások összesen (I-től XVI-ig):</t>
  </si>
  <si>
    <t>1. melléklet a 21/2019.(XII.03.) számú</t>
  </si>
  <si>
    <t>2. melléklet a 21/2019.(XII.03.) számú</t>
  </si>
  <si>
    <t>3. melléklet a 21/2019.(XII.03.) számú</t>
  </si>
  <si>
    <t>4. melléklet a  21/2019.(XII.03.) számú</t>
  </si>
  <si>
    <t>4. melléklet a 21/2019.(XII.03.) számú</t>
  </si>
  <si>
    <t>5. melléklet a 21/2019.(XII.03.) számú</t>
  </si>
  <si>
    <t>6. melléklet a 21/2019.(XII.03.) számú</t>
  </si>
  <si>
    <t>9. melléklet a 21/2019.(XII.03.) számú</t>
  </si>
  <si>
    <t>10. melléklet a 21/2019.(XII.03.) számú</t>
  </si>
  <si>
    <t>11. melléklet a 21/2019.(XII.03.) számú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</si>
</sst>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164">
    <font>
      <sz val="10"/>
      <name val="Times New Roman CE"/>
      <family val="0"/>
    </font>
    <font>
      <sz val="12"/>
      <color indexed="8"/>
      <name val="Times New Roman"/>
      <family val="2"/>
    </font>
    <font>
      <b/>
      <sz val="10"/>
      <name val="Times New Roman CE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color indexed="9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8"/>
      <name val="Times New Roman CE"/>
      <family val="0"/>
    </font>
    <font>
      <b/>
      <sz val="18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0"/>
      <name val="Wingdings"/>
      <family val="0"/>
    </font>
    <font>
      <sz val="12"/>
      <name val="MS Sans Serif"/>
      <family val="2"/>
    </font>
    <font>
      <sz val="9"/>
      <name val="Times New Roman CE"/>
      <family val="0"/>
    </font>
    <font>
      <b/>
      <sz val="12"/>
      <name val="Times New Roman CE"/>
      <family val="1"/>
    </font>
    <font>
      <sz val="16"/>
      <name val="Arial CE"/>
      <family val="2"/>
    </font>
    <font>
      <sz val="11"/>
      <name val="Times New Roman CE"/>
      <family val="0"/>
    </font>
    <font>
      <b/>
      <sz val="10"/>
      <name val="Wingdings"/>
      <family val="0"/>
    </font>
    <font>
      <sz val="10"/>
      <name val="Arial"/>
      <family val="2"/>
    </font>
    <font>
      <sz val="11"/>
      <color indexed="10"/>
      <name val="Times New Roman CE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9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2"/>
      <name val="Arial CE"/>
      <family val="0"/>
    </font>
    <font>
      <b/>
      <sz val="11"/>
      <name val="Times New Roman CE"/>
      <family val="0"/>
    </font>
    <font>
      <sz val="8"/>
      <color indexed="10"/>
      <name val="Arial CE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.5"/>
      <name val="Arial"/>
      <family val="2"/>
    </font>
    <font>
      <sz val="10"/>
      <color indexed="24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Times New Roman CE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 CE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12"/>
      <name val="Times New Roman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0"/>
      <color indexed="20"/>
      <name val="Times New Roman CE"/>
      <family val="0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0"/>
      <color indexed="9"/>
      <name val="Times New Roman CE"/>
      <family val="0"/>
    </font>
    <font>
      <b/>
      <sz val="16"/>
      <color indexed="9"/>
      <name val="Arial CE"/>
      <family val="2"/>
    </font>
    <font>
      <b/>
      <sz val="14"/>
      <color indexed="9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4"/>
      <name val="Arial"/>
      <family val="2"/>
    </font>
    <font>
      <b/>
      <i/>
      <sz val="10"/>
      <color indexed="14"/>
      <name val="Arial"/>
      <family val="2"/>
    </font>
    <font>
      <b/>
      <sz val="11"/>
      <color indexed="14"/>
      <name val="Arial"/>
      <family val="2"/>
    </font>
    <font>
      <b/>
      <sz val="9"/>
      <color indexed="14"/>
      <name val="Arial"/>
      <family val="2"/>
    </font>
    <font>
      <b/>
      <i/>
      <sz val="9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 CE"/>
      <family val="0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i/>
      <sz val="9"/>
      <color indexed="14"/>
      <name val="Arial"/>
      <family val="2"/>
    </font>
    <font>
      <b/>
      <sz val="11"/>
      <color indexed="10"/>
      <name val="Arial"/>
      <family val="2"/>
    </font>
    <font>
      <b/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 C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0"/>
      <color theme="10"/>
      <name val="Times New Roman CE"/>
      <family val="0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0"/>
      <color theme="11"/>
      <name val="Times New Roman CE"/>
      <family val="0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theme="0"/>
      <name val="Arial CE"/>
      <family val="2"/>
    </font>
    <font>
      <sz val="10"/>
      <color theme="0"/>
      <name val="Times New Roman CE"/>
      <family val="0"/>
    </font>
    <font>
      <b/>
      <sz val="16"/>
      <color theme="0"/>
      <name val="Arial CE"/>
      <family val="2"/>
    </font>
    <font>
      <b/>
      <sz val="14"/>
      <color theme="0"/>
      <name val="Arial CE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  <font>
      <b/>
      <sz val="12"/>
      <color theme="0"/>
      <name val="Arial CE"/>
      <family val="2"/>
    </font>
    <font>
      <sz val="8"/>
      <color theme="0"/>
      <name val="Arial CE"/>
      <family val="2"/>
    </font>
    <font>
      <sz val="10"/>
      <color theme="1"/>
      <name val="Arial"/>
      <family val="2"/>
    </font>
    <font>
      <b/>
      <sz val="10"/>
      <color rgb="FFCC00CC"/>
      <name val="Arial"/>
      <family val="2"/>
    </font>
    <font>
      <b/>
      <i/>
      <sz val="10"/>
      <color rgb="FFCC00CC"/>
      <name val="Arial"/>
      <family val="2"/>
    </font>
    <font>
      <b/>
      <sz val="11"/>
      <color rgb="FFCC00CC"/>
      <name val="Arial"/>
      <family val="2"/>
    </font>
    <font>
      <b/>
      <sz val="9"/>
      <color rgb="FFCC00CC"/>
      <name val="Arial"/>
      <family val="2"/>
    </font>
    <font>
      <b/>
      <i/>
      <sz val="9"/>
      <color rgb="FFCC00CC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 CE"/>
      <family val="0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rgb="FFCC00CC"/>
      <name val="Arial"/>
      <family val="2"/>
    </font>
    <font>
      <b/>
      <sz val="11"/>
      <color rgb="FFFF0000"/>
      <name val="Arial"/>
      <family val="2"/>
    </font>
    <font>
      <b/>
      <i/>
      <sz val="9"/>
      <color rgb="FFFF0000"/>
      <name val="Arial"/>
      <family val="2"/>
    </font>
    <font>
      <b/>
      <sz val="10"/>
      <color rgb="FFD60093"/>
      <name val="Arial"/>
      <family val="2"/>
    </font>
    <font>
      <b/>
      <sz val="10"/>
      <color rgb="FF0000FF"/>
      <name val="Arial"/>
      <family val="2"/>
    </font>
    <font>
      <b/>
      <sz val="11"/>
      <color theme="0"/>
      <name val="Arial CE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FFF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FEFC"/>
        <bgColor indexed="64"/>
      </patternFill>
    </fill>
    <fill>
      <patternFill patternType="solid">
        <fgColor indexed="15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double"/>
      <bottom style="double"/>
    </border>
    <border>
      <left/>
      <right style="thin"/>
      <top style="medium"/>
      <bottom style="medium"/>
    </border>
    <border>
      <left style="medium"/>
      <right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double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double"/>
    </border>
    <border>
      <left/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double"/>
    </border>
    <border>
      <left/>
      <right style="medium"/>
      <top style="thick"/>
      <bottom style="double"/>
    </border>
    <border>
      <left style="medium"/>
      <right style="medium"/>
      <top style="double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thick"/>
      <bottom style="double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double"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medium"/>
      <right/>
      <top/>
      <bottom style="double"/>
    </border>
    <border>
      <left style="medium"/>
      <right/>
      <top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double"/>
    </border>
    <border>
      <left style="thin"/>
      <right style="medium"/>
      <top style="thin"/>
      <bottom/>
    </border>
    <border>
      <left/>
      <right style="medium"/>
      <top style="thin"/>
      <bottom style="double"/>
    </border>
    <border>
      <left/>
      <right style="thin"/>
      <top style="double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double"/>
      <bottom style="double"/>
    </border>
    <border>
      <left/>
      <right style="thin"/>
      <top style="medium"/>
      <bottom/>
    </border>
    <border>
      <left style="thin"/>
      <right/>
      <top style="medium"/>
      <bottom style="double"/>
    </border>
    <border>
      <left style="thin"/>
      <right/>
      <top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ck"/>
    </border>
    <border>
      <left style="medium"/>
      <right/>
      <top>
        <color indexed="63"/>
      </top>
      <bottom style="thick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/>
      <bottom style="thick"/>
    </border>
    <border>
      <left style="medium"/>
      <right style="medium"/>
      <top style="medium"/>
      <bottom style="thick"/>
    </border>
    <border>
      <left/>
      <right style="medium"/>
      <top style="medium"/>
      <bottom style="thick"/>
    </border>
    <border>
      <left style="medium"/>
      <right style="thin"/>
      <top style="thin"/>
      <bottom style="medium"/>
    </border>
    <border>
      <left style="medium"/>
      <right/>
      <top style="medium"/>
      <bottom style="thick"/>
    </border>
    <border>
      <left/>
      <right/>
      <top>
        <color indexed="63"/>
      </top>
      <bottom style="thick"/>
    </border>
    <border>
      <left/>
      <right/>
      <top style="thick"/>
      <bottom style="double"/>
    </border>
    <border>
      <left/>
      <right/>
      <top style="double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2" borderId="0" applyNumberFormat="0" applyBorder="0" applyAlignment="0" applyProtection="0"/>
    <xf numFmtId="0" fontId="37" fillId="3" borderId="0" applyNumberFormat="0" applyBorder="0" applyAlignment="0" applyProtection="0"/>
    <xf numFmtId="0" fontId="119" fillId="4" borderId="0" applyNumberFormat="0" applyBorder="0" applyAlignment="0" applyProtection="0"/>
    <xf numFmtId="0" fontId="37" fillId="5" borderId="0" applyNumberFormat="0" applyBorder="0" applyAlignment="0" applyProtection="0"/>
    <xf numFmtId="0" fontId="119" fillId="6" borderId="0" applyNumberFormat="0" applyBorder="0" applyAlignment="0" applyProtection="0"/>
    <xf numFmtId="0" fontId="37" fillId="7" borderId="0" applyNumberFormat="0" applyBorder="0" applyAlignment="0" applyProtection="0"/>
    <xf numFmtId="0" fontId="119" fillId="8" borderId="0" applyNumberFormat="0" applyBorder="0" applyAlignment="0" applyProtection="0"/>
    <xf numFmtId="0" fontId="37" fillId="9" borderId="0" applyNumberFormat="0" applyBorder="0" applyAlignment="0" applyProtection="0"/>
    <xf numFmtId="0" fontId="119" fillId="10" borderId="0" applyNumberFormat="0" applyBorder="0" applyAlignment="0" applyProtection="0"/>
    <xf numFmtId="0" fontId="37" fillId="11" borderId="0" applyNumberFormat="0" applyBorder="0" applyAlignment="0" applyProtection="0"/>
    <xf numFmtId="0" fontId="119" fillId="12" borderId="0" applyNumberFormat="0" applyBorder="0" applyAlignment="0" applyProtection="0"/>
    <xf numFmtId="0" fontId="37" fillId="7" borderId="0" applyNumberFormat="0" applyBorder="0" applyAlignment="0" applyProtection="0"/>
    <xf numFmtId="0" fontId="119" fillId="13" borderId="0" applyNumberFormat="0" applyBorder="0" applyAlignment="0" applyProtection="0"/>
    <xf numFmtId="0" fontId="37" fillId="11" borderId="0" applyNumberFormat="0" applyBorder="0" applyAlignment="0" applyProtection="0"/>
    <xf numFmtId="0" fontId="119" fillId="14" borderId="0" applyNumberFormat="0" applyBorder="0" applyAlignment="0" applyProtection="0"/>
    <xf numFmtId="0" fontId="37" fillId="5" borderId="0" applyNumberFormat="0" applyBorder="0" applyAlignment="0" applyProtection="0"/>
    <xf numFmtId="0" fontId="119" fillId="15" borderId="0" applyNumberFormat="0" applyBorder="0" applyAlignment="0" applyProtection="0"/>
    <xf numFmtId="0" fontId="37" fillId="16" borderId="0" applyNumberFormat="0" applyBorder="0" applyAlignment="0" applyProtection="0"/>
    <xf numFmtId="0" fontId="119" fillId="17" borderId="0" applyNumberFormat="0" applyBorder="0" applyAlignment="0" applyProtection="0"/>
    <xf numFmtId="0" fontId="37" fillId="18" borderId="0" applyNumberFormat="0" applyBorder="0" applyAlignment="0" applyProtection="0"/>
    <xf numFmtId="0" fontId="119" fillId="19" borderId="0" applyNumberFormat="0" applyBorder="0" applyAlignment="0" applyProtection="0"/>
    <xf numFmtId="0" fontId="37" fillId="11" borderId="0" applyNumberFormat="0" applyBorder="0" applyAlignment="0" applyProtection="0"/>
    <xf numFmtId="0" fontId="119" fillId="20" borderId="0" applyNumberFormat="0" applyBorder="0" applyAlignment="0" applyProtection="0"/>
    <xf numFmtId="0" fontId="37" fillId="7" borderId="0" applyNumberFormat="0" applyBorder="0" applyAlignment="0" applyProtection="0"/>
    <xf numFmtId="0" fontId="120" fillId="21" borderId="0" applyNumberFormat="0" applyBorder="0" applyAlignment="0" applyProtection="0"/>
    <xf numFmtId="0" fontId="57" fillId="11" borderId="0" applyNumberFormat="0" applyBorder="0" applyAlignment="0" applyProtection="0"/>
    <xf numFmtId="0" fontId="120" fillId="22" borderId="0" applyNumberFormat="0" applyBorder="0" applyAlignment="0" applyProtection="0"/>
    <xf numFmtId="0" fontId="57" fillId="23" borderId="0" applyNumberFormat="0" applyBorder="0" applyAlignment="0" applyProtection="0"/>
    <xf numFmtId="0" fontId="120" fillId="24" borderId="0" applyNumberFormat="0" applyBorder="0" applyAlignment="0" applyProtection="0"/>
    <xf numFmtId="0" fontId="57" fillId="25" borderId="0" applyNumberFormat="0" applyBorder="0" applyAlignment="0" applyProtection="0"/>
    <xf numFmtId="0" fontId="120" fillId="26" borderId="0" applyNumberFormat="0" applyBorder="0" applyAlignment="0" applyProtection="0"/>
    <xf numFmtId="0" fontId="57" fillId="18" borderId="0" applyNumberFormat="0" applyBorder="0" applyAlignment="0" applyProtection="0"/>
    <xf numFmtId="0" fontId="120" fillId="27" borderId="0" applyNumberFormat="0" applyBorder="0" applyAlignment="0" applyProtection="0"/>
    <xf numFmtId="0" fontId="57" fillId="11" borderId="0" applyNumberFormat="0" applyBorder="0" applyAlignment="0" applyProtection="0"/>
    <xf numFmtId="0" fontId="120" fillId="28" borderId="0" applyNumberFormat="0" applyBorder="0" applyAlignment="0" applyProtection="0"/>
    <xf numFmtId="0" fontId="57" fillId="5" borderId="0" applyNumberFormat="0" applyBorder="0" applyAlignment="0" applyProtection="0"/>
    <xf numFmtId="0" fontId="121" fillId="29" borderId="1" applyNumberFormat="0" applyAlignment="0" applyProtection="0"/>
    <xf numFmtId="0" fontId="58" fillId="16" borderId="2" applyNumberFormat="0" applyAlignment="0" applyProtection="0"/>
    <xf numFmtId="0" fontId="1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3" fillId="0" borderId="3" applyNumberFormat="0" applyFill="0" applyAlignment="0" applyProtection="0"/>
    <xf numFmtId="0" fontId="59" fillId="0" borderId="4" applyNumberFormat="0" applyFill="0" applyAlignment="0" applyProtection="0"/>
    <xf numFmtId="0" fontId="124" fillId="0" borderId="5" applyNumberFormat="0" applyFill="0" applyAlignment="0" applyProtection="0"/>
    <xf numFmtId="0" fontId="60" fillId="0" borderId="6" applyNumberFormat="0" applyFill="0" applyAlignment="0" applyProtection="0"/>
    <xf numFmtId="0" fontId="125" fillId="0" borderId="7" applyNumberFormat="0" applyFill="0" applyAlignment="0" applyProtection="0"/>
    <xf numFmtId="0" fontId="61" fillId="0" borderId="8" applyNumberFormat="0" applyFill="0" applyAlignment="0" applyProtection="0"/>
    <xf numFmtId="0" fontId="1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" fontId="49" fillId="0" borderId="0" applyFont="0" applyFill="0" applyBorder="0" applyAlignment="0">
      <protection locked="0"/>
    </xf>
    <xf numFmtId="0" fontId="126" fillId="30" borderId="9" applyNumberFormat="0" applyAlignment="0" applyProtection="0"/>
    <xf numFmtId="0" fontId="62" fillId="31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11" applyNumberFormat="0" applyFill="0" applyAlignment="0" applyProtection="0"/>
    <xf numFmtId="0" fontId="63" fillId="0" borderId="12" applyNumberFormat="0" applyFill="0" applyAlignment="0" applyProtection="0"/>
    <xf numFmtId="0" fontId="0" fillId="32" borderId="13" applyNumberFormat="0" applyFont="0" applyAlignment="0" applyProtection="0"/>
    <xf numFmtId="0" fontId="0" fillId="7" borderId="14" applyNumberFormat="0" applyFont="0" applyAlignment="0" applyProtection="0"/>
    <xf numFmtId="0" fontId="57" fillId="33" borderId="0" applyNumberFormat="0" applyBorder="0" applyAlignment="0" applyProtection="0"/>
    <xf numFmtId="0" fontId="57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20" fillId="37" borderId="0" applyNumberFormat="0" applyBorder="0" applyAlignment="0" applyProtection="0"/>
    <xf numFmtId="0" fontId="120" fillId="38" borderId="0" applyNumberFormat="0" applyBorder="0" applyAlignment="0" applyProtection="0"/>
    <xf numFmtId="0" fontId="120" fillId="39" borderId="0" applyNumberFormat="0" applyBorder="0" applyAlignment="0" applyProtection="0"/>
    <xf numFmtId="0" fontId="120" fillId="40" borderId="0" applyNumberFormat="0" applyBorder="0" applyAlignment="0" applyProtection="0"/>
    <xf numFmtId="0" fontId="120" fillId="41" borderId="0" applyNumberFormat="0" applyBorder="0" applyAlignment="0" applyProtection="0"/>
    <xf numFmtId="0" fontId="120" fillId="42" borderId="0" applyNumberFormat="0" applyBorder="0" applyAlignment="0" applyProtection="0"/>
    <xf numFmtId="0" fontId="130" fillId="43" borderId="0" applyNumberFormat="0" applyBorder="0" applyAlignment="0" applyProtection="0"/>
    <xf numFmtId="0" fontId="64" fillId="11" borderId="0" applyNumberFormat="0" applyBorder="0" applyAlignment="0" applyProtection="0"/>
    <xf numFmtId="0" fontId="131" fillId="44" borderId="15" applyNumberFormat="0" applyAlignment="0" applyProtection="0"/>
    <xf numFmtId="0" fontId="65" fillId="45" borderId="16" applyNumberFormat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34" fillId="0" borderId="0">
      <alignment/>
      <protection/>
    </xf>
    <xf numFmtId="0" fontId="18" fillId="0" borderId="0" applyNumberFormat="0" applyFill="0" applyBorder="0" applyAlignment="0" applyProtection="0"/>
    <xf numFmtId="0" fontId="134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35" fillId="0" borderId="17" applyNumberFormat="0" applyFill="0" applyAlignment="0" applyProtection="0"/>
    <xf numFmtId="0" fontId="5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46" borderId="0" applyNumberFormat="0" applyBorder="0" applyAlignment="0" applyProtection="0"/>
    <xf numFmtId="0" fontId="67" fillId="47" borderId="0" applyNumberFormat="0" applyBorder="0" applyAlignment="0" applyProtection="0"/>
    <xf numFmtId="0" fontId="137" fillId="48" borderId="0" applyNumberFormat="0" applyBorder="0" applyAlignment="0" applyProtection="0"/>
    <xf numFmtId="0" fontId="68" fillId="16" borderId="0" applyNumberFormat="0" applyBorder="0" applyAlignment="0" applyProtection="0"/>
    <xf numFmtId="0" fontId="138" fillId="44" borderId="1" applyNumberFormat="0" applyAlignment="0" applyProtection="0"/>
    <xf numFmtId="0" fontId="69" fillId="45" borderId="2" applyNumberFormat="0" applyAlignment="0" applyProtection="0"/>
    <xf numFmtId="9" fontId="0" fillId="0" borderId="0" applyFont="0" applyFill="0" applyBorder="0" applyAlignment="0" applyProtection="0"/>
  </cellStyleXfs>
  <cellXfs count="20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6" fillId="49" borderId="19" xfId="0" applyFont="1" applyFill="1" applyBorder="1" applyAlignment="1">
      <alignment/>
    </xf>
    <xf numFmtId="0" fontId="16" fillId="49" borderId="20" xfId="0" applyFont="1" applyFill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8" fillId="0" borderId="22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8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Continuous"/>
    </xf>
    <xf numFmtId="0" fontId="11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45" borderId="0" xfId="0" applyFill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9" fillId="50" borderId="28" xfId="0" applyFont="1" applyFill="1" applyBorder="1" applyAlignment="1">
      <alignment horizontal="center"/>
    </xf>
    <xf numFmtId="0" fontId="19" fillId="50" borderId="2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50" borderId="0" xfId="0" applyFill="1" applyAlignment="1">
      <alignment/>
    </xf>
    <xf numFmtId="0" fontId="2" fillId="45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horizontal="centerContinuous"/>
    </xf>
    <xf numFmtId="0" fontId="18" fillId="45" borderId="0" xfId="0" applyFont="1" applyFill="1" applyAlignment="1">
      <alignment horizontal="centerContinuous"/>
    </xf>
    <xf numFmtId="0" fontId="18" fillId="45" borderId="30" xfId="0" applyFont="1" applyFill="1" applyBorder="1" applyAlignment="1" applyProtection="1">
      <alignment horizontal="left" vertical="center"/>
      <protection locked="0"/>
    </xf>
    <xf numFmtId="0" fontId="18" fillId="45" borderId="31" xfId="0" applyFont="1" applyFill="1" applyBorder="1" applyAlignment="1" applyProtection="1">
      <alignment horizontal="left" vertical="center"/>
      <protection locked="0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19" fillId="50" borderId="24" xfId="0" applyFont="1" applyFill="1" applyBorder="1" applyAlignment="1">
      <alignment horizontal="center" vertical="center" wrapText="1"/>
    </xf>
    <xf numFmtId="0" fontId="19" fillId="50" borderId="25" xfId="0" applyFont="1" applyFill="1" applyBorder="1" applyAlignment="1">
      <alignment horizontal="centerContinuous" vertical="center" wrapText="1"/>
    </xf>
    <xf numFmtId="0" fontId="19" fillId="50" borderId="2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52" borderId="0" xfId="0" applyFont="1" applyFill="1" applyBorder="1" applyAlignment="1">
      <alignment/>
    </xf>
    <xf numFmtId="0" fontId="27" fillId="5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51" borderId="31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12" fillId="45" borderId="34" xfId="0" applyNumberFormat="1" applyFont="1" applyFill="1" applyBorder="1" applyAlignment="1">
      <alignment horizontal="right" vertical="center"/>
    </xf>
    <xf numFmtId="3" fontId="12" fillId="45" borderId="35" xfId="0" applyNumberFormat="1" applyFont="1" applyFill="1" applyBorder="1" applyAlignment="1">
      <alignment horizontal="right" vertical="center"/>
    </xf>
    <xf numFmtId="3" fontId="12" fillId="51" borderId="35" xfId="0" applyNumberFormat="1" applyFont="1" applyFill="1" applyBorder="1" applyAlignment="1">
      <alignment horizontal="right" vertical="center"/>
    </xf>
    <xf numFmtId="3" fontId="12" fillId="45" borderId="34" xfId="0" applyNumberFormat="1" applyFont="1" applyFill="1" applyBorder="1" applyAlignment="1">
      <alignment horizontal="right" vertical="center"/>
    </xf>
    <xf numFmtId="3" fontId="18" fillId="45" borderId="34" xfId="0" applyNumberFormat="1" applyFont="1" applyFill="1" applyBorder="1" applyAlignment="1">
      <alignment horizontal="right" vertical="center"/>
    </xf>
    <xf numFmtId="3" fontId="18" fillId="45" borderId="35" xfId="0" applyNumberFormat="1" applyFont="1" applyFill="1" applyBorder="1" applyAlignment="1">
      <alignment horizontal="right" vertical="center"/>
    </xf>
    <xf numFmtId="3" fontId="18" fillId="51" borderId="34" xfId="0" applyNumberFormat="1" applyFont="1" applyFill="1" applyBorder="1" applyAlignment="1">
      <alignment horizontal="right" vertical="center"/>
    </xf>
    <xf numFmtId="3" fontId="18" fillId="51" borderId="35" xfId="0" applyNumberFormat="1" applyFont="1" applyFill="1" applyBorder="1" applyAlignment="1">
      <alignment horizontal="right" vertical="center"/>
    </xf>
    <xf numFmtId="0" fontId="24" fillId="45" borderId="36" xfId="0" applyFont="1" applyFill="1" applyBorder="1" applyAlignment="1">
      <alignment/>
    </xf>
    <xf numFmtId="0" fontId="24" fillId="45" borderId="37" xfId="0" applyFont="1" applyFill="1" applyBorder="1" applyAlignment="1">
      <alignment/>
    </xf>
    <xf numFmtId="0" fontId="18" fillId="51" borderId="36" xfId="0" applyFont="1" applyFill="1" applyBorder="1" applyAlignment="1">
      <alignment horizontal="center" vertical="center"/>
    </xf>
    <xf numFmtId="0" fontId="18" fillId="51" borderId="37" xfId="0" applyFont="1" applyFill="1" applyBorder="1" applyAlignment="1">
      <alignment horizontal="center" vertical="center"/>
    </xf>
    <xf numFmtId="0" fontId="15" fillId="50" borderId="38" xfId="0" applyFont="1" applyFill="1" applyBorder="1" applyAlignment="1">
      <alignment/>
    </xf>
    <xf numFmtId="0" fontId="19" fillId="50" borderId="39" xfId="0" applyFont="1" applyFill="1" applyBorder="1" applyAlignment="1" applyProtection="1">
      <alignment horizontal="center" vertical="center"/>
      <protection locked="0"/>
    </xf>
    <xf numFmtId="0" fontId="19" fillId="50" borderId="24" xfId="0" applyFont="1" applyFill="1" applyBorder="1" applyAlignment="1">
      <alignment horizontal="center" vertical="center"/>
    </xf>
    <xf numFmtId="0" fontId="21" fillId="45" borderId="38" xfId="0" applyFont="1" applyFill="1" applyBorder="1" applyAlignment="1">
      <alignment horizontal="centerContinuous" vertical="center"/>
    </xf>
    <xf numFmtId="0" fontId="22" fillId="45" borderId="39" xfId="0" applyFont="1" applyFill="1" applyBorder="1" applyAlignment="1" applyProtection="1">
      <alignment horizontal="centerContinuous" vertical="center"/>
      <protection locked="0"/>
    </xf>
    <xf numFmtId="0" fontId="20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0" fontId="13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13" fillId="0" borderId="44" xfId="0" applyFont="1" applyBorder="1" applyAlignment="1">
      <alignment horizontal="centerContinuous" vertical="center"/>
    </xf>
    <xf numFmtId="0" fontId="30" fillId="45" borderId="37" xfId="0" applyFont="1" applyFill="1" applyBorder="1" applyAlignment="1">
      <alignment/>
    </xf>
    <xf numFmtId="0" fontId="12" fillId="45" borderId="31" xfId="0" applyFont="1" applyFill="1" applyBorder="1" applyAlignment="1" applyProtection="1">
      <alignment horizontal="left" vertical="center"/>
      <protection locked="0"/>
    </xf>
    <xf numFmtId="0" fontId="30" fillId="45" borderId="36" xfId="0" applyFont="1" applyFill="1" applyBorder="1" applyAlignment="1">
      <alignment/>
    </xf>
    <xf numFmtId="0" fontId="12" fillId="45" borderId="30" xfId="0" applyFont="1" applyFill="1" applyBorder="1" applyAlignment="1" applyProtection="1">
      <alignment horizontal="left" vertical="center"/>
      <protection locked="0"/>
    </xf>
    <xf numFmtId="0" fontId="12" fillId="51" borderId="36" xfId="0" applyFont="1" applyFill="1" applyBorder="1" applyAlignment="1">
      <alignment horizontal="center" vertical="center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18" fillId="51" borderId="31" xfId="0" applyFont="1" applyFill="1" applyBorder="1" applyAlignment="1" applyProtection="1">
      <alignment horizontal="left" vertical="center"/>
      <protection locked="0"/>
    </xf>
    <xf numFmtId="3" fontId="12" fillId="51" borderId="35" xfId="0" applyNumberFormat="1" applyFont="1" applyFill="1" applyBorder="1" applyAlignment="1">
      <alignment horizontal="right" vertical="center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right"/>
    </xf>
    <xf numFmtId="3" fontId="12" fillId="53" borderId="2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12" fillId="54" borderId="24" xfId="0" applyNumberFormat="1" applyFont="1" applyFill="1" applyBorder="1" applyAlignment="1">
      <alignment horizontal="right" vertical="center"/>
    </xf>
    <xf numFmtId="3" fontId="12" fillId="54" borderId="45" xfId="0" applyNumberFormat="1" applyFont="1" applyFill="1" applyBorder="1" applyAlignment="1">
      <alignment vertical="center"/>
    </xf>
    <xf numFmtId="3" fontId="32" fillId="0" borderId="0" xfId="0" applyNumberFormat="1" applyFont="1" applyAlignment="1">
      <alignment/>
    </xf>
    <xf numFmtId="0" fontId="18" fillId="45" borderId="30" xfId="0" applyFont="1" applyFill="1" applyBorder="1" applyAlignment="1" applyProtection="1">
      <alignment horizontal="left" vertical="center"/>
      <protection locked="0"/>
    </xf>
    <xf numFmtId="3" fontId="18" fillId="45" borderId="35" xfId="0" applyNumberFormat="1" applyFont="1" applyFill="1" applyBorder="1" applyAlignment="1">
      <alignment horizontal="right" vertical="center"/>
    </xf>
    <xf numFmtId="0" fontId="12" fillId="53" borderId="24" xfId="0" applyFont="1" applyFill="1" applyBorder="1" applyAlignment="1">
      <alignment horizontal="center" vertical="center"/>
    </xf>
    <xf numFmtId="0" fontId="12" fillId="53" borderId="46" xfId="0" applyFont="1" applyFill="1" applyBorder="1" applyAlignment="1" applyProtection="1">
      <alignment horizontal="left" vertical="center"/>
      <protection locked="0"/>
    </xf>
    <xf numFmtId="0" fontId="12" fillId="55" borderId="24" xfId="0" applyFont="1" applyFill="1" applyBorder="1" applyAlignment="1">
      <alignment horizontal="center" vertical="center"/>
    </xf>
    <xf numFmtId="0" fontId="12" fillId="55" borderId="46" xfId="0" applyFont="1" applyFill="1" applyBorder="1" applyAlignment="1" applyProtection="1">
      <alignment horizontal="left" vertical="center"/>
      <protection locked="0"/>
    </xf>
    <xf numFmtId="3" fontId="12" fillId="55" borderId="24" xfId="0" applyNumberFormat="1" applyFont="1" applyFill="1" applyBorder="1" applyAlignment="1">
      <alignment horizontal="right" vertical="center"/>
    </xf>
    <xf numFmtId="0" fontId="12" fillId="56" borderId="24" xfId="0" applyFont="1" applyFill="1" applyBorder="1" applyAlignment="1">
      <alignment horizontal="center" vertical="center"/>
    </xf>
    <xf numFmtId="0" fontId="12" fillId="56" borderId="38" xfId="0" applyFont="1" applyFill="1" applyBorder="1" applyAlignment="1" applyProtection="1">
      <alignment horizontal="left" vertical="center"/>
      <protection locked="0"/>
    </xf>
    <xf numFmtId="3" fontId="12" fillId="56" borderId="24" xfId="0" applyNumberFormat="1" applyFont="1" applyFill="1" applyBorder="1" applyAlignment="1">
      <alignment horizontal="right" vertical="center"/>
    </xf>
    <xf numFmtId="0" fontId="12" fillId="56" borderId="46" xfId="0" applyFont="1" applyFill="1" applyBorder="1" applyAlignment="1" applyProtection="1">
      <alignment horizontal="left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centerContinuous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2" fillId="54" borderId="4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3" fontId="12" fillId="45" borderId="35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0" fillId="0" borderId="0" xfId="107">
      <alignment/>
      <protection/>
    </xf>
    <xf numFmtId="0" fontId="18" fillId="0" borderId="0" xfId="107" applyFont="1">
      <alignment/>
      <protection/>
    </xf>
    <xf numFmtId="0" fontId="8" fillId="0" borderId="0" xfId="107" applyFont="1">
      <alignment/>
      <protection/>
    </xf>
    <xf numFmtId="0" fontId="4" fillId="0" borderId="0" xfId="107" applyFont="1">
      <alignment/>
      <protection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45" borderId="34" xfId="0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2" fontId="8" fillId="0" borderId="58" xfId="0" applyNumberFormat="1" applyFont="1" applyBorder="1" applyAlignment="1">
      <alignment vertical="center"/>
    </xf>
    <xf numFmtId="2" fontId="8" fillId="0" borderId="59" xfId="0" applyNumberFormat="1" applyFont="1" applyBorder="1" applyAlignment="1">
      <alignment vertical="center"/>
    </xf>
    <xf numFmtId="2" fontId="8" fillId="0" borderId="60" xfId="0" applyNumberFormat="1" applyFont="1" applyBorder="1" applyAlignment="1">
      <alignment vertical="center"/>
    </xf>
    <xf numFmtId="2" fontId="8" fillId="0" borderId="6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0" fontId="23" fillId="0" borderId="0" xfId="0" applyFont="1" applyAlignment="1">
      <alignment horizontal="right"/>
    </xf>
    <xf numFmtId="3" fontId="18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1" fillId="0" borderId="0" xfId="110">
      <alignment/>
      <protection/>
    </xf>
    <xf numFmtId="0" fontId="31" fillId="0" borderId="0" xfId="110" applyAlignment="1">
      <alignment vertical="center"/>
      <protection/>
    </xf>
    <xf numFmtId="0" fontId="0" fillId="0" borderId="0" xfId="107" applyAlignment="1">
      <alignment vertical="center"/>
      <protection/>
    </xf>
    <xf numFmtId="0" fontId="2" fillId="0" borderId="0" xfId="107" applyFont="1" applyFill="1" applyAlignment="1">
      <alignment horizontal="center" vertical="center"/>
      <protection/>
    </xf>
    <xf numFmtId="0" fontId="0" fillId="0" borderId="0" xfId="107" applyFill="1" applyAlignment="1">
      <alignment vertical="center"/>
      <protection/>
    </xf>
    <xf numFmtId="0" fontId="0" fillId="0" borderId="0" xfId="107" applyFont="1" applyFill="1" applyAlignment="1">
      <alignment vertical="center"/>
      <protection/>
    </xf>
    <xf numFmtId="3" fontId="4" fillId="0" borderId="0" xfId="107" applyNumberFormat="1" applyFont="1" applyAlignment="1">
      <alignment horizontal="right" vertical="center"/>
      <protection/>
    </xf>
    <xf numFmtId="3" fontId="15" fillId="0" borderId="0" xfId="103" applyNumberFormat="1" applyFont="1" applyAlignment="1">
      <alignment horizontal="right" vertical="center"/>
      <protection/>
    </xf>
    <xf numFmtId="0" fontId="12" fillId="0" borderId="0" xfId="107" applyFont="1" applyFill="1" applyBorder="1" applyAlignment="1">
      <alignment horizontal="center" vertical="center"/>
      <protection/>
    </xf>
    <xf numFmtId="0" fontId="18" fillId="0" borderId="0" xfId="107" applyFont="1" applyFill="1" applyBorder="1" applyAlignment="1">
      <alignment vertical="center"/>
      <protection/>
    </xf>
    <xf numFmtId="0" fontId="18" fillId="0" borderId="0" xfId="109" applyFont="1" applyBorder="1" applyAlignment="1">
      <alignment horizontal="right" vertical="center"/>
      <protection/>
    </xf>
    <xf numFmtId="3" fontId="12" fillId="0" borderId="0" xfId="107" applyNumberFormat="1" applyFont="1" applyAlignment="1">
      <alignment vertical="center"/>
      <protection/>
    </xf>
    <xf numFmtId="0" fontId="4" fillId="0" borderId="0" xfId="107" applyFont="1" applyAlignment="1">
      <alignment vertical="center"/>
      <protection/>
    </xf>
    <xf numFmtId="0" fontId="31" fillId="0" borderId="0" xfId="110" applyAlignment="1">
      <alignment horizontal="center" vertical="center"/>
      <protection/>
    </xf>
    <xf numFmtId="0" fontId="15" fillId="0" borderId="0" xfId="102" applyFont="1" applyAlignment="1">
      <alignment horizontal="right" vertical="center"/>
      <protection/>
    </xf>
    <xf numFmtId="0" fontId="12" fillId="51" borderId="30" xfId="0" applyFont="1" applyFill="1" applyBorder="1" applyAlignment="1" applyProtection="1">
      <alignment horizontal="left" vertical="center"/>
      <protection locked="0"/>
    </xf>
    <xf numFmtId="3" fontId="12" fillId="51" borderId="34" xfId="0" applyNumberFormat="1" applyFont="1" applyFill="1" applyBorder="1" applyAlignment="1">
      <alignment horizontal="right" vertical="center"/>
    </xf>
    <xf numFmtId="3" fontId="8" fillId="0" borderId="62" xfId="0" applyNumberFormat="1" applyFont="1" applyBorder="1" applyAlignment="1">
      <alignment vertical="center"/>
    </xf>
    <xf numFmtId="4" fontId="8" fillId="0" borderId="63" xfId="0" applyNumberFormat="1" applyFont="1" applyBorder="1" applyAlignment="1">
      <alignment vertical="center"/>
    </xf>
    <xf numFmtId="4" fontId="8" fillId="0" borderId="64" xfId="0" applyNumberFormat="1" applyFont="1" applyBorder="1" applyAlignment="1">
      <alignment vertical="center"/>
    </xf>
    <xf numFmtId="4" fontId="8" fillId="0" borderId="65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vertical="center"/>
    </xf>
    <xf numFmtId="3" fontId="18" fillId="51" borderId="35" xfId="0" applyNumberFormat="1" applyFont="1" applyFill="1" applyBorder="1" applyAlignment="1">
      <alignment horizontal="right" vertical="center"/>
    </xf>
    <xf numFmtId="0" fontId="31" fillId="0" borderId="0" xfId="110" applyFont="1">
      <alignment/>
      <protection/>
    </xf>
    <xf numFmtId="0" fontId="31" fillId="0" borderId="0" xfId="110" applyFont="1">
      <alignment/>
      <protection/>
    </xf>
    <xf numFmtId="0" fontId="31" fillId="0" borderId="35" xfId="110" applyFont="1" applyBorder="1" applyAlignment="1">
      <alignment horizontal="center" vertical="center"/>
      <protection/>
    </xf>
    <xf numFmtId="3" fontId="31" fillId="57" borderId="35" xfId="110" applyNumberFormat="1" applyFont="1" applyFill="1" applyBorder="1" applyAlignment="1">
      <alignment vertical="center"/>
      <protection/>
    </xf>
    <xf numFmtId="3" fontId="31" fillId="0" borderId="30" xfId="0" applyNumberFormat="1" applyFont="1" applyFill="1" applyBorder="1" applyAlignment="1">
      <alignment vertical="center"/>
    </xf>
    <xf numFmtId="0" fontId="38" fillId="53" borderId="24" xfId="110" applyFont="1" applyFill="1" applyBorder="1" applyAlignment="1">
      <alignment horizontal="center" vertical="center"/>
      <protection/>
    </xf>
    <xf numFmtId="0" fontId="38" fillId="53" borderId="25" xfId="110" applyFont="1" applyFill="1" applyBorder="1" applyAlignment="1">
      <alignment vertical="center"/>
      <protection/>
    </xf>
    <xf numFmtId="3" fontId="38" fillId="53" borderId="24" xfId="110" applyNumberFormat="1" applyFont="1" applyFill="1" applyBorder="1" applyAlignment="1">
      <alignment vertical="center"/>
      <protection/>
    </xf>
    <xf numFmtId="3" fontId="38" fillId="54" borderId="24" xfId="110" applyNumberFormat="1" applyFont="1" applyFill="1" applyBorder="1" applyAlignment="1">
      <alignment vertical="center"/>
      <protection/>
    </xf>
    <xf numFmtId="3" fontId="31" fillId="0" borderId="34" xfId="0" applyNumberFormat="1" applyFont="1" applyFill="1" applyBorder="1" applyAlignment="1">
      <alignment horizontal="right" vertical="center"/>
    </xf>
    <xf numFmtId="3" fontId="31" fillId="0" borderId="27" xfId="0" applyNumberFormat="1" applyFont="1" applyFill="1" applyBorder="1" applyAlignment="1">
      <alignment vertical="center"/>
    </xf>
    <xf numFmtId="3" fontId="38" fillId="0" borderId="55" xfId="0" applyNumberFormat="1" applyFont="1" applyFill="1" applyBorder="1" applyAlignment="1">
      <alignment horizontal="right" vertical="center"/>
    </xf>
    <xf numFmtId="3" fontId="38" fillId="54" borderId="24" xfId="0" applyNumberFormat="1" applyFont="1" applyFill="1" applyBorder="1" applyAlignment="1">
      <alignment horizontal="right" vertical="center"/>
    </xf>
    <xf numFmtId="3" fontId="31" fillId="0" borderId="35" xfId="0" applyNumberFormat="1" applyFont="1" applyFill="1" applyBorder="1" applyAlignment="1">
      <alignment horizontal="right" vertical="center"/>
    </xf>
    <xf numFmtId="3" fontId="38" fillId="0" borderId="35" xfId="0" applyNumberFormat="1" applyFont="1" applyFill="1" applyBorder="1" applyAlignment="1">
      <alignment horizontal="right" vertical="center"/>
    </xf>
    <xf numFmtId="3" fontId="38" fillId="0" borderId="34" xfId="0" applyNumberFormat="1" applyFont="1" applyFill="1" applyBorder="1" applyAlignment="1">
      <alignment horizontal="right" vertical="center"/>
    </xf>
    <xf numFmtId="3" fontId="38" fillId="0" borderId="66" xfId="0" applyNumberFormat="1" applyFont="1" applyFill="1" applyBorder="1" applyAlignment="1">
      <alignment horizontal="right" vertical="center"/>
    </xf>
    <xf numFmtId="3" fontId="38" fillId="0" borderId="67" xfId="0" applyNumberFormat="1" applyFont="1" applyFill="1" applyBorder="1" applyAlignment="1">
      <alignment horizontal="right" vertical="center"/>
    </xf>
    <xf numFmtId="3" fontId="38" fillId="58" borderId="24" xfId="0" applyNumberFormat="1" applyFont="1" applyFill="1" applyBorder="1" applyAlignment="1">
      <alignment horizontal="right" vertical="center"/>
    </xf>
    <xf numFmtId="3" fontId="38" fillId="58" borderId="68" xfId="0" applyNumberFormat="1" applyFont="1" applyFill="1" applyBorder="1" applyAlignment="1">
      <alignment horizontal="right" vertical="center"/>
    </xf>
    <xf numFmtId="3" fontId="38" fillId="58" borderId="69" xfId="0" applyNumberFormat="1" applyFont="1" applyFill="1" applyBorder="1" applyAlignment="1">
      <alignment horizontal="right" vertical="center"/>
    </xf>
    <xf numFmtId="3" fontId="38" fillId="58" borderId="70" xfId="0" applyNumberFormat="1" applyFont="1" applyFill="1" applyBorder="1" applyAlignment="1">
      <alignment horizontal="right" vertical="center"/>
    </xf>
    <xf numFmtId="3" fontId="38" fillId="54" borderId="71" xfId="0" applyNumberFormat="1" applyFont="1" applyFill="1" applyBorder="1" applyAlignment="1">
      <alignment horizontal="right" vertical="center"/>
    </xf>
    <xf numFmtId="3" fontId="0" fillId="45" borderId="0" xfId="0" applyNumberFormat="1" applyFill="1" applyAlignment="1">
      <alignment/>
    </xf>
    <xf numFmtId="3" fontId="8" fillId="0" borderId="72" xfId="0" applyNumberFormat="1" applyFont="1" applyBorder="1" applyAlignment="1">
      <alignment vertical="center"/>
    </xf>
    <xf numFmtId="3" fontId="8" fillId="0" borderId="73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0" fillId="45" borderId="0" xfId="0" applyNumberFormat="1" applyFont="1" applyFill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Continuous" vertical="center"/>
    </xf>
    <xf numFmtId="0" fontId="13" fillId="0" borderId="62" xfId="0" applyFont="1" applyBorder="1" applyAlignment="1">
      <alignment horizontal="centerContinuous" vertical="center"/>
    </xf>
    <xf numFmtId="3" fontId="15" fillId="0" borderId="0" xfId="102" applyNumberFormat="1" applyFont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38" fillId="53" borderId="38" xfId="0" applyFont="1" applyFill="1" applyBorder="1" applyAlignment="1">
      <alignment horizontal="center" vertical="center"/>
    </xf>
    <xf numFmtId="0" fontId="38" fillId="54" borderId="38" xfId="0" applyFont="1" applyFill="1" applyBorder="1" applyAlignment="1">
      <alignment horizontal="center" vertical="center"/>
    </xf>
    <xf numFmtId="3" fontId="8" fillId="0" borderId="75" xfId="0" applyNumberFormat="1" applyFont="1" applyBorder="1" applyAlignment="1">
      <alignment vertical="center"/>
    </xf>
    <xf numFmtId="3" fontId="8" fillId="0" borderId="66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76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44" xfId="0" applyFont="1" applyFill="1" applyBorder="1" applyAlignment="1">
      <alignment horizontal="centerContinuous" vertical="center" wrapText="1"/>
    </xf>
    <xf numFmtId="0" fontId="13" fillId="0" borderId="74" xfId="0" applyFont="1" applyFill="1" applyBorder="1" applyAlignment="1">
      <alignment horizontal="centerContinuous" vertical="center" wrapText="1"/>
    </xf>
    <xf numFmtId="0" fontId="12" fillId="0" borderId="74" xfId="0" applyFont="1" applyFill="1" applyBorder="1" applyAlignment="1">
      <alignment horizontal="centerContinuous" vertical="center" wrapText="1"/>
    </xf>
    <xf numFmtId="0" fontId="12" fillId="9" borderId="77" xfId="0" applyFont="1" applyFill="1" applyBorder="1" applyAlignment="1">
      <alignment horizontal="center" vertical="center"/>
    </xf>
    <xf numFmtId="3" fontId="12" fillId="9" borderId="69" xfId="0" applyNumberFormat="1" applyFont="1" applyFill="1" applyBorder="1" applyAlignment="1">
      <alignment horizontal="right" vertical="center"/>
    </xf>
    <xf numFmtId="3" fontId="31" fillId="0" borderId="35" xfId="105" applyNumberFormat="1" applyFont="1" applyBorder="1" applyAlignment="1">
      <alignment vertical="center"/>
    </xf>
    <xf numFmtId="0" fontId="12" fillId="53" borderId="38" xfId="0" applyFont="1" applyFill="1" applyBorder="1" applyAlignment="1">
      <alignment horizontal="center" vertical="center"/>
    </xf>
    <xf numFmtId="3" fontId="12" fillId="53" borderId="24" xfId="105" applyNumberFormat="1" applyFont="1" applyFill="1" applyBorder="1" applyAlignment="1">
      <alignment vertical="center"/>
    </xf>
    <xf numFmtId="0" fontId="2" fillId="9" borderId="78" xfId="0" applyFont="1" applyFill="1" applyBorder="1" applyAlignment="1">
      <alignment horizontal="center" vertical="center"/>
    </xf>
    <xf numFmtId="3" fontId="12" fillId="9" borderId="79" xfId="0" applyNumberFormat="1" applyFont="1" applyFill="1" applyBorder="1" applyAlignment="1">
      <alignment vertical="center"/>
    </xf>
    <xf numFmtId="0" fontId="0" fillId="45" borderId="0" xfId="0" applyFill="1" applyAlignment="1">
      <alignment vertical="center"/>
    </xf>
    <xf numFmtId="0" fontId="2" fillId="45" borderId="0" xfId="0" applyFont="1" applyFill="1" applyAlignment="1">
      <alignment vertical="center"/>
    </xf>
    <xf numFmtId="3" fontId="38" fillId="45" borderId="55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3" fontId="31" fillId="45" borderId="34" xfId="0" applyNumberFormat="1" applyFont="1" applyFill="1" applyBorder="1" applyAlignment="1">
      <alignment horizontal="right" vertical="center"/>
    </xf>
    <xf numFmtId="0" fontId="38" fillId="0" borderId="50" xfId="0" applyFont="1" applyFill="1" applyBorder="1" applyAlignment="1">
      <alignment horizontal="center" vertical="center"/>
    </xf>
    <xf numFmtId="3" fontId="31" fillId="45" borderId="35" xfId="0" applyNumberFormat="1" applyFont="1" applyFill="1" applyBorder="1" applyAlignment="1">
      <alignment horizontal="right" vertical="center"/>
    </xf>
    <xf numFmtId="3" fontId="31" fillId="0" borderId="34" xfId="105" applyNumberFormat="1" applyFont="1" applyBorder="1" applyAlignment="1">
      <alignment vertical="center"/>
    </xf>
    <xf numFmtId="3" fontId="38" fillId="53" borderId="24" xfId="105" applyNumberFormat="1" applyFont="1" applyFill="1" applyBorder="1" applyAlignment="1">
      <alignment vertical="center"/>
    </xf>
    <xf numFmtId="3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8" fillId="58" borderId="78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5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50" borderId="40" xfId="0" applyFont="1" applyFill="1" applyBorder="1" applyAlignment="1">
      <alignment horizontal="center" vertical="center"/>
    </xf>
    <xf numFmtId="0" fontId="19" fillId="50" borderId="43" xfId="0" applyFont="1" applyFill="1" applyBorder="1" applyAlignment="1">
      <alignment horizontal="center" vertical="center"/>
    </xf>
    <xf numFmtId="0" fontId="12" fillId="45" borderId="40" xfId="0" applyFont="1" applyFill="1" applyBorder="1" applyAlignment="1">
      <alignment vertical="center"/>
    </xf>
    <xf numFmtId="0" fontId="38" fillId="53" borderId="24" xfId="0" applyFont="1" applyFill="1" applyBorder="1" applyAlignment="1">
      <alignment horizontal="center" vertical="center"/>
    </xf>
    <xf numFmtId="0" fontId="31" fillId="0" borderId="34" xfId="110" applyFont="1" applyBorder="1" applyAlignment="1">
      <alignment horizontal="center" vertical="center"/>
      <protection/>
    </xf>
    <xf numFmtId="3" fontId="38" fillId="53" borderId="39" xfId="110" applyNumberFormat="1" applyFont="1" applyFill="1" applyBorder="1" applyAlignment="1">
      <alignment vertical="center"/>
      <protection/>
    </xf>
    <xf numFmtId="3" fontId="38" fillId="54" borderId="39" xfId="110" applyNumberFormat="1" applyFont="1" applyFill="1" applyBorder="1" applyAlignment="1">
      <alignment vertical="center"/>
      <protection/>
    </xf>
    <xf numFmtId="3" fontId="38" fillId="53" borderId="80" xfId="110" applyNumberFormat="1" applyFont="1" applyFill="1" applyBorder="1" applyAlignment="1">
      <alignment vertical="center"/>
      <protection/>
    </xf>
    <xf numFmtId="3" fontId="38" fillId="54" borderId="80" xfId="110" applyNumberFormat="1" applyFont="1" applyFill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0" fillId="45" borderId="0" xfId="0" applyFill="1" applyAlignment="1">
      <alignment horizontal="center"/>
    </xf>
    <xf numFmtId="0" fontId="0" fillId="45" borderId="0" xfId="0" applyFill="1" applyAlignment="1">
      <alignment horizontal="right"/>
    </xf>
    <xf numFmtId="0" fontId="2" fillId="0" borderId="0" xfId="107" applyFont="1" applyFill="1" applyAlignment="1">
      <alignment horizontal="center"/>
      <protection/>
    </xf>
    <xf numFmtId="0" fontId="0" fillId="0" borderId="0" xfId="107" applyFill="1">
      <alignment/>
      <protection/>
    </xf>
    <xf numFmtId="3" fontId="2" fillId="0" borderId="0" xfId="107" applyNumberFormat="1" applyFont="1" applyFill="1">
      <alignment/>
      <protection/>
    </xf>
    <xf numFmtId="3" fontId="2" fillId="0" borderId="0" xfId="107" applyNumberFormat="1" applyFont="1">
      <alignment/>
      <protection/>
    </xf>
    <xf numFmtId="0" fontId="2" fillId="0" borderId="0" xfId="107" applyFont="1" applyFill="1">
      <alignment/>
      <protection/>
    </xf>
    <xf numFmtId="3" fontId="13" fillId="0" borderId="80" xfId="0" applyNumberFormat="1" applyFont="1" applyBorder="1" applyAlignment="1">
      <alignment vertical="center"/>
    </xf>
    <xf numFmtId="4" fontId="8" fillId="0" borderId="81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13" fillId="0" borderId="82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13" fillId="0" borderId="83" xfId="0" applyNumberFormat="1" applyFont="1" applyBorder="1" applyAlignment="1">
      <alignment vertical="center"/>
    </xf>
    <xf numFmtId="3" fontId="13" fillId="0" borderId="72" xfId="0" applyNumberFormat="1" applyFont="1" applyBorder="1" applyAlignment="1">
      <alignment vertical="center"/>
    </xf>
    <xf numFmtId="3" fontId="13" fillId="0" borderId="84" xfId="0" applyNumberFormat="1" applyFont="1" applyFill="1" applyBorder="1" applyAlignment="1">
      <alignment vertical="center"/>
    </xf>
    <xf numFmtId="0" fontId="38" fillId="54" borderId="24" xfId="0" applyFont="1" applyFill="1" applyBorder="1" applyAlignment="1">
      <alignment horizontal="center" vertical="center"/>
    </xf>
    <xf numFmtId="0" fontId="31" fillId="0" borderId="31" xfId="110" applyFont="1" applyBorder="1" applyAlignment="1">
      <alignment horizontal="left" vertical="center" wrapText="1"/>
      <protection/>
    </xf>
    <xf numFmtId="3" fontId="31" fillId="0" borderId="31" xfId="110" applyNumberFormat="1" applyFont="1" applyBorder="1" applyAlignment="1">
      <alignment vertical="center"/>
      <protection/>
    </xf>
    <xf numFmtId="3" fontId="31" fillId="0" borderId="73" xfId="110" applyNumberFormat="1" applyFont="1" applyBorder="1" applyAlignment="1">
      <alignment vertical="center"/>
      <protection/>
    </xf>
    <xf numFmtId="3" fontId="31" fillId="0" borderId="85" xfId="110" applyNumberFormat="1" applyFont="1" applyBorder="1" applyAlignment="1">
      <alignment vertical="center"/>
      <protection/>
    </xf>
    <xf numFmtId="3" fontId="8" fillId="0" borderId="26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0" borderId="72" xfId="0" applyNumberFormat="1" applyFont="1" applyBorder="1" applyAlignment="1">
      <alignment vertical="center"/>
    </xf>
    <xf numFmtId="3" fontId="8" fillId="49" borderId="5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38" fillId="0" borderId="49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3" fontId="13" fillId="0" borderId="88" xfId="0" applyNumberFormat="1" applyFont="1" applyBorder="1" applyAlignment="1">
      <alignment vertical="center"/>
    </xf>
    <xf numFmtId="3" fontId="13" fillId="0" borderId="80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3" fontId="8" fillId="0" borderId="89" xfId="0" applyNumberFormat="1" applyFont="1" applyBorder="1" applyAlignment="1">
      <alignment vertical="center"/>
    </xf>
    <xf numFmtId="3" fontId="8" fillId="0" borderId="90" xfId="0" applyNumberFormat="1" applyFont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0" fontId="13" fillId="45" borderId="24" xfId="0" applyFont="1" applyFill="1" applyBorder="1" applyAlignment="1">
      <alignment vertical="center"/>
    </xf>
    <xf numFmtId="3" fontId="13" fillId="0" borderId="73" xfId="0" applyNumberFormat="1" applyFont="1" applyBorder="1" applyAlignment="1">
      <alignment vertical="center"/>
    </xf>
    <xf numFmtId="3" fontId="13" fillId="0" borderId="72" xfId="0" applyNumberFormat="1" applyFont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3" fontId="8" fillId="0" borderId="91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82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3" fontId="13" fillId="0" borderId="76" xfId="0" applyNumberFormat="1" applyFont="1" applyBorder="1" applyAlignment="1">
      <alignment vertical="center"/>
    </xf>
    <xf numFmtId="3" fontId="13" fillId="0" borderId="83" xfId="0" applyNumberFormat="1" applyFont="1" applyBorder="1" applyAlignment="1">
      <alignment vertical="center"/>
    </xf>
    <xf numFmtId="3" fontId="13" fillId="0" borderId="9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3" fillId="0" borderId="93" xfId="0" applyNumberFormat="1" applyFont="1" applyBorder="1" applyAlignment="1">
      <alignment vertical="center"/>
    </xf>
    <xf numFmtId="0" fontId="13" fillId="16" borderId="94" xfId="0" applyFont="1" applyFill="1" applyBorder="1" applyAlignment="1">
      <alignment horizontal="center" vertical="center"/>
    </xf>
    <xf numFmtId="3" fontId="13" fillId="16" borderId="95" xfId="0" applyNumberFormat="1" applyFont="1" applyFill="1" applyBorder="1" applyAlignment="1">
      <alignment vertical="center"/>
    </xf>
    <xf numFmtId="0" fontId="13" fillId="16" borderId="96" xfId="0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13" fillId="58" borderId="23" xfId="0" applyFont="1" applyFill="1" applyBorder="1" applyAlignment="1">
      <alignment horizontal="center" vertical="center"/>
    </xf>
    <xf numFmtId="0" fontId="13" fillId="58" borderId="97" xfId="0" applyFont="1" applyFill="1" applyBorder="1" applyAlignment="1">
      <alignment vertical="center"/>
    </xf>
    <xf numFmtId="0" fontId="13" fillId="0" borderId="98" xfId="0" applyFont="1" applyBorder="1" applyAlignment="1">
      <alignment horizontal="center" vertical="center"/>
    </xf>
    <xf numFmtId="0" fontId="13" fillId="0" borderId="98" xfId="0" applyFont="1" applyBorder="1" applyAlignment="1">
      <alignment vertical="center"/>
    </xf>
    <xf numFmtId="3" fontId="13" fillId="0" borderId="99" xfId="0" applyNumberFormat="1" applyFont="1" applyBorder="1" applyAlignment="1">
      <alignment vertical="center"/>
    </xf>
    <xf numFmtId="3" fontId="13" fillId="0" borderId="100" xfId="0" applyNumberFormat="1" applyFont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3" fontId="13" fillId="0" borderId="102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8" fillId="0" borderId="73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3" fontId="8" fillId="49" borderId="93" xfId="0" applyNumberFormat="1" applyFont="1" applyFill="1" applyBorder="1" applyAlignment="1">
      <alignment vertical="center"/>
    </xf>
    <xf numFmtId="3" fontId="13" fillId="16" borderId="103" xfId="0" applyNumberFormat="1" applyFont="1" applyFill="1" applyBorder="1" applyAlignment="1">
      <alignment vertical="center"/>
    </xf>
    <xf numFmtId="3" fontId="13" fillId="16" borderId="81" xfId="0" applyNumberFormat="1" applyFont="1" applyFill="1" applyBorder="1" applyAlignment="1">
      <alignment vertical="center"/>
    </xf>
    <xf numFmtId="3" fontId="13" fillId="16" borderId="96" xfId="0" applyNumberFormat="1" applyFont="1" applyFill="1" applyBorder="1" applyAlignment="1">
      <alignment vertical="center"/>
    </xf>
    <xf numFmtId="0" fontId="13" fillId="16" borderId="94" xfId="0" applyFont="1" applyFill="1" applyBorder="1" applyAlignment="1">
      <alignment vertical="center"/>
    </xf>
    <xf numFmtId="0" fontId="13" fillId="0" borderId="104" xfId="0" applyFont="1" applyBorder="1" applyAlignment="1">
      <alignment horizontal="center" vertical="center"/>
    </xf>
    <xf numFmtId="0" fontId="13" fillId="0" borderId="104" xfId="0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3" fontId="8" fillId="49" borderId="83" xfId="0" applyNumberFormat="1" applyFont="1" applyFill="1" applyBorder="1" applyAlignment="1">
      <alignment vertical="center"/>
    </xf>
    <xf numFmtId="3" fontId="13" fillId="16" borderId="105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3" fontId="13" fillId="16" borderId="63" xfId="0" applyNumberFormat="1" applyFont="1" applyFill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65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16" fillId="49" borderId="75" xfId="0" applyFont="1" applyFill="1" applyBorder="1" applyAlignment="1">
      <alignment vertical="center"/>
    </xf>
    <xf numFmtId="0" fontId="16" fillId="49" borderId="52" xfId="0" applyFont="1" applyFill="1" applyBorder="1" applyAlignment="1">
      <alignment vertical="center"/>
    </xf>
    <xf numFmtId="0" fontId="16" fillId="49" borderId="106" xfId="0" applyFont="1" applyFill="1" applyBorder="1" applyAlignment="1">
      <alignment vertical="center"/>
    </xf>
    <xf numFmtId="0" fontId="16" fillId="49" borderId="107" xfId="0" applyFont="1" applyFill="1" applyBorder="1" applyAlignment="1">
      <alignment vertical="center"/>
    </xf>
    <xf numFmtId="0" fontId="16" fillId="49" borderId="10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8" fillId="0" borderId="76" xfId="0" applyNumberFormat="1" applyFont="1" applyBorder="1" applyAlignment="1">
      <alignment vertical="center"/>
    </xf>
    <xf numFmtId="3" fontId="8" fillId="0" borderId="72" xfId="0" applyNumberFormat="1" applyFont="1" applyFill="1" applyBorder="1" applyAlignment="1">
      <alignment vertical="center"/>
    </xf>
    <xf numFmtId="3" fontId="8" fillId="0" borderId="76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8" fillId="0" borderId="92" xfId="0" applyNumberFormat="1" applyFont="1" applyBorder="1" applyAlignment="1">
      <alignment vertical="center"/>
    </xf>
    <xf numFmtId="3" fontId="8" fillId="0" borderId="83" xfId="0" applyNumberFormat="1" applyFont="1" applyFill="1" applyBorder="1" applyAlignment="1">
      <alignment vertical="center"/>
    </xf>
    <xf numFmtId="0" fontId="13" fillId="45" borderId="10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4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13" fillId="0" borderId="76" xfId="0" applyNumberFormat="1" applyFont="1" applyBorder="1" applyAlignment="1">
      <alignment vertical="center"/>
    </xf>
    <xf numFmtId="3" fontId="13" fillId="0" borderId="73" xfId="0" applyNumberFormat="1" applyFont="1" applyFill="1" applyBorder="1" applyAlignment="1">
      <alignment vertical="center"/>
    </xf>
    <xf numFmtId="3" fontId="13" fillId="0" borderId="72" xfId="0" applyNumberFormat="1" applyFont="1" applyFill="1" applyBorder="1" applyAlignment="1">
      <alignment vertical="center"/>
    </xf>
    <xf numFmtId="3" fontId="13" fillId="0" borderId="76" xfId="0" applyNumberFormat="1" applyFont="1" applyFill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13" fillId="0" borderId="99" xfId="0" applyNumberFormat="1" applyFont="1" applyFill="1" applyBorder="1" applyAlignment="1">
      <alignment vertical="center"/>
    </xf>
    <xf numFmtId="3" fontId="13" fillId="0" borderId="100" xfId="0" applyNumberFormat="1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4" fontId="8" fillId="0" borderId="109" xfId="0" applyNumberFormat="1" applyFont="1" applyBorder="1" applyAlignment="1">
      <alignment vertical="center"/>
    </xf>
    <xf numFmtId="4" fontId="8" fillId="0" borderId="60" xfId="0" applyNumberFormat="1" applyFont="1" applyBorder="1" applyAlignment="1">
      <alignment vertical="center"/>
    </xf>
    <xf numFmtId="4" fontId="8" fillId="0" borderId="59" xfId="0" applyNumberFormat="1" applyFont="1" applyBorder="1" applyAlignment="1">
      <alignment vertical="center"/>
    </xf>
    <xf numFmtId="4" fontId="8" fillId="0" borderId="63" xfId="0" applyNumberFormat="1" applyFont="1" applyFill="1" applyBorder="1" applyAlignment="1">
      <alignment vertical="center"/>
    </xf>
    <xf numFmtId="4" fontId="8" fillId="0" borderId="59" xfId="0" applyNumberFormat="1" applyFont="1" applyFill="1" applyBorder="1" applyAlignment="1">
      <alignment vertical="center"/>
    </xf>
    <xf numFmtId="4" fontId="8" fillId="0" borderId="6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0" borderId="24" xfId="0" applyFont="1" applyFill="1" applyBorder="1" applyAlignment="1">
      <alignment horizontal="center" vertical="center"/>
    </xf>
    <xf numFmtId="0" fontId="15" fillId="50" borderId="80" xfId="0" applyFont="1" applyFill="1" applyBorder="1" applyAlignment="1">
      <alignment horizontal="center" vertical="center"/>
    </xf>
    <xf numFmtId="0" fontId="15" fillId="50" borderId="28" xfId="0" applyFont="1" applyFill="1" applyBorder="1" applyAlignment="1">
      <alignment horizontal="center" vertical="center"/>
    </xf>
    <xf numFmtId="0" fontId="15" fillId="50" borderId="88" xfId="0" applyFont="1" applyFill="1" applyBorder="1" applyAlignment="1">
      <alignment horizontal="center" vertical="center"/>
    </xf>
    <xf numFmtId="0" fontId="15" fillId="50" borderId="29" xfId="0" applyFont="1" applyFill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6" fillId="49" borderId="1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0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3" fontId="8" fillId="0" borderId="66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3" fontId="8" fillId="0" borderId="62" xfId="0" applyNumberFormat="1" applyFont="1" applyBorder="1" applyAlignment="1">
      <alignment vertical="center"/>
    </xf>
    <xf numFmtId="3" fontId="13" fillId="0" borderId="67" xfId="0" applyNumberFormat="1" applyFont="1" applyBorder="1" applyAlignment="1">
      <alignment vertical="center"/>
    </xf>
    <xf numFmtId="3" fontId="8" fillId="0" borderId="99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3" fontId="13" fillId="0" borderId="99" xfId="0" applyNumberFormat="1" applyFont="1" applyBorder="1" applyAlignment="1">
      <alignment vertical="center"/>
    </xf>
    <xf numFmtId="3" fontId="13" fillId="0" borderId="102" xfId="0" applyNumberFormat="1" applyFont="1" applyBorder="1" applyAlignment="1">
      <alignment vertical="center"/>
    </xf>
    <xf numFmtId="3" fontId="13" fillId="0" borderId="111" xfId="0" applyNumberFormat="1" applyFont="1" applyBorder="1" applyAlignment="1">
      <alignment vertical="center"/>
    </xf>
    <xf numFmtId="3" fontId="13" fillId="16" borderId="81" xfId="0" applyNumberFormat="1" applyFont="1" applyFill="1" applyBorder="1" applyAlignment="1">
      <alignment vertical="center"/>
    </xf>
    <xf numFmtId="3" fontId="13" fillId="16" borderId="103" xfId="0" applyNumberFormat="1" applyFont="1" applyFill="1" applyBorder="1" applyAlignment="1">
      <alignment vertical="center"/>
    </xf>
    <xf numFmtId="4" fontId="13" fillId="0" borderId="81" xfId="0" applyNumberFormat="1" applyFont="1" applyBorder="1" applyAlignment="1">
      <alignment vertical="center"/>
    </xf>
    <xf numFmtId="4" fontId="13" fillId="0" borderId="95" xfId="0" applyNumberFormat="1" applyFont="1" applyBorder="1" applyAlignment="1">
      <alignment vertical="center"/>
    </xf>
    <xf numFmtId="4" fontId="13" fillId="0" borderId="61" xfId="0" applyNumberFormat="1" applyFont="1" applyBorder="1" applyAlignment="1">
      <alignment vertical="center"/>
    </xf>
    <xf numFmtId="4" fontId="8" fillId="0" borderId="103" xfId="0" applyNumberFormat="1" applyFont="1" applyBorder="1" applyAlignment="1">
      <alignment vertical="center"/>
    </xf>
    <xf numFmtId="4" fontId="13" fillId="0" borderId="105" xfId="0" applyNumberFormat="1" applyFont="1" applyBorder="1" applyAlignment="1">
      <alignment vertical="center"/>
    </xf>
    <xf numFmtId="4" fontId="13" fillId="0" borderId="63" xfId="0" applyNumberFormat="1" applyFont="1" applyBorder="1" applyAlignment="1">
      <alignment vertical="center"/>
    </xf>
    <xf numFmtId="4" fontId="8" fillId="0" borderId="112" xfId="0" applyNumberFormat="1" applyFont="1" applyBorder="1" applyAlignment="1">
      <alignment vertical="center"/>
    </xf>
    <xf numFmtId="4" fontId="13" fillId="0" borderId="65" xfId="0" applyNumberFormat="1" applyFont="1" applyBorder="1" applyAlignment="1">
      <alignment vertical="center"/>
    </xf>
    <xf numFmtId="0" fontId="12" fillId="51" borderId="37" xfId="0" applyFont="1" applyFill="1" applyBorder="1" applyAlignment="1">
      <alignment horizontal="center" vertical="center"/>
    </xf>
    <xf numFmtId="0" fontId="17" fillId="0" borderId="34" xfId="107" applyFont="1" applyFill="1" applyBorder="1" applyAlignment="1">
      <alignment horizontal="center" vertical="center"/>
      <protection/>
    </xf>
    <xf numFmtId="0" fontId="0" fillId="0" borderId="0" xfId="107" applyFill="1" applyAlignment="1">
      <alignment horizontal="right"/>
      <protection/>
    </xf>
    <xf numFmtId="3" fontId="2" fillId="0" borderId="0" xfId="107" applyNumberFormat="1" applyFont="1" applyFill="1" applyAlignment="1">
      <alignment horizontal="right"/>
      <protection/>
    </xf>
    <xf numFmtId="3" fontId="2" fillId="0" borderId="0" xfId="107" applyNumberFormat="1" applyFont="1" applyAlignment="1">
      <alignment horizontal="right"/>
      <protection/>
    </xf>
    <xf numFmtId="0" fontId="2" fillId="0" borderId="0" xfId="107" applyFont="1" applyFill="1" applyAlignment="1">
      <alignment horizontal="right"/>
      <protection/>
    </xf>
    <xf numFmtId="3" fontId="0" fillId="0" borderId="0" xfId="107" applyNumberFormat="1" applyFill="1" applyAlignment="1">
      <alignment horizontal="right"/>
      <protection/>
    </xf>
    <xf numFmtId="0" fontId="17" fillId="0" borderId="35" xfId="107" applyFont="1" applyFill="1" applyBorder="1" applyAlignment="1">
      <alignment horizontal="center" vertical="center"/>
      <protection/>
    </xf>
    <xf numFmtId="0" fontId="12" fillId="54" borderId="23" xfId="107" applyFont="1" applyFill="1" applyBorder="1" applyAlignment="1">
      <alignment horizontal="center" vertical="center"/>
      <protection/>
    </xf>
    <xf numFmtId="0" fontId="14" fillId="54" borderId="23" xfId="107" applyFont="1" applyFill="1" applyBorder="1" applyAlignment="1">
      <alignment vertical="center"/>
      <protection/>
    </xf>
    <xf numFmtId="3" fontId="14" fillId="54" borderId="23" xfId="107" applyNumberFormat="1" applyFont="1" applyFill="1" applyBorder="1" applyAlignment="1">
      <alignment vertical="center"/>
      <protection/>
    </xf>
    <xf numFmtId="0" fontId="18" fillId="0" borderId="0" xfId="107" applyFont="1" applyAlignment="1">
      <alignment vertical="center"/>
      <protection/>
    </xf>
    <xf numFmtId="0" fontId="0" fillId="0" borderId="0" xfId="107" applyNumberFormat="1" applyFont="1" applyAlignment="1">
      <alignment horizontal="right" vertical="center"/>
      <protection/>
    </xf>
    <xf numFmtId="0" fontId="13" fillId="0" borderId="113" xfId="107" applyFont="1" applyFill="1" applyBorder="1" applyAlignment="1">
      <alignment horizontal="center" vertical="center"/>
      <protection/>
    </xf>
    <xf numFmtId="0" fontId="8" fillId="0" borderId="113" xfId="107" applyFont="1" applyFill="1" applyBorder="1" applyAlignment="1">
      <alignment vertical="center"/>
      <protection/>
    </xf>
    <xf numFmtId="0" fontId="23" fillId="0" borderId="113" xfId="107" applyFont="1" applyFill="1" applyBorder="1" applyAlignment="1">
      <alignment horizontal="right" vertical="center"/>
      <protection/>
    </xf>
    <xf numFmtId="3" fontId="13" fillId="0" borderId="0" xfId="107" applyNumberFormat="1" applyFont="1" applyAlignment="1">
      <alignment vertical="center"/>
      <protection/>
    </xf>
    <xf numFmtId="3" fontId="13" fillId="0" borderId="0" xfId="107" applyNumberFormat="1" applyFont="1" applyAlignment="1">
      <alignment horizontal="right" vertical="center"/>
      <protection/>
    </xf>
    <xf numFmtId="0" fontId="19" fillId="50" borderId="24" xfId="107" applyFont="1" applyFill="1" applyBorder="1" applyAlignment="1">
      <alignment horizontal="center" vertical="center"/>
      <protection/>
    </xf>
    <xf numFmtId="0" fontId="20" fillId="0" borderId="0" xfId="107" applyFont="1" applyFill="1" applyAlignment="1">
      <alignment horizontal="center" vertical="center"/>
      <protection/>
    </xf>
    <xf numFmtId="0" fontId="19" fillId="0" borderId="0" xfId="107" applyFont="1" applyFill="1" applyAlignment="1">
      <alignment horizontal="center" vertical="center"/>
      <protection/>
    </xf>
    <xf numFmtId="0" fontId="12" fillId="0" borderId="48" xfId="107" applyFont="1" applyFill="1" applyBorder="1" applyAlignment="1">
      <alignment horizontal="center" vertical="center"/>
      <protection/>
    </xf>
    <xf numFmtId="0" fontId="17" fillId="0" borderId="34" xfId="107" applyFont="1" applyFill="1" applyBorder="1" applyAlignment="1">
      <alignment vertical="center"/>
      <protection/>
    </xf>
    <xf numFmtId="3" fontId="14" fillId="58" borderId="34" xfId="107" applyNumberFormat="1" applyFont="1" applyFill="1" applyBorder="1" applyAlignment="1">
      <alignment horizontal="right" vertical="center"/>
      <protection/>
    </xf>
    <xf numFmtId="3" fontId="17" fillId="0" borderId="36" xfId="107" applyNumberFormat="1" applyFont="1" applyFill="1" applyBorder="1" applyAlignment="1">
      <alignment horizontal="right" vertical="center"/>
      <protection/>
    </xf>
    <xf numFmtId="3" fontId="14" fillId="0" borderId="48" xfId="107" applyNumberFormat="1" applyFont="1" applyFill="1" applyBorder="1" applyAlignment="1">
      <alignment horizontal="right" vertical="center"/>
      <protection/>
    </xf>
    <xf numFmtId="3" fontId="14" fillId="58" borderId="35" xfId="107" applyNumberFormat="1" applyFont="1" applyFill="1" applyBorder="1" applyAlignment="1">
      <alignment vertical="center"/>
      <protection/>
    </xf>
    <xf numFmtId="0" fontId="12" fillId="0" borderId="34" xfId="107" applyFont="1" applyFill="1" applyBorder="1" applyAlignment="1">
      <alignment horizontal="center" vertical="center"/>
      <protection/>
    </xf>
    <xf numFmtId="3" fontId="14" fillId="0" borderId="34" xfId="107" applyNumberFormat="1" applyFont="1" applyFill="1" applyBorder="1" applyAlignment="1">
      <alignment horizontal="right" vertical="center"/>
      <protection/>
    </xf>
    <xf numFmtId="3" fontId="14" fillId="0" borderId="34" xfId="107" applyNumberFormat="1" applyFont="1" applyBorder="1" applyAlignment="1">
      <alignment horizontal="right" vertical="center"/>
      <protection/>
    </xf>
    <xf numFmtId="0" fontId="0" fillId="0" borderId="0" xfId="107" applyFont="1" applyAlignment="1">
      <alignment vertical="center"/>
      <protection/>
    </xf>
    <xf numFmtId="0" fontId="12" fillId="0" borderId="53" xfId="107" applyFont="1" applyFill="1" applyBorder="1" applyAlignment="1">
      <alignment vertical="center"/>
      <protection/>
    </xf>
    <xf numFmtId="3" fontId="14" fillId="58" borderId="34" xfId="107" applyNumberFormat="1" applyFont="1" applyFill="1" applyBorder="1" applyAlignment="1">
      <alignment vertical="center"/>
      <protection/>
    </xf>
    <xf numFmtId="0" fontId="12" fillId="0" borderId="49" xfId="107" applyFont="1" applyFill="1" applyBorder="1" applyAlignment="1">
      <alignment vertical="center"/>
      <protection/>
    </xf>
    <xf numFmtId="0" fontId="12" fillId="53" borderId="24" xfId="107" applyFont="1" applyFill="1" applyBorder="1" applyAlignment="1">
      <alignment horizontal="center" vertical="center"/>
      <protection/>
    </xf>
    <xf numFmtId="0" fontId="12" fillId="53" borderId="24" xfId="107" applyFont="1" applyFill="1" applyBorder="1" applyAlignment="1">
      <alignment horizontal="left" vertical="center"/>
      <protection/>
    </xf>
    <xf numFmtId="3" fontId="14" fillId="53" borderId="24" xfId="107" applyNumberFormat="1" applyFont="1" applyFill="1" applyBorder="1" applyAlignment="1">
      <alignment vertical="center"/>
      <protection/>
    </xf>
    <xf numFmtId="0" fontId="2" fillId="0" borderId="0" xfId="107" applyFont="1" applyAlignment="1">
      <alignment vertical="center"/>
      <protection/>
    </xf>
    <xf numFmtId="3" fontId="14" fillId="58" borderId="35" xfId="107" applyNumberFormat="1" applyFont="1" applyFill="1" applyBorder="1" applyAlignment="1">
      <alignment horizontal="right" vertical="center"/>
      <protection/>
    </xf>
    <xf numFmtId="3" fontId="14" fillId="0" borderId="53" xfId="107" applyNumberFormat="1" applyFont="1" applyFill="1" applyBorder="1" applyAlignment="1">
      <alignment horizontal="right" vertical="center"/>
      <protection/>
    </xf>
    <xf numFmtId="3" fontId="14" fillId="58" borderId="53" xfId="107" applyNumberFormat="1" applyFont="1" applyFill="1" applyBorder="1" applyAlignment="1">
      <alignment vertical="center"/>
      <protection/>
    </xf>
    <xf numFmtId="0" fontId="42" fillId="0" borderId="0" xfId="107" applyFont="1" applyAlignment="1">
      <alignment vertical="center"/>
      <protection/>
    </xf>
    <xf numFmtId="3" fontId="17" fillId="0" borderId="55" xfId="107" applyNumberFormat="1" applyFont="1" applyFill="1" applyBorder="1" applyAlignment="1">
      <alignment horizontal="right" vertical="center"/>
      <protection/>
    </xf>
    <xf numFmtId="3" fontId="17" fillId="0" borderId="114" xfId="107" applyNumberFormat="1" applyFont="1" applyFill="1" applyBorder="1" applyAlignment="1">
      <alignment horizontal="right" vertical="center"/>
      <protection/>
    </xf>
    <xf numFmtId="0" fontId="14" fillId="53" borderId="24" xfId="107" applyFont="1" applyFill="1" applyBorder="1" applyAlignment="1">
      <alignment horizontal="center" vertical="center"/>
      <protection/>
    </xf>
    <xf numFmtId="0" fontId="14" fillId="53" borderId="24" xfId="107" applyFont="1" applyFill="1" applyBorder="1" applyAlignment="1">
      <alignment vertical="center"/>
      <protection/>
    </xf>
    <xf numFmtId="3" fontId="14" fillId="53" borderId="24" xfId="107" applyNumberFormat="1" applyFont="1" applyFill="1" applyBorder="1" applyAlignment="1">
      <alignment horizontal="right" vertical="center"/>
      <protection/>
    </xf>
    <xf numFmtId="0" fontId="17" fillId="0" borderId="0" xfId="107" applyFont="1" applyAlignment="1">
      <alignment vertical="center"/>
      <protection/>
    </xf>
    <xf numFmtId="3" fontId="17" fillId="0" borderId="115" xfId="107" applyNumberFormat="1" applyFont="1" applyFill="1" applyBorder="1" applyAlignment="1">
      <alignment horizontal="right" vertical="center"/>
      <protection/>
    </xf>
    <xf numFmtId="3" fontId="17" fillId="0" borderId="34" xfId="107" applyNumberFormat="1" applyFont="1" applyFill="1" applyBorder="1" applyAlignment="1">
      <alignment horizontal="right" vertical="center"/>
      <protection/>
    </xf>
    <xf numFmtId="3" fontId="17" fillId="0" borderId="27" xfId="107" applyNumberFormat="1" applyFont="1" applyFill="1" applyBorder="1" applyAlignment="1">
      <alignment horizontal="right" vertical="center"/>
      <protection/>
    </xf>
    <xf numFmtId="3" fontId="17" fillId="0" borderId="73" xfId="106" applyNumberFormat="1" applyFont="1" applyBorder="1" applyAlignment="1">
      <alignment horizontal="right" vertical="center"/>
    </xf>
    <xf numFmtId="3" fontId="17" fillId="0" borderId="73" xfId="106" applyNumberFormat="1" applyFont="1" applyFill="1" applyBorder="1" applyAlignment="1">
      <alignment horizontal="right" vertical="center"/>
    </xf>
    <xf numFmtId="3" fontId="17" fillId="0" borderId="53" xfId="107" applyNumberFormat="1" applyFont="1" applyFill="1" applyBorder="1" applyAlignment="1">
      <alignment horizontal="right" vertical="center"/>
      <protection/>
    </xf>
    <xf numFmtId="3" fontId="7" fillId="0" borderId="0" xfId="107" applyNumberFormat="1" applyFont="1" applyAlignment="1">
      <alignment horizontal="right" vertical="center"/>
      <protection/>
    </xf>
    <xf numFmtId="0" fontId="7" fillId="0" borderId="0" xfId="107" applyFont="1" applyAlignment="1">
      <alignment vertical="center"/>
      <protection/>
    </xf>
    <xf numFmtId="0" fontId="15" fillId="0" borderId="0" xfId="107" applyFont="1" applyAlignment="1">
      <alignment vertical="center"/>
      <protection/>
    </xf>
    <xf numFmtId="0" fontId="15" fillId="0" borderId="0" xfId="107" applyFont="1" applyFill="1" applyBorder="1" applyAlignment="1">
      <alignment horizontal="center" vertical="center"/>
      <protection/>
    </xf>
    <xf numFmtId="0" fontId="7" fillId="0" borderId="0" xfId="107" applyFont="1" applyAlignment="1">
      <alignment vertical="center"/>
      <protection/>
    </xf>
    <xf numFmtId="0" fontId="15" fillId="0" borderId="0" xfId="107" applyFont="1" applyFill="1" applyAlignment="1">
      <alignment vertical="center"/>
      <protection/>
    </xf>
    <xf numFmtId="0" fontId="7" fillId="0" borderId="0" xfId="107" applyFont="1" applyFill="1" applyAlignment="1">
      <alignment vertical="center"/>
      <protection/>
    </xf>
    <xf numFmtId="0" fontId="15" fillId="0" borderId="0" xfId="107" applyFont="1" applyFill="1" applyBorder="1" applyAlignment="1">
      <alignment horizontal="center" vertical="center" wrapText="1"/>
      <protection/>
    </xf>
    <xf numFmtId="3" fontId="15" fillId="0" borderId="0" xfId="107" applyNumberFormat="1" applyFont="1" applyAlignment="1">
      <alignment horizontal="left" vertical="center"/>
      <protection/>
    </xf>
    <xf numFmtId="3" fontId="15" fillId="0" borderId="0" xfId="107" applyNumberFormat="1" applyFont="1" applyFill="1" applyAlignment="1">
      <alignment vertical="center"/>
      <protection/>
    </xf>
    <xf numFmtId="0" fontId="19" fillId="0" borderId="0" xfId="107" applyFont="1" applyAlignment="1">
      <alignment vertical="center"/>
      <protection/>
    </xf>
    <xf numFmtId="0" fontId="20" fillId="0" borderId="0" xfId="107" applyFont="1" applyAlignment="1">
      <alignment vertical="center"/>
      <protection/>
    </xf>
    <xf numFmtId="0" fontId="15" fillId="0" borderId="0" xfId="107" applyFont="1" applyAlignment="1">
      <alignment vertical="center"/>
      <protection/>
    </xf>
    <xf numFmtId="3" fontId="15" fillId="0" borderId="0" xfId="107" applyNumberFormat="1" applyFont="1" applyAlignment="1">
      <alignment vertical="center"/>
      <protection/>
    </xf>
    <xf numFmtId="3" fontId="43" fillId="0" borderId="0" xfId="107" applyNumberFormat="1" applyFont="1" applyAlignment="1">
      <alignment vertical="center"/>
      <protection/>
    </xf>
    <xf numFmtId="0" fontId="7" fillId="0" borderId="0" xfId="107" applyFont="1">
      <alignment/>
      <protection/>
    </xf>
    <xf numFmtId="3" fontId="7" fillId="0" borderId="0" xfId="107" applyNumberFormat="1" applyFont="1">
      <alignment/>
      <protection/>
    </xf>
    <xf numFmtId="0" fontId="15" fillId="0" borderId="0" xfId="107" applyFont="1" applyFill="1" applyBorder="1" applyAlignment="1">
      <alignment horizontal="center" vertical="center" wrapText="1"/>
      <protection/>
    </xf>
    <xf numFmtId="3" fontId="15" fillId="0" borderId="0" xfId="103" applyNumberFormat="1" applyFont="1" applyFill="1" applyAlignment="1">
      <alignment horizontal="center" vertical="center"/>
      <protection/>
    </xf>
    <xf numFmtId="3" fontId="15" fillId="0" borderId="0" xfId="102" applyNumberFormat="1" applyFont="1" applyFill="1" applyAlignment="1">
      <alignment horizontal="center" vertical="center"/>
      <protection/>
    </xf>
    <xf numFmtId="3" fontId="15" fillId="0" borderId="0" xfId="107" applyNumberFormat="1" applyFont="1" applyFill="1" applyAlignment="1">
      <alignment horizontal="center" vertical="center"/>
      <protection/>
    </xf>
    <xf numFmtId="3" fontId="15" fillId="0" borderId="0" xfId="107" applyNumberFormat="1" applyFont="1" applyFill="1" applyBorder="1" applyAlignment="1">
      <alignment horizontal="center" vertical="center"/>
      <protection/>
    </xf>
    <xf numFmtId="3" fontId="15" fillId="0" borderId="0" xfId="107" applyNumberFormat="1" applyFont="1" applyFill="1" applyBorder="1" applyAlignment="1">
      <alignment horizontal="center" vertical="center"/>
      <protection/>
    </xf>
    <xf numFmtId="3" fontId="7" fillId="0" borderId="0" xfId="107" applyNumberFormat="1" applyFont="1" applyFill="1" applyAlignment="1">
      <alignment horizontal="center"/>
      <protection/>
    </xf>
    <xf numFmtId="0" fontId="19" fillId="50" borderId="80" xfId="107" applyFont="1" applyFill="1" applyBorder="1" applyAlignment="1">
      <alignment horizontal="center" vertical="center"/>
      <protection/>
    </xf>
    <xf numFmtId="3" fontId="17" fillId="0" borderId="30" xfId="107" applyNumberFormat="1" applyFont="1" applyFill="1" applyBorder="1" applyAlignment="1">
      <alignment horizontal="right" vertical="center"/>
      <protection/>
    </xf>
    <xf numFmtId="3" fontId="17" fillId="0" borderId="31" xfId="106" applyNumberFormat="1" applyFont="1" applyBorder="1" applyAlignment="1">
      <alignment horizontal="right" vertical="center"/>
    </xf>
    <xf numFmtId="3" fontId="17" fillId="0" borderId="31" xfId="106" applyNumberFormat="1" applyFont="1" applyFill="1" applyBorder="1" applyAlignment="1">
      <alignment horizontal="right" vertical="center"/>
    </xf>
    <xf numFmtId="3" fontId="14" fillId="54" borderId="116" xfId="107" applyNumberFormat="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3" fontId="29" fillId="0" borderId="0" xfId="0" applyNumberFormat="1" applyFont="1" applyAlignment="1">
      <alignment vertical="center"/>
    </xf>
    <xf numFmtId="3" fontId="17" fillId="0" borderId="55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59" borderId="47" xfId="0" applyFont="1" applyFill="1" applyBorder="1" applyAlignment="1">
      <alignment horizontal="center" vertical="center"/>
    </xf>
    <xf numFmtId="0" fontId="13" fillId="54" borderId="38" xfId="0" applyFont="1" applyFill="1" applyBorder="1" applyAlignment="1">
      <alignment horizontal="left" vertical="center"/>
    </xf>
    <xf numFmtId="0" fontId="8" fillId="54" borderId="25" xfId="0" applyFont="1" applyFill="1" applyBorder="1" applyAlignment="1">
      <alignment horizontal="left" vertical="center"/>
    </xf>
    <xf numFmtId="3" fontId="13" fillId="54" borderId="117" xfId="0" applyNumberFormat="1" applyFont="1" applyFill="1" applyBorder="1" applyAlignment="1">
      <alignment horizontal="right" vertical="center"/>
    </xf>
    <xf numFmtId="3" fontId="13" fillId="54" borderId="19" xfId="0" applyNumberFormat="1" applyFont="1" applyFill="1" applyBorder="1" applyAlignment="1">
      <alignment horizontal="right" vertical="center"/>
    </xf>
    <xf numFmtId="3" fontId="13" fillId="54" borderId="118" xfId="0" applyNumberFormat="1" applyFont="1" applyFill="1" applyBorder="1" applyAlignment="1">
      <alignment horizontal="right" vertical="center"/>
    </xf>
    <xf numFmtId="0" fontId="12" fillId="0" borderId="35" xfId="107" applyFont="1" applyFill="1" applyBorder="1" applyAlignment="1">
      <alignment horizontal="center" vertical="center"/>
      <protection/>
    </xf>
    <xf numFmtId="0" fontId="17" fillId="0" borderId="35" xfId="107" applyFont="1" applyFill="1" applyBorder="1" applyAlignment="1">
      <alignment vertical="center"/>
      <protection/>
    </xf>
    <xf numFmtId="3" fontId="17" fillId="0" borderId="73" xfId="107" applyNumberFormat="1" applyFont="1" applyFill="1" applyBorder="1" applyAlignment="1">
      <alignment horizontal="right" vertical="center"/>
      <protection/>
    </xf>
    <xf numFmtId="3" fontId="17" fillId="0" borderId="31" xfId="107" applyNumberFormat="1" applyFont="1" applyFill="1" applyBorder="1" applyAlignment="1">
      <alignment horizontal="right" vertical="center"/>
      <protection/>
    </xf>
    <xf numFmtId="3" fontId="17" fillId="0" borderId="119" xfId="107" applyNumberFormat="1" applyFont="1" applyFill="1" applyBorder="1" applyAlignment="1">
      <alignment horizontal="right" vertical="center"/>
      <protection/>
    </xf>
    <xf numFmtId="3" fontId="17" fillId="0" borderId="37" xfId="107" applyNumberFormat="1" applyFont="1" applyFill="1" applyBorder="1" applyAlignment="1">
      <alignment horizontal="right" vertical="center"/>
      <protection/>
    </xf>
    <xf numFmtId="3" fontId="17" fillId="0" borderId="35" xfId="107" applyNumberFormat="1" applyFont="1" applyFill="1" applyBorder="1" applyAlignment="1">
      <alignment horizontal="right" vertical="center"/>
      <protection/>
    </xf>
    <xf numFmtId="3" fontId="14" fillId="0" borderId="35" xfId="107" applyNumberFormat="1" applyFont="1" applyBorder="1" applyAlignment="1">
      <alignment horizontal="right" vertical="center"/>
      <protection/>
    </xf>
    <xf numFmtId="3" fontId="17" fillId="0" borderId="119" xfId="107" applyNumberFormat="1" applyFont="1" applyFill="1" applyBorder="1" applyAlignment="1">
      <alignment horizontal="right" vertical="center"/>
      <protection/>
    </xf>
    <xf numFmtId="0" fontId="42" fillId="0" borderId="0" xfId="0" applyFont="1" applyAlignment="1">
      <alignment vertical="center"/>
    </xf>
    <xf numFmtId="0" fontId="14" fillId="58" borderId="24" xfId="0" applyFont="1" applyFill="1" applyBorder="1" applyAlignment="1">
      <alignment horizontal="center" vertical="center"/>
    </xf>
    <xf numFmtId="3" fontId="14" fillId="58" borderId="39" xfId="0" applyNumberFormat="1" applyFont="1" applyFill="1" applyBorder="1" applyAlignment="1">
      <alignment vertical="center"/>
    </xf>
    <xf numFmtId="3" fontId="29" fillId="0" borderId="0" xfId="0" applyNumberFormat="1" applyFont="1" applyAlignment="1">
      <alignment horizontal="center" vertical="center"/>
    </xf>
    <xf numFmtId="3" fontId="13" fillId="16" borderId="38" xfId="0" applyNumberFormat="1" applyFont="1" applyFill="1" applyBorder="1" applyAlignment="1">
      <alignment horizontal="right" vertical="center"/>
    </xf>
    <xf numFmtId="3" fontId="13" fillId="16" borderId="28" xfId="0" applyNumberFormat="1" applyFont="1" applyFill="1" applyBorder="1" applyAlignment="1">
      <alignment vertical="center"/>
    </xf>
    <xf numFmtId="3" fontId="13" fillId="16" borderId="39" xfId="0" applyNumberFormat="1" applyFont="1" applyFill="1" applyBorder="1" applyAlignment="1">
      <alignment vertical="center"/>
    </xf>
    <xf numFmtId="3" fontId="17" fillId="53" borderId="33" xfId="106" applyNumberFormat="1" applyFont="1" applyFill="1" applyBorder="1" applyAlignment="1">
      <alignment horizontal="right" vertical="center"/>
    </xf>
    <xf numFmtId="3" fontId="17" fillId="53" borderId="120" xfId="106" applyNumberFormat="1" applyFont="1" applyFill="1" applyBorder="1" applyAlignment="1">
      <alignment horizontal="right" vertical="center"/>
    </xf>
    <xf numFmtId="3" fontId="17" fillId="53" borderId="44" xfId="107" applyNumberFormat="1" applyFont="1" applyFill="1" applyBorder="1" applyAlignment="1">
      <alignment horizontal="right" vertical="center"/>
      <protection/>
    </xf>
    <xf numFmtId="3" fontId="14" fillId="53" borderId="48" xfId="107" applyNumberFormat="1" applyFont="1" applyFill="1" applyBorder="1" applyAlignment="1">
      <alignment vertical="center"/>
      <protection/>
    </xf>
    <xf numFmtId="3" fontId="17" fillId="0" borderId="116" xfId="106" applyNumberFormat="1" applyFont="1" applyFill="1" applyBorder="1" applyAlignment="1">
      <alignment horizontal="right" vertical="center"/>
    </xf>
    <xf numFmtId="3" fontId="17" fillId="0" borderId="121" xfId="106" applyNumberFormat="1" applyFont="1" applyFill="1" applyBorder="1" applyAlignment="1">
      <alignment horizontal="right" vertical="center"/>
    </xf>
    <xf numFmtId="0" fontId="0" fillId="0" borderId="0" xfId="107" applyFont="1" applyFill="1" applyAlignment="1">
      <alignment horizontal="right"/>
      <protection/>
    </xf>
    <xf numFmtId="0" fontId="39" fillId="0" borderId="26" xfId="108" applyFont="1" applyBorder="1" applyAlignment="1" applyProtection="1">
      <alignment vertical="center"/>
      <protection hidden="1"/>
    </xf>
    <xf numFmtId="0" fontId="39" fillId="0" borderId="26" xfId="108" applyFont="1" applyBorder="1" applyAlignment="1" applyProtection="1">
      <alignment horizontal="center" vertical="center"/>
      <protection hidden="1"/>
    </xf>
    <xf numFmtId="0" fontId="45" fillId="0" borderId="26" xfId="108" applyFont="1" applyBorder="1" applyAlignment="1" applyProtection="1">
      <alignment vertical="center"/>
      <protection hidden="1"/>
    </xf>
    <xf numFmtId="0" fontId="45" fillId="0" borderId="26" xfId="108" applyFont="1" applyBorder="1" applyAlignment="1" applyProtection="1">
      <alignment horizontal="left" vertical="center"/>
      <protection hidden="1"/>
    </xf>
    <xf numFmtId="0" fontId="45" fillId="0" borderId="21" xfId="108" applyFont="1" applyBorder="1" applyAlignment="1" applyProtection="1">
      <alignment horizontal="left" vertical="center"/>
      <protection hidden="1"/>
    </xf>
    <xf numFmtId="0" fontId="39" fillId="0" borderId="0" xfId="0" applyFont="1" applyFill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45" borderId="80" xfId="108" applyFont="1" applyFill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/>
    </xf>
    <xf numFmtId="0" fontId="39" fillId="0" borderId="52" xfId="108" applyFont="1" applyBorder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34" xfId="108" applyFont="1" applyBorder="1" applyAlignment="1" applyProtection="1">
      <alignment horizontal="left" vertical="center"/>
      <protection hidden="1"/>
    </xf>
    <xf numFmtId="3" fontId="39" fillId="0" borderId="0" xfId="0" applyNumberFormat="1" applyFont="1" applyAlignment="1">
      <alignment/>
    </xf>
    <xf numFmtId="3" fontId="39" fillId="0" borderId="0" xfId="0" applyNumberFormat="1" applyFont="1" applyFill="1" applyAlignment="1">
      <alignment horizontal="right"/>
    </xf>
    <xf numFmtId="3" fontId="39" fillId="0" borderId="34" xfId="68" applyNumberFormat="1" applyFont="1" applyBorder="1" applyAlignment="1" applyProtection="1">
      <alignment horizontal="right" vertical="center"/>
      <protection hidden="1"/>
    </xf>
    <xf numFmtId="3" fontId="44" fillId="0" borderId="34" xfId="68" applyNumberFormat="1" applyFont="1" applyBorder="1" applyAlignment="1" applyProtection="1">
      <alignment horizontal="right" vertical="center"/>
      <protection hidden="1"/>
    </xf>
    <xf numFmtId="3" fontId="39" fillId="0" borderId="0" xfId="0" applyNumberFormat="1" applyFont="1" applyAlignment="1">
      <alignment vertical="center"/>
    </xf>
    <xf numFmtId="3" fontId="39" fillId="0" borderId="34" xfId="96" applyNumberFormat="1" applyFont="1" applyBorder="1" applyAlignment="1">
      <alignment horizontal="right" vertical="center"/>
      <protection/>
    </xf>
    <xf numFmtId="3" fontId="39" fillId="0" borderId="53" xfId="96" applyNumberFormat="1" applyFont="1" applyBorder="1" applyAlignment="1">
      <alignment horizontal="right" vertical="center"/>
      <protection/>
    </xf>
    <xf numFmtId="3" fontId="45" fillId="0" borderId="34" xfId="108" applyNumberFormat="1" applyFont="1" applyBorder="1" applyAlignment="1" applyProtection="1">
      <alignment horizontal="right" vertical="center"/>
      <protection hidden="1"/>
    </xf>
    <xf numFmtId="3" fontId="44" fillId="0" borderId="34" xfId="108" applyNumberFormat="1" applyFont="1" applyBorder="1" applyAlignment="1" applyProtection="1">
      <alignment horizontal="right" vertical="center"/>
      <protection hidden="1"/>
    </xf>
    <xf numFmtId="3" fontId="39" fillId="0" borderId="0" xfId="0" applyNumberFormat="1" applyFont="1" applyAlignment="1">
      <alignment horizontal="right" vertical="center"/>
    </xf>
    <xf numFmtId="0" fontId="45" fillId="0" borderId="52" xfId="108" applyFont="1" applyBorder="1" applyAlignment="1" applyProtection="1">
      <alignment vertical="center"/>
      <protection hidden="1"/>
    </xf>
    <xf numFmtId="3" fontId="44" fillId="0" borderId="35" xfId="68" applyNumberFormat="1" applyFont="1" applyBorder="1" applyAlignment="1" applyProtection="1">
      <alignment horizontal="right" vertical="center"/>
      <protection hidden="1"/>
    </xf>
    <xf numFmtId="3" fontId="39" fillId="0" borderId="36" xfId="96" applyNumberFormat="1" applyFont="1" applyBorder="1" applyAlignment="1">
      <alignment horizontal="right" vertical="center"/>
      <protection/>
    </xf>
    <xf numFmtId="3" fontId="39" fillId="0" borderId="36" xfId="108" applyNumberFormat="1" applyFont="1" applyBorder="1" applyAlignment="1" applyProtection="1">
      <alignment horizontal="right" vertical="center"/>
      <protection hidden="1"/>
    </xf>
    <xf numFmtId="3" fontId="39" fillId="0" borderId="122" xfId="96" applyNumberFormat="1" applyFont="1" applyBorder="1" applyAlignment="1">
      <alignment horizontal="right" vertical="center"/>
      <protection/>
    </xf>
    <xf numFmtId="3" fontId="39" fillId="0" borderId="122" xfId="108" applyNumberFormat="1" applyFont="1" applyBorder="1" applyAlignment="1" applyProtection="1">
      <alignment horizontal="right" vertical="center"/>
      <protection hidden="1"/>
    </xf>
    <xf numFmtId="3" fontId="44" fillId="0" borderId="36" xfId="108" applyNumberFormat="1" applyFont="1" applyBorder="1" applyAlignment="1" applyProtection="1">
      <alignment horizontal="right" vertical="center"/>
      <protection hidden="1"/>
    </xf>
    <xf numFmtId="3" fontId="47" fillId="0" borderId="39" xfId="0" applyNumberFormat="1" applyFont="1" applyBorder="1" applyAlignment="1">
      <alignment horizontal="center" vertical="center" wrapText="1"/>
    </xf>
    <xf numFmtId="3" fontId="39" fillId="0" borderId="55" xfId="96" applyNumberFormat="1" applyFont="1" applyBorder="1" applyAlignment="1">
      <alignment horizontal="right" vertical="center"/>
      <protection/>
    </xf>
    <xf numFmtId="3" fontId="39" fillId="0" borderId="55" xfId="68" applyNumberFormat="1" applyFont="1" applyBorder="1" applyAlignment="1" applyProtection="1">
      <alignment horizontal="right" vertical="center"/>
      <protection hidden="1"/>
    </xf>
    <xf numFmtId="3" fontId="39" fillId="0" borderId="34" xfId="108" applyNumberFormat="1" applyFont="1" applyBorder="1" applyAlignment="1" applyProtection="1">
      <alignment horizontal="right" vertical="center"/>
      <protection hidden="1"/>
    </xf>
    <xf numFmtId="3" fontId="39" fillId="0" borderId="53" xfId="108" applyNumberFormat="1" applyFont="1" applyBorder="1" applyAlignment="1" applyProtection="1">
      <alignment horizontal="right" vertical="center"/>
      <protection hidden="1"/>
    </xf>
    <xf numFmtId="0" fontId="44" fillId="45" borderId="39" xfId="108" applyFont="1" applyFill="1" applyBorder="1" applyAlignment="1" applyProtection="1">
      <alignment horizontal="center" vertical="center" wrapText="1"/>
      <protection hidden="1"/>
    </xf>
    <xf numFmtId="0" fontId="39" fillId="0" borderId="55" xfId="96" applyFont="1" applyBorder="1" applyAlignment="1">
      <alignment vertical="center"/>
      <protection/>
    </xf>
    <xf numFmtId="0" fontId="39" fillId="0" borderId="55" xfId="108" applyFont="1" applyBorder="1" applyAlignment="1" applyProtection="1">
      <alignment horizontal="left" vertical="center"/>
      <protection hidden="1"/>
    </xf>
    <xf numFmtId="0" fontId="45" fillId="0" borderId="55" xfId="108" applyFont="1" applyBorder="1" applyAlignment="1" applyProtection="1">
      <alignment horizontal="left" vertical="center"/>
      <protection hidden="1"/>
    </xf>
    <xf numFmtId="0" fontId="39" fillId="0" borderId="27" xfId="108" applyFont="1" applyBorder="1" applyAlignment="1" applyProtection="1">
      <alignment horizontal="center" vertical="center"/>
      <protection hidden="1"/>
    </xf>
    <xf numFmtId="0" fontId="39" fillId="0" borderId="75" xfId="108" applyFont="1" applyBorder="1" applyAlignment="1" applyProtection="1">
      <alignment horizontal="center" vertical="center"/>
      <protection hidden="1"/>
    </xf>
    <xf numFmtId="0" fontId="45" fillId="0" borderId="110" xfId="108" applyFont="1" applyBorder="1" applyAlignment="1" applyProtection="1">
      <alignment horizontal="left" vertical="center"/>
      <protection hidden="1"/>
    </xf>
    <xf numFmtId="0" fontId="39" fillId="0" borderId="21" xfId="108" applyFont="1" applyBorder="1" applyAlignment="1" applyProtection="1">
      <alignment vertical="center"/>
      <protection hidden="1"/>
    </xf>
    <xf numFmtId="0" fontId="44" fillId="0" borderId="62" xfId="108" applyFont="1" applyBorder="1" applyAlignment="1" applyProtection="1">
      <alignment horizontal="left" vertical="center"/>
      <protection hidden="1"/>
    </xf>
    <xf numFmtId="0" fontId="45" fillId="0" borderId="30" xfId="108" applyFont="1" applyBorder="1" applyAlignment="1" applyProtection="1">
      <alignment horizontal="center" vertical="center"/>
      <protection hidden="1"/>
    </xf>
    <xf numFmtId="0" fontId="45" fillId="0" borderId="51" xfId="108" applyFont="1" applyBorder="1" applyAlignment="1" applyProtection="1">
      <alignment vertical="center"/>
      <protection hidden="1"/>
    </xf>
    <xf numFmtId="0" fontId="44" fillId="0" borderId="67" xfId="108" applyFont="1" applyBorder="1" applyAlignment="1" applyProtection="1">
      <alignment horizontal="left" vertical="center"/>
      <protection hidden="1"/>
    </xf>
    <xf numFmtId="0" fontId="44" fillId="0" borderId="55" xfId="108" applyFont="1" applyBorder="1" applyAlignment="1" applyProtection="1">
      <alignment horizontal="left" vertical="center"/>
      <protection hidden="1"/>
    </xf>
    <xf numFmtId="0" fontId="39" fillId="0" borderId="90" xfId="108" applyFont="1" applyBorder="1" applyAlignment="1" applyProtection="1">
      <alignment vertical="center"/>
      <protection hidden="1"/>
    </xf>
    <xf numFmtId="0" fontId="45" fillId="0" borderId="90" xfId="108" applyFont="1" applyBorder="1" applyAlignment="1" applyProtection="1">
      <alignment vertical="center"/>
      <protection hidden="1"/>
    </xf>
    <xf numFmtId="0" fontId="45" fillId="0" borderId="19" xfId="108" applyFont="1" applyBorder="1" applyAlignment="1" applyProtection="1">
      <alignment horizontal="left" vertical="center"/>
      <protection hidden="1"/>
    </xf>
    <xf numFmtId="0" fontId="45" fillId="0" borderId="20" xfId="108" applyFont="1" applyBorder="1" applyAlignment="1" applyProtection="1">
      <alignment horizontal="left" vertical="center"/>
      <protection hidden="1"/>
    </xf>
    <xf numFmtId="0" fontId="45" fillId="0" borderId="51" xfId="108" applyFont="1" applyBorder="1" applyAlignment="1" applyProtection="1">
      <alignment horizontal="center" vertical="center"/>
      <protection hidden="1"/>
    </xf>
    <xf numFmtId="3" fontId="44" fillId="0" borderId="44" xfId="68" applyNumberFormat="1" applyFont="1" applyBorder="1" applyAlignment="1" applyProtection="1">
      <alignment horizontal="right" vertical="center"/>
      <protection hidden="1"/>
    </xf>
    <xf numFmtId="3" fontId="44" fillId="0" borderId="48" xfId="68" applyNumberFormat="1" applyFont="1" applyBorder="1" applyAlignment="1" applyProtection="1">
      <alignment horizontal="right" vertical="center"/>
      <protection hidden="1"/>
    </xf>
    <xf numFmtId="0" fontId="44" fillId="0" borderId="107" xfId="108" applyFont="1" applyBorder="1" applyAlignment="1" applyProtection="1">
      <alignment horizontal="center" vertical="center"/>
      <protection hidden="1"/>
    </xf>
    <xf numFmtId="0" fontId="44" fillId="0" borderId="73" xfId="108" applyFont="1" applyBorder="1" applyAlignment="1" applyProtection="1">
      <alignment horizontal="center" vertical="center"/>
      <protection hidden="1"/>
    </xf>
    <xf numFmtId="3" fontId="44" fillId="0" borderId="37" xfId="68" applyNumberFormat="1" applyFont="1" applyBorder="1" applyAlignment="1" applyProtection="1">
      <alignment horizontal="right" vertical="center"/>
      <protection hidden="1"/>
    </xf>
    <xf numFmtId="0" fontId="44" fillId="0" borderId="80" xfId="108" applyFont="1" applyBorder="1" applyAlignment="1" applyProtection="1">
      <alignment horizontal="center" vertical="center"/>
      <protection hidden="1"/>
    </xf>
    <xf numFmtId="0" fontId="44" fillId="0" borderId="39" xfId="108" applyFont="1" applyBorder="1" applyAlignment="1" applyProtection="1">
      <alignment horizontal="left" vertical="center"/>
      <protection hidden="1"/>
    </xf>
    <xf numFmtId="3" fontId="44" fillId="0" borderId="38" xfId="68" applyNumberFormat="1" applyFont="1" applyBorder="1" applyAlignment="1" applyProtection="1">
      <alignment horizontal="right" vertical="center"/>
      <protection hidden="1"/>
    </xf>
    <xf numFmtId="3" fontId="44" fillId="0" borderId="24" xfId="68" applyNumberFormat="1" applyFont="1" applyBorder="1" applyAlignment="1" applyProtection="1">
      <alignment horizontal="right" vertical="center"/>
      <protection hidden="1"/>
    </xf>
    <xf numFmtId="3" fontId="44" fillId="0" borderId="39" xfId="68" applyNumberFormat="1" applyFont="1" applyBorder="1" applyAlignment="1" applyProtection="1">
      <alignment horizontal="right" vertical="center"/>
      <protection hidden="1"/>
    </xf>
    <xf numFmtId="0" fontId="39" fillId="0" borderId="67" xfId="96" applyFont="1" applyBorder="1" applyAlignment="1">
      <alignment vertical="center"/>
      <protection/>
    </xf>
    <xf numFmtId="3" fontId="39" fillId="0" borderId="35" xfId="96" applyNumberFormat="1" applyFont="1" applyBorder="1" applyAlignment="1">
      <alignment horizontal="right" vertical="center"/>
      <protection/>
    </xf>
    <xf numFmtId="3" fontId="39" fillId="0" borderId="67" xfId="96" applyNumberFormat="1" applyFont="1" applyBorder="1" applyAlignment="1">
      <alignment horizontal="right" vertical="center"/>
      <protection/>
    </xf>
    <xf numFmtId="3" fontId="44" fillId="0" borderId="39" xfId="96" applyNumberFormat="1" applyFont="1" applyBorder="1" applyAlignment="1">
      <alignment horizontal="right" vertical="center"/>
      <protection/>
    </xf>
    <xf numFmtId="0" fontId="39" fillId="0" borderId="66" xfId="96" applyFont="1" applyBorder="1" applyAlignment="1">
      <alignment vertical="center"/>
      <protection/>
    </xf>
    <xf numFmtId="3" fontId="44" fillId="0" borderId="38" xfId="108" applyNumberFormat="1" applyFont="1" applyBorder="1" applyAlignment="1" applyProtection="1">
      <alignment horizontal="right" vertical="center"/>
      <protection hidden="1"/>
    </xf>
    <xf numFmtId="3" fontId="44" fillId="0" borderId="24" xfId="108" applyNumberFormat="1" applyFont="1" applyBorder="1" applyAlignment="1" applyProtection="1">
      <alignment horizontal="right" vertical="center"/>
      <protection hidden="1"/>
    </xf>
    <xf numFmtId="0" fontId="44" fillId="0" borderId="90" xfId="108" applyFont="1" applyBorder="1" applyAlignment="1" applyProtection="1">
      <alignment horizontal="center" vertical="center"/>
      <protection hidden="1"/>
    </xf>
    <xf numFmtId="0" fontId="44" fillId="0" borderId="33" xfId="108" applyFont="1" applyBorder="1" applyAlignment="1" applyProtection="1">
      <alignment horizontal="center" vertical="center"/>
      <protection hidden="1"/>
    </xf>
    <xf numFmtId="3" fontId="44" fillId="0" borderId="48" xfId="96" applyNumberFormat="1" applyFont="1" applyBorder="1" applyAlignment="1">
      <alignment horizontal="right" vertical="center"/>
      <protection/>
    </xf>
    <xf numFmtId="3" fontId="44" fillId="0" borderId="62" xfId="96" applyNumberFormat="1" applyFont="1" applyBorder="1" applyAlignment="1">
      <alignment horizontal="right" vertical="center"/>
      <protection/>
    </xf>
    <xf numFmtId="0" fontId="45" fillId="0" borderId="31" xfId="108" applyFont="1" applyBorder="1" applyAlignment="1" applyProtection="1">
      <alignment horizontal="center" vertical="center"/>
      <protection hidden="1"/>
    </xf>
    <xf numFmtId="0" fontId="44" fillId="0" borderId="116" xfId="108" applyFont="1" applyBorder="1" applyAlignment="1" applyProtection="1">
      <alignment horizontal="center" vertical="center"/>
      <protection hidden="1"/>
    </xf>
    <xf numFmtId="0" fontId="39" fillId="0" borderId="90" xfId="108" applyFont="1" applyBorder="1" applyAlignment="1" applyProtection="1">
      <alignment horizontal="left" vertical="center"/>
      <protection hidden="1"/>
    </xf>
    <xf numFmtId="0" fontId="39" fillId="0" borderId="116" xfId="108" applyFont="1" applyBorder="1" applyAlignment="1" applyProtection="1">
      <alignment horizontal="left" vertical="center"/>
      <protection hidden="1"/>
    </xf>
    <xf numFmtId="0" fontId="45" fillId="0" borderId="83" xfId="108" applyFont="1" applyBorder="1" applyAlignment="1" applyProtection="1">
      <alignment horizontal="left" vertical="center"/>
      <protection hidden="1"/>
    </xf>
    <xf numFmtId="3" fontId="44" fillId="0" borderId="41" xfId="96" applyNumberFormat="1" applyFont="1" applyBorder="1" applyAlignment="1">
      <alignment horizontal="right" vertical="center"/>
      <protection/>
    </xf>
    <xf numFmtId="3" fontId="44" fillId="0" borderId="40" xfId="96" applyNumberFormat="1" applyFont="1" applyBorder="1" applyAlignment="1">
      <alignment horizontal="right" vertical="center"/>
      <protection/>
    </xf>
    <xf numFmtId="0" fontId="44" fillId="0" borderId="67" xfId="108" applyFont="1" applyBorder="1" applyAlignment="1" applyProtection="1">
      <alignment vertical="center"/>
      <protection hidden="1"/>
    </xf>
    <xf numFmtId="0" fontId="44" fillId="0" borderId="55" xfId="96" applyFont="1" applyBorder="1" applyAlignment="1">
      <alignment vertical="center"/>
      <protection/>
    </xf>
    <xf numFmtId="0" fontId="45" fillId="0" borderId="66" xfId="108" applyFont="1" applyBorder="1" applyAlignment="1" applyProtection="1">
      <alignment horizontal="left" vertical="center"/>
      <protection hidden="1"/>
    </xf>
    <xf numFmtId="0" fontId="44" fillId="0" borderId="66" xfId="96" applyFont="1" applyBorder="1" applyAlignment="1">
      <alignment vertical="center"/>
      <protection/>
    </xf>
    <xf numFmtId="0" fontId="39" fillId="0" borderId="66" xfId="108" applyFont="1" applyBorder="1" applyAlignment="1" applyProtection="1">
      <alignment horizontal="left" vertical="center"/>
      <protection hidden="1"/>
    </xf>
    <xf numFmtId="0" fontId="44" fillId="0" borderId="72" xfId="108" applyFont="1" applyBorder="1" applyAlignment="1" applyProtection="1">
      <alignment horizontal="center" vertical="center"/>
      <protection hidden="1"/>
    </xf>
    <xf numFmtId="3" fontId="44" fillId="0" borderId="37" xfId="108" applyNumberFormat="1" applyFont="1" applyBorder="1" applyAlignment="1" applyProtection="1">
      <alignment horizontal="right" vertical="center"/>
      <protection hidden="1"/>
    </xf>
    <xf numFmtId="3" fontId="44" fillId="0" borderId="35" xfId="108" applyNumberFormat="1" applyFont="1" applyBorder="1" applyAlignment="1" applyProtection="1">
      <alignment horizontal="right" vertical="center"/>
      <protection hidden="1"/>
    </xf>
    <xf numFmtId="0" fontId="44" fillId="0" borderId="27" xfId="108" applyFont="1" applyBorder="1" applyAlignment="1" applyProtection="1">
      <alignment horizontal="center" vertical="center"/>
      <protection hidden="1"/>
    </xf>
    <xf numFmtId="0" fontId="44" fillId="0" borderId="26" xfId="108" applyFont="1" applyBorder="1" applyAlignment="1" applyProtection="1">
      <alignment horizontal="center" vertical="center"/>
      <protection hidden="1"/>
    </xf>
    <xf numFmtId="3" fontId="44" fillId="0" borderId="36" xfId="96" applyNumberFormat="1" applyFont="1" applyBorder="1" applyAlignment="1">
      <alignment horizontal="right" vertical="center"/>
      <protection/>
    </xf>
    <xf numFmtId="3" fontId="44" fillId="0" borderId="34" xfId="96" applyNumberFormat="1" applyFont="1" applyBorder="1" applyAlignment="1">
      <alignment horizontal="right" vertical="center"/>
      <protection/>
    </xf>
    <xf numFmtId="0" fontId="44" fillId="0" borderId="21" xfId="96" applyFont="1" applyBorder="1" applyAlignment="1">
      <alignment vertical="center"/>
      <protection/>
    </xf>
    <xf numFmtId="0" fontId="44" fillId="0" borderId="75" xfId="108" applyFont="1" applyBorder="1" applyAlignment="1" applyProtection="1">
      <alignment horizontal="center" vertical="center"/>
      <protection hidden="1"/>
    </xf>
    <xf numFmtId="0" fontId="44" fillId="0" borderId="110" xfId="96" applyFont="1" applyBorder="1" applyAlignment="1">
      <alignment vertical="center"/>
      <protection/>
    </xf>
    <xf numFmtId="3" fontId="44" fillId="0" borderId="122" xfId="96" applyNumberFormat="1" applyFont="1" applyBorder="1" applyAlignment="1">
      <alignment horizontal="right" vertical="center"/>
      <protection/>
    </xf>
    <xf numFmtId="3" fontId="44" fillId="0" borderId="53" xfId="96" applyNumberFormat="1" applyFont="1" applyBorder="1" applyAlignment="1">
      <alignment horizontal="right" vertical="center"/>
      <protection/>
    </xf>
    <xf numFmtId="3" fontId="45" fillId="0" borderId="36" xfId="108" applyNumberFormat="1" applyFont="1" applyBorder="1" applyAlignment="1" applyProtection="1">
      <alignment horizontal="right" vertical="center"/>
      <protection hidden="1"/>
    </xf>
    <xf numFmtId="3" fontId="44" fillId="0" borderId="36" xfId="68" applyNumberFormat="1" applyFont="1" applyBorder="1" applyAlignment="1" applyProtection="1">
      <alignment horizontal="right" vertical="center"/>
      <protection hidden="1"/>
    </xf>
    <xf numFmtId="3" fontId="44" fillId="0" borderId="40" xfId="68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Alignment="1">
      <alignment vertical="center"/>
    </xf>
    <xf numFmtId="0" fontId="39" fillId="0" borderId="73" xfId="108" applyFont="1" applyBorder="1" applyAlignment="1" applyProtection="1">
      <alignment horizontal="center" vertical="center"/>
      <protection hidden="1"/>
    </xf>
    <xf numFmtId="0" fontId="39" fillId="0" borderId="67" xfId="108" applyFont="1" applyBorder="1" applyAlignment="1" applyProtection="1">
      <alignment horizontal="left" vertical="center"/>
      <protection hidden="1"/>
    </xf>
    <xf numFmtId="3" fontId="39" fillId="0" borderId="37" xfId="108" applyNumberFormat="1" applyFont="1" applyBorder="1" applyAlignment="1" applyProtection="1">
      <alignment horizontal="right" vertical="center"/>
      <protection hidden="1"/>
    </xf>
    <xf numFmtId="3" fontId="39" fillId="0" borderId="35" xfId="108" applyNumberFormat="1" applyFont="1" applyBorder="1" applyAlignment="1" applyProtection="1">
      <alignment horizontal="right" vertical="center"/>
      <protection hidden="1"/>
    </xf>
    <xf numFmtId="3" fontId="39" fillId="0" borderId="67" xfId="68" applyNumberFormat="1" applyFont="1" applyBorder="1" applyAlignment="1" applyProtection="1">
      <alignment horizontal="right" vertical="center"/>
      <protection hidden="1"/>
    </xf>
    <xf numFmtId="3" fontId="44" fillId="0" borderId="37" xfId="96" applyNumberFormat="1" applyFont="1" applyBorder="1" applyAlignment="1">
      <alignment horizontal="right" vertical="center"/>
      <protection/>
    </xf>
    <xf numFmtId="3" fontId="44" fillId="0" borderId="35" xfId="96" applyNumberFormat="1" applyFont="1" applyBorder="1" applyAlignment="1">
      <alignment horizontal="right" vertical="center"/>
      <protection/>
    </xf>
    <xf numFmtId="0" fontId="44" fillId="0" borderId="39" xfId="108" applyFont="1" applyBorder="1" applyAlignment="1" applyProtection="1">
      <alignment vertical="center"/>
      <protection hidden="1"/>
    </xf>
    <xf numFmtId="0" fontId="45" fillId="0" borderId="52" xfId="108" applyFont="1" applyBorder="1" applyAlignment="1" applyProtection="1">
      <alignment horizontal="left" vertical="center"/>
      <protection hidden="1"/>
    </xf>
    <xf numFmtId="0" fontId="33" fillId="53" borderId="39" xfId="108" applyFont="1" applyFill="1" applyBorder="1" applyAlignment="1" applyProtection="1">
      <alignment horizontal="center" vertical="center"/>
      <protection hidden="1"/>
    </xf>
    <xf numFmtId="3" fontId="33" fillId="53" borderId="38" xfId="68" applyNumberFormat="1" applyFont="1" applyFill="1" applyBorder="1" applyAlignment="1" applyProtection="1">
      <alignment horizontal="right" vertical="center"/>
      <protection hidden="1"/>
    </xf>
    <xf numFmtId="3" fontId="33" fillId="53" borderId="24" xfId="68" applyNumberFormat="1" applyFont="1" applyFill="1" applyBorder="1" applyAlignment="1" applyProtection="1">
      <alignment horizontal="right" vertical="center"/>
      <protection hidden="1"/>
    </xf>
    <xf numFmtId="3" fontId="44" fillId="0" borderId="37" xfId="68" applyNumberFormat="1" applyFont="1" applyFill="1" applyBorder="1" applyAlignment="1" applyProtection="1">
      <alignment horizontal="right" vertical="center"/>
      <protection hidden="1"/>
    </xf>
    <xf numFmtId="3" fontId="44" fillId="0" borderId="35" xfId="68" applyNumberFormat="1" applyFont="1" applyFill="1" applyBorder="1" applyAlignment="1" applyProtection="1">
      <alignment horizontal="right" vertical="center"/>
      <protection hidden="1"/>
    </xf>
    <xf numFmtId="3" fontId="44" fillId="0" borderId="36" xfId="68" applyNumberFormat="1" applyFont="1" applyFill="1" applyBorder="1" applyAlignment="1" applyProtection="1">
      <alignment horizontal="right" vertical="center"/>
      <protection hidden="1"/>
    </xf>
    <xf numFmtId="3" fontId="44" fillId="0" borderId="34" xfId="68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centerContinuous"/>
    </xf>
    <xf numFmtId="0" fontId="44" fillId="54" borderId="80" xfId="108" applyFont="1" applyFill="1" applyBorder="1" applyAlignment="1" applyProtection="1">
      <alignment horizontal="center" vertical="center"/>
      <protection hidden="1"/>
    </xf>
    <xf numFmtId="0" fontId="44" fillId="54" borderId="24" xfId="108" applyFont="1" applyFill="1" applyBorder="1" applyAlignment="1" applyProtection="1">
      <alignment horizontal="left" vertical="center"/>
      <protection hidden="1"/>
    </xf>
    <xf numFmtId="3" fontId="44" fillId="54" borderId="38" xfId="68" applyNumberFormat="1" applyFont="1" applyFill="1" applyBorder="1" applyAlignment="1" applyProtection="1">
      <alignment horizontal="right" vertical="center"/>
      <protection hidden="1"/>
    </xf>
    <xf numFmtId="3" fontId="44" fillId="54" borderId="24" xfId="68" applyNumberFormat="1" applyFont="1" applyFill="1" applyBorder="1" applyAlignment="1" applyProtection="1">
      <alignment horizontal="right" vertical="center"/>
      <protection hidden="1"/>
    </xf>
    <xf numFmtId="0" fontId="44" fillId="54" borderId="97" xfId="108" applyFont="1" applyFill="1" applyBorder="1" applyAlignment="1" applyProtection="1">
      <alignment horizontal="center" vertical="center"/>
      <protection hidden="1"/>
    </xf>
    <xf numFmtId="0" fontId="44" fillId="54" borderId="114" xfId="108" applyFont="1" applyFill="1" applyBorder="1" applyAlignment="1" applyProtection="1">
      <alignment horizontal="left" vertical="center"/>
      <protection hidden="1"/>
    </xf>
    <xf numFmtId="3" fontId="44" fillId="54" borderId="97" xfId="68" applyNumberFormat="1" applyFont="1" applyFill="1" applyBorder="1" applyAlignment="1" applyProtection="1">
      <alignment horizontal="right" vertical="center"/>
      <protection hidden="1"/>
    </xf>
    <xf numFmtId="3" fontId="44" fillId="54" borderId="23" xfId="68" applyNumberFormat="1" applyFont="1" applyFill="1" applyBorder="1" applyAlignment="1" applyProtection="1">
      <alignment horizontal="right" vertical="center"/>
      <protection hidden="1"/>
    </xf>
    <xf numFmtId="0" fontId="44" fillId="54" borderId="39" xfId="108" applyFont="1" applyFill="1" applyBorder="1" applyAlignment="1" applyProtection="1">
      <alignment horizontal="left" vertical="center"/>
      <protection hidden="1"/>
    </xf>
    <xf numFmtId="0" fontId="44" fillId="54" borderId="39" xfId="96" applyFont="1" applyFill="1" applyBorder="1" applyAlignment="1">
      <alignment horizontal="left" vertical="center"/>
      <protection/>
    </xf>
    <xf numFmtId="3" fontId="44" fillId="54" borderId="39" xfId="68" applyNumberFormat="1" applyFont="1" applyFill="1" applyBorder="1" applyAlignment="1" applyProtection="1">
      <alignment horizontal="right" vertical="center"/>
      <protection hidden="1"/>
    </xf>
    <xf numFmtId="0" fontId="13" fillId="50" borderId="23" xfId="0" applyFont="1" applyFill="1" applyBorder="1" applyAlignment="1">
      <alignment horizontal="center" vertical="center"/>
    </xf>
    <xf numFmtId="0" fontId="13" fillId="50" borderId="9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0" fontId="39" fillId="45" borderId="26" xfId="96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>
      <alignment vertical="center"/>
    </xf>
    <xf numFmtId="3" fontId="31" fillId="0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3" fontId="31" fillId="0" borderId="0" xfId="0" applyNumberFormat="1" applyFont="1" applyAlignment="1">
      <alignment horizontal="right" vertical="center"/>
    </xf>
    <xf numFmtId="0" fontId="31" fillId="0" borderId="85" xfId="110" applyFont="1" applyBorder="1" applyAlignment="1">
      <alignment vertical="center" wrapText="1"/>
      <protection/>
    </xf>
    <xf numFmtId="3" fontId="31" fillId="0" borderId="33" xfId="110" applyNumberFormat="1" applyFont="1" applyBorder="1" applyAlignment="1">
      <alignment vertical="center"/>
      <protection/>
    </xf>
    <xf numFmtId="3" fontId="31" fillId="0" borderId="67" xfId="0" applyNumberFormat="1" applyFont="1" applyFill="1" applyBorder="1" applyAlignment="1">
      <alignment vertical="center"/>
    </xf>
    <xf numFmtId="3" fontId="31" fillId="0" borderId="85" xfId="0" applyNumberFormat="1" applyFont="1" applyFill="1" applyBorder="1" applyAlignment="1">
      <alignment vertical="center"/>
    </xf>
    <xf numFmtId="3" fontId="31" fillId="0" borderId="86" xfId="0" applyNumberFormat="1" applyFont="1" applyFill="1" applyBorder="1" applyAlignment="1">
      <alignment vertical="center" wrapText="1"/>
    </xf>
    <xf numFmtId="3" fontId="31" fillId="0" borderId="123" xfId="110" applyNumberFormat="1" applyFont="1" applyBorder="1" applyAlignment="1">
      <alignment vertical="center"/>
      <protection/>
    </xf>
    <xf numFmtId="0" fontId="45" fillId="0" borderId="72" xfId="108" applyFont="1" applyBorder="1" applyAlignment="1" applyProtection="1">
      <alignment vertical="center"/>
      <protection hidden="1"/>
    </xf>
    <xf numFmtId="0" fontId="45" fillId="0" borderId="73" xfId="108" applyFont="1" applyBorder="1" applyAlignment="1" applyProtection="1">
      <alignment vertical="center"/>
      <protection hidden="1"/>
    </xf>
    <xf numFmtId="0" fontId="45" fillId="0" borderId="26" xfId="108" applyFont="1" applyBorder="1" applyAlignment="1" applyProtection="1">
      <alignment horizontal="center" vertical="center"/>
      <protection hidden="1"/>
    </xf>
    <xf numFmtId="0" fontId="45" fillId="0" borderId="26" xfId="96" applyFont="1" applyBorder="1" applyAlignment="1">
      <alignment horizontal="left" vertical="center"/>
      <protection/>
    </xf>
    <xf numFmtId="0" fontId="45" fillId="0" borderId="21" xfId="108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vertical="center"/>
    </xf>
    <xf numFmtId="3" fontId="44" fillId="28" borderId="25" xfId="108" applyNumberFormat="1" applyFont="1" applyFill="1" applyBorder="1" applyAlignment="1" applyProtection="1">
      <alignment horizontal="right" vertical="center"/>
      <protection hidden="1"/>
    </xf>
    <xf numFmtId="3" fontId="44" fillId="28" borderId="24" xfId="108" applyNumberFormat="1" applyFont="1" applyFill="1" applyBorder="1" applyAlignment="1" applyProtection="1">
      <alignment horizontal="right" vertical="center"/>
      <protection hidden="1"/>
    </xf>
    <xf numFmtId="0" fontId="39" fillId="45" borderId="52" xfId="96" applyFont="1" applyFill="1" applyBorder="1" applyAlignment="1" applyProtection="1">
      <alignment horizontal="center" vertical="center"/>
      <protection/>
    </xf>
    <xf numFmtId="3" fontId="44" fillId="60" borderId="24" xfId="63" applyNumberFormat="1" applyFont="1" applyFill="1" applyBorder="1" applyAlignment="1" applyProtection="1">
      <alignment horizontal="right" vertical="center"/>
      <protection/>
    </xf>
    <xf numFmtId="0" fontId="44" fillId="54" borderId="80" xfId="96" applyFont="1" applyFill="1" applyBorder="1" applyAlignment="1" applyProtection="1">
      <alignment horizontal="center" vertical="center"/>
      <protection/>
    </xf>
    <xf numFmtId="0" fontId="44" fillId="54" borderId="29" xfId="108" applyFont="1" applyFill="1" applyBorder="1" applyAlignment="1" applyProtection="1">
      <alignment horizontal="left" vertical="center"/>
      <protection hidden="1"/>
    </xf>
    <xf numFmtId="0" fontId="44" fillId="54" borderId="90" xfId="108" applyFont="1" applyFill="1" applyBorder="1" applyAlignment="1" applyProtection="1">
      <alignment horizontal="center" vertical="center"/>
      <protection hidden="1"/>
    </xf>
    <xf numFmtId="0" fontId="44" fillId="54" borderId="92" xfId="108" applyFont="1" applyFill="1" applyBorder="1" applyAlignment="1" applyProtection="1">
      <alignment horizontal="left" vertical="center"/>
      <protection hidden="1"/>
    </xf>
    <xf numFmtId="3" fontId="50" fillId="54" borderId="24" xfId="63" applyNumberFormat="1" applyFont="1" applyFill="1" applyBorder="1" applyAlignment="1" applyProtection="1">
      <alignment horizontal="right" vertical="center"/>
      <protection/>
    </xf>
    <xf numFmtId="0" fontId="39" fillId="45" borderId="72" xfId="96" applyFont="1" applyFill="1" applyBorder="1" applyAlignment="1" applyProtection="1">
      <alignment horizontal="center" vertical="center"/>
      <protection/>
    </xf>
    <xf numFmtId="0" fontId="45" fillId="0" borderId="110" xfId="108" applyFont="1" applyFill="1" applyBorder="1" applyAlignment="1" applyProtection="1">
      <alignment horizontal="left" vertical="center"/>
      <protection hidden="1"/>
    </xf>
    <xf numFmtId="0" fontId="45" fillId="0" borderId="76" xfId="108" applyFont="1" applyFill="1" applyBorder="1" applyAlignment="1" applyProtection="1">
      <alignment horizontal="left" vertical="center"/>
      <protection hidden="1"/>
    </xf>
    <xf numFmtId="0" fontId="33" fillId="60" borderId="24" xfId="96" applyFont="1" applyFill="1" applyBorder="1" applyAlignment="1" applyProtection="1">
      <alignment horizontal="center" vertical="center"/>
      <protection/>
    </xf>
    <xf numFmtId="3" fontId="44" fillId="60" borderId="25" xfId="63" applyNumberFormat="1" applyFont="1" applyFill="1" applyBorder="1" applyAlignment="1" applyProtection="1">
      <alignment horizontal="right" vertical="center"/>
      <protection/>
    </xf>
    <xf numFmtId="0" fontId="33" fillId="53" borderId="24" xfId="108" applyFont="1" applyFill="1" applyBorder="1" applyAlignment="1" applyProtection="1">
      <alignment horizontal="center" vertical="center"/>
      <protection hidden="1"/>
    </xf>
    <xf numFmtId="0" fontId="45" fillId="0" borderId="19" xfId="108" applyFont="1" applyBorder="1" applyAlignment="1" applyProtection="1">
      <alignment horizontal="center" vertical="center"/>
      <protection hidden="1"/>
    </xf>
    <xf numFmtId="0" fontId="39" fillId="0" borderId="82" xfId="96" applyFont="1" applyBorder="1" applyAlignment="1">
      <alignment vertical="center"/>
      <protection/>
    </xf>
    <xf numFmtId="0" fontId="45" fillId="0" borderId="72" xfId="108" applyFont="1" applyBorder="1" applyAlignment="1" applyProtection="1">
      <alignment horizontal="left" vertical="center"/>
      <protection hidden="1"/>
    </xf>
    <xf numFmtId="0" fontId="45" fillId="0" borderId="76" xfId="108" applyFont="1" applyBorder="1" applyAlignment="1" applyProtection="1">
      <alignment horizontal="left" vertical="center"/>
      <protection hidden="1"/>
    </xf>
    <xf numFmtId="3" fontId="13" fillId="0" borderId="8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3" fontId="8" fillId="0" borderId="108" xfId="0" applyNumberFormat="1" applyFont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108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3" fontId="13" fillId="16" borderId="56" xfId="0" applyNumberFormat="1" applyFont="1" applyFill="1" applyBorder="1" applyAlignment="1">
      <alignment vertical="center"/>
    </xf>
    <xf numFmtId="3" fontId="13" fillId="16" borderId="63" xfId="0" applyNumberFormat="1" applyFont="1" applyFill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95" xfId="0" applyNumberFormat="1" applyFont="1" applyFill="1" applyBorder="1" applyAlignment="1">
      <alignment vertical="center"/>
    </xf>
    <xf numFmtId="3" fontId="13" fillId="16" borderId="105" xfId="0" applyNumberFormat="1" applyFont="1" applyFill="1" applyBorder="1" applyAlignment="1">
      <alignment vertical="center"/>
    </xf>
    <xf numFmtId="3" fontId="13" fillId="58" borderId="39" xfId="0" applyNumberFormat="1" applyFont="1" applyFill="1" applyBorder="1" applyAlignment="1">
      <alignment vertical="center"/>
    </xf>
    <xf numFmtId="3" fontId="13" fillId="58" borderId="121" xfId="0" applyNumberFormat="1" applyFont="1" applyFill="1" applyBorder="1" applyAlignment="1">
      <alignment vertical="center"/>
    </xf>
    <xf numFmtId="0" fontId="39" fillId="0" borderId="26" xfId="108" applyFont="1" applyBorder="1" applyAlignment="1" applyProtection="1">
      <alignment horizontal="left" vertical="center"/>
      <protection hidden="1"/>
    </xf>
    <xf numFmtId="0" fontId="33" fillId="54" borderId="80" xfId="96" applyFont="1" applyFill="1" applyBorder="1" applyAlignment="1" applyProtection="1">
      <alignment horizontal="center" vertical="center"/>
      <protection/>
    </xf>
    <xf numFmtId="0" fontId="33" fillId="54" borderId="29" xfId="108" applyFont="1" applyFill="1" applyBorder="1" applyAlignment="1" applyProtection="1">
      <alignment horizontal="left" vertical="center"/>
      <protection hidden="1"/>
    </xf>
    <xf numFmtId="3" fontId="33" fillId="54" borderId="24" xfId="63" applyNumberFormat="1" applyFont="1" applyFill="1" applyBorder="1" applyAlignment="1" applyProtection="1">
      <alignment horizontal="right" vertical="center"/>
      <protection/>
    </xf>
    <xf numFmtId="3" fontId="44" fillId="0" borderId="34" xfId="96" applyNumberFormat="1" applyFont="1" applyFill="1" applyBorder="1" applyAlignment="1" applyProtection="1">
      <alignment horizontal="right" vertical="center"/>
      <protection hidden="1"/>
    </xf>
    <xf numFmtId="0" fontId="44" fillId="0" borderId="21" xfId="108" applyFont="1" applyFill="1" applyBorder="1" applyAlignment="1" applyProtection="1">
      <alignment horizontal="left" vertical="center"/>
      <protection hidden="1"/>
    </xf>
    <xf numFmtId="3" fontId="44" fillId="0" borderId="115" xfId="108" applyNumberFormat="1" applyFont="1" applyFill="1" applyBorder="1" applyAlignment="1" applyProtection="1">
      <alignment horizontal="right" vertical="center"/>
      <protection hidden="1"/>
    </xf>
    <xf numFmtId="3" fontId="44" fillId="0" borderId="34" xfId="108" applyNumberFormat="1" applyFont="1" applyFill="1" applyBorder="1" applyAlignment="1" applyProtection="1">
      <alignment horizontal="right" vertical="center"/>
      <protection hidden="1"/>
    </xf>
    <xf numFmtId="0" fontId="45" fillId="0" borderId="72" xfId="108" applyFont="1" applyBorder="1" applyAlignment="1" applyProtection="1">
      <alignment horizontal="center" vertical="center"/>
      <protection hidden="1"/>
    </xf>
    <xf numFmtId="0" fontId="44" fillId="0" borderId="76" xfId="108" applyFont="1" applyBorder="1" applyAlignment="1" applyProtection="1">
      <alignment horizontal="left" vertical="center"/>
      <protection hidden="1"/>
    </xf>
    <xf numFmtId="0" fontId="44" fillId="45" borderId="26" xfId="96" applyFont="1" applyFill="1" applyBorder="1" applyAlignment="1" applyProtection="1">
      <alignment horizontal="center" vertical="center"/>
      <protection/>
    </xf>
    <xf numFmtId="3" fontId="44" fillId="0" borderId="125" xfId="108" applyNumberFormat="1" applyFont="1" applyFill="1" applyBorder="1" applyAlignment="1" applyProtection="1">
      <alignment horizontal="right" vertical="center"/>
      <protection hidden="1"/>
    </xf>
    <xf numFmtId="3" fontId="44" fillId="0" borderId="53" xfId="108" applyNumberFormat="1" applyFont="1" applyFill="1" applyBorder="1" applyAlignment="1" applyProtection="1">
      <alignment horizontal="right" vertical="center"/>
      <protection hidden="1"/>
    </xf>
    <xf numFmtId="0" fontId="44" fillId="0" borderId="26" xfId="96" applyFont="1" applyFill="1" applyBorder="1" applyAlignment="1" applyProtection="1">
      <alignment horizontal="center" vertical="center"/>
      <protection hidden="1"/>
    </xf>
    <xf numFmtId="0" fontId="44" fillId="0" borderId="32" xfId="108" applyFont="1" applyBorder="1" applyAlignment="1" applyProtection="1">
      <alignment vertical="center"/>
      <protection hidden="1"/>
    </xf>
    <xf numFmtId="3" fontId="8" fillId="0" borderId="28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13" fillId="0" borderId="93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0" fontId="21" fillId="45" borderId="38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45" fillId="45" borderId="30" xfId="0" applyFont="1" applyFill="1" applyBorder="1" applyAlignment="1" applyProtection="1">
      <alignment horizontal="center" vertical="center"/>
      <protection locked="0"/>
    </xf>
    <xf numFmtId="3" fontId="45" fillId="0" borderId="0" xfId="0" applyNumberFormat="1" applyFont="1" applyAlignment="1">
      <alignment/>
    </xf>
    <xf numFmtId="3" fontId="44" fillId="56" borderId="24" xfId="0" applyNumberFormat="1" applyFont="1" applyFill="1" applyBorder="1" applyAlignment="1">
      <alignment horizontal="right" vertical="center"/>
    </xf>
    <xf numFmtId="0" fontId="19" fillId="50" borderId="24" xfId="0" applyFont="1" applyFill="1" applyBorder="1" applyAlignment="1" applyProtection="1">
      <alignment horizontal="center" vertical="center"/>
      <protection locked="0"/>
    </xf>
    <xf numFmtId="0" fontId="45" fillId="0" borderId="86" xfId="96" applyFont="1" applyFill="1" applyBorder="1" applyAlignment="1">
      <alignment vertical="center" wrapText="1"/>
      <protection/>
    </xf>
    <xf numFmtId="0" fontId="45" fillId="0" borderId="87" xfId="96" applyFont="1" applyFill="1" applyBorder="1" applyAlignment="1">
      <alignment vertical="center" wrapText="1"/>
      <protection/>
    </xf>
    <xf numFmtId="0" fontId="45" fillId="0" borderId="126" xfId="96" applyFont="1" applyFill="1" applyBorder="1" applyAlignment="1">
      <alignment vertical="center" wrapText="1"/>
      <protection/>
    </xf>
    <xf numFmtId="0" fontId="40" fillId="0" borderId="40" xfId="96" applyFont="1" applyFill="1" applyBorder="1" applyAlignment="1">
      <alignment horizontal="center" vertical="center" wrapText="1"/>
      <protection/>
    </xf>
    <xf numFmtId="0" fontId="19" fillId="50" borderId="40" xfId="0" applyFont="1" applyFill="1" applyBorder="1" applyAlignment="1" applyProtection="1">
      <alignment horizontal="center" vertical="center"/>
      <protection locked="0"/>
    </xf>
    <xf numFmtId="0" fontId="51" fillId="0" borderId="34" xfId="96" applyFont="1" applyFill="1" applyBorder="1" applyAlignment="1">
      <alignment horizontal="center" vertical="center"/>
      <protection/>
    </xf>
    <xf numFmtId="0" fontId="51" fillId="0" borderId="53" xfId="96" applyFont="1" applyFill="1" applyBorder="1" applyAlignment="1">
      <alignment horizontal="center" vertical="center"/>
      <protection/>
    </xf>
    <xf numFmtId="0" fontId="51" fillId="0" borderId="127" xfId="96" applyFont="1" applyFill="1" applyBorder="1" applyAlignment="1">
      <alignment horizontal="center" vertical="center"/>
      <protection/>
    </xf>
    <xf numFmtId="0" fontId="19" fillId="50" borderId="42" xfId="0" applyFont="1" applyFill="1" applyBorder="1" applyAlignment="1">
      <alignment horizontal="center" vertical="center"/>
    </xf>
    <xf numFmtId="3" fontId="44" fillId="56" borderId="25" xfId="0" applyNumberFormat="1" applyFont="1" applyFill="1" applyBorder="1" applyAlignment="1">
      <alignment horizontal="right" vertical="center"/>
    </xf>
    <xf numFmtId="3" fontId="45" fillId="45" borderId="34" xfId="0" applyNumberFormat="1" applyFont="1" applyFill="1" applyBorder="1" applyAlignment="1">
      <alignment horizontal="right" vertical="center"/>
    </xf>
    <xf numFmtId="0" fontId="44" fillId="0" borderId="23" xfId="0" applyFont="1" applyFill="1" applyBorder="1" applyAlignment="1">
      <alignment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3" fontId="50" fillId="0" borderId="35" xfId="0" applyNumberFormat="1" applyFont="1" applyFill="1" applyBorder="1" applyAlignment="1">
      <alignment horizontal="right" vertical="center"/>
    </xf>
    <xf numFmtId="0" fontId="45" fillId="45" borderId="31" xfId="0" applyFont="1" applyFill="1" applyBorder="1" applyAlignment="1" applyProtection="1">
      <alignment horizontal="center" vertical="center"/>
      <protection locked="0"/>
    </xf>
    <xf numFmtId="0" fontId="45" fillId="0" borderId="85" xfId="96" applyFont="1" applyFill="1" applyBorder="1" applyAlignment="1">
      <alignment vertical="center" wrapText="1"/>
      <protection/>
    </xf>
    <xf numFmtId="0" fontId="51" fillId="0" borderId="35" xfId="96" applyFont="1" applyFill="1" applyBorder="1" applyAlignment="1">
      <alignment horizontal="center" vertical="center"/>
      <protection/>
    </xf>
    <xf numFmtId="0" fontId="44" fillId="61" borderId="48" xfId="0" applyFont="1" applyFill="1" applyBorder="1" applyAlignment="1">
      <alignment horizontal="center" vertical="center"/>
    </xf>
    <xf numFmtId="0" fontId="44" fillId="61" borderId="48" xfId="96" applyFont="1" applyFill="1" applyBorder="1" applyAlignment="1">
      <alignment horizontal="center" vertical="center"/>
      <protection/>
    </xf>
    <xf numFmtId="3" fontId="44" fillId="61" borderId="74" xfId="96" applyNumberFormat="1" applyFont="1" applyFill="1" applyBorder="1" applyAlignment="1" quotePrefix="1">
      <alignment vertical="center"/>
      <protection/>
    </xf>
    <xf numFmtId="0" fontId="44" fillId="61" borderId="24" xfId="0" applyFont="1" applyFill="1" applyBorder="1" applyAlignment="1">
      <alignment horizontal="center" vertical="center"/>
    </xf>
    <xf numFmtId="0" fontId="44" fillId="61" borderId="24" xfId="96" applyFont="1" applyFill="1" applyBorder="1" applyAlignment="1">
      <alignment horizontal="center" vertical="center"/>
      <protection/>
    </xf>
    <xf numFmtId="3" fontId="44" fillId="61" borderId="24" xfId="96" applyNumberFormat="1" applyFont="1" applyFill="1" applyBorder="1" applyAlignment="1" quotePrefix="1">
      <alignment vertical="center"/>
      <protection/>
    </xf>
    <xf numFmtId="3" fontId="44" fillId="61" borderId="39" xfId="96" applyNumberFormat="1" applyFont="1" applyFill="1" applyBorder="1" applyAlignment="1" quotePrefix="1">
      <alignment vertical="center"/>
      <protection/>
    </xf>
    <xf numFmtId="3" fontId="45" fillId="45" borderId="67" xfId="0" applyNumberFormat="1" applyFont="1" applyFill="1" applyBorder="1" applyAlignment="1">
      <alignment horizontal="right" vertical="center"/>
    </xf>
    <xf numFmtId="3" fontId="45" fillId="45" borderId="114" xfId="0" applyNumberFormat="1" applyFont="1" applyFill="1" applyBorder="1" applyAlignment="1">
      <alignment horizontal="right" vertical="center"/>
    </xf>
    <xf numFmtId="0" fontId="44" fillId="56" borderId="24" xfId="0" applyFont="1" applyFill="1" applyBorder="1" applyAlignment="1" applyProtection="1">
      <alignment horizontal="center" vertical="center"/>
      <protection locked="0"/>
    </xf>
    <xf numFmtId="0" fontId="45" fillId="45" borderId="128" xfId="0" applyFont="1" applyFill="1" applyBorder="1" applyAlignment="1" applyProtection="1">
      <alignment horizontal="center" vertical="center"/>
      <protection locked="0"/>
    </xf>
    <xf numFmtId="49" fontId="45" fillId="0" borderId="87" xfId="96" applyNumberFormat="1" applyFont="1" applyFill="1" applyBorder="1" applyAlignment="1">
      <alignment vertical="center" wrapText="1"/>
      <protection/>
    </xf>
    <xf numFmtId="3" fontId="45" fillId="0" borderId="115" xfId="96" applyNumberFormat="1" applyFont="1" applyFill="1" applyBorder="1" applyAlignment="1" quotePrefix="1">
      <alignment vertical="center"/>
      <protection/>
    </xf>
    <xf numFmtId="3" fontId="45" fillId="0" borderId="119" xfId="96" applyNumberFormat="1" applyFont="1" applyFill="1" applyBorder="1" applyAlignment="1" quotePrefix="1">
      <alignment vertical="center"/>
      <protection/>
    </xf>
    <xf numFmtId="3" fontId="45" fillId="0" borderId="125" xfId="96" applyNumberFormat="1" applyFont="1" applyFill="1" applyBorder="1" applyAlignment="1" quotePrefix="1">
      <alignment vertical="center"/>
      <protection/>
    </xf>
    <xf numFmtId="3" fontId="45" fillId="0" borderId="129" xfId="96" applyNumberFormat="1" applyFont="1" applyFill="1" applyBorder="1" applyAlignment="1">
      <alignment vertical="center"/>
      <protection/>
    </xf>
    <xf numFmtId="3" fontId="0" fillId="45" borderId="0" xfId="0" applyNumberFormat="1" applyFont="1" applyFill="1" applyAlignment="1">
      <alignment/>
    </xf>
    <xf numFmtId="0" fontId="45" fillId="45" borderId="75" xfId="0" applyFont="1" applyFill="1" applyBorder="1" applyAlignment="1" applyProtection="1">
      <alignment horizontal="center" vertical="center"/>
      <protection locked="0"/>
    </xf>
    <xf numFmtId="3" fontId="45" fillId="45" borderId="55" xfId="0" applyNumberFormat="1" applyFont="1" applyFill="1" applyBorder="1" applyAlignment="1">
      <alignment horizontal="right" vertical="center"/>
    </xf>
    <xf numFmtId="3" fontId="45" fillId="0" borderId="34" xfId="96" applyNumberFormat="1" applyFont="1" applyFill="1" applyBorder="1" applyAlignment="1" quotePrefix="1">
      <alignment vertical="center"/>
      <protection/>
    </xf>
    <xf numFmtId="0" fontId="46" fillId="62" borderId="38" xfId="108" applyFont="1" applyFill="1" applyBorder="1" applyAlignment="1" applyProtection="1">
      <alignment horizontal="center" vertical="center"/>
      <protection hidden="1"/>
    </xf>
    <xf numFmtId="0" fontId="33" fillId="62" borderId="39" xfId="108" applyFont="1" applyFill="1" applyBorder="1" applyAlignment="1" applyProtection="1">
      <alignment vertical="center"/>
      <protection hidden="1"/>
    </xf>
    <xf numFmtId="3" fontId="33" fillId="62" borderId="38" xfId="68" applyNumberFormat="1" applyFont="1" applyFill="1" applyBorder="1" applyAlignment="1" applyProtection="1">
      <alignment horizontal="right" vertical="center" wrapText="1"/>
      <protection hidden="1"/>
    </xf>
    <xf numFmtId="3" fontId="33" fillId="62" borderId="24" xfId="68" applyNumberFormat="1" applyFont="1" applyFill="1" applyBorder="1" applyAlignment="1" applyProtection="1">
      <alignment horizontal="right" vertical="center" wrapText="1"/>
      <protection hidden="1"/>
    </xf>
    <xf numFmtId="3" fontId="33" fillId="62" borderId="24" xfId="68" applyNumberFormat="1" applyFont="1" applyFill="1" applyBorder="1" applyAlignment="1" applyProtection="1">
      <alignment horizontal="right" vertical="center"/>
      <protection hidden="1"/>
    </xf>
    <xf numFmtId="0" fontId="46" fillId="62" borderId="38" xfId="96" applyFont="1" applyFill="1" applyBorder="1" applyAlignment="1" applyProtection="1">
      <alignment horizontal="center" vertical="center"/>
      <protection hidden="1"/>
    </xf>
    <xf numFmtId="0" fontId="46" fillId="62" borderId="39" xfId="96" applyFont="1" applyFill="1" applyBorder="1" applyAlignment="1" applyProtection="1">
      <alignment vertical="center"/>
      <protection hidden="1"/>
    </xf>
    <xf numFmtId="3" fontId="46" fillId="62" borderId="24" xfId="108" applyNumberFormat="1" applyFont="1" applyFill="1" applyBorder="1" applyAlignment="1" applyProtection="1">
      <alignment horizontal="right" vertical="center"/>
      <protection hidden="1"/>
    </xf>
    <xf numFmtId="0" fontId="46" fillId="62" borderId="39" xfId="96" applyFont="1" applyFill="1" applyBorder="1" applyAlignment="1" applyProtection="1">
      <alignment vertical="center"/>
      <protection/>
    </xf>
    <xf numFmtId="3" fontId="46" fillId="62" borderId="24" xfId="68" applyNumberFormat="1" applyFont="1" applyFill="1" applyBorder="1" applyAlignment="1" applyProtection="1">
      <alignment horizontal="right" vertical="center" wrapText="1"/>
      <protection/>
    </xf>
    <xf numFmtId="3" fontId="44" fillId="54" borderId="25" xfId="108" applyNumberFormat="1" applyFont="1" applyFill="1" applyBorder="1" applyAlignment="1" applyProtection="1">
      <alignment horizontal="right" vertical="center"/>
      <protection hidden="1"/>
    </xf>
    <xf numFmtId="3" fontId="44" fillId="0" borderId="119" xfId="108" applyNumberFormat="1" applyFont="1" applyBorder="1" applyAlignment="1" applyProtection="1">
      <alignment horizontal="right" vertical="center"/>
      <protection hidden="1"/>
    </xf>
    <xf numFmtId="3" fontId="45" fillId="0" borderId="115" xfId="108" applyNumberFormat="1" applyFont="1" applyFill="1" applyBorder="1" applyAlignment="1" applyProtection="1">
      <alignment horizontal="right" vertical="center"/>
      <protection hidden="1"/>
    </xf>
    <xf numFmtId="3" fontId="45" fillId="0" borderId="115" xfId="108" applyNumberFormat="1" applyFont="1" applyBorder="1" applyAlignment="1" applyProtection="1">
      <alignment horizontal="right" vertical="center"/>
      <protection hidden="1"/>
    </xf>
    <xf numFmtId="3" fontId="44" fillId="0" borderId="115" xfId="96" applyNumberFormat="1" applyFont="1" applyFill="1" applyBorder="1" applyAlignment="1" applyProtection="1">
      <alignment horizontal="right" vertical="center"/>
      <protection hidden="1"/>
    </xf>
    <xf numFmtId="3" fontId="39" fillId="0" borderId="115" xfId="108" applyNumberFormat="1" applyFont="1" applyBorder="1" applyAlignment="1" applyProtection="1">
      <alignment horizontal="right" vertical="center"/>
      <protection hidden="1"/>
    </xf>
    <xf numFmtId="3" fontId="46" fillId="62" borderId="25" xfId="68" applyNumberFormat="1" applyFont="1" applyFill="1" applyBorder="1" applyAlignment="1" applyProtection="1">
      <alignment horizontal="right" vertical="center" wrapText="1"/>
      <protection/>
    </xf>
    <xf numFmtId="3" fontId="39" fillId="0" borderId="115" xfId="108" applyNumberFormat="1" applyFont="1" applyFill="1" applyBorder="1" applyAlignment="1" applyProtection="1">
      <alignment horizontal="right" vertical="center"/>
      <protection hidden="1"/>
    </xf>
    <xf numFmtId="3" fontId="46" fillId="62" borderId="25" xfId="108" applyNumberFormat="1" applyFont="1" applyFill="1" applyBorder="1" applyAlignment="1" applyProtection="1">
      <alignment horizontal="right" vertical="center"/>
      <protection hidden="1"/>
    </xf>
    <xf numFmtId="3" fontId="44" fillId="0" borderId="119" xfId="96" applyNumberFormat="1" applyFont="1" applyBorder="1" applyAlignment="1">
      <alignment horizontal="right" vertical="center"/>
      <protection/>
    </xf>
    <xf numFmtId="3" fontId="44" fillId="0" borderId="115" xfId="96" applyNumberFormat="1" applyFont="1" applyBorder="1" applyAlignment="1">
      <alignment horizontal="right" vertical="center"/>
      <protection/>
    </xf>
    <xf numFmtId="3" fontId="33" fillId="62" borderId="25" xfId="68" applyNumberFormat="1" applyFont="1" applyFill="1" applyBorder="1" applyAlignment="1" applyProtection="1">
      <alignment horizontal="right" vertical="center"/>
      <protection hidden="1"/>
    </xf>
    <xf numFmtId="3" fontId="33" fillId="53" borderId="25" xfId="108" applyNumberFormat="1" applyFont="1" applyFill="1" applyBorder="1" applyAlignment="1" applyProtection="1">
      <alignment horizontal="right" vertical="center"/>
      <protection hidden="1"/>
    </xf>
    <xf numFmtId="3" fontId="44" fillId="0" borderId="55" xfId="96" applyNumberFormat="1" applyFont="1" applyBorder="1" applyAlignment="1">
      <alignment horizontal="right" vertical="center"/>
      <protection/>
    </xf>
    <xf numFmtId="3" fontId="44" fillId="0" borderId="55" xfId="108" applyNumberFormat="1" applyFont="1" applyFill="1" applyBorder="1" applyAlignment="1" applyProtection="1">
      <alignment horizontal="right" vertical="center"/>
      <protection hidden="1"/>
    </xf>
    <xf numFmtId="3" fontId="44" fillId="0" borderId="55" xfId="96" applyNumberFormat="1" applyFont="1" applyFill="1" applyBorder="1" applyAlignment="1" applyProtection="1">
      <alignment horizontal="right" vertical="center"/>
      <protection hidden="1"/>
    </xf>
    <xf numFmtId="3" fontId="46" fillId="62" borderId="39" xfId="68" applyNumberFormat="1" applyFont="1" applyFill="1" applyBorder="1" applyAlignment="1" applyProtection="1">
      <alignment horizontal="right" vertical="center" wrapText="1"/>
      <protection/>
    </xf>
    <xf numFmtId="3" fontId="44" fillId="28" borderId="39" xfId="108" applyNumberFormat="1" applyFont="1" applyFill="1" applyBorder="1" applyAlignment="1" applyProtection="1">
      <alignment horizontal="right" vertical="center"/>
      <protection hidden="1"/>
    </xf>
    <xf numFmtId="3" fontId="44" fillId="0" borderId="67" xfId="96" applyNumberFormat="1" applyFont="1" applyBorder="1" applyAlignment="1">
      <alignment horizontal="right" vertical="center"/>
      <protection/>
    </xf>
    <xf numFmtId="3" fontId="46" fillId="62" borderId="39" xfId="108" applyNumberFormat="1" applyFont="1" applyFill="1" applyBorder="1" applyAlignment="1" applyProtection="1">
      <alignment horizontal="right" vertical="center"/>
      <protection hidden="1"/>
    </xf>
    <xf numFmtId="3" fontId="44" fillId="60" borderId="39" xfId="63" applyNumberFormat="1" applyFont="1" applyFill="1" applyBorder="1" applyAlignment="1" applyProtection="1">
      <alignment horizontal="right" vertical="center"/>
      <protection/>
    </xf>
    <xf numFmtId="3" fontId="44" fillId="54" borderId="24" xfId="108" applyNumberFormat="1" applyFont="1" applyFill="1" applyBorder="1" applyAlignment="1" applyProtection="1">
      <alignment horizontal="right" vertical="center"/>
      <protection hidden="1"/>
    </xf>
    <xf numFmtId="3" fontId="45" fillId="0" borderId="34" xfId="108" applyNumberFormat="1" applyFont="1" applyFill="1" applyBorder="1" applyAlignment="1" applyProtection="1">
      <alignment horizontal="right" vertical="center"/>
      <protection hidden="1"/>
    </xf>
    <xf numFmtId="3" fontId="45" fillId="0" borderId="49" xfId="108" applyNumberFormat="1" applyFont="1" applyBorder="1" applyAlignment="1" applyProtection="1">
      <alignment horizontal="right" vertical="center"/>
      <protection hidden="1"/>
    </xf>
    <xf numFmtId="3" fontId="44" fillId="0" borderId="38" xfId="96" applyNumberFormat="1" applyFont="1" applyBorder="1" applyAlignment="1">
      <alignment horizontal="right" vertical="center"/>
      <protection/>
    </xf>
    <xf numFmtId="3" fontId="8" fillId="0" borderId="115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8" fillId="49" borderId="125" xfId="0" applyNumberFormat="1" applyFont="1" applyFill="1" applyBorder="1" applyAlignment="1">
      <alignment vertical="center"/>
    </xf>
    <xf numFmtId="3" fontId="8" fillId="0" borderId="74" xfId="0" applyNumberFormat="1" applyFont="1" applyBorder="1" applyAlignment="1">
      <alignment vertical="center"/>
    </xf>
    <xf numFmtId="3" fontId="13" fillId="0" borderId="119" xfId="0" applyNumberFormat="1" applyFont="1" applyBorder="1" applyAlignment="1">
      <alignment vertical="center"/>
    </xf>
    <xf numFmtId="3" fontId="45" fillId="0" borderId="34" xfId="68" applyNumberFormat="1" applyFont="1" applyBorder="1" applyAlignment="1" applyProtection="1">
      <alignment horizontal="right" vertical="center"/>
      <protection hidden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8" fillId="0" borderId="0" xfId="0" applyFont="1" applyFill="1" applyAlignment="1">
      <alignment horizontal="right" vertical="center"/>
    </xf>
    <xf numFmtId="0" fontId="19" fillId="50" borderId="80" xfId="0" applyFont="1" applyFill="1" applyBorder="1" applyAlignment="1">
      <alignment horizontal="center" vertical="center"/>
    </xf>
    <xf numFmtId="0" fontId="19" fillId="50" borderId="28" xfId="0" applyFont="1" applyFill="1" applyBorder="1" applyAlignment="1">
      <alignment horizontal="center" vertical="center"/>
    </xf>
    <xf numFmtId="0" fontId="19" fillId="5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3" fontId="8" fillId="0" borderId="36" xfId="0" applyNumberFormat="1" applyFont="1" applyBorder="1" applyAlignment="1">
      <alignment vertical="center"/>
    </xf>
    <xf numFmtId="3" fontId="8" fillId="0" borderId="122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8" fillId="0" borderId="130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5" fillId="50" borderId="39" xfId="0" applyFont="1" applyFill="1" applyBorder="1" applyAlignment="1">
      <alignment horizontal="center" vertical="center"/>
    </xf>
    <xf numFmtId="0" fontId="15" fillId="50" borderId="46" xfId="0" applyFont="1" applyFill="1" applyBorder="1" applyAlignment="1">
      <alignment horizontal="center" vertical="center"/>
    </xf>
    <xf numFmtId="0" fontId="16" fillId="49" borderId="43" xfId="0" applyFont="1" applyFill="1" applyBorder="1" applyAlignment="1">
      <alignment vertical="center"/>
    </xf>
    <xf numFmtId="0" fontId="16" fillId="49" borderId="131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1" fillId="0" borderId="53" xfId="0" applyFont="1" applyBorder="1" applyAlignment="1">
      <alignment vertical="center"/>
    </xf>
    <xf numFmtId="3" fontId="8" fillId="49" borderId="82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0" fontId="0" fillId="0" borderId="115" xfId="0" applyFont="1" applyBorder="1" applyAlignment="1">
      <alignment vertical="center"/>
    </xf>
    <xf numFmtId="3" fontId="13" fillId="0" borderId="114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3" fontId="8" fillId="0" borderId="105" xfId="0" applyNumberFormat="1" applyFont="1" applyBorder="1" applyAlignment="1">
      <alignment vertical="center"/>
    </xf>
    <xf numFmtId="3" fontId="8" fillId="0" borderId="84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0" fontId="8" fillId="0" borderId="11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45" borderId="104" xfId="0" applyFont="1" applyFill="1" applyBorder="1" applyAlignment="1">
      <alignment vertical="center"/>
    </xf>
    <xf numFmtId="3" fontId="13" fillId="0" borderId="132" xfId="0" applyNumberFormat="1" applyFont="1" applyFill="1" applyBorder="1" applyAlignment="1">
      <alignment vertical="center"/>
    </xf>
    <xf numFmtId="3" fontId="8" fillId="49" borderId="87" xfId="0" applyNumberFormat="1" applyFont="1" applyFill="1" applyBorder="1" applyAlignment="1">
      <alignment vertical="center"/>
    </xf>
    <xf numFmtId="0" fontId="16" fillId="49" borderId="124" xfId="0" applyFont="1" applyFill="1" applyBorder="1" applyAlignment="1">
      <alignment vertical="center"/>
    </xf>
    <xf numFmtId="4" fontId="8" fillId="0" borderId="130" xfId="0" applyNumberFormat="1" applyFont="1" applyBorder="1" applyAlignment="1">
      <alignment vertical="center"/>
    </xf>
    <xf numFmtId="4" fontId="8" fillId="0" borderId="112" xfId="0" applyNumberFormat="1" applyFont="1" applyBorder="1" applyAlignment="1">
      <alignment vertical="center"/>
    </xf>
    <xf numFmtId="4" fontId="8" fillId="0" borderId="109" xfId="0" applyNumberFormat="1" applyFont="1" applyFill="1" applyBorder="1" applyAlignment="1">
      <alignment vertical="center"/>
    </xf>
    <xf numFmtId="0" fontId="18" fillId="0" borderId="113" xfId="0" applyFont="1" applyBorder="1" applyAlignment="1">
      <alignment horizontal="right" vertical="center"/>
    </xf>
    <xf numFmtId="0" fontId="8" fillId="0" borderId="113" xfId="0" applyFont="1" applyFill="1" applyBorder="1" applyAlignment="1">
      <alignment vertical="center"/>
    </xf>
    <xf numFmtId="0" fontId="18" fillId="0" borderId="113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49" borderId="41" xfId="0" applyFont="1" applyFill="1" applyBorder="1" applyAlignment="1">
      <alignment vertical="center"/>
    </xf>
    <xf numFmtId="3" fontId="13" fillId="0" borderId="133" xfId="0" applyNumberFormat="1" applyFont="1" applyBorder="1" applyAlignment="1">
      <alignment vertical="center"/>
    </xf>
    <xf numFmtId="4" fontId="8" fillId="0" borderId="10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36" fillId="49" borderId="110" xfId="0" applyFont="1" applyFill="1" applyBorder="1" applyAlignment="1">
      <alignment vertical="center"/>
    </xf>
    <xf numFmtId="0" fontId="16" fillId="49" borderId="51" xfId="0" applyFont="1" applyFill="1" applyBorder="1" applyAlignment="1">
      <alignment vertical="center"/>
    </xf>
    <xf numFmtId="3" fontId="13" fillId="59" borderId="65" xfId="0" applyNumberFormat="1" applyFont="1" applyFill="1" applyBorder="1" applyAlignment="1">
      <alignment horizontal="right" vertical="center"/>
    </xf>
    <xf numFmtId="3" fontId="13" fillId="59" borderId="64" xfId="0" applyNumberFormat="1" applyFont="1" applyFill="1" applyBorder="1" applyAlignment="1">
      <alignment horizontal="right" vertical="center"/>
    </xf>
    <xf numFmtId="0" fontId="139" fillId="0" borderId="0" xfId="0" applyFont="1" applyBorder="1" applyAlignment="1">
      <alignment vertical="center"/>
    </xf>
    <xf numFmtId="0" fontId="140" fillId="0" borderId="0" xfId="0" applyFont="1" applyBorder="1" applyAlignment="1">
      <alignment vertical="center"/>
    </xf>
    <xf numFmtId="0" fontId="141" fillId="0" borderId="0" xfId="0" applyFont="1" applyBorder="1" applyAlignment="1">
      <alignment vertical="center"/>
    </xf>
    <xf numFmtId="0" fontId="142" fillId="0" borderId="0" xfId="0" applyFont="1" applyBorder="1" applyAlignment="1">
      <alignment vertical="center"/>
    </xf>
    <xf numFmtId="0" fontId="143" fillId="0" borderId="0" xfId="0" applyFont="1" applyBorder="1" applyAlignment="1">
      <alignment horizontal="right" vertical="center"/>
    </xf>
    <xf numFmtId="0" fontId="144" fillId="0" borderId="0" xfId="0" applyFont="1" applyBorder="1" applyAlignment="1">
      <alignment horizontal="center" vertical="center" wrapText="1"/>
    </xf>
    <xf numFmtId="3" fontId="145" fillId="0" borderId="0" xfId="0" applyNumberFormat="1" applyFont="1" applyBorder="1" applyAlignment="1">
      <alignment vertical="center"/>
    </xf>
    <xf numFmtId="3" fontId="139" fillId="0" borderId="0" xfId="0" applyNumberFormat="1" applyFont="1" applyBorder="1" applyAlignment="1">
      <alignment vertical="center"/>
    </xf>
    <xf numFmtId="3" fontId="145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9" fillId="0" borderId="36" xfId="68" applyNumberFormat="1" applyFont="1" applyBorder="1" applyAlignment="1" applyProtection="1">
      <alignment horizontal="right" vertical="center"/>
      <protection hidden="1"/>
    </xf>
    <xf numFmtId="3" fontId="45" fillId="0" borderId="53" xfId="68" applyNumberFormat="1" applyFont="1" applyBorder="1" applyAlignment="1" applyProtection="1">
      <alignment horizontal="right" vertical="center"/>
      <protection hidden="1"/>
    </xf>
    <xf numFmtId="3" fontId="45" fillId="0" borderId="55" xfId="96" applyNumberFormat="1" applyFont="1" applyBorder="1" applyAlignment="1">
      <alignment horizontal="right" vertical="center"/>
      <protection/>
    </xf>
    <xf numFmtId="3" fontId="45" fillId="0" borderId="67" xfId="96" applyNumberFormat="1" applyFont="1" applyBorder="1" applyAlignment="1">
      <alignment horizontal="right" vertical="center"/>
      <protection/>
    </xf>
    <xf numFmtId="3" fontId="44" fillId="0" borderId="48" xfId="108" applyNumberFormat="1" applyFont="1" applyBorder="1" applyAlignment="1" applyProtection="1">
      <alignment horizontal="right" vertical="center"/>
      <protection hidden="1"/>
    </xf>
    <xf numFmtId="3" fontId="45" fillId="0" borderId="127" xfId="108" applyNumberFormat="1" applyFont="1" applyBorder="1" applyAlignment="1" applyProtection="1">
      <alignment horizontal="right" vertical="center"/>
      <protection hidden="1"/>
    </xf>
    <xf numFmtId="3" fontId="39" fillId="0" borderId="48" xfId="108" applyNumberFormat="1" applyFont="1" applyFill="1" applyBorder="1" applyAlignment="1" applyProtection="1">
      <alignment horizontal="right" vertical="center"/>
      <protection hidden="1"/>
    </xf>
    <xf numFmtId="3" fontId="39" fillId="0" borderId="127" xfId="108" applyNumberFormat="1" applyFont="1" applyFill="1" applyBorder="1" applyAlignment="1" applyProtection="1">
      <alignment horizontal="right" vertical="center"/>
      <protection hidden="1"/>
    </xf>
    <xf numFmtId="3" fontId="33" fillId="54" borderId="38" xfId="63" applyNumberFormat="1" applyFont="1" applyFill="1" applyBorder="1" applyAlignment="1" applyProtection="1">
      <alignment horizontal="right" vertical="center"/>
      <protection/>
    </xf>
    <xf numFmtId="3" fontId="33" fillId="54" borderId="39" xfId="63" applyNumberFormat="1" applyFont="1" applyFill="1" applyBorder="1" applyAlignment="1" applyProtection="1">
      <alignment horizontal="right" vertical="center"/>
      <protection/>
    </xf>
    <xf numFmtId="3" fontId="33" fillId="53" borderId="24" xfId="108" applyNumberFormat="1" applyFont="1" applyFill="1" applyBorder="1" applyAlignment="1" applyProtection="1">
      <alignment horizontal="right" vertical="center"/>
      <protection hidden="1"/>
    </xf>
    <xf numFmtId="3" fontId="17" fillId="0" borderId="115" xfId="107" applyNumberFormat="1" applyFont="1" applyFill="1" applyBorder="1" applyAlignment="1">
      <alignment horizontal="right" vertical="center"/>
      <protection/>
    </xf>
    <xf numFmtId="0" fontId="12" fillId="0" borderId="23" xfId="107" applyFont="1" applyFill="1" applyBorder="1" applyAlignment="1">
      <alignment vertical="center"/>
      <protection/>
    </xf>
    <xf numFmtId="3" fontId="14" fillId="58" borderId="23" xfId="107" applyNumberFormat="1" applyFont="1" applyFill="1" applyBorder="1" applyAlignment="1">
      <alignment horizontal="right" vertical="center"/>
      <protection/>
    </xf>
    <xf numFmtId="3" fontId="17" fillId="0" borderId="97" xfId="107" applyNumberFormat="1" applyFont="1" applyFill="1" applyBorder="1" applyAlignment="1">
      <alignment horizontal="right" vertical="center"/>
      <protection/>
    </xf>
    <xf numFmtId="3" fontId="17" fillId="0" borderId="23" xfId="107" applyNumberFormat="1" applyFont="1" applyFill="1" applyBorder="1" applyAlignment="1">
      <alignment horizontal="right" vertical="center"/>
      <protection/>
    </xf>
    <xf numFmtId="3" fontId="17" fillId="0" borderId="27" xfId="106" applyNumberFormat="1" applyFont="1" applyFill="1" applyBorder="1" applyAlignment="1">
      <alignment horizontal="right" vertical="center"/>
    </xf>
    <xf numFmtId="3" fontId="17" fillId="0" borderId="30" xfId="106" applyNumberFormat="1" applyFont="1" applyFill="1" applyBorder="1" applyAlignment="1">
      <alignment horizontal="right" vertical="center"/>
    </xf>
    <xf numFmtId="3" fontId="14" fillId="54" borderId="24" xfId="107" applyNumberFormat="1" applyFont="1" applyFill="1" applyBorder="1" applyAlignment="1">
      <alignment vertical="center"/>
      <protection/>
    </xf>
    <xf numFmtId="3" fontId="17" fillId="0" borderId="73" xfId="107" applyNumberFormat="1" applyFont="1" applyFill="1" applyBorder="1" applyAlignment="1">
      <alignment horizontal="right" vertical="center"/>
      <protection/>
    </xf>
    <xf numFmtId="0" fontId="31" fillId="0" borderId="49" xfId="0" applyFont="1" applyFill="1" applyBorder="1" applyAlignment="1">
      <alignment horizontal="center" vertical="center"/>
    </xf>
    <xf numFmtId="3" fontId="38" fillId="45" borderId="67" xfId="0" applyNumberFormat="1" applyFont="1" applyFill="1" applyBorder="1" applyAlignment="1">
      <alignment horizontal="right" vertical="center"/>
    </xf>
    <xf numFmtId="0" fontId="19" fillId="50" borderId="38" xfId="0" applyFont="1" applyFill="1" applyBorder="1" applyAlignment="1" applyProtection="1">
      <alignment horizontal="center" vertical="center"/>
      <protection locked="0"/>
    </xf>
    <xf numFmtId="0" fontId="38" fillId="0" borderId="49" xfId="0" applyFont="1" applyFill="1" applyBorder="1" applyAlignment="1">
      <alignment horizontal="center" vertical="center"/>
    </xf>
    <xf numFmtId="0" fontId="13" fillId="45" borderId="0" xfId="0" applyFont="1" applyFill="1" applyAlignment="1">
      <alignment horizontal="centerContinuous" vertical="center" wrapText="1"/>
    </xf>
    <xf numFmtId="0" fontId="13" fillId="45" borderId="0" xfId="0" applyFont="1" applyFill="1" applyAlignment="1">
      <alignment horizontal="centerContinuous" vertical="center" wrapText="1"/>
    </xf>
    <xf numFmtId="0" fontId="2" fillId="45" borderId="0" xfId="0" applyFont="1" applyFill="1" applyAlignment="1">
      <alignment horizontal="centerContinuous" vertical="center" wrapText="1"/>
    </xf>
    <xf numFmtId="0" fontId="18" fillId="45" borderId="0" xfId="0" applyFont="1" applyFill="1" applyAlignment="1">
      <alignment horizontal="centerContinuous" vertical="center"/>
    </xf>
    <xf numFmtId="3" fontId="31" fillId="0" borderId="34" xfId="105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52" fillId="17" borderId="80" xfId="108" applyFont="1" applyFill="1" applyBorder="1" applyAlignment="1" applyProtection="1">
      <alignment horizontal="center" vertical="center" wrapText="1"/>
      <protection hidden="1"/>
    </xf>
    <xf numFmtId="0" fontId="52" fillId="17" borderId="39" xfId="108" applyFont="1" applyFill="1" applyBorder="1" applyAlignment="1" applyProtection="1">
      <alignment horizontal="center" vertical="center" wrapText="1"/>
      <protection hidden="1"/>
    </xf>
    <xf numFmtId="3" fontId="52" fillId="17" borderId="38" xfId="108" applyNumberFormat="1" applyFont="1" applyFill="1" applyBorder="1" applyAlignment="1" applyProtection="1">
      <alignment horizontal="center" vertical="center" wrapText="1"/>
      <protection hidden="1"/>
    </xf>
    <xf numFmtId="3" fontId="52" fillId="17" borderId="24" xfId="108" applyNumberFormat="1" applyFont="1" applyFill="1" applyBorder="1" applyAlignment="1" applyProtection="1">
      <alignment horizontal="center" vertical="center" wrapText="1"/>
      <protection hidden="1"/>
    </xf>
    <xf numFmtId="3" fontId="53" fillId="17" borderId="39" xfId="0" applyNumberFormat="1" applyFont="1" applyFill="1" applyBorder="1" applyAlignment="1">
      <alignment horizontal="center" vertical="center" wrapText="1"/>
    </xf>
    <xf numFmtId="3" fontId="52" fillId="17" borderId="25" xfId="108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44" fillId="54" borderId="24" xfId="108" applyFont="1" applyFill="1" applyBorder="1" applyAlignment="1" applyProtection="1">
      <alignment horizontal="center" vertical="center"/>
      <protection hidden="1"/>
    </xf>
    <xf numFmtId="0" fontId="46" fillId="62" borderId="24" xfId="108" applyFont="1" applyFill="1" applyBorder="1" applyAlignment="1" applyProtection="1">
      <alignment horizontal="center" vertical="center"/>
      <protection hidden="1"/>
    </xf>
    <xf numFmtId="0" fontId="31" fillId="0" borderId="49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44" fillId="0" borderId="25" xfId="108" applyNumberFormat="1" applyFont="1" applyFill="1" applyBorder="1" applyAlignment="1" applyProtection="1">
      <alignment horizontal="center" vertical="center" wrapText="1"/>
      <protection hidden="1"/>
    </xf>
    <xf numFmtId="3" fontId="14" fillId="45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45" fillId="0" borderId="116" xfId="108" applyFont="1" applyBorder="1" applyAlignment="1" applyProtection="1">
      <alignment vertical="center"/>
      <protection hidden="1"/>
    </xf>
    <xf numFmtId="3" fontId="45" fillId="0" borderId="117" xfId="108" applyNumberFormat="1" applyFont="1" applyBorder="1" applyAlignment="1" applyProtection="1">
      <alignment horizontal="right" vertical="center"/>
      <protection hidden="1"/>
    </xf>
    <xf numFmtId="0" fontId="45" fillId="0" borderId="66" xfId="96" applyFont="1" applyBorder="1" applyAlignment="1">
      <alignment vertical="center"/>
      <protection/>
    </xf>
    <xf numFmtId="3" fontId="45" fillId="0" borderId="122" xfId="108" applyNumberFormat="1" applyFont="1" applyBorder="1" applyAlignment="1" applyProtection="1">
      <alignment horizontal="right" vertical="center"/>
      <protection hidden="1"/>
    </xf>
    <xf numFmtId="3" fontId="45" fillId="0" borderId="53" xfId="108" applyNumberFormat="1" applyFont="1" applyBorder="1" applyAlignment="1" applyProtection="1">
      <alignment horizontal="right" vertical="center"/>
      <protection hidden="1"/>
    </xf>
    <xf numFmtId="3" fontId="44" fillId="0" borderId="62" xfId="108" applyNumberFormat="1" applyFont="1" applyBorder="1" applyAlignment="1" applyProtection="1">
      <alignment horizontal="right" vertical="center"/>
      <protection hidden="1"/>
    </xf>
    <xf numFmtId="3" fontId="44" fillId="0" borderId="67" xfId="108" applyNumberFormat="1" applyFont="1" applyBorder="1" applyAlignment="1" applyProtection="1">
      <alignment horizontal="right" vertical="center"/>
      <protection hidden="1"/>
    </xf>
    <xf numFmtId="3" fontId="50" fillId="54" borderId="38" xfId="63" applyNumberFormat="1" applyFont="1" applyFill="1" applyBorder="1" applyAlignment="1" applyProtection="1">
      <alignment horizontal="right" vertical="center"/>
      <protection/>
    </xf>
    <xf numFmtId="3" fontId="17" fillId="0" borderId="22" xfId="0" applyNumberFormat="1" applyFont="1" applyBorder="1" applyAlignment="1">
      <alignment vertical="center"/>
    </xf>
    <xf numFmtId="3" fontId="17" fillId="0" borderId="62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3" fontId="42" fillId="0" borderId="0" xfId="0" applyNumberFormat="1" applyFont="1" applyAlignment="1">
      <alignment vertical="center"/>
    </xf>
    <xf numFmtId="3" fontId="31" fillId="0" borderId="55" xfId="0" applyNumberFormat="1" applyFont="1" applyFill="1" applyBorder="1" applyAlignment="1">
      <alignment horizontal="right" vertical="center"/>
    </xf>
    <xf numFmtId="0" fontId="31" fillId="57" borderId="40" xfId="110" applyFont="1" applyFill="1" applyBorder="1" applyAlignment="1">
      <alignment horizontal="center" vertical="center" wrapText="1"/>
      <protection/>
    </xf>
    <xf numFmtId="0" fontId="31" fillId="0" borderId="121" xfId="110" applyFont="1" applyBorder="1" applyAlignment="1">
      <alignment horizontal="center" vertical="center" wrapText="1"/>
      <protection/>
    </xf>
    <xf numFmtId="0" fontId="31" fillId="0" borderId="134" xfId="110" applyFont="1" applyBorder="1" applyAlignment="1">
      <alignment horizontal="center" vertical="center" wrapText="1"/>
      <protection/>
    </xf>
    <xf numFmtId="0" fontId="31" fillId="57" borderId="24" xfId="110" applyFont="1" applyFill="1" applyBorder="1" applyAlignment="1">
      <alignment horizontal="center" vertical="center" wrapText="1"/>
      <protection/>
    </xf>
    <xf numFmtId="0" fontId="35" fillId="50" borderId="24" xfId="110" applyFont="1" applyFill="1" applyBorder="1" applyAlignment="1">
      <alignment horizontal="center" vertical="center"/>
      <protection/>
    </xf>
    <xf numFmtId="0" fontId="35" fillId="50" borderId="46" xfId="110" applyFont="1" applyFill="1" applyBorder="1" applyAlignment="1">
      <alignment horizontal="center" vertical="center"/>
      <protection/>
    </xf>
    <xf numFmtId="0" fontId="35" fillId="50" borderId="25" xfId="110" applyFont="1" applyFill="1" applyBorder="1" applyAlignment="1">
      <alignment horizontal="center" vertical="center"/>
      <protection/>
    </xf>
    <xf numFmtId="0" fontId="35" fillId="50" borderId="80" xfId="110" applyFont="1" applyFill="1" applyBorder="1" applyAlignment="1">
      <alignment horizontal="center" vertical="center"/>
      <protection/>
    </xf>
    <xf numFmtId="3" fontId="39" fillId="0" borderId="37" xfId="96" applyNumberFormat="1" applyFont="1" applyBorder="1" applyAlignment="1">
      <alignment horizontal="right" vertical="center"/>
      <protection/>
    </xf>
    <xf numFmtId="3" fontId="31" fillId="0" borderId="0" xfId="0" applyNumberFormat="1" applyFont="1" applyAlignment="1">
      <alignment vertical="center"/>
    </xf>
    <xf numFmtId="3" fontId="45" fillId="0" borderId="127" xfId="96" applyNumberFormat="1" applyFont="1" applyFill="1" applyBorder="1" applyAlignment="1">
      <alignment vertical="center"/>
      <protection/>
    </xf>
    <xf numFmtId="3" fontId="18" fillId="0" borderId="35" xfId="104" applyNumberFormat="1" applyFont="1" applyFill="1" applyBorder="1" applyAlignment="1">
      <alignment horizontal="right" vertical="center"/>
    </xf>
    <xf numFmtId="3" fontId="18" fillId="0" borderId="49" xfId="104" applyNumberFormat="1" applyFont="1" applyFill="1" applyBorder="1" applyAlignment="1">
      <alignment horizontal="right" vertical="center"/>
    </xf>
    <xf numFmtId="3" fontId="31" fillId="0" borderId="35" xfId="105" applyNumberFormat="1" applyFont="1" applyFill="1" applyBorder="1" applyAlignment="1">
      <alignment vertical="center"/>
    </xf>
    <xf numFmtId="3" fontId="14" fillId="58" borderId="23" xfId="107" applyNumberFormat="1" applyFont="1" applyFill="1" applyBorder="1" applyAlignment="1">
      <alignment vertical="center"/>
      <protection/>
    </xf>
    <xf numFmtId="0" fontId="45" fillId="0" borderId="35" xfId="108" applyFont="1" applyBorder="1" applyAlignment="1" applyProtection="1">
      <alignment horizontal="left" vertical="center"/>
      <protection hidden="1"/>
    </xf>
    <xf numFmtId="3" fontId="39" fillId="0" borderId="35" xfId="68" applyNumberFormat="1" applyFont="1" applyBorder="1" applyAlignment="1" applyProtection="1">
      <alignment horizontal="right" vertical="center"/>
      <protection hidden="1"/>
    </xf>
    <xf numFmtId="4" fontId="15" fillId="0" borderId="0" xfId="107" applyNumberFormat="1" applyFont="1" applyFill="1" applyBorder="1" applyAlignment="1">
      <alignment horizontal="center" vertical="center"/>
      <protection/>
    </xf>
    <xf numFmtId="0" fontId="7" fillId="0" borderId="0" xfId="107" applyFont="1" applyFill="1" applyAlignment="1">
      <alignment horizontal="center" vertical="center"/>
      <protection/>
    </xf>
    <xf numFmtId="0" fontId="44" fillId="0" borderId="52" xfId="96" applyFont="1" applyFill="1" applyBorder="1" applyAlignment="1" applyProtection="1">
      <alignment horizontal="center" vertical="center"/>
      <protection hidden="1"/>
    </xf>
    <xf numFmtId="3" fontId="44" fillId="0" borderId="125" xfId="96" applyNumberFormat="1" applyFont="1" applyBorder="1" applyAlignment="1">
      <alignment horizontal="right" vertical="center"/>
      <protection/>
    </xf>
    <xf numFmtId="3" fontId="44" fillId="0" borderId="66" xfId="96" applyNumberFormat="1" applyFont="1" applyBorder="1" applyAlignment="1">
      <alignment horizontal="right" vertical="center"/>
      <protection/>
    </xf>
    <xf numFmtId="0" fontId="44" fillId="54" borderId="116" xfId="96" applyFont="1" applyFill="1" applyBorder="1" applyAlignment="1" applyProtection="1">
      <alignment horizontal="center" vertical="center"/>
      <protection hidden="1"/>
    </xf>
    <xf numFmtId="0" fontId="44" fillId="54" borderId="135" xfId="96" applyFont="1" applyFill="1" applyBorder="1" applyAlignment="1">
      <alignment vertical="center"/>
      <protection/>
    </xf>
    <xf numFmtId="3" fontId="44" fillId="54" borderId="0" xfId="96" applyNumberFormat="1" applyFont="1" applyFill="1" applyBorder="1" applyAlignment="1">
      <alignment horizontal="right" vertical="center"/>
      <protection/>
    </xf>
    <xf numFmtId="3" fontId="44" fillId="54" borderId="49" xfId="96" applyNumberFormat="1" applyFont="1" applyFill="1" applyBorder="1" applyAlignment="1">
      <alignment horizontal="right" vertical="center"/>
      <protection/>
    </xf>
    <xf numFmtId="3" fontId="44" fillId="54" borderId="67" xfId="96" applyNumberFormat="1" applyFont="1" applyFill="1" applyBorder="1" applyAlignment="1">
      <alignment horizontal="right" vertical="center"/>
      <protection/>
    </xf>
    <xf numFmtId="3" fontId="44" fillId="54" borderId="25" xfId="96" applyNumberFormat="1" applyFont="1" applyFill="1" applyBorder="1" applyAlignment="1">
      <alignment horizontal="right" vertical="center"/>
      <protection/>
    </xf>
    <xf numFmtId="3" fontId="44" fillId="54" borderId="24" xfId="96" applyNumberFormat="1" applyFont="1" applyFill="1" applyBorder="1" applyAlignment="1">
      <alignment horizontal="right" vertical="center"/>
      <protection/>
    </xf>
    <xf numFmtId="0" fontId="46" fillId="62" borderId="24" xfId="96" applyFont="1" applyFill="1" applyBorder="1" applyAlignment="1" applyProtection="1">
      <alignment horizontal="center" vertical="center"/>
      <protection/>
    </xf>
    <xf numFmtId="0" fontId="46" fillId="62" borderId="24" xfId="96" applyFont="1" applyFill="1" applyBorder="1" applyAlignment="1" applyProtection="1">
      <alignment horizontal="center" vertical="center"/>
      <protection hidden="1"/>
    </xf>
    <xf numFmtId="0" fontId="45" fillId="0" borderId="30" xfId="108" applyFont="1" applyBorder="1" applyAlignment="1" applyProtection="1">
      <alignment horizontal="left" vertical="center"/>
      <protection hidden="1"/>
    </xf>
    <xf numFmtId="0" fontId="33" fillId="62" borderId="24" xfId="108" applyFont="1" applyFill="1" applyBorder="1" applyAlignment="1" applyProtection="1">
      <alignment vertical="center"/>
      <protection hidden="1"/>
    </xf>
    <xf numFmtId="0" fontId="39" fillId="0" borderId="86" xfId="108" applyFont="1" applyBorder="1" applyAlignment="1" applyProtection="1">
      <alignment horizontal="left" vertical="center"/>
      <protection hidden="1"/>
    </xf>
    <xf numFmtId="0" fontId="39" fillId="0" borderId="115" xfId="108" applyFont="1" applyBorder="1" applyAlignment="1" applyProtection="1">
      <alignment horizontal="left" vertical="center"/>
      <protection hidden="1"/>
    </xf>
    <xf numFmtId="3" fontId="12" fillId="53" borderId="40" xfId="105" applyNumberFormat="1" applyFont="1" applyFill="1" applyBorder="1" applyAlignment="1">
      <alignment vertical="center"/>
    </xf>
    <xf numFmtId="3" fontId="12" fillId="58" borderId="136" xfId="0" applyNumberFormat="1" applyFont="1" applyFill="1" applyBorder="1" applyAlignment="1">
      <alignment vertical="center"/>
    </xf>
    <xf numFmtId="3" fontId="12" fillId="53" borderId="43" xfId="105" applyNumberFormat="1" applyFont="1" applyFill="1" applyBorder="1" applyAlignment="1">
      <alignment vertical="center"/>
    </xf>
    <xf numFmtId="3" fontId="38" fillId="60" borderId="39" xfId="0" applyNumberFormat="1" applyFont="1" applyFill="1" applyBorder="1" applyAlignment="1">
      <alignment horizontal="right" vertical="center"/>
    </xf>
    <xf numFmtId="0" fontId="38" fillId="63" borderId="24" xfId="0" applyFont="1" applyFill="1" applyBorder="1" applyAlignment="1">
      <alignment horizontal="center" vertical="center"/>
    </xf>
    <xf numFmtId="3" fontId="31" fillId="45" borderId="34" xfId="0" applyNumberFormat="1" applyFont="1" applyFill="1" applyBorder="1" applyAlignment="1">
      <alignment horizontal="right" vertical="center"/>
    </xf>
    <xf numFmtId="3" fontId="38" fillId="63" borderId="24" xfId="113" applyNumberFormat="1" applyFont="1" applyFill="1" applyBorder="1" applyAlignment="1">
      <alignment vertical="center"/>
      <protection/>
    </xf>
    <xf numFmtId="3" fontId="31" fillId="0" borderId="48" xfId="0" applyNumberFormat="1" applyFont="1" applyFill="1" applyBorder="1" applyAlignment="1">
      <alignment horizontal="right" vertical="center"/>
    </xf>
    <xf numFmtId="3" fontId="38" fillId="0" borderId="48" xfId="0" applyNumberFormat="1" applyFont="1" applyFill="1" applyBorder="1" applyAlignment="1">
      <alignment horizontal="right" vertical="center"/>
    </xf>
    <xf numFmtId="0" fontId="44" fillId="0" borderId="55" xfId="96" applyFont="1" applyFill="1" applyBorder="1" applyAlignment="1">
      <alignment vertical="center"/>
      <protection/>
    </xf>
    <xf numFmtId="0" fontId="44" fillId="0" borderId="66" xfId="96" applyFont="1" applyFill="1" applyBorder="1" applyAlignment="1">
      <alignment vertical="center"/>
      <protection/>
    </xf>
    <xf numFmtId="0" fontId="44" fillId="0" borderId="62" xfId="96" applyFont="1" applyFill="1" applyBorder="1" applyAlignment="1">
      <alignment vertical="center"/>
      <protection/>
    </xf>
    <xf numFmtId="0" fontId="45" fillId="0" borderId="55" xfId="96" applyFont="1" applyFill="1" applyBorder="1" applyAlignment="1">
      <alignment vertical="center"/>
      <protection/>
    </xf>
    <xf numFmtId="0" fontId="45" fillId="0" borderId="66" xfId="96" applyFont="1" applyFill="1" applyBorder="1" applyAlignment="1">
      <alignment vertical="center"/>
      <protection/>
    </xf>
    <xf numFmtId="0" fontId="44" fillId="0" borderId="43" xfId="96" applyFont="1" applyFill="1" applyBorder="1" applyAlignment="1">
      <alignment vertical="center"/>
      <protection/>
    </xf>
    <xf numFmtId="0" fontId="44" fillId="0" borderId="110" xfId="108" applyFont="1" applyFill="1" applyBorder="1" applyAlignment="1" applyProtection="1">
      <alignment horizontal="left" vertical="center"/>
      <protection hidden="1"/>
    </xf>
    <xf numFmtId="3" fontId="8" fillId="0" borderId="37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49" borderId="122" xfId="0" applyNumberFormat="1" applyFont="1" applyFill="1" applyBorder="1" applyAlignment="1">
      <alignment vertical="center"/>
    </xf>
    <xf numFmtId="3" fontId="13" fillId="0" borderId="122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58" borderId="97" xfId="0" applyNumberFormat="1" applyFont="1" applyFill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58" borderId="93" xfId="0" applyNumberFormat="1" applyFont="1" applyFill="1" applyBorder="1" applyAlignment="1">
      <alignment vertical="center"/>
    </xf>
    <xf numFmtId="3" fontId="13" fillId="49" borderId="66" xfId="0" applyNumberFormat="1" applyFont="1" applyFill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58" borderId="38" xfId="0" applyNumberFormat="1" applyFont="1" applyFill="1" applyBorder="1" applyAlignment="1">
      <alignment vertical="center"/>
    </xf>
    <xf numFmtId="3" fontId="13" fillId="0" borderId="108" xfId="0" applyNumberFormat="1" applyFont="1" applyBorder="1" applyAlignment="1">
      <alignment vertical="center"/>
    </xf>
    <xf numFmtId="3" fontId="13" fillId="58" borderId="28" xfId="0" applyNumberFormat="1" applyFont="1" applyFill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49" borderId="50" xfId="0" applyNumberFormat="1" applyFont="1" applyFill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49" borderId="114" xfId="0" applyNumberFormat="1" applyFont="1" applyFill="1" applyBorder="1" applyAlignment="1">
      <alignment vertical="center"/>
    </xf>
    <xf numFmtId="0" fontId="8" fillId="49" borderId="75" xfId="0" applyFont="1" applyFill="1" applyBorder="1" applyAlignment="1">
      <alignment vertical="center"/>
    </xf>
    <xf numFmtId="0" fontId="8" fillId="49" borderId="52" xfId="0" applyFont="1" applyFill="1" applyBorder="1" applyAlignment="1">
      <alignment vertical="center"/>
    </xf>
    <xf numFmtId="0" fontId="8" fillId="49" borderId="106" xfId="0" applyFont="1" applyFill="1" applyBorder="1" applyAlignment="1">
      <alignment vertical="center"/>
    </xf>
    <xf numFmtId="0" fontId="8" fillId="49" borderId="107" xfId="0" applyFont="1" applyFill="1" applyBorder="1" applyAlignment="1">
      <alignment vertical="center"/>
    </xf>
    <xf numFmtId="0" fontId="8" fillId="49" borderId="108" xfId="0" applyFont="1" applyFill="1" applyBorder="1" applyAlignment="1">
      <alignment vertical="center"/>
    </xf>
    <xf numFmtId="0" fontId="8" fillId="49" borderId="4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13" fillId="0" borderId="57" xfId="0" applyNumberFormat="1" applyFont="1" applyFill="1" applyBorder="1" applyAlignment="1">
      <alignment vertical="center"/>
    </xf>
    <xf numFmtId="3" fontId="8" fillId="49" borderId="66" xfId="0" applyNumberFormat="1" applyFont="1" applyFill="1" applyBorder="1" applyAlignment="1">
      <alignment vertical="center"/>
    </xf>
    <xf numFmtId="3" fontId="13" fillId="50" borderId="121" xfId="0" applyNumberFormat="1" applyFont="1" applyFill="1" applyBorder="1" applyAlignment="1">
      <alignment vertical="center"/>
    </xf>
    <xf numFmtId="3" fontId="13" fillId="0" borderId="67" xfId="0" applyNumberFormat="1" applyFont="1" applyBorder="1" applyAlignment="1">
      <alignment vertical="center"/>
    </xf>
    <xf numFmtId="3" fontId="13" fillId="50" borderId="97" xfId="0" applyNumberFormat="1" applyFont="1" applyFill="1" applyBorder="1" applyAlignment="1">
      <alignment vertical="center"/>
    </xf>
    <xf numFmtId="3" fontId="13" fillId="50" borderId="93" xfId="0" applyNumberFormat="1" applyFont="1" applyFill="1" applyBorder="1" applyAlignment="1">
      <alignment vertical="center"/>
    </xf>
    <xf numFmtId="0" fontId="8" fillId="49" borderId="42" xfId="0" applyFont="1" applyFill="1" applyBorder="1" applyAlignment="1">
      <alignment vertical="center"/>
    </xf>
    <xf numFmtId="0" fontId="8" fillId="49" borderId="28" xfId="0" applyFont="1" applyFill="1" applyBorder="1" applyAlignment="1">
      <alignment vertical="center"/>
    </xf>
    <xf numFmtId="0" fontId="8" fillId="49" borderId="43" xfId="0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13" fillId="0" borderId="82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13" fillId="50" borderId="39" xfId="0" applyNumberFormat="1" applyFont="1" applyFill="1" applyBorder="1" applyAlignment="1">
      <alignment vertical="center"/>
    </xf>
    <xf numFmtId="3" fontId="13" fillId="0" borderId="67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22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13" fillId="50" borderId="38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3" fillId="50" borderId="28" xfId="0" applyNumberFormat="1" applyFont="1" applyFill="1" applyBorder="1" applyAlignment="1">
      <alignment vertical="center"/>
    </xf>
    <xf numFmtId="3" fontId="13" fillId="0" borderId="133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6" fillId="49" borderId="28" xfId="0" applyFont="1" applyFill="1" applyBorder="1" applyAlignment="1">
      <alignment vertical="center"/>
    </xf>
    <xf numFmtId="3" fontId="13" fillId="0" borderId="88" xfId="0" applyNumberFormat="1" applyFont="1" applyFill="1" applyBorder="1" applyAlignment="1">
      <alignment vertical="center"/>
    </xf>
    <xf numFmtId="3" fontId="8" fillId="0" borderId="85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4" fontId="8" fillId="0" borderId="103" xfId="0" applyNumberFormat="1" applyFont="1" applyBorder="1" applyAlignment="1">
      <alignment vertical="center"/>
    </xf>
    <xf numFmtId="4" fontId="8" fillId="0" borderId="96" xfId="0" applyNumberFormat="1" applyFont="1" applyBorder="1" applyAlignment="1">
      <alignment vertical="center"/>
    </xf>
    <xf numFmtId="3" fontId="13" fillId="50" borderId="114" xfId="0" applyNumberFormat="1" applyFont="1" applyFill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49" borderId="0" xfId="0" applyNumberFormat="1" applyFont="1" applyFill="1" applyBorder="1" applyAlignment="1">
      <alignment vertical="center"/>
    </xf>
    <xf numFmtId="3" fontId="8" fillId="0" borderId="114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97" xfId="0" applyNumberFormat="1" applyFont="1" applyBorder="1" applyAlignment="1">
      <alignment vertical="center"/>
    </xf>
    <xf numFmtId="3" fontId="13" fillId="0" borderId="125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122" xfId="0" applyNumberFormat="1" applyFont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8" fillId="0" borderId="108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45" fillId="0" borderId="24" xfId="96" applyNumberFormat="1" applyFont="1" applyFill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3" fontId="17" fillId="0" borderId="55" xfId="0" applyNumberFormat="1" applyFont="1" applyBorder="1" applyAlignment="1">
      <alignment vertical="center"/>
    </xf>
    <xf numFmtId="3" fontId="17" fillId="0" borderId="44" xfId="0" applyNumberFormat="1" applyFont="1" applyFill="1" applyBorder="1" applyAlignment="1">
      <alignment horizontal="right" vertical="center"/>
    </xf>
    <xf numFmtId="3" fontId="13" fillId="59" borderId="47" xfId="0" applyNumberFormat="1" applyFont="1" applyFill="1" applyBorder="1" applyAlignment="1">
      <alignment horizontal="right" vertical="center"/>
    </xf>
    <xf numFmtId="3" fontId="14" fillId="58" borderId="28" xfId="0" applyNumberFormat="1" applyFont="1" applyFill="1" applyBorder="1" applyAlignment="1">
      <alignment vertical="center"/>
    </xf>
    <xf numFmtId="3" fontId="14" fillId="54" borderId="121" xfId="107" applyNumberFormat="1" applyFont="1" applyFill="1" applyBorder="1" applyAlignment="1">
      <alignment vertical="center"/>
      <protection/>
    </xf>
    <xf numFmtId="0" fontId="19" fillId="50" borderId="38" xfId="107" applyFont="1" applyFill="1" applyBorder="1" applyAlignment="1">
      <alignment horizontal="center" vertical="center"/>
      <protection/>
    </xf>
    <xf numFmtId="0" fontId="19" fillId="50" borderId="28" xfId="107" applyFont="1" applyFill="1" applyBorder="1" applyAlignment="1">
      <alignment horizontal="center" vertical="center"/>
      <protection/>
    </xf>
    <xf numFmtId="3" fontId="44" fillId="0" borderId="24" xfId="96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5" fillId="0" borderId="115" xfId="108" applyFont="1" applyBorder="1" applyAlignment="1" applyProtection="1">
      <alignment horizontal="left" vertical="center"/>
      <protection hidden="1"/>
    </xf>
    <xf numFmtId="0" fontId="12" fillId="58" borderId="137" xfId="0" applyFont="1" applyFill="1" applyBorder="1" applyAlignment="1">
      <alignment horizontal="center" vertical="center"/>
    </xf>
    <xf numFmtId="0" fontId="12" fillId="53" borderId="40" xfId="0" applyFont="1" applyFill="1" applyBorder="1" applyAlignment="1">
      <alignment horizontal="center" vertical="center"/>
    </xf>
    <xf numFmtId="3" fontId="38" fillId="58" borderId="136" xfId="0" applyNumberFormat="1" applyFont="1" applyFill="1" applyBorder="1" applyAlignment="1">
      <alignment horizontal="right" vertical="center"/>
    </xf>
    <xf numFmtId="3" fontId="14" fillId="58" borderId="97" xfId="0" applyNumberFormat="1" applyFont="1" applyFill="1" applyBorder="1" applyAlignment="1">
      <alignment vertical="center"/>
    </xf>
    <xf numFmtId="3" fontId="17" fillId="50" borderId="44" xfId="0" applyNumberFormat="1" applyFont="1" applyFill="1" applyBorder="1" applyAlignment="1">
      <alignment horizontal="right" vertical="center"/>
    </xf>
    <xf numFmtId="3" fontId="17" fillId="50" borderId="22" xfId="0" applyNumberFormat="1" applyFont="1" applyFill="1" applyBorder="1" applyAlignment="1">
      <alignment vertical="center"/>
    </xf>
    <xf numFmtId="0" fontId="17" fillId="50" borderId="62" xfId="0" applyFont="1" applyFill="1" applyBorder="1" applyAlignment="1">
      <alignment vertical="center"/>
    </xf>
    <xf numFmtId="3" fontId="14" fillId="58" borderId="38" xfId="0" applyNumberFormat="1" applyFont="1" applyFill="1" applyBorder="1" applyAlignment="1">
      <alignment vertical="center"/>
    </xf>
    <xf numFmtId="3" fontId="45" fillId="0" borderId="36" xfId="68" applyNumberFormat="1" applyFont="1" applyBorder="1" applyAlignment="1" applyProtection="1">
      <alignment horizontal="right" vertical="center"/>
      <protection hidden="1"/>
    </xf>
    <xf numFmtId="3" fontId="45" fillId="0" borderId="127" xfId="68" applyNumberFormat="1" applyFont="1" applyBorder="1" applyAlignment="1" applyProtection="1">
      <alignment horizontal="right" vertical="center"/>
      <protection hidden="1"/>
    </xf>
    <xf numFmtId="0" fontId="146" fillId="0" borderId="0" xfId="0" applyFont="1" applyFill="1" applyBorder="1" applyAlignment="1">
      <alignment horizontal="center" vertical="center"/>
    </xf>
    <xf numFmtId="0" fontId="139" fillId="0" borderId="0" xfId="0" applyFont="1" applyFill="1" applyBorder="1" applyAlignment="1">
      <alignment vertical="center"/>
    </xf>
    <xf numFmtId="3" fontId="139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8" fillId="64" borderId="50" xfId="0" applyFont="1" applyFill="1" applyBorder="1" applyAlignment="1">
      <alignment horizontal="center" vertical="center"/>
    </xf>
    <xf numFmtId="3" fontId="38" fillId="64" borderId="49" xfId="0" applyNumberFormat="1" applyFont="1" applyFill="1" applyBorder="1" applyAlignment="1">
      <alignment horizontal="right" vertical="center"/>
    </xf>
    <xf numFmtId="0" fontId="45" fillId="0" borderId="26" xfId="108" applyFont="1" applyBorder="1" applyAlignment="1" applyProtection="1">
      <alignment horizontal="center" vertical="top"/>
      <protection hidden="1"/>
    </xf>
    <xf numFmtId="0" fontId="12" fillId="0" borderId="50" xfId="107" applyFont="1" applyFill="1" applyBorder="1" applyAlignment="1">
      <alignment vertical="center"/>
      <protection/>
    </xf>
    <xf numFmtId="3" fontId="17" fillId="0" borderId="26" xfId="106" applyNumberFormat="1" applyFont="1" applyFill="1" applyBorder="1" applyAlignment="1">
      <alignment horizontal="right" vertical="center"/>
    </xf>
    <xf numFmtId="0" fontId="19" fillId="50" borderId="25" xfId="0" applyFont="1" applyFill="1" applyBorder="1" applyAlignment="1">
      <alignment horizontal="center" vertical="center"/>
    </xf>
    <xf numFmtId="0" fontId="16" fillId="49" borderId="125" xfId="0" applyFont="1" applyFill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13" fillId="0" borderId="114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18" fillId="0" borderId="53" xfId="104" applyNumberFormat="1" applyFont="1" applyFill="1" applyBorder="1" applyAlignment="1">
      <alignment horizontal="right" vertical="center"/>
    </xf>
    <xf numFmtId="3" fontId="38" fillId="0" borderId="53" xfId="0" applyNumberFormat="1" applyFont="1" applyFill="1" applyBorder="1" applyAlignment="1">
      <alignment horizontal="right" vertical="center"/>
    </xf>
    <xf numFmtId="3" fontId="38" fillId="0" borderId="127" xfId="0" applyNumberFormat="1" applyFont="1" applyFill="1" applyBorder="1" applyAlignment="1">
      <alignment horizontal="right" vertical="center"/>
    </xf>
    <xf numFmtId="3" fontId="31" fillId="0" borderId="23" xfId="105" applyNumberFormat="1" applyFont="1" applyFill="1" applyBorder="1" applyAlignment="1">
      <alignment vertical="center"/>
    </xf>
    <xf numFmtId="3" fontId="31" fillId="0" borderId="35" xfId="0" applyNumberFormat="1" applyFont="1" applyFill="1" applyBorder="1" applyAlignment="1">
      <alignment vertical="center"/>
    </xf>
    <xf numFmtId="3" fontId="38" fillId="0" borderId="23" xfId="0" applyNumberFormat="1" applyFont="1" applyFill="1" applyBorder="1" applyAlignment="1">
      <alignment horizontal="right" vertical="center"/>
    </xf>
    <xf numFmtId="3" fontId="18" fillId="0" borderId="35" xfId="0" applyNumberFormat="1" applyFont="1" applyFill="1" applyBorder="1" applyAlignment="1">
      <alignment horizontal="right" vertical="center"/>
    </xf>
    <xf numFmtId="0" fontId="38" fillId="54" borderId="25" xfId="110" applyFont="1" applyFill="1" applyBorder="1" applyAlignment="1">
      <alignment horizontal="center" vertical="center"/>
      <protection/>
    </xf>
    <xf numFmtId="0" fontId="38" fillId="54" borderId="39" xfId="110" applyFont="1" applyFill="1" applyBorder="1" applyAlignment="1">
      <alignment horizontal="center" vertical="center"/>
      <protection/>
    </xf>
    <xf numFmtId="0" fontId="22" fillId="0" borderId="0" xfId="107" applyFont="1" applyFill="1" applyBorder="1" applyAlignment="1">
      <alignment horizontal="center" vertical="center"/>
      <protection/>
    </xf>
    <xf numFmtId="0" fontId="31" fillId="0" borderId="31" xfId="111" applyFont="1" applyBorder="1" applyAlignment="1">
      <alignment horizontal="left" vertical="center" wrapText="1"/>
      <protection/>
    </xf>
    <xf numFmtId="0" fontId="31" fillId="0" borderId="85" xfId="111" applyFont="1" applyBorder="1" applyAlignment="1">
      <alignment horizontal="left" vertical="center" wrapText="1"/>
      <protection/>
    </xf>
    <xf numFmtId="0" fontId="17" fillId="0" borderId="50" xfId="107" applyFont="1" applyFill="1" applyBorder="1" applyAlignment="1">
      <alignment horizontal="left" vertical="center"/>
      <protection/>
    </xf>
    <xf numFmtId="0" fontId="17" fillId="0" borderId="122" xfId="107" applyFont="1" applyFill="1" applyBorder="1" applyAlignment="1">
      <alignment horizontal="left" vertical="center"/>
      <protection/>
    </xf>
    <xf numFmtId="3" fontId="14" fillId="58" borderId="67" xfId="107" applyNumberFormat="1" applyFont="1" applyFill="1" applyBorder="1" applyAlignment="1">
      <alignment horizontal="right" vertical="center"/>
      <protection/>
    </xf>
    <xf numFmtId="3" fontId="14" fillId="58" borderId="55" xfId="107" applyNumberFormat="1" applyFont="1" applyFill="1" applyBorder="1" applyAlignment="1">
      <alignment horizontal="right" vertical="center"/>
      <protection/>
    </xf>
    <xf numFmtId="3" fontId="14" fillId="53" borderId="107" xfId="107" applyNumberFormat="1" applyFont="1" applyFill="1" applyBorder="1" applyAlignment="1">
      <alignment vertical="center"/>
      <protection/>
    </xf>
    <xf numFmtId="3" fontId="14" fillId="53" borderId="131" xfId="107" applyNumberFormat="1" applyFont="1" applyFill="1" applyBorder="1" applyAlignment="1">
      <alignment vertical="center"/>
      <protection/>
    </xf>
    <xf numFmtId="3" fontId="14" fillId="53" borderId="116" xfId="107" applyNumberFormat="1" applyFont="1" applyFill="1" applyBorder="1" applyAlignment="1">
      <alignment horizontal="right" vertical="center"/>
      <protection/>
    </xf>
    <xf numFmtId="3" fontId="14" fillId="53" borderId="121" xfId="107" applyNumberFormat="1" applyFont="1" applyFill="1" applyBorder="1" applyAlignment="1">
      <alignment horizontal="right" vertical="center"/>
      <protection/>
    </xf>
    <xf numFmtId="3" fontId="14" fillId="53" borderId="113" xfId="107" applyNumberFormat="1" applyFont="1" applyFill="1" applyBorder="1" applyAlignment="1">
      <alignment horizontal="right" vertical="center"/>
      <protection/>
    </xf>
    <xf numFmtId="3" fontId="17" fillId="0" borderId="33" xfId="107" applyNumberFormat="1" applyFont="1" applyFill="1" applyBorder="1" applyAlignment="1">
      <alignment horizontal="right" vertical="center"/>
      <protection/>
    </xf>
    <xf numFmtId="3" fontId="17" fillId="0" borderId="22" xfId="107" applyNumberFormat="1" applyFont="1" applyFill="1" applyBorder="1" applyAlignment="1">
      <alignment horizontal="right" vertical="center"/>
      <protection/>
    </xf>
    <xf numFmtId="3" fontId="17" fillId="0" borderId="19" xfId="107" applyNumberFormat="1" applyFont="1" applyFill="1" applyBorder="1" applyAlignment="1">
      <alignment horizontal="right" vertical="center"/>
      <protection/>
    </xf>
    <xf numFmtId="3" fontId="17" fillId="0" borderId="20" xfId="107" applyNumberFormat="1" applyFont="1" applyFill="1" applyBorder="1" applyAlignment="1">
      <alignment horizontal="right" vertical="center"/>
      <protection/>
    </xf>
    <xf numFmtId="0" fontId="14" fillId="53" borderId="44" xfId="106" applyFont="1" applyFill="1" applyBorder="1" applyAlignment="1">
      <alignment vertical="center"/>
    </xf>
    <xf numFmtId="0" fontId="17" fillId="0" borderId="37" xfId="106" applyFont="1" applyFill="1" applyBorder="1" applyAlignment="1">
      <alignment vertical="center"/>
    </xf>
    <xf numFmtId="0" fontId="17" fillId="0" borderId="36" xfId="106" applyFont="1" applyFill="1" applyBorder="1" applyAlignment="1">
      <alignment vertical="center"/>
    </xf>
    <xf numFmtId="0" fontId="17" fillId="0" borderId="86" xfId="106" applyFont="1" applyFill="1" applyBorder="1" applyAlignment="1">
      <alignment vertical="center"/>
    </xf>
    <xf numFmtId="0" fontId="17" fillId="0" borderId="97" xfId="106" applyFont="1" applyFill="1" applyBorder="1" applyAlignment="1">
      <alignment vertical="center"/>
    </xf>
    <xf numFmtId="3" fontId="17" fillId="0" borderId="86" xfId="107" applyNumberFormat="1" applyFont="1" applyFill="1" applyBorder="1" applyAlignment="1">
      <alignment horizontal="right" vertical="center"/>
      <protection/>
    </xf>
    <xf numFmtId="3" fontId="14" fillId="53" borderId="74" xfId="107" applyNumberFormat="1" applyFont="1" applyFill="1" applyBorder="1" applyAlignment="1">
      <alignment horizontal="right" vertical="center"/>
      <protection/>
    </xf>
    <xf numFmtId="3" fontId="14" fillId="0" borderId="115" xfId="107" applyNumberFormat="1" applyFont="1" applyFill="1" applyBorder="1" applyAlignment="1">
      <alignment horizontal="right" vertical="center"/>
      <protection/>
    </xf>
    <xf numFmtId="3" fontId="14" fillId="0" borderId="113" xfId="107" applyNumberFormat="1" applyFont="1" applyFill="1" applyBorder="1" applyAlignment="1">
      <alignment horizontal="right" vertical="center"/>
      <protection/>
    </xf>
    <xf numFmtId="3" fontId="17" fillId="53" borderId="48" xfId="107" applyNumberFormat="1" applyFont="1" applyFill="1" applyBorder="1" applyAlignment="1">
      <alignment horizontal="right" vertical="center"/>
      <protection/>
    </xf>
    <xf numFmtId="0" fontId="31" fillId="0" borderId="31" xfId="111" applyFont="1" applyBorder="1" applyAlignment="1">
      <alignment vertical="center" wrapText="1"/>
      <protection/>
    </xf>
    <xf numFmtId="0" fontId="31" fillId="0" borderId="30" xfId="111" applyFont="1" applyBorder="1" applyAlignment="1">
      <alignment vertical="center" wrapText="1"/>
      <protection/>
    </xf>
    <xf numFmtId="0" fontId="31" fillId="0" borderId="86" xfId="111" applyFont="1" applyBorder="1" applyAlignment="1">
      <alignment vertical="center" wrapText="1"/>
      <protection/>
    </xf>
    <xf numFmtId="3" fontId="13" fillId="0" borderId="29" xfId="0" applyNumberFormat="1" applyFont="1" applyFill="1" applyBorder="1" applyAlignment="1">
      <alignment vertical="center"/>
    </xf>
    <xf numFmtId="3" fontId="8" fillId="0" borderId="76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13" fillId="0" borderId="82" xfId="0" applyNumberFormat="1" applyFont="1" applyFill="1" applyBorder="1" applyAlignment="1">
      <alignment vertical="center"/>
    </xf>
    <xf numFmtId="3" fontId="18" fillId="0" borderId="34" xfId="104" applyNumberFormat="1" applyFont="1" applyFill="1" applyBorder="1" applyAlignment="1">
      <alignment horizontal="right" vertical="center"/>
    </xf>
    <xf numFmtId="3" fontId="38" fillId="54" borderId="23" xfId="0" applyNumberFormat="1" applyFont="1" applyFill="1" applyBorder="1" applyAlignment="1">
      <alignment horizontal="right" vertical="center"/>
    </xf>
    <xf numFmtId="3" fontId="31" fillId="0" borderId="127" xfId="0" applyNumberFormat="1" applyFont="1" applyFill="1" applyBorder="1" applyAlignment="1">
      <alignment horizontal="right" vertical="center"/>
    </xf>
    <xf numFmtId="0" fontId="38" fillId="60" borderId="38" xfId="0" applyFont="1" applyFill="1" applyBorder="1" applyAlignment="1">
      <alignment horizontal="center" vertical="center"/>
    </xf>
    <xf numFmtId="3" fontId="38" fillId="60" borderId="24" xfId="0" applyNumberFormat="1" applyFont="1" applyFill="1" applyBorder="1" applyAlignment="1">
      <alignment horizontal="right" vertical="center"/>
    </xf>
    <xf numFmtId="0" fontId="38" fillId="53" borderId="23" xfId="0" applyFont="1" applyFill="1" applyBorder="1" applyAlignment="1">
      <alignment horizontal="center" vertical="center"/>
    </xf>
    <xf numFmtId="3" fontId="31" fillId="0" borderId="119" xfId="0" applyNumberFormat="1" applyFont="1" applyFill="1" applyBorder="1" applyAlignment="1">
      <alignment vertical="center"/>
    </xf>
    <xf numFmtId="3" fontId="45" fillId="0" borderId="66" xfId="68" applyNumberFormat="1" applyFont="1" applyBorder="1" applyAlignment="1" applyProtection="1">
      <alignment horizontal="right" vertical="center"/>
      <protection hidden="1"/>
    </xf>
    <xf numFmtId="3" fontId="39" fillId="0" borderId="55" xfId="108" applyNumberFormat="1" applyFont="1" applyBorder="1" applyAlignment="1" applyProtection="1">
      <alignment horizontal="right" vertical="center"/>
      <protection hidden="1"/>
    </xf>
    <xf numFmtId="3" fontId="45" fillId="0" borderId="55" xfId="108" applyNumberFormat="1" applyFont="1" applyBorder="1" applyAlignment="1" applyProtection="1">
      <alignment horizontal="right" vertical="center"/>
      <protection hidden="1"/>
    </xf>
    <xf numFmtId="3" fontId="44" fillId="0" borderId="62" xfId="68" applyNumberFormat="1" applyFont="1" applyBorder="1" applyAlignment="1" applyProtection="1">
      <alignment horizontal="right" vertical="center"/>
      <protection hidden="1"/>
    </xf>
    <xf numFmtId="0" fontId="45" fillId="0" borderId="87" xfId="108" applyFont="1" applyBorder="1" applyAlignment="1" applyProtection="1">
      <alignment horizontal="left" vertical="center"/>
      <protection hidden="1"/>
    </xf>
    <xf numFmtId="3" fontId="45" fillId="0" borderId="118" xfId="108" applyNumberFormat="1" applyFont="1" applyBorder="1" applyAlignment="1" applyProtection="1">
      <alignment horizontal="right" vertical="center"/>
      <protection hidden="1"/>
    </xf>
    <xf numFmtId="0" fontId="45" fillId="0" borderId="127" xfId="108" applyFont="1" applyBorder="1" applyAlignment="1" applyProtection="1">
      <alignment horizontal="left" vertical="center"/>
      <protection hidden="1"/>
    </xf>
    <xf numFmtId="0" fontId="44" fillId="0" borderId="48" xfId="108" applyFont="1" applyBorder="1" applyAlignment="1" applyProtection="1">
      <alignment horizontal="left" vertical="center"/>
      <protection hidden="1"/>
    </xf>
    <xf numFmtId="0" fontId="38" fillId="54" borderId="38" xfId="110" applyFont="1" applyFill="1" applyBorder="1" applyAlignment="1">
      <alignment horizontal="left" vertical="center"/>
      <protection/>
    </xf>
    <xf numFmtId="3" fontId="39" fillId="0" borderId="35" xfId="108" applyNumberFormat="1" applyFont="1" applyFill="1" applyBorder="1" applyAlignment="1" applyProtection="1">
      <alignment horizontal="right" vertical="center"/>
      <protection hidden="1"/>
    </xf>
    <xf numFmtId="3" fontId="13" fillId="16" borderId="47" xfId="0" applyNumberFormat="1" applyFont="1" applyFill="1" applyBorder="1" applyAlignment="1">
      <alignment vertical="center"/>
    </xf>
    <xf numFmtId="3" fontId="13" fillId="58" borderId="25" xfId="0" applyNumberFormat="1" applyFont="1" applyFill="1" applyBorder="1" applyAlignment="1">
      <alignment vertical="center"/>
    </xf>
    <xf numFmtId="3" fontId="13" fillId="58" borderId="114" xfId="0" applyNumberFormat="1" applyFont="1" applyFill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8" fillId="49" borderId="138" xfId="0" applyNumberFormat="1" applyFont="1" applyFill="1" applyBorder="1" applyAlignment="1">
      <alignment vertical="center"/>
    </xf>
    <xf numFmtId="3" fontId="8" fillId="49" borderId="139" xfId="0" applyNumberFormat="1" applyFont="1" applyFill="1" applyBorder="1" applyAlignment="1">
      <alignment vertical="center"/>
    </xf>
    <xf numFmtId="3" fontId="13" fillId="49" borderId="140" xfId="0" applyNumberFormat="1" applyFont="1" applyFill="1" applyBorder="1" applyAlignment="1">
      <alignment vertical="center"/>
    </xf>
    <xf numFmtId="3" fontId="13" fillId="0" borderId="111" xfId="0" applyNumberFormat="1" applyFont="1" applyBorder="1" applyAlignment="1">
      <alignment vertical="center"/>
    </xf>
    <xf numFmtId="3" fontId="13" fillId="0" borderId="100" xfId="0" applyNumberFormat="1" applyFont="1" applyBorder="1" applyAlignment="1">
      <alignment vertical="center"/>
    </xf>
    <xf numFmtId="0" fontId="19" fillId="50" borderId="46" xfId="0" applyFont="1" applyFill="1" applyBorder="1" applyAlignment="1">
      <alignment horizontal="center"/>
    </xf>
    <xf numFmtId="0" fontId="16" fillId="49" borderId="128" xfId="0" applyFont="1" applyFill="1" applyBorder="1" applyAlignment="1">
      <alignment/>
    </xf>
    <xf numFmtId="3" fontId="8" fillId="0" borderId="31" xfId="0" applyNumberFormat="1" applyFont="1" applyBorder="1" applyAlignment="1">
      <alignment vertical="center"/>
    </xf>
    <xf numFmtId="3" fontId="13" fillId="16" borderId="141" xfId="0" applyNumberFormat="1" applyFont="1" applyFill="1" applyBorder="1" applyAlignment="1">
      <alignment vertical="center"/>
    </xf>
    <xf numFmtId="3" fontId="8" fillId="49" borderId="113" xfId="0" applyNumberFormat="1" applyFont="1" applyFill="1" applyBorder="1" applyAlignment="1">
      <alignment vertical="center"/>
    </xf>
    <xf numFmtId="3" fontId="13" fillId="0" borderId="120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88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49" borderId="125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115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8" fillId="0" borderId="74" xfId="0" applyNumberFormat="1" applyFont="1" applyBorder="1" applyAlignment="1">
      <alignment vertical="center"/>
    </xf>
    <xf numFmtId="3" fontId="13" fillId="58" borderId="113" xfId="0" applyNumberFormat="1" applyFont="1" applyFill="1" applyBorder="1" applyAlignment="1">
      <alignment vertical="center"/>
    </xf>
    <xf numFmtId="3" fontId="13" fillId="0" borderId="119" xfId="0" applyNumberFormat="1" applyFont="1" applyBorder="1" applyAlignment="1">
      <alignment vertical="center"/>
    </xf>
    <xf numFmtId="3" fontId="13" fillId="0" borderId="142" xfId="0" applyNumberFormat="1" applyFont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3" fontId="8" fillId="49" borderId="75" xfId="0" applyNumberFormat="1" applyFont="1" applyFill="1" applyBorder="1" applyAlignment="1">
      <alignment vertical="center"/>
    </xf>
    <xf numFmtId="3" fontId="8" fillId="0" borderId="107" xfId="0" applyNumberFormat="1" applyFont="1" applyBorder="1" applyAlignment="1">
      <alignment vertical="center"/>
    </xf>
    <xf numFmtId="0" fontId="14" fillId="53" borderId="33" xfId="0" applyFont="1" applyFill="1" applyBorder="1" applyAlignment="1">
      <alignment horizontal="centerContinuous" vertical="center" wrapText="1"/>
    </xf>
    <xf numFmtId="0" fontId="8" fillId="53" borderId="22" xfId="0" applyFont="1" applyFill="1" applyBorder="1" applyAlignment="1">
      <alignment horizontal="centerContinuous" vertical="center" wrapText="1"/>
    </xf>
    <xf numFmtId="0" fontId="8" fillId="53" borderId="32" xfId="0" applyFont="1" applyFill="1" applyBorder="1" applyAlignment="1">
      <alignment horizontal="centerContinuous" vertical="center" wrapText="1"/>
    </xf>
    <xf numFmtId="3" fontId="38" fillId="0" borderId="82" xfId="0" applyNumberFormat="1" applyFont="1" applyFill="1" applyBorder="1" applyAlignment="1">
      <alignment horizontal="right" vertical="center"/>
    </xf>
    <xf numFmtId="3" fontId="38" fillId="0" borderId="55" xfId="105" applyNumberFormat="1" applyFont="1" applyFill="1" applyBorder="1" applyAlignment="1">
      <alignment horizontal="right" vertical="center"/>
    </xf>
    <xf numFmtId="3" fontId="38" fillId="54" borderId="39" xfId="0" applyNumberFormat="1" applyFont="1" applyFill="1" applyBorder="1" applyAlignment="1">
      <alignment horizontal="right" vertical="center"/>
    </xf>
    <xf numFmtId="3" fontId="31" fillId="0" borderId="62" xfId="0" applyNumberFormat="1" applyFont="1" applyFill="1" applyBorder="1" applyAlignment="1">
      <alignment horizontal="right" vertical="center"/>
    </xf>
    <xf numFmtId="3" fontId="31" fillId="0" borderId="82" xfId="0" applyNumberFormat="1" applyFont="1" applyFill="1" applyBorder="1" applyAlignment="1">
      <alignment horizontal="right" vertical="center"/>
    </xf>
    <xf numFmtId="3" fontId="31" fillId="0" borderId="67" xfId="0" applyNumberFormat="1" applyFont="1" applyFill="1" applyBorder="1" applyAlignment="1">
      <alignment horizontal="right" vertical="center"/>
    </xf>
    <xf numFmtId="3" fontId="38" fillId="53" borderId="39" xfId="105" applyNumberFormat="1" applyFont="1" applyFill="1" applyBorder="1" applyAlignment="1">
      <alignment vertical="center"/>
    </xf>
    <xf numFmtId="3" fontId="38" fillId="0" borderId="119" xfId="105" applyNumberFormat="1" applyFont="1" applyFill="1" applyBorder="1" applyAlignment="1">
      <alignment horizontal="right" vertical="center"/>
    </xf>
    <xf numFmtId="3" fontId="38" fillId="0" borderId="67" xfId="105" applyNumberFormat="1" applyFont="1" applyFill="1" applyBorder="1" applyAlignment="1">
      <alignment vertical="center"/>
    </xf>
    <xf numFmtId="3" fontId="38" fillId="58" borderId="39" xfId="0" applyNumberFormat="1" applyFont="1" applyFill="1" applyBorder="1" applyAlignment="1">
      <alignment horizontal="right" vertical="center"/>
    </xf>
    <xf numFmtId="3" fontId="38" fillId="54" borderId="140" xfId="0" applyNumberFormat="1" applyFont="1" applyFill="1" applyBorder="1" applyAlignment="1">
      <alignment horizontal="right" vertical="center"/>
    </xf>
    <xf numFmtId="3" fontId="31" fillId="0" borderId="35" xfId="104" applyNumberFormat="1" applyFont="1" applyFill="1" applyBorder="1" applyAlignment="1">
      <alignment horizontal="right" vertical="center"/>
    </xf>
    <xf numFmtId="0" fontId="19" fillId="50" borderId="38" xfId="0" applyFont="1" applyFill="1" applyBorder="1" applyAlignment="1">
      <alignment horizontal="center" vertical="center" wrapText="1"/>
    </xf>
    <xf numFmtId="3" fontId="19" fillId="50" borderId="28" xfId="0" applyNumberFormat="1" applyFont="1" applyFill="1" applyBorder="1" applyAlignment="1">
      <alignment horizontal="center"/>
    </xf>
    <xf numFmtId="0" fontId="19" fillId="50" borderId="39" xfId="0" applyFont="1" applyFill="1" applyBorder="1" applyAlignment="1">
      <alignment horizontal="center"/>
    </xf>
    <xf numFmtId="0" fontId="31" fillId="0" borderId="97" xfId="110" applyFont="1" applyBorder="1" applyAlignment="1">
      <alignment horizontal="center" vertical="center" wrapText="1"/>
      <protection/>
    </xf>
    <xf numFmtId="0" fontId="35" fillId="50" borderId="38" xfId="110" applyFont="1" applyFill="1" applyBorder="1" applyAlignment="1">
      <alignment horizontal="center" vertical="center"/>
      <protection/>
    </xf>
    <xf numFmtId="3" fontId="31" fillId="0" borderId="44" xfId="110" applyNumberFormat="1" applyFont="1" applyBorder="1" applyAlignment="1">
      <alignment vertical="center"/>
      <protection/>
    </xf>
    <xf numFmtId="3" fontId="31" fillId="0" borderId="37" xfId="110" applyNumberFormat="1" applyFont="1" applyBorder="1" applyAlignment="1">
      <alignment vertical="center"/>
      <protection/>
    </xf>
    <xf numFmtId="3" fontId="38" fillId="53" borderId="38" xfId="110" applyNumberFormat="1" applyFont="1" applyFill="1" applyBorder="1" applyAlignment="1">
      <alignment vertical="center"/>
      <protection/>
    </xf>
    <xf numFmtId="3" fontId="31" fillId="0" borderId="115" xfId="0" applyNumberFormat="1" applyFont="1" applyFill="1" applyBorder="1" applyAlignment="1">
      <alignment vertical="center"/>
    </xf>
    <xf numFmtId="3" fontId="38" fillId="54" borderId="25" xfId="110" applyNumberFormat="1" applyFont="1" applyFill="1" applyBorder="1" applyAlignment="1">
      <alignment vertical="center"/>
      <protection/>
    </xf>
    <xf numFmtId="0" fontId="31" fillId="0" borderId="88" xfId="110" applyFont="1" applyBorder="1" applyAlignment="1">
      <alignment horizontal="center" vertical="center" wrapText="1"/>
      <protection/>
    </xf>
    <xf numFmtId="0" fontId="31" fillId="0" borderId="80" xfId="110" applyFont="1" applyBorder="1" applyAlignment="1">
      <alignment horizontal="center" vertical="center" wrapText="1"/>
      <protection/>
    </xf>
    <xf numFmtId="0" fontId="35" fillId="50" borderId="88" xfId="110" applyFont="1" applyFill="1" applyBorder="1" applyAlignment="1">
      <alignment horizontal="center" vertical="center"/>
      <protection/>
    </xf>
    <xf numFmtId="3" fontId="38" fillId="53" borderId="29" xfId="110" applyNumberFormat="1" applyFont="1" applyFill="1" applyBorder="1" applyAlignment="1">
      <alignment vertical="center"/>
      <protection/>
    </xf>
    <xf numFmtId="3" fontId="38" fillId="54" borderId="29" xfId="110" applyNumberFormat="1" applyFont="1" applyFill="1" applyBorder="1" applyAlignment="1">
      <alignment vertical="center"/>
      <protection/>
    </xf>
    <xf numFmtId="0" fontId="31" fillId="0" borderId="113" xfId="110" applyFont="1" applyBorder="1" applyAlignment="1">
      <alignment horizontal="center" vertical="center" wrapText="1"/>
      <protection/>
    </xf>
    <xf numFmtId="3" fontId="31" fillId="0" borderId="74" xfId="110" applyNumberFormat="1" applyFont="1" applyBorder="1" applyAlignment="1">
      <alignment vertical="center"/>
      <protection/>
    </xf>
    <xf numFmtId="3" fontId="31" fillId="0" borderId="119" xfId="110" applyNumberFormat="1" applyFont="1" applyBorder="1" applyAlignment="1">
      <alignment vertical="center"/>
      <protection/>
    </xf>
    <xf numFmtId="3" fontId="38" fillId="54" borderId="46" xfId="110" applyNumberFormat="1" applyFont="1" applyFill="1" applyBorder="1" applyAlignment="1">
      <alignment vertical="center"/>
      <protection/>
    </xf>
    <xf numFmtId="0" fontId="19" fillId="50" borderId="25" xfId="107" applyFont="1" applyFill="1" applyBorder="1" applyAlignment="1">
      <alignment horizontal="center" vertical="center"/>
      <protection/>
    </xf>
    <xf numFmtId="3" fontId="17" fillId="53" borderId="74" xfId="106" applyNumberFormat="1" applyFont="1" applyFill="1" applyBorder="1" applyAlignment="1">
      <alignment horizontal="right" vertical="center"/>
    </xf>
    <xf numFmtId="3" fontId="17" fillId="0" borderId="113" xfId="107" applyNumberFormat="1" applyFont="1" applyFill="1" applyBorder="1" applyAlignment="1">
      <alignment horizontal="right" vertical="center"/>
      <protection/>
    </xf>
    <xf numFmtId="3" fontId="14" fillId="53" borderId="42" xfId="107" applyNumberFormat="1" applyFont="1" applyFill="1" applyBorder="1" applyAlignment="1">
      <alignment vertical="center"/>
      <protection/>
    </xf>
    <xf numFmtId="3" fontId="17" fillId="0" borderId="123" xfId="107" applyNumberFormat="1" applyFont="1" applyFill="1" applyBorder="1" applyAlignment="1">
      <alignment horizontal="right" vertical="center"/>
      <protection/>
    </xf>
    <xf numFmtId="3" fontId="17" fillId="0" borderId="126" xfId="107" applyNumberFormat="1" applyFont="1" applyFill="1" applyBorder="1" applyAlignment="1">
      <alignment horizontal="right" vertical="center"/>
      <protection/>
    </xf>
    <xf numFmtId="3" fontId="14" fillId="54" borderId="113" xfId="107" applyNumberFormat="1" applyFont="1" applyFill="1" applyBorder="1" applyAlignment="1">
      <alignment vertical="center"/>
      <protection/>
    </xf>
    <xf numFmtId="0" fontId="19" fillId="50" borderId="29" xfId="107" applyFont="1" applyFill="1" applyBorder="1" applyAlignment="1">
      <alignment horizontal="center" vertical="center"/>
      <protection/>
    </xf>
    <xf numFmtId="3" fontId="17" fillId="0" borderId="21" xfId="107" applyNumberFormat="1" applyFont="1" applyFill="1" applyBorder="1" applyAlignment="1">
      <alignment horizontal="right" vertical="center"/>
      <protection/>
    </xf>
    <xf numFmtId="3" fontId="17" fillId="0" borderId="21" xfId="107" applyNumberFormat="1" applyFont="1" applyFill="1" applyBorder="1" applyAlignment="1">
      <alignment horizontal="right" vertical="center"/>
      <protection/>
    </xf>
    <xf numFmtId="3" fontId="17" fillId="0" borderId="76" xfId="107" applyNumberFormat="1" applyFont="1" applyFill="1" applyBorder="1" applyAlignment="1">
      <alignment horizontal="right" vertical="center"/>
      <protection/>
    </xf>
    <xf numFmtId="3" fontId="17" fillId="0" borderId="76" xfId="107" applyNumberFormat="1" applyFont="1" applyFill="1" applyBorder="1" applyAlignment="1">
      <alignment horizontal="right" vertical="center"/>
      <protection/>
    </xf>
    <xf numFmtId="3" fontId="17" fillId="53" borderId="32" xfId="106" applyNumberFormat="1" applyFont="1" applyFill="1" applyBorder="1" applyAlignment="1">
      <alignment horizontal="right" vertical="center"/>
    </xf>
    <xf numFmtId="3" fontId="17" fillId="0" borderId="135" xfId="107" applyNumberFormat="1" applyFont="1" applyFill="1" applyBorder="1" applyAlignment="1">
      <alignment horizontal="right" vertical="center"/>
      <protection/>
    </xf>
    <xf numFmtId="3" fontId="14" fillId="53" borderId="135" xfId="107" applyNumberFormat="1" applyFont="1" applyFill="1" applyBorder="1" applyAlignment="1">
      <alignment horizontal="right" vertical="center"/>
      <protection/>
    </xf>
    <xf numFmtId="3" fontId="14" fillId="54" borderId="135" xfId="107" applyNumberFormat="1" applyFont="1" applyFill="1" applyBorder="1" applyAlignment="1">
      <alignment vertical="center"/>
      <protection/>
    </xf>
    <xf numFmtId="3" fontId="14" fillId="53" borderId="29" xfId="107" applyNumberFormat="1" applyFont="1" applyFill="1" applyBorder="1" applyAlignment="1">
      <alignment vertical="center"/>
      <protection/>
    </xf>
    <xf numFmtId="0" fontId="18" fillId="45" borderId="30" xfId="0" applyFont="1" applyFill="1" applyBorder="1" applyAlignment="1" applyProtection="1">
      <alignment horizontal="left" vertical="center" wrapText="1"/>
      <protection locked="0"/>
    </xf>
    <xf numFmtId="3" fontId="12" fillId="0" borderId="34" xfId="0" applyNumberFormat="1" applyFont="1" applyFill="1" applyBorder="1" applyAlignment="1">
      <alignment horizontal="right" vertical="center"/>
    </xf>
    <xf numFmtId="3" fontId="18" fillId="0" borderId="34" xfId="0" applyNumberFormat="1" applyFont="1" applyFill="1" applyBorder="1" applyAlignment="1">
      <alignment horizontal="righ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31" fillId="0" borderId="49" xfId="105" applyNumberFormat="1" applyFont="1" applyBorder="1" applyAlignment="1">
      <alignment vertical="center"/>
    </xf>
    <xf numFmtId="3" fontId="31" fillId="45" borderId="49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38" fillId="0" borderId="48" xfId="105" applyNumberFormat="1" applyFont="1" applyFill="1" applyBorder="1" applyAlignment="1">
      <alignment vertical="center"/>
    </xf>
    <xf numFmtId="3" fontId="31" fillId="0" borderId="48" xfId="105" applyNumberFormat="1" applyFont="1" applyFill="1" applyBorder="1" applyAlignment="1">
      <alignment vertical="center"/>
    </xf>
    <xf numFmtId="3" fontId="38" fillId="0" borderId="35" xfId="105" applyNumberFormat="1" applyFont="1" applyFill="1" applyBorder="1" applyAlignment="1">
      <alignment vertical="center"/>
    </xf>
    <xf numFmtId="3" fontId="31" fillId="0" borderId="34" xfId="68" applyNumberFormat="1" applyFont="1" applyFill="1" applyBorder="1" applyAlignment="1">
      <alignment horizontal="right" vertical="center"/>
    </xf>
    <xf numFmtId="3" fontId="31" fillId="0" borderId="35" xfId="68" applyNumberFormat="1" applyFont="1" applyFill="1" applyBorder="1" applyAlignment="1">
      <alignment horizontal="right" vertical="center"/>
    </xf>
    <xf numFmtId="3" fontId="31" fillId="0" borderId="49" xfId="0" applyNumberFormat="1" applyFont="1" applyFill="1" applyBorder="1" applyAlignment="1">
      <alignment horizontal="right" vertical="center"/>
    </xf>
    <xf numFmtId="3" fontId="31" fillId="0" borderId="48" xfId="105" applyNumberFormat="1" applyFont="1" applyBorder="1" applyAlignment="1">
      <alignment vertical="center"/>
    </xf>
    <xf numFmtId="3" fontId="147" fillId="0" borderId="34" xfId="0" applyNumberFormat="1" applyFont="1" applyBorder="1" applyAlignment="1">
      <alignment horizontal="right" vertical="center"/>
    </xf>
    <xf numFmtId="3" fontId="31" fillId="45" borderId="82" xfId="0" applyNumberFormat="1" applyFont="1" applyFill="1" applyBorder="1" applyAlignment="1">
      <alignment horizontal="right" vertical="center"/>
    </xf>
    <xf numFmtId="3" fontId="31" fillId="45" borderId="55" xfId="0" applyNumberFormat="1" applyFont="1" applyFill="1" applyBorder="1" applyAlignment="1">
      <alignment horizontal="right" vertical="center"/>
    </xf>
    <xf numFmtId="3" fontId="31" fillId="0" borderId="35" xfId="0" applyNumberFormat="1" applyFont="1" applyBorder="1" applyAlignment="1">
      <alignment vertical="center" wrapText="1"/>
    </xf>
    <xf numFmtId="3" fontId="31" fillId="0" borderId="35" xfId="0" applyNumberFormat="1" applyFont="1" applyBorder="1" applyAlignment="1">
      <alignment horizontal="right" vertical="center"/>
    </xf>
    <xf numFmtId="3" fontId="31" fillId="0" borderId="0" xfId="110" applyNumberFormat="1" applyFont="1" applyBorder="1" applyAlignment="1">
      <alignment vertical="center"/>
      <protection/>
    </xf>
    <xf numFmtId="3" fontId="31" fillId="0" borderId="50" xfId="110" applyNumberFormat="1" applyFont="1" applyBorder="1" applyAlignment="1">
      <alignment vertical="center"/>
      <protection/>
    </xf>
    <xf numFmtId="3" fontId="31" fillId="0" borderId="91" xfId="110" applyNumberFormat="1" applyFont="1" applyBorder="1" applyAlignment="1">
      <alignment vertical="center"/>
      <protection/>
    </xf>
    <xf numFmtId="3" fontId="31" fillId="0" borderId="90" xfId="110" applyNumberFormat="1" applyFont="1" applyBorder="1" applyAlignment="1">
      <alignment vertical="center"/>
      <protection/>
    </xf>
    <xf numFmtId="0" fontId="31" fillId="0" borderId="119" xfId="111" applyFont="1" applyBorder="1" applyAlignment="1">
      <alignment vertical="center" wrapText="1"/>
      <protection/>
    </xf>
    <xf numFmtId="0" fontId="31" fillId="0" borderId="27" xfId="111" applyFont="1" applyBorder="1" applyAlignment="1">
      <alignment vertical="center" wrapText="1"/>
      <protection/>
    </xf>
    <xf numFmtId="0" fontId="31" fillId="0" borderId="115" xfId="111" applyFont="1" applyBorder="1" applyAlignment="1">
      <alignment vertical="center" wrapText="1"/>
      <protection/>
    </xf>
    <xf numFmtId="3" fontId="31" fillId="0" borderId="49" xfId="104" applyNumberFormat="1" applyFont="1" applyFill="1" applyBorder="1" applyAlignment="1">
      <alignment horizontal="right" vertical="center"/>
    </xf>
    <xf numFmtId="3" fontId="45" fillId="0" borderId="55" xfId="108" applyNumberFormat="1" applyFont="1" applyFill="1" applyBorder="1" applyAlignment="1" applyProtection="1">
      <alignment horizontal="right" vertical="center"/>
      <protection hidden="1"/>
    </xf>
    <xf numFmtId="3" fontId="45" fillId="0" borderId="36" xfId="108" applyNumberFormat="1" applyFont="1" applyFill="1" applyBorder="1" applyAlignment="1" applyProtection="1">
      <alignment horizontal="right" vertical="center"/>
      <protection hidden="1"/>
    </xf>
    <xf numFmtId="3" fontId="45" fillId="0" borderId="0" xfId="108" applyNumberFormat="1" applyFont="1" applyFill="1" applyBorder="1" applyAlignment="1" applyProtection="1">
      <alignment horizontal="right" vertical="center"/>
      <protection hidden="1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45" fillId="0" borderId="34" xfId="96" applyFont="1" applyFill="1" applyBorder="1" applyAlignment="1">
      <alignment horizontal="center" vertical="center"/>
      <protection/>
    </xf>
    <xf numFmtId="3" fontId="45" fillId="0" borderId="125" xfId="108" applyNumberFormat="1" applyFont="1" applyFill="1" applyBorder="1" applyAlignment="1" applyProtection="1">
      <alignment horizontal="right" vertical="center"/>
      <protection hidden="1"/>
    </xf>
    <xf numFmtId="3" fontId="44" fillId="0" borderId="36" xfId="96" applyNumberFormat="1" applyFont="1" applyFill="1" applyBorder="1" applyAlignment="1">
      <alignment horizontal="right" vertical="center"/>
      <protection/>
    </xf>
    <xf numFmtId="0" fontId="17" fillId="0" borderId="34" xfId="107" applyFont="1" applyFill="1" applyBorder="1" applyAlignment="1">
      <alignment vertical="center" wrapText="1"/>
      <protection/>
    </xf>
    <xf numFmtId="0" fontId="19" fillId="50" borderId="39" xfId="0" applyFont="1" applyFill="1" applyBorder="1" applyAlignment="1">
      <alignment horizontal="center" vertical="center"/>
    </xf>
    <xf numFmtId="3" fontId="38" fillId="45" borderId="62" xfId="0" applyNumberFormat="1" applyFont="1" applyFill="1" applyBorder="1" applyAlignment="1">
      <alignment horizontal="right" vertical="center"/>
    </xf>
    <xf numFmtId="3" fontId="38" fillId="58" borderId="143" xfId="0" applyNumberFormat="1" applyFont="1" applyFill="1" applyBorder="1" applyAlignment="1">
      <alignment horizontal="right" vertical="center"/>
    </xf>
    <xf numFmtId="3" fontId="12" fillId="58" borderId="144" xfId="0" applyNumberFormat="1" applyFont="1" applyFill="1" applyBorder="1" applyAlignment="1">
      <alignment vertical="center"/>
    </xf>
    <xf numFmtId="3" fontId="12" fillId="9" borderId="70" xfId="0" applyNumberFormat="1" applyFont="1" applyFill="1" applyBorder="1" applyAlignment="1">
      <alignment horizontal="right" vertical="center"/>
    </xf>
    <xf numFmtId="3" fontId="12" fillId="54" borderId="65" xfId="0" applyNumberFormat="1" applyFont="1" applyFill="1" applyBorder="1" applyAlignment="1">
      <alignment vertical="center"/>
    </xf>
    <xf numFmtId="3" fontId="31" fillId="45" borderId="62" xfId="0" applyNumberFormat="1" applyFont="1" applyFill="1" applyBorder="1" applyAlignment="1">
      <alignment horizontal="right" vertical="center"/>
    </xf>
    <xf numFmtId="0" fontId="31" fillId="0" borderId="48" xfId="110" applyFont="1" applyBorder="1" applyAlignment="1">
      <alignment horizontal="center" vertical="center"/>
      <protection/>
    </xf>
    <xf numFmtId="3" fontId="17" fillId="0" borderId="36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82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3" fontId="17" fillId="45" borderId="36" xfId="0" applyNumberFormat="1" applyFont="1" applyFill="1" applyBorder="1" applyAlignment="1">
      <alignment horizontal="right" vertical="center"/>
    </xf>
    <xf numFmtId="3" fontId="17" fillId="0" borderId="36" xfId="0" applyNumberFormat="1" applyFont="1" applyFill="1" applyBorder="1" applyAlignment="1">
      <alignment horizontal="right" vertical="center"/>
    </xf>
    <xf numFmtId="3" fontId="14" fillId="58" borderId="114" xfId="0" applyNumberFormat="1" applyFont="1" applyFill="1" applyBorder="1" applyAlignment="1">
      <alignment vertical="center"/>
    </xf>
    <xf numFmtId="3" fontId="14" fillId="58" borderId="93" xfId="0" applyNumberFormat="1" applyFont="1" applyFill="1" applyBorder="1" applyAlignment="1">
      <alignment vertical="center"/>
    </xf>
    <xf numFmtId="49" fontId="17" fillId="0" borderId="0" xfId="97" applyNumberFormat="1" applyFont="1" applyFill="1" applyBorder="1" applyAlignment="1">
      <alignment vertical="center" wrapText="1"/>
      <protection/>
    </xf>
    <xf numFmtId="3" fontId="39" fillId="0" borderId="127" xfId="68" applyNumberFormat="1" applyFont="1" applyBorder="1" applyAlignment="1" applyProtection="1">
      <alignment horizontal="right" vertical="center"/>
      <protection hidden="1"/>
    </xf>
    <xf numFmtId="0" fontId="12" fillId="51" borderId="50" xfId="0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51" borderId="49" xfId="0" applyNumberFormat="1" applyFont="1" applyFill="1" applyBorder="1" applyAlignment="1">
      <alignment horizontal="right" vertical="center"/>
    </xf>
    <xf numFmtId="3" fontId="45" fillId="0" borderId="34" xfId="0" applyNumberFormat="1" applyFont="1" applyFill="1" applyBorder="1" applyAlignment="1">
      <alignment horizontal="right" vertical="center"/>
    </xf>
    <xf numFmtId="3" fontId="45" fillId="0" borderId="49" xfId="0" applyNumberFormat="1" applyFont="1" applyFill="1" applyBorder="1" applyAlignment="1">
      <alignment horizontal="right" vertical="center"/>
    </xf>
    <xf numFmtId="3" fontId="45" fillId="0" borderId="53" xfId="0" applyNumberFormat="1" applyFont="1" applyFill="1" applyBorder="1" applyAlignment="1">
      <alignment horizontal="right" vertical="center"/>
    </xf>
    <xf numFmtId="3" fontId="31" fillId="0" borderId="23" xfId="0" applyNumberFormat="1" applyFont="1" applyFill="1" applyBorder="1" applyAlignment="1">
      <alignment horizontal="right" vertical="center"/>
    </xf>
    <xf numFmtId="3" fontId="12" fillId="60" borderId="24" xfId="0" applyNumberFormat="1" applyFont="1" applyFill="1" applyBorder="1" applyAlignment="1">
      <alignment horizontal="right" vertical="center"/>
    </xf>
    <xf numFmtId="3" fontId="12" fillId="58" borderId="49" xfId="0" applyNumberFormat="1" applyFont="1" applyFill="1" applyBorder="1" applyAlignment="1">
      <alignment vertical="center"/>
    </xf>
    <xf numFmtId="3" fontId="12" fillId="58" borderId="68" xfId="0" applyNumberFormat="1" applyFont="1" applyFill="1" applyBorder="1" applyAlignment="1">
      <alignment vertical="center"/>
    </xf>
    <xf numFmtId="3" fontId="12" fillId="58" borderId="143" xfId="0" applyNumberFormat="1" applyFont="1" applyFill="1" applyBorder="1" applyAlignment="1">
      <alignment vertical="center"/>
    </xf>
    <xf numFmtId="3" fontId="31" fillId="0" borderId="40" xfId="0" applyNumberFormat="1" applyFont="1" applyFill="1" applyBorder="1" applyAlignment="1">
      <alignment horizontal="right" vertical="center"/>
    </xf>
    <xf numFmtId="3" fontId="38" fillId="0" borderId="114" xfId="0" applyNumberFormat="1" applyFont="1" applyFill="1" applyBorder="1" applyAlignment="1">
      <alignment horizontal="right" vertical="center"/>
    </xf>
    <xf numFmtId="0" fontId="12" fillId="53" borderId="145" xfId="0" applyFont="1" applyFill="1" applyBorder="1" applyAlignment="1">
      <alignment horizontal="center" vertical="center"/>
    </xf>
    <xf numFmtId="3" fontId="12" fillId="60" borderId="145" xfId="0" applyNumberFormat="1" applyFont="1" applyFill="1" applyBorder="1" applyAlignment="1">
      <alignment horizontal="right" vertical="center"/>
    </xf>
    <xf numFmtId="3" fontId="12" fillId="53" borderId="145" xfId="105" applyNumberFormat="1" applyFont="1" applyFill="1" applyBorder="1" applyAlignment="1">
      <alignment vertical="center"/>
    </xf>
    <xf numFmtId="3" fontId="38" fillId="60" borderId="146" xfId="0" applyNumberFormat="1" applyFont="1" applyFill="1" applyBorder="1" applyAlignment="1">
      <alignment horizontal="right" vertical="center"/>
    </xf>
    <xf numFmtId="3" fontId="31" fillId="45" borderId="49" xfId="0" applyNumberFormat="1" applyFont="1" applyFill="1" applyBorder="1" applyAlignment="1">
      <alignment horizontal="right" vertical="center"/>
    </xf>
    <xf numFmtId="3" fontId="31" fillId="0" borderId="35" xfId="0" applyNumberFormat="1" applyFont="1" applyFill="1" applyBorder="1" applyAlignment="1">
      <alignment horizontal="right" vertical="center"/>
    </xf>
    <xf numFmtId="3" fontId="31" fillId="45" borderId="49" xfId="0" applyNumberFormat="1" applyFont="1" applyFill="1" applyBorder="1" applyAlignment="1">
      <alignment horizontal="right" vertical="center"/>
    </xf>
    <xf numFmtId="0" fontId="0" fillId="45" borderId="0" xfId="0" applyFill="1" applyAlignment="1">
      <alignment horizontal="right" vertical="center"/>
    </xf>
    <xf numFmtId="0" fontId="147" fillId="0" borderId="34" xfId="0" applyFont="1" applyFill="1" applyBorder="1" applyAlignment="1">
      <alignment horizontal="right" vertical="center" wrapText="1"/>
    </xf>
    <xf numFmtId="3" fontId="31" fillId="0" borderId="49" xfId="68" applyNumberFormat="1" applyFont="1" applyFill="1" applyBorder="1" applyAlignment="1">
      <alignment horizontal="right" vertical="center"/>
    </xf>
    <xf numFmtId="3" fontId="31" fillId="45" borderId="48" xfId="0" applyNumberFormat="1" applyFont="1" applyFill="1" applyBorder="1" applyAlignment="1">
      <alignment horizontal="right" vertical="center"/>
    </xf>
    <xf numFmtId="3" fontId="31" fillId="45" borderId="34" xfId="0" applyNumberFormat="1" applyFont="1" applyFill="1" applyBorder="1" applyAlignment="1">
      <alignment horizontal="right" vertical="center"/>
    </xf>
    <xf numFmtId="3" fontId="31" fillId="0" borderId="55" xfId="105" applyNumberFormat="1" applyFont="1" applyFill="1" applyBorder="1" applyAlignment="1">
      <alignment horizontal="right" vertical="center"/>
    </xf>
    <xf numFmtId="3" fontId="31" fillId="0" borderId="66" xfId="105" applyNumberFormat="1" applyFont="1" applyFill="1" applyBorder="1" applyAlignment="1">
      <alignment horizontal="right" vertical="center"/>
    </xf>
    <xf numFmtId="3" fontId="31" fillId="0" borderId="62" xfId="105" applyNumberFormat="1" applyFont="1" applyFill="1" applyBorder="1" applyAlignment="1">
      <alignment horizontal="right" vertical="center"/>
    </xf>
    <xf numFmtId="3" fontId="31" fillId="0" borderId="67" xfId="105" applyNumberFormat="1" applyFont="1" applyFill="1" applyBorder="1" applyAlignment="1">
      <alignment horizontal="right" vertical="center"/>
    </xf>
    <xf numFmtId="3" fontId="31" fillId="0" borderId="35" xfId="104" applyNumberFormat="1" applyFont="1" applyFill="1" applyBorder="1" applyAlignment="1">
      <alignment vertical="center"/>
    </xf>
    <xf numFmtId="3" fontId="31" fillId="0" borderId="34" xfId="105" applyNumberFormat="1" applyFont="1" applyFill="1" applyBorder="1" applyAlignment="1">
      <alignment horizontal="right" vertical="center"/>
    </xf>
    <xf numFmtId="3" fontId="31" fillId="0" borderId="82" xfId="105" applyNumberFormat="1" applyFont="1" applyFill="1" applyBorder="1" applyAlignment="1">
      <alignment horizontal="right" vertical="center"/>
    </xf>
    <xf numFmtId="3" fontId="31" fillId="65" borderId="34" xfId="0" applyNumberFormat="1" applyFont="1" applyFill="1" applyBorder="1" applyAlignment="1">
      <alignment horizontal="right" vertical="center"/>
    </xf>
    <xf numFmtId="3" fontId="38" fillId="65" borderId="55" xfId="0" applyNumberFormat="1" applyFont="1" applyFill="1" applyBorder="1" applyAlignment="1">
      <alignment horizontal="right" vertical="center"/>
    </xf>
    <xf numFmtId="0" fontId="70" fillId="0" borderId="50" xfId="0" applyFont="1" applyFill="1" applyBorder="1" applyAlignment="1">
      <alignment horizontal="center" vertical="center"/>
    </xf>
    <xf numFmtId="3" fontId="70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3" fontId="38" fillId="53" borderId="25" xfId="105" applyNumberFormat="1" applyFont="1" applyFill="1" applyBorder="1" applyAlignment="1">
      <alignment vertical="center"/>
    </xf>
    <xf numFmtId="3" fontId="38" fillId="0" borderId="53" xfId="105" applyNumberFormat="1" applyFont="1" applyFill="1" applyBorder="1" applyAlignment="1">
      <alignment vertical="center"/>
    </xf>
    <xf numFmtId="3" fontId="38" fillId="0" borderId="34" xfId="105" applyNumberFormat="1" applyFont="1" applyFill="1" applyBorder="1" applyAlignment="1">
      <alignment vertical="center"/>
    </xf>
    <xf numFmtId="3" fontId="38" fillId="0" borderId="31" xfId="105" applyNumberFormat="1" applyFont="1" applyFill="1" applyBorder="1" applyAlignment="1">
      <alignment vertical="center"/>
    </xf>
    <xf numFmtId="49" fontId="38" fillId="66" borderId="34" xfId="0" applyNumberFormat="1" applyFont="1" applyFill="1" applyBorder="1" applyAlignment="1">
      <alignment vertical="center" wrapText="1"/>
    </xf>
    <xf numFmtId="3" fontId="12" fillId="0" borderId="35" xfId="104" applyNumberFormat="1" applyFont="1" applyFill="1" applyBorder="1" applyAlignment="1">
      <alignment horizontal="right" vertical="center"/>
    </xf>
    <xf numFmtId="0" fontId="17" fillId="0" borderId="34" xfId="106" applyFont="1" applyFill="1" applyBorder="1" applyAlignment="1">
      <alignment vertical="center"/>
    </xf>
    <xf numFmtId="3" fontId="38" fillId="0" borderId="30" xfId="10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7" fillId="0" borderId="97" xfId="0" applyNumberFormat="1" applyFont="1" applyFill="1" applyBorder="1" applyAlignment="1">
      <alignment horizontal="right" vertical="center"/>
    </xf>
    <xf numFmtId="3" fontId="17" fillId="0" borderId="93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31" fillId="0" borderId="114" xfId="105" applyNumberFormat="1" applyFont="1" applyFill="1" applyBorder="1" applyAlignment="1">
      <alignment horizontal="right" vertical="center"/>
    </xf>
    <xf numFmtId="0" fontId="31" fillId="0" borderId="49" xfId="110" applyFont="1" applyBorder="1" applyAlignment="1">
      <alignment horizontal="center" vertical="center"/>
      <protection/>
    </xf>
    <xf numFmtId="3" fontId="31" fillId="57" borderId="49" xfId="110" applyNumberFormat="1" applyFont="1" applyFill="1" applyBorder="1" applyAlignment="1">
      <alignment vertical="center"/>
      <protection/>
    </xf>
    <xf numFmtId="3" fontId="31" fillId="0" borderId="0" xfId="0" applyNumberFormat="1" applyFont="1" applyFill="1" applyBorder="1" applyAlignment="1">
      <alignment vertical="center"/>
    </xf>
    <xf numFmtId="3" fontId="31" fillId="0" borderId="91" xfId="0" applyNumberFormat="1" applyFont="1" applyFill="1" applyBorder="1" applyAlignment="1">
      <alignment vertical="center"/>
    </xf>
    <xf numFmtId="3" fontId="31" fillId="0" borderId="89" xfId="0" applyNumberFormat="1" applyFont="1" applyFill="1" applyBorder="1" applyAlignment="1">
      <alignment vertical="center"/>
    </xf>
    <xf numFmtId="3" fontId="31" fillId="57" borderId="35" xfId="111" applyNumberFormat="1" applyFont="1" applyFill="1" applyBorder="1" applyAlignment="1">
      <alignment vertical="center"/>
      <protection/>
    </xf>
    <xf numFmtId="3" fontId="31" fillId="0" borderId="36" xfId="0" applyNumberFormat="1" applyFont="1" applyFill="1" applyBorder="1" applyAlignment="1">
      <alignment vertical="center"/>
    </xf>
    <xf numFmtId="3" fontId="31" fillId="0" borderId="76" xfId="0" applyNumberFormat="1" applyFont="1" applyFill="1" applyBorder="1" applyAlignment="1">
      <alignment vertical="center"/>
    </xf>
    <xf numFmtId="0" fontId="23" fillId="0" borderId="38" xfId="0" applyFont="1" applyBorder="1" applyAlignment="1">
      <alignment horizontal="center" vertical="center" wrapText="1"/>
    </xf>
    <xf numFmtId="3" fontId="148" fillId="0" borderId="0" xfId="0" applyNumberFormat="1" applyFont="1" applyAlignment="1">
      <alignment vertical="center"/>
    </xf>
    <xf numFmtId="3" fontId="149" fillId="0" borderId="0" xfId="0" applyNumberFormat="1" applyFont="1" applyAlignment="1">
      <alignment vertical="center"/>
    </xf>
    <xf numFmtId="3" fontId="148" fillId="0" borderId="0" xfId="0" applyNumberFormat="1" applyFont="1" applyFill="1" applyAlignment="1">
      <alignment vertical="center"/>
    </xf>
    <xf numFmtId="3" fontId="148" fillId="0" borderId="0" xfId="0" applyNumberFormat="1" applyFont="1" applyAlignment="1">
      <alignment horizontal="center" vertical="center"/>
    </xf>
    <xf numFmtId="3" fontId="150" fillId="0" borderId="0" xfId="0" applyNumberFormat="1" applyFont="1" applyAlignment="1">
      <alignment vertical="center"/>
    </xf>
    <xf numFmtId="49" fontId="31" fillId="45" borderId="34" xfId="104" applyNumberFormat="1" applyFont="1" applyFill="1" applyBorder="1" applyAlignment="1" applyProtection="1">
      <alignment horizontal="left" vertical="center" wrapText="1"/>
      <protection locked="0"/>
    </xf>
    <xf numFmtId="0" fontId="38" fillId="0" borderId="79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49" fontId="71" fillId="0" borderId="34" xfId="0" applyNumberFormat="1" applyFont="1" applyFill="1" applyBorder="1" applyAlignment="1">
      <alignment vertical="center" wrapText="1"/>
    </xf>
    <xf numFmtId="3" fontId="72" fillId="0" borderId="34" xfId="105" applyNumberFormat="1" applyFont="1" applyFill="1" applyBorder="1" applyAlignment="1">
      <alignment horizontal="right" vertical="center"/>
    </xf>
    <xf numFmtId="3" fontId="151" fillId="0" borderId="0" xfId="0" applyNumberFormat="1" applyFont="1" applyAlignment="1">
      <alignment vertical="center"/>
    </xf>
    <xf numFmtId="49" fontId="71" fillId="0" borderId="53" xfId="0" applyNumberFormat="1" applyFont="1" applyFill="1" applyBorder="1" applyAlignment="1">
      <alignment vertical="center" wrapText="1"/>
    </xf>
    <xf numFmtId="3" fontId="31" fillId="0" borderId="0" xfId="105" applyNumberFormat="1" applyFont="1" applyFill="1" applyBorder="1" applyAlignment="1">
      <alignment horizontal="right" vertical="center"/>
    </xf>
    <xf numFmtId="49" fontId="71" fillId="66" borderId="34" xfId="0" applyNumberFormat="1" applyFont="1" applyFill="1" applyBorder="1" applyAlignment="1">
      <alignment vertical="center" wrapText="1"/>
    </xf>
    <xf numFmtId="3" fontId="71" fillId="0" borderId="35" xfId="105" applyNumberFormat="1" applyFont="1" applyFill="1" applyBorder="1" applyAlignment="1">
      <alignment vertical="center"/>
    </xf>
    <xf numFmtId="3" fontId="71" fillId="0" borderId="119" xfId="105" applyNumberFormat="1" applyFont="1" applyFill="1" applyBorder="1" applyAlignment="1">
      <alignment vertical="center"/>
    </xf>
    <xf numFmtId="3" fontId="71" fillId="0" borderId="53" xfId="0" applyNumberFormat="1" applyFont="1" applyFill="1" applyBorder="1" applyAlignment="1">
      <alignment horizontal="right" vertical="center"/>
    </xf>
    <xf numFmtId="3" fontId="152" fillId="0" borderId="0" xfId="0" applyNumberFormat="1" applyFont="1" applyAlignment="1">
      <alignment vertical="center"/>
    </xf>
    <xf numFmtId="3" fontId="71" fillId="0" borderId="49" xfId="105" applyNumberFormat="1" applyFont="1" applyFill="1" applyBorder="1" applyAlignment="1">
      <alignment vertical="center"/>
    </xf>
    <xf numFmtId="3" fontId="71" fillId="0" borderId="0" xfId="105" applyNumberFormat="1" applyFont="1" applyFill="1" applyBorder="1" applyAlignment="1">
      <alignment vertical="center"/>
    </xf>
    <xf numFmtId="3" fontId="71" fillId="0" borderId="53" xfId="105" applyNumberFormat="1" applyFont="1" applyFill="1" applyBorder="1" applyAlignment="1">
      <alignment vertical="center"/>
    </xf>
    <xf numFmtId="3" fontId="71" fillId="0" borderId="125" xfId="105" applyNumberFormat="1" applyFont="1" applyFill="1" applyBorder="1" applyAlignment="1">
      <alignment vertical="center"/>
    </xf>
    <xf numFmtId="3" fontId="71" fillId="0" borderId="34" xfId="105" applyNumberFormat="1" applyFont="1" applyFill="1" applyBorder="1" applyAlignment="1">
      <alignment vertical="center"/>
    </xf>
    <xf numFmtId="3" fontId="71" fillId="0" borderId="115" xfId="105" applyNumberFormat="1" applyFont="1" applyFill="1" applyBorder="1" applyAlignment="1">
      <alignment vertical="center"/>
    </xf>
    <xf numFmtId="3" fontId="71" fillId="0" borderId="34" xfId="0" applyNumberFormat="1" applyFont="1" applyFill="1" applyBorder="1" applyAlignment="1">
      <alignment horizontal="right" vertical="center"/>
    </xf>
    <xf numFmtId="3" fontId="31" fillId="0" borderId="0" xfId="0" applyNumberFormat="1" applyFont="1" applyAlignment="1">
      <alignment vertical="center"/>
    </xf>
    <xf numFmtId="3" fontId="38" fillId="45" borderId="12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8" fillId="49" borderId="87" xfId="0" applyFont="1" applyFill="1" applyBorder="1" applyAlignment="1">
      <alignment vertical="center"/>
    </xf>
    <xf numFmtId="0" fontId="24" fillId="45" borderId="50" xfId="0" applyFont="1" applyFill="1" applyBorder="1" applyAlignment="1">
      <alignment/>
    </xf>
    <xf numFmtId="0" fontId="18" fillId="45" borderId="89" xfId="0" applyFont="1" applyFill="1" applyBorder="1" applyAlignment="1" applyProtection="1">
      <alignment horizontal="left" vertical="center"/>
      <protection locked="0"/>
    </xf>
    <xf numFmtId="3" fontId="18" fillId="45" borderId="49" xfId="0" applyNumberFormat="1" applyFont="1" applyFill="1" applyBorder="1" applyAlignment="1">
      <alignment horizontal="right" vertical="center"/>
    </xf>
    <xf numFmtId="0" fontId="12" fillId="51" borderId="31" xfId="0" applyFont="1" applyFill="1" applyBorder="1" applyAlignment="1" applyProtection="1">
      <alignment horizontal="left" vertical="center" wrapText="1"/>
      <protection locked="0"/>
    </xf>
    <xf numFmtId="0" fontId="12" fillId="51" borderId="115" xfId="0" applyFont="1" applyFill="1" applyBorder="1" applyAlignment="1" applyProtection="1">
      <alignment horizontal="left" vertical="center"/>
      <protection locked="0"/>
    </xf>
    <xf numFmtId="0" fontId="12" fillId="51" borderId="67" xfId="0" applyFont="1" applyFill="1" applyBorder="1" applyAlignment="1" applyProtection="1">
      <alignment horizontal="left" vertical="center"/>
      <protection locked="0"/>
    </xf>
    <xf numFmtId="0" fontId="12" fillId="51" borderId="0" xfId="0" applyFont="1" applyFill="1" applyBorder="1" applyAlignment="1" applyProtection="1">
      <alignment horizontal="left" vertical="center"/>
      <protection locked="0"/>
    </xf>
    <xf numFmtId="3" fontId="18" fillId="45" borderId="49" xfId="0" applyNumberFormat="1" applyFont="1" applyFill="1" applyBorder="1" applyAlignment="1">
      <alignment horizontal="right" vertical="center"/>
    </xf>
    <xf numFmtId="3" fontId="18" fillId="45" borderId="34" xfId="0" applyNumberFormat="1" applyFont="1" applyFill="1" applyBorder="1" applyAlignment="1">
      <alignment horizontal="right" vertical="center"/>
    </xf>
    <xf numFmtId="0" fontId="12" fillId="51" borderId="30" xfId="0" applyFont="1" applyFill="1" applyBorder="1" applyAlignment="1" applyProtection="1">
      <alignment horizontal="left" vertical="center"/>
      <protection locked="0"/>
    </xf>
    <xf numFmtId="3" fontId="17" fillId="0" borderId="147" xfId="107" applyNumberFormat="1" applyFont="1" applyFill="1" applyBorder="1" applyAlignment="1">
      <alignment horizontal="right" vertical="center"/>
      <protection/>
    </xf>
    <xf numFmtId="3" fontId="31" fillId="65" borderId="48" xfId="0" applyNumberFormat="1" applyFont="1" applyFill="1" applyBorder="1" applyAlignment="1">
      <alignment horizontal="right" vertical="center"/>
    </xf>
    <xf numFmtId="3" fontId="38" fillId="65" borderId="48" xfId="0" applyNumberFormat="1" applyFont="1" applyFill="1" applyBorder="1" applyAlignment="1">
      <alignment horizontal="right" vertical="center"/>
    </xf>
    <xf numFmtId="49" fontId="73" fillId="0" borderId="34" xfId="0" applyNumberFormat="1" applyFont="1" applyFill="1" applyBorder="1" applyAlignment="1">
      <alignment vertical="center" wrapText="1"/>
    </xf>
    <xf numFmtId="3" fontId="71" fillId="45" borderId="55" xfId="0" applyNumberFormat="1" applyFont="1" applyFill="1" applyBorder="1" applyAlignment="1">
      <alignment horizontal="right" vertical="center"/>
    </xf>
    <xf numFmtId="49" fontId="71" fillId="66" borderId="127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3" fontId="31" fillId="0" borderId="136" xfId="0" applyNumberFormat="1" applyFont="1" applyFill="1" applyBorder="1" applyAlignment="1">
      <alignment vertical="center"/>
    </xf>
    <xf numFmtId="3" fontId="38" fillId="0" borderId="136" xfId="0" applyNumberFormat="1" applyFont="1" applyFill="1" applyBorder="1" applyAlignment="1">
      <alignment vertical="center"/>
    </xf>
    <xf numFmtId="3" fontId="71" fillId="0" borderId="23" xfId="105" applyNumberFormat="1" applyFont="1" applyFill="1" applyBorder="1" applyAlignment="1">
      <alignment vertical="center"/>
    </xf>
    <xf numFmtId="3" fontId="153" fillId="0" borderId="0" xfId="0" applyNumberFormat="1" applyFont="1" applyAlignment="1">
      <alignment vertical="center"/>
    </xf>
    <xf numFmtId="3" fontId="154" fillId="0" borderId="0" xfId="0" applyNumberFormat="1" applyFont="1" applyAlignment="1">
      <alignment horizontal="center" vertical="center" wrapText="1"/>
    </xf>
    <xf numFmtId="3" fontId="71" fillId="0" borderId="34" xfId="105" applyNumberFormat="1" applyFont="1" applyFill="1" applyBorder="1" applyAlignment="1">
      <alignment horizontal="right" vertical="center"/>
    </xf>
    <xf numFmtId="3" fontId="71" fillId="0" borderId="49" xfId="0" applyNumberFormat="1" applyFont="1" applyFill="1" applyBorder="1" applyAlignment="1">
      <alignment horizontal="right" vertical="center"/>
    </xf>
    <xf numFmtId="3" fontId="38" fillId="45" borderId="34" xfId="0" applyNumberFormat="1" applyFont="1" applyFill="1" applyBorder="1" applyAlignment="1">
      <alignment horizontal="right" vertical="center"/>
    </xf>
    <xf numFmtId="49" fontId="31" fillId="45" borderId="50" xfId="104" applyNumberFormat="1" applyFont="1" applyFill="1" applyBorder="1" applyAlignment="1" applyProtection="1">
      <alignment horizontal="left" vertical="center" wrapText="1"/>
      <protection locked="0"/>
    </xf>
    <xf numFmtId="3" fontId="155" fillId="0" borderId="0" xfId="0" applyNumberFormat="1" applyFont="1" applyAlignment="1">
      <alignment vertical="center"/>
    </xf>
    <xf numFmtId="3" fontId="153" fillId="0" borderId="0" xfId="0" applyNumberFormat="1" applyFont="1" applyFill="1" applyAlignment="1">
      <alignment vertical="center"/>
    </xf>
    <xf numFmtId="3" fontId="153" fillId="15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1" fillId="0" borderId="34" xfId="104" applyNumberFormat="1" applyFont="1" applyFill="1" applyBorder="1" applyAlignment="1">
      <alignment horizontal="right" vertical="center"/>
    </xf>
    <xf numFmtId="0" fontId="74" fillId="0" borderId="49" xfId="0" applyFont="1" applyFill="1" applyBorder="1" applyAlignment="1">
      <alignment horizontal="center" vertical="center"/>
    </xf>
    <xf numFmtId="3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3" fontId="156" fillId="0" borderId="0" xfId="0" applyNumberFormat="1" applyFont="1" applyAlignment="1">
      <alignment vertical="center"/>
    </xf>
    <xf numFmtId="0" fontId="71" fillId="0" borderId="49" xfId="0" applyFont="1" applyFill="1" applyBorder="1" applyAlignment="1">
      <alignment horizontal="center" vertical="center"/>
    </xf>
    <xf numFmtId="3" fontId="71" fillId="0" borderId="34" xfId="104" applyNumberFormat="1" applyFont="1" applyFill="1" applyBorder="1" applyAlignment="1">
      <alignment horizontal="right" vertical="center"/>
    </xf>
    <xf numFmtId="3" fontId="71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3" fontId="157" fillId="0" borderId="0" xfId="0" applyNumberFormat="1" applyFont="1" applyAlignment="1">
      <alignment vertical="center"/>
    </xf>
    <xf numFmtId="3" fontId="158" fillId="0" borderId="0" xfId="0" applyNumberFormat="1" applyFont="1" applyAlignment="1">
      <alignment vertical="center"/>
    </xf>
    <xf numFmtId="3" fontId="71" fillId="0" borderId="49" xfId="104" applyNumberFormat="1" applyFont="1" applyFill="1" applyBorder="1" applyAlignment="1">
      <alignment horizontal="right" vertical="center"/>
    </xf>
    <xf numFmtId="3" fontId="71" fillId="0" borderId="49" xfId="105" applyNumberFormat="1" applyFont="1" applyFill="1" applyBorder="1" applyAlignment="1">
      <alignment horizontal="right" vertical="center"/>
    </xf>
    <xf numFmtId="3" fontId="71" fillId="0" borderId="82" xfId="0" applyNumberFormat="1" applyFont="1" applyFill="1" applyBorder="1" applyAlignment="1">
      <alignment horizontal="right" vertical="center"/>
    </xf>
    <xf numFmtId="49" fontId="71" fillId="0" borderId="23" xfId="0" applyNumberFormat="1" applyFont="1" applyFill="1" applyBorder="1" applyAlignment="1">
      <alignment vertical="center" wrapText="1"/>
    </xf>
    <xf numFmtId="3" fontId="159" fillId="0" borderId="0" xfId="0" applyNumberFormat="1" applyFont="1" applyAlignment="1">
      <alignment vertical="center"/>
    </xf>
    <xf numFmtId="0" fontId="71" fillId="0" borderId="50" xfId="0" applyFont="1" applyFill="1" applyBorder="1" applyAlignment="1">
      <alignment vertical="center"/>
    </xf>
    <xf numFmtId="3" fontId="75" fillId="0" borderId="34" xfId="104" applyNumberFormat="1" applyFont="1" applyFill="1" applyBorder="1" applyAlignment="1">
      <alignment horizontal="right" vertical="center"/>
    </xf>
    <xf numFmtId="3" fontId="160" fillId="0" borderId="0" xfId="0" applyNumberFormat="1" applyFont="1" applyAlignment="1">
      <alignment vertical="center"/>
    </xf>
    <xf numFmtId="49" fontId="0" fillId="45" borderId="0" xfId="0" applyNumberFormat="1" applyFill="1" applyAlignment="1">
      <alignment vertical="center"/>
    </xf>
    <xf numFmtId="49" fontId="18" fillId="45" borderId="0" xfId="0" applyNumberFormat="1" applyFont="1" applyFill="1" applyBorder="1" applyAlignment="1" applyProtection="1">
      <alignment horizontal="centerContinuous" vertical="center"/>
      <protection locked="0"/>
    </xf>
    <xf numFmtId="49" fontId="0" fillId="45" borderId="0" xfId="0" applyNumberFormat="1" applyFill="1" applyAlignment="1">
      <alignment horizontal="centerContinuous" vertical="center"/>
    </xf>
    <xf numFmtId="49" fontId="21" fillId="45" borderId="38" xfId="0" applyNumberFormat="1" applyFont="1" applyFill="1" applyBorder="1" applyAlignment="1">
      <alignment horizontal="center" vertical="center"/>
    </xf>
    <xf numFmtId="49" fontId="19" fillId="50" borderId="38" xfId="0" applyNumberFormat="1" applyFont="1" applyFill="1" applyBorder="1" applyAlignment="1" applyProtection="1">
      <alignment horizontal="center" vertical="center"/>
      <protection locked="0"/>
    </xf>
    <xf numFmtId="49" fontId="31" fillId="0" borderId="67" xfId="0" applyNumberFormat="1" applyFont="1" applyFill="1" applyBorder="1" applyAlignment="1">
      <alignment vertical="center" wrapText="1"/>
    </xf>
    <xf numFmtId="49" fontId="31" fillId="0" borderId="122" xfId="0" applyNumberFormat="1" applyFont="1" applyBorder="1" applyAlignment="1">
      <alignment vertical="center" wrapText="1"/>
    </xf>
    <xf numFmtId="49" fontId="31" fillId="0" borderId="34" xfId="0" applyNumberFormat="1" applyFont="1" applyFill="1" applyBorder="1" applyAlignment="1">
      <alignment vertical="center" wrapText="1"/>
    </xf>
    <xf numFmtId="49" fontId="31" fillId="0" borderId="36" xfId="0" applyNumberFormat="1" applyFont="1" applyFill="1" applyBorder="1" applyAlignment="1">
      <alignment vertical="center" wrapText="1"/>
    </xf>
    <xf numFmtId="49" fontId="31" fillId="0" borderId="50" xfId="0" applyNumberFormat="1" applyFont="1" applyFill="1" applyBorder="1" applyAlignment="1">
      <alignment vertical="center" wrapText="1"/>
    </xf>
    <xf numFmtId="49" fontId="40" fillId="63" borderId="38" xfId="112" applyNumberFormat="1" applyFont="1" applyFill="1" applyBorder="1" applyAlignment="1">
      <alignment horizontal="right" vertical="center" wrapText="1"/>
      <protection/>
    </xf>
    <xf numFmtId="49" fontId="31" fillId="0" borderId="36" xfId="105" applyNumberFormat="1" applyFont="1" applyFill="1" applyBorder="1" applyAlignment="1">
      <alignment vertical="center" wrapText="1"/>
    </xf>
    <xf numFmtId="49" fontId="71" fillId="0" borderId="36" xfId="105" applyNumberFormat="1" applyFont="1" applyFill="1" applyBorder="1" applyAlignment="1">
      <alignment vertical="center" wrapText="1"/>
    </xf>
    <xf numFmtId="49" fontId="38" fillId="54" borderId="38" xfId="0" applyNumberFormat="1" applyFont="1" applyFill="1" applyBorder="1" applyAlignment="1">
      <alignment horizontal="right" vertical="center"/>
    </xf>
    <xf numFmtId="49" fontId="31" fillId="0" borderId="44" xfId="112" applyNumberFormat="1" applyFont="1" applyFill="1" applyBorder="1" applyAlignment="1">
      <alignment vertical="center" wrapText="1"/>
      <protection/>
    </xf>
    <xf numFmtId="49" fontId="31" fillId="0" borderId="37" xfId="112" applyNumberFormat="1" applyFont="1" applyFill="1" applyBorder="1" applyAlignment="1">
      <alignment vertical="center" wrapText="1"/>
      <protection/>
    </xf>
    <xf numFmtId="49" fontId="31" fillId="0" borderId="37" xfId="0" applyNumberFormat="1" applyFont="1" applyFill="1" applyBorder="1" applyAlignment="1">
      <alignment vertical="center"/>
    </xf>
    <xf numFmtId="49" fontId="31" fillId="0" borderId="34" xfId="0" applyNumberFormat="1" applyFont="1" applyBorder="1" applyAlignment="1">
      <alignment vertical="center"/>
    </xf>
    <xf numFmtId="49" fontId="31" fillId="0" borderId="34" xfId="0" applyNumberFormat="1" applyFont="1" applyBorder="1" applyAlignment="1">
      <alignment vertical="center" wrapText="1"/>
    </xf>
    <xf numFmtId="49" fontId="147" fillId="0" borderId="37" xfId="0" applyNumberFormat="1" applyFont="1" applyFill="1" applyBorder="1" applyAlignment="1">
      <alignment vertical="center" wrapText="1"/>
    </xf>
    <xf numFmtId="49" fontId="31" fillId="0" borderId="122" xfId="0" applyNumberFormat="1" applyFont="1" applyBorder="1" applyAlignment="1">
      <alignment vertical="center"/>
    </xf>
    <xf numFmtId="49" fontId="147" fillId="0" borderId="86" xfId="0" applyNumberFormat="1" applyFont="1" applyFill="1" applyBorder="1" applyAlignment="1">
      <alignment vertical="center" wrapText="1"/>
    </xf>
    <xf numFmtId="49" fontId="147" fillId="66" borderId="119" xfId="0" applyNumberFormat="1" applyFont="1" applyFill="1" applyBorder="1" applyAlignment="1">
      <alignment vertical="center" wrapText="1"/>
    </xf>
    <xf numFmtId="49" fontId="147" fillId="0" borderId="36" xfId="0" applyNumberFormat="1" applyFont="1" applyFill="1" applyBorder="1" applyAlignment="1">
      <alignment vertical="center" wrapText="1"/>
    </xf>
    <xf numFmtId="49" fontId="147" fillId="0" borderId="86" xfId="0" applyNumberFormat="1" applyFont="1" applyBorder="1" applyAlignment="1">
      <alignment horizontal="left" vertical="center" wrapText="1"/>
    </xf>
    <xf numFmtId="49" fontId="147" fillId="0" borderId="86" xfId="0" applyNumberFormat="1" applyFont="1" applyFill="1" applyBorder="1" applyAlignment="1">
      <alignment horizontal="left" vertical="center" wrapText="1"/>
    </xf>
    <xf numFmtId="49" fontId="38" fillId="53" borderId="25" xfId="105" applyNumberFormat="1" applyFont="1" applyFill="1" applyBorder="1" applyAlignment="1">
      <alignment vertical="center"/>
    </xf>
    <xf numFmtId="49" fontId="147" fillId="66" borderId="86" xfId="0" applyNumberFormat="1" applyFont="1" applyFill="1" applyBorder="1" applyAlignment="1">
      <alignment vertical="center" wrapText="1"/>
    </xf>
    <xf numFmtId="49" fontId="38" fillId="53" borderId="38" xfId="105" applyNumberFormat="1" applyFont="1" applyFill="1" applyBorder="1" applyAlignment="1">
      <alignment vertical="center"/>
    </xf>
    <xf numFmtId="49" fontId="147" fillId="0" borderId="37" xfId="0" applyNumberFormat="1" applyFont="1" applyFill="1" applyBorder="1" applyAlignment="1">
      <alignment horizontal="left" vertical="center" wrapText="1"/>
    </xf>
    <xf numFmtId="49" fontId="147" fillId="0" borderId="36" xfId="0" applyNumberFormat="1" applyFont="1" applyFill="1" applyBorder="1" applyAlignment="1">
      <alignment horizontal="left" vertical="center" wrapText="1"/>
    </xf>
    <xf numFmtId="49" fontId="147" fillId="66" borderId="37" xfId="0" applyNumberFormat="1" applyFont="1" applyFill="1" applyBorder="1" applyAlignment="1">
      <alignment vertical="center" wrapText="1"/>
    </xf>
    <xf numFmtId="49" fontId="147" fillId="66" borderId="44" xfId="0" applyNumberFormat="1" applyFont="1" applyFill="1" applyBorder="1" applyAlignment="1">
      <alignment vertical="center" wrapText="1"/>
    </xf>
    <xf numFmtId="49" fontId="147" fillId="66" borderId="36" xfId="0" applyNumberFormat="1" applyFont="1" applyFill="1" applyBorder="1" applyAlignment="1">
      <alignment vertical="center" wrapText="1"/>
    </xf>
    <xf numFmtId="49" fontId="147" fillId="66" borderId="34" xfId="0" applyNumberFormat="1" applyFont="1" applyFill="1" applyBorder="1" applyAlignment="1">
      <alignment vertical="center" wrapText="1"/>
    </xf>
    <xf numFmtId="49" fontId="31" fillId="0" borderId="35" xfId="0" applyNumberFormat="1" applyFont="1" applyFill="1" applyBorder="1" applyAlignment="1">
      <alignment vertical="center" wrapText="1"/>
    </xf>
    <xf numFmtId="49" fontId="147" fillId="0" borderId="23" xfId="0" applyNumberFormat="1" applyFont="1" applyFill="1" applyBorder="1" applyAlignment="1">
      <alignment horizontal="left" vertical="center" wrapText="1"/>
    </xf>
    <xf numFmtId="49" fontId="34" fillId="0" borderId="125" xfId="0" applyNumberFormat="1" applyFont="1" applyFill="1" applyBorder="1" applyAlignment="1">
      <alignment vertical="center" wrapText="1"/>
    </xf>
    <xf numFmtId="49" fontId="31" fillId="0" borderId="86" xfId="0" applyNumberFormat="1" applyFont="1" applyBorder="1" applyAlignment="1">
      <alignment vertical="center" wrapText="1"/>
    </xf>
    <xf numFmtId="49" fontId="147" fillId="0" borderId="115" xfId="0" applyNumberFormat="1" applyFont="1" applyFill="1" applyBorder="1" applyAlignment="1">
      <alignment vertical="center" wrapText="1"/>
    </xf>
    <xf numFmtId="49" fontId="147" fillId="66" borderId="48" xfId="0" applyNumberFormat="1" applyFont="1" applyFill="1" applyBorder="1" applyAlignment="1">
      <alignment vertical="center" wrapText="1"/>
    </xf>
    <xf numFmtId="49" fontId="147" fillId="0" borderId="53" xfId="0" applyNumberFormat="1" applyFont="1" applyFill="1" applyBorder="1" applyAlignment="1">
      <alignment vertical="center" wrapText="1"/>
    </xf>
    <xf numFmtId="49" fontId="147" fillId="0" borderId="34" xfId="0" applyNumberFormat="1" applyFont="1" applyFill="1" applyBorder="1" applyAlignment="1">
      <alignment vertical="center" wrapText="1"/>
    </xf>
    <xf numFmtId="49" fontId="147" fillId="0" borderId="34" xfId="0" applyNumberFormat="1" applyFont="1" applyFill="1" applyBorder="1" applyAlignment="1">
      <alignment horizontal="left" vertical="center" wrapText="1"/>
    </xf>
    <xf numFmtId="49" fontId="147" fillId="66" borderId="34" xfId="0" applyNumberFormat="1" applyFont="1" applyFill="1" applyBorder="1" applyAlignment="1">
      <alignment vertical="center"/>
    </xf>
    <xf numFmtId="49" fontId="147" fillId="66" borderId="35" xfId="0" applyNumberFormat="1" applyFont="1" applyFill="1" applyBorder="1" applyAlignment="1">
      <alignment vertical="center" wrapText="1"/>
    </xf>
    <xf numFmtId="49" fontId="147" fillId="0" borderId="127" xfId="0" applyNumberFormat="1" applyFont="1" applyFill="1" applyBorder="1" applyAlignment="1">
      <alignment vertical="center" wrapText="1"/>
    </xf>
    <xf numFmtId="49" fontId="38" fillId="0" borderId="35" xfId="0" applyNumberFormat="1" applyFont="1" applyBorder="1" applyAlignment="1">
      <alignment vertical="center"/>
    </xf>
    <xf numFmtId="49" fontId="38" fillId="0" borderId="34" xfId="0" applyNumberFormat="1" applyFont="1" applyBorder="1" applyAlignment="1">
      <alignment vertical="center"/>
    </xf>
    <xf numFmtId="49" fontId="38" fillId="53" borderId="38" xfId="104" applyNumberFormat="1" applyFont="1" applyFill="1" applyBorder="1" applyAlignment="1" applyProtection="1">
      <alignment horizontal="left" vertical="center" wrapText="1"/>
      <protection locked="0"/>
    </xf>
    <xf numFmtId="49" fontId="31" fillId="0" borderId="40" xfId="104" applyNumberFormat="1" applyFont="1" applyFill="1" applyBorder="1" applyAlignment="1" applyProtection="1">
      <alignment horizontal="left" vertical="center" wrapText="1"/>
      <protection locked="0"/>
    </xf>
    <xf numFmtId="49" fontId="31" fillId="0" borderId="127" xfId="104" applyNumberFormat="1" applyFont="1" applyFill="1" applyBorder="1" applyAlignment="1" applyProtection="1">
      <alignment horizontal="left" vertical="center"/>
      <protection locked="0"/>
    </xf>
    <xf numFmtId="49" fontId="38" fillId="64" borderId="97" xfId="0" applyNumberFormat="1" applyFont="1" applyFill="1" applyBorder="1" applyAlignment="1">
      <alignment horizontal="right" vertical="center"/>
    </xf>
    <xf numFmtId="49" fontId="38" fillId="58" borderId="78" xfId="0" applyNumberFormat="1" applyFont="1" applyFill="1" applyBorder="1" applyAlignment="1" applyProtection="1">
      <alignment horizontal="right" vertical="center"/>
      <protection locked="0"/>
    </xf>
    <xf numFmtId="49" fontId="31" fillId="0" borderId="37" xfId="105" applyNumberFormat="1" applyFont="1" applyBorder="1" applyAlignment="1">
      <alignment vertical="center"/>
    </xf>
    <xf numFmtId="49" fontId="31" fillId="0" borderId="36" xfId="105" applyNumberFormat="1" applyFont="1" applyBorder="1" applyAlignment="1">
      <alignment vertical="center"/>
    </xf>
    <xf numFmtId="49" fontId="31" fillId="0" borderId="50" xfId="105" applyNumberFormat="1" applyFont="1" applyBorder="1" applyAlignment="1">
      <alignment vertical="center"/>
    </xf>
    <xf numFmtId="49" fontId="31" fillId="0" borderId="37" xfId="105" applyNumberFormat="1" applyFont="1" applyBorder="1" applyAlignment="1">
      <alignment vertical="center"/>
    </xf>
    <xf numFmtId="49" fontId="38" fillId="53" borderId="148" xfId="105" applyNumberFormat="1" applyFont="1" applyFill="1" applyBorder="1" applyAlignment="1">
      <alignment vertical="center"/>
    </xf>
    <xf numFmtId="49" fontId="38" fillId="58" borderId="137" xfId="0" applyNumberFormat="1" applyFont="1" applyFill="1" applyBorder="1" applyAlignment="1">
      <alignment horizontal="right" vertical="center"/>
    </xf>
    <xf numFmtId="49" fontId="38" fillId="58" borderId="136" xfId="0" applyNumberFormat="1" applyFont="1" applyFill="1" applyBorder="1" applyAlignment="1">
      <alignment horizontal="right" vertical="center"/>
    </xf>
    <xf numFmtId="49" fontId="38" fillId="9" borderId="78" xfId="0" applyNumberFormat="1" applyFont="1" applyFill="1" applyBorder="1" applyAlignment="1" applyProtection="1">
      <alignment horizontal="right" vertical="center"/>
      <protection locked="0"/>
    </xf>
    <xf numFmtId="49" fontId="38" fillId="9" borderId="77" xfId="0" applyNumberFormat="1" applyFont="1" applyFill="1" applyBorder="1" applyAlignment="1" applyProtection="1">
      <alignment horizontal="right" vertical="center"/>
      <protection locked="0"/>
    </xf>
    <xf numFmtId="49" fontId="38" fillId="54" borderId="47" xfId="0" applyNumberFormat="1" applyFont="1" applyFill="1" applyBorder="1" applyAlignment="1">
      <alignment horizontal="right" vertical="center"/>
    </xf>
    <xf numFmtId="49" fontId="31" fillId="0" borderId="55" xfId="0" applyNumberFormat="1" applyFont="1" applyFill="1" applyBorder="1" applyAlignment="1">
      <alignment vertical="center" wrapText="1"/>
    </xf>
    <xf numFmtId="49" fontId="31" fillId="0" borderId="53" xfId="0" applyNumberFormat="1" applyFont="1" applyFill="1" applyBorder="1" applyAlignment="1">
      <alignment vertical="center" wrapText="1"/>
    </xf>
    <xf numFmtId="49" fontId="31" fillId="0" borderId="55" xfId="0" applyNumberFormat="1" applyFont="1" applyBorder="1" applyAlignment="1">
      <alignment vertical="center" wrapText="1"/>
    </xf>
    <xf numFmtId="49" fontId="31" fillId="0" borderId="66" xfId="0" applyNumberFormat="1" applyFont="1" applyBorder="1" applyAlignment="1">
      <alignment vertical="center" wrapText="1"/>
    </xf>
    <xf numFmtId="49" fontId="31" fillId="0" borderId="113" xfId="0" applyNumberFormat="1" applyFont="1" applyFill="1" applyBorder="1" applyAlignment="1">
      <alignment vertical="center" wrapText="1"/>
    </xf>
    <xf numFmtId="49" fontId="38" fillId="54" borderId="113" xfId="0" applyNumberFormat="1" applyFont="1" applyFill="1" applyBorder="1" applyAlignment="1">
      <alignment horizontal="right" vertical="center"/>
    </xf>
    <xf numFmtId="49" fontId="31" fillId="45" borderId="67" xfId="104" applyNumberFormat="1" applyFont="1" applyFill="1" applyBorder="1" applyAlignment="1" applyProtection="1">
      <alignment horizontal="left" vertical="center" wrapText="1"/>
      <protection locked="0"/>
    </xf>
    <xf numFmtId="49" fontId="31" fillId="0" borderId="37" xfId="104" applyNumberFormat="1" applyFont="1" applyFill="1" applyBorder="1" applyAlignment="1" applyProtection="1">
      <alignment horizontal="left" vertical="center" wrapText="1"/>
      <protection locked="0"/>
    </xf>
    <xf numFmtId="49" fontId="38" fillId="67" borderId="39" xfId="0" applyNumberFormat="1" applyFont="1" applyFill="1" applyBorder="1" applyAlignment="1">
      <alignment horizontal="right" vertical="center" wrapText="1"/>
    </xf>
    <xf numFmtId="49" fontId="31" fillId="0" borderId="67" xfId="0" applyNumberFormat="1" applyFont="1" applyBorder="1" applyAlignment="1">
      <alignment vertical="center"/>
    </xf>
    <xf numFmtId="49" fontId="31" fillId="0" borderId="34" xfId="0" applyNumberFormat="1" applyFont="1" applyFill="1" applyBorder="1" applyAlignment="1">
      <alignment vertical="center"/>
    </xf>
    <xf numFmtId="49" fontId="38" fillId="54" borderId="25" xfId="0" applyNumberFormat="1" applyFont="1" applyFill="1" applyBorder="1" applyAlignment="1">
      <alignment horizontal="right" vertical="center"/>
    </xf>
    <xf numFmtId="49" fontId="31" fillId="0" borderId="62" xfId="0" applyNumberFormat="1" applyFont="1" applyFill="1" applyBorder="1" applyAlignment="1">
      <alignment vertical="center"/>
    </xf>
    <xf numFmtId="49" fontId="38" fillId="54" borderId="39" xfId="0" applyNumberFormat="1" applyFont="1" applyFill="1" applyBorder="1" applyAlignment="1" applyProtection="1">
      <alignment horizontal="right" vertical="center"/>
      <protection locked="0"/>
    </xf>
    <xf numFmtId="49" fontId="31" fillId="0" borderId="48" xfId="0" applyNumberFormat="1" applyFont="1" applyBorder="1" applyAlignment="1">
      <alignment vertical="center"/>
    </xf>
    <xf numFmtId="49" fontId="31" fillId="45" borderId="62" xfId="104" applyNumberFormat="1" applyFont="1" applyFill="1" applyBorder="1" applyAlignment="1" applyProtection="1">
      <alignment horizontal="left" vertical="center" wrapText="1"/>
      <protection locked="0"/>
    </xf>
    <xf numFmtId="49" fontId="38" fillId="54" borderId="25" xfId="0" applyNumberFormat="1" applyFont="1" applyFill="1" applyBorder="1" applyAlignment="1" applyProtection="1">
      <alignment horizontal="right" vertical="center"/>
      <protection locked="0"/>
    </xf>
    <xf numFmtId="49" fontId="31" fillId="0" borderId="48" xfId="112" applyNumberFormat="1" applyFont="1" applyFill="1" applyBorder="1" applyAlignment="1">
      <alignment vertical="center" wrapText="1"/>
      <protection/>
    </xf>
    <xf numFmtId="49" fontId="31" fillId="0" borderId="34" xfId="97" applyNumberFormat="1" applyFont="1" applyFill="1" applyBorder="1" applyAlignment="1">
      <alignment vertical="center" wrapText="1"/>
      <protection/>
    </xf>
    <xf numFmtId="49" fontId="31" fillId="0" borderId="35" xfId="0" applyNumberFormat="1" applyFont="1" applyFill="1" applyBorder="1" applyAlignment="1">
      <alignment vertical="center"/>
    </xf>
    <xf numFmtId="49" fontId="31" fillId="66" borderId="48" xfId="0" applyNumberFormat="1" applyFont="1" applyFill="1" applyBorder="1" applyAlignment="1">
      <alignment vertical="center"/>
    </xf>
    <xf numFmtId="49" fontId="31" fillId="66" borderId="34" xfId="0" applyNumberFormat="1" applyFont="1" applyFill="1" applyBorder="1" applyAlignment="1">
      <alignment vertical="center"/>
    </xf>
    <xf numFmtId="49" fontId="147" fillId="66" borderId="122" xfId="0" applyNumberFormat="1" applyFont="1" applyFill="1" applyBorder="1" applyAlignment="1">
      <alignment vertical="center" wrapText="1"/>
    </xf>
    <xf numFmtId="49" fontId="147" fillId="0" borderId="115" xfId="0" applyNumberFormat="1" applyFont="1" applyFill="1" applyBorder="1" applyAlignment="1">
      <alignment horizontal="left" vertical="center" wrapText="1"/>
    </xf>
    <xf numFmtId="49" fontId="38" fillId="53" borderId="39" xfId="105" applyNumberFormat="1" applyFont="1" applyFill="1" applyBorder="1" applyAlignment="1">
      <alignment vertical="center"/>
    </xf>
    <xf numFmtId="49" fontId="147" fillId="66" borderId="67" xfId="0" applyNumberFormat="1" applyFont="1" applyFill="1" applyBorder="1" applyAlignment="1">
      <alignment horizontal="left" vertical="center" wrapText="1"/>
    </xf>
    <xf numFmtId="49" fontId="147" fillId="66" borderId="115" xfId="0" applyNumberFormat="1" applyFont="1" applyFill="1" applyBorder="1" applyAlignment="1">
      <alignment vertical="center" wrapText="1"/>
    </xf>
    <xf numFmtId="49" fontId="147" fillId="0" borderId="55" xfId="0" applyNumberFormat="1" applyFont="1" applyFill="1" applyBorder="1" applyAlignment="1">
      <alignment vertical="center" wrapText="1"/>
    </xf>
    <xf numFmtId="49" fontId="147" fillId="0" borderId="66" xfId="0" applyNumberFormat="1" applyFont="1" applyFill="1" applyBorder="1" applyAlignment="1">
      <alignment vertical="center" wrapText="1"/>
    </xf>
    <xf numFmtId="49" fontId="147" fillId="0" borderId="36" xfId="0" applyNumberFormat="1" applyFont="1" applyFill="1" applyBorder="1" applyAlignment="1">
      <alignment horizontal="left" vertical="center"/>
    </xf>
    <xf numFmtId="49" fontId="147" fillId="0" borderId="67" xfId="0" applyNumberFormat="1" applyFont="1" applyFill="1" applyBorder="1" applyAlignment="1">
      <alignment vertical="center" wrapText="1"/>
    </xf>
    <xf numFmtId="49" fontId="147" fillId="0" borderId="118" xfId="0" applyNumberFormat="1" applyFont="1" applyFill="1" applyBorder="1" applyAlignment="1">
      <alignment horizontal="left" vertical="center" wrapText="1"/>
    </xf>
    <xf numFmtId="49" fontId="38" fillId="53" borderId="114" xfId="105" applyNumberFormat="1" applyFont="1" applyFill="1" applyBorder="1" applyAlignment="1">
      <alignment vertical="center"/>
    </xf>
    <xf numFmtId="49" fontId="147" fillId="0" borderId="30" xfId="0" applyNumberFormat="1" applyFont="1" applyFill="1" applyBorder="1" applyAlignment="1">
      <alignment vertical="center" wrapText="1"/>
    </xf>
    <xf numFmtId="49" fontId="147" fillId="66" borderId="55" xfId="0" applyNumberFormat="1" applyFont="1" applyFill="1" applyBorder="1" applyAlignment="1">
      <alignment vertical="center" wrapText="1"/>
    </xf>
    <xf numFmtId="49" fontId="147" fillId="0" borderId="0" xfId="0" applyNumberFormat="1" applyFont="1" applyFill="1" applyBorder="1" applyAlignment="1">
      <alignment wrapText="1"/>
    </xf>
    <xf numFmtId="49" fontId="31" fillId="0" borderId="115" xfId="0" applyNumberFormat="1" applyFont="1" applyFill="1" applyBorder="1" applyAlignment="1">
      <alignment horizontal="left" vertical="center" wrapText="1"/>
    </xf>
    <xf numFmtId="49" fontId="38" fillId="53" borderId="24" xfId="105" applyNumberFormat="1" applyFont="1" applyFill="1" applyBorder="1" applyAlignment="1">
      <alignment vertical="center"/>
    </xf>
    <xf numFmtId="49" fontId="38" fillId="0" borderId="67" xfId="0" applyNumberFormat="1" applyFont="1" applyBorder="1" applyAlignment="1">
      <alignment vertical="center"/>
    </xf>
    <xf numFmtId="49" fontId="38" fillId="0" borderId="55" xfId="0" applyNumberFormat="1" applyFont="1" applyBorder="1" applyAlignment="1">
      <alignment vertical="center"/>
    </xf>
    <xf numFmtId="49" fontId="38" fillId="53" borderId="25" xfId="0" applyNumberFormat="1" applyFont="1" applyFill="1" applyBorder="1" applyAlignment="1" applyProtection="1">
      <alignment horizontal="left" vertical="center"/>
      <protection locked="0"/>
    </xf>
    <xf numFmtId="49" fontId="38" fillId="58" borderId="25" xfId="0" applyNumberFormat="1" applyFont="1" applyFill="1" applyBorder="1" applyAlignment="1" applyProtection="1">
      <alignment horizontal="right" vertical="center"/>
      <protection locked="0"/>
    </xf>
    <xf numFmtId="49" fontId="31" fillId="0" borderId="74" xfId="0" applyNumberFormat="1" applyFont="1" applyFill="1" applyBorder="1" applyAlignment="1" applyProtection="1">
      <alignment horizontal="right" vertical="center"/>
      <protection locked="0"/>
    </xf>
    <xf numFmtId="49" fontId="31" fillId="0" borderId="119" xfId="0" applyNumberFormat="1" applyFont="1" applyFill="1" applyBorder="1" applyAlignment="1" applyProtection="1">
      <alignment horizontal="right" vertical="center"/>
      <protection locked="0"/>
    </xf>
    <xf numFmtId="49" fontId="31" fillId="0" borderId="119" xfId="0" applyNumberFormat="1" applyFont="1" applyBorder="1" applyAlignment="1">
      <alignment horizontal="right" vertical="center" wrapText="1"/>
    </xf>
    <xf numFmtId="49" fontId="31" fillId="0" borderId="119" xfId="0" applyNumberFormat="1" applyFont="1" applyBorder="1" applyAlignment="1">
      <alignment horizontal="right" vertical="center"/>
    </xf>
    <xf numFmtId="49" fontId="31" fillId="0" borderId="115" xfId="0" applyNumberFormat="1" applyFont="1" applyFill="1" applyBorder="1" applyAlignment="1" applyProtection="1">
      <alignment horizontal="right" vertical="center"/>
      <protection locked="0"/>
    </xf>
    <xf numFmtId="49" fontId="38" fillId="58" borderId="149" xfId="0" applyNumberFormat="1" applyFont="1" applyFill="1" applyBorder="1" applyAlignment="1" applyProtection="1">
      <alignment horizontal="right" vertical="center"/>
      <protection locked="0"/>
    </xf>
    <xf numFmtId="49" fontId="38" fillId="58" borderId="150" xfId="0" applyNumberFormat="1" applyFont="1" applyFill="1" applyBorder="1" applyAlignment="1" applyProtection="1">
      <alignment horizontal="right" vertical="center"/>
      <protection locked="0"/>
    </xf>
    <xf numFmtId="49" fontId="38" fillId="54" borderId="151" xfId="0" applyNumberFormat="1" applyFont="1" applyFill="1" applyBorder="1" applyAlignment="1" applyProtection="1">
      <alignment horizontal="right" vertical="center"/>
      <protection locked="0"/>
    </xf>
    <xf numFmtId="49" fontId="71" fillId="0" borderId="35" xfId="112" applyNumberFormat="1" applyFont="1" applyFill="1" applyBorder="1" applyAlignment="1">
      <alignment vertical="center" wrapText="1"/>
      <protection/>
    </xf>
    <xf numFmtId="3" fontId="71" fillId="0" borderId="55" xfId="105" applyNumberFormat="1" applyFont="1" applyFill="1" applyBorder="1" applyAlignment="1">
      <alignment horizontal="right" vertical="center"/>
    </xf>
    <xf numFmtId="3" fontId="71" fillId="0" borderId="67" xfId="0" applyNumberFormat="1" applyFont="1" applyFill="1" applyBorder="1" applyAlignment="1">
      <alignment horizontal="right" vertical="center"/>
    </xf>
    <xf numFmtId="49" fontId="71" fillId="0" borderId="35" xfId="0" applyNumberFormat="1" applyFont="1" applyFill="1" applyBorder="1" applyAlignment="1">
      <alignment vertical="center" wrapText="1"/>
    </xf>
    <xf numFmtId="3" fontId="72" fillId="0" borderId="35" xfId="105" applyNumberFormat="1" applyFont="1" applyFill="1" applyBorder="1" applyAlignment="1">
      <alignment horizontal="right" vertical="center"/>
    </xf>
    <xf numFmtId="49" fontId="71" fillId="0" borderId="127" xfId="0" applyNumberFormat="1" applyFont="1" applyFill="1" applyBorder="1" applyAlignment="1">
      <alignment vertical="center" wrapText="1"/>
    </xf>
    <xf numFmtId="3" fontId="72" fillId="0" borderId="127" xfId="105" applyNumberFormat="1" applyFont="1" applyFill="1" applyBorder="1" applyAlignment="1">
      <alignment horizontal="right" vertical="center"/>
    </xf>
    <xf numFmtId="49" fontId="71" fillId="0" borderId="114" xfId="0" applyNumberFormat="1" applyFont="1" applyFill="1" applyBorder="1" applyAlignment="1">
      <alignment vertical="center"/>
    </xf>
    <xf numFmtId="49" fontId="31" fillId="0" borderId="0" xfId="0" applyNumberFormat="1" applyFont="1" applyFill="1" applyAlignment="1">
      <alignment vertical="center"/>
    </xf>
    <xf numFmtId="3" fontId="31" fillId="0" borderId="0" xfId="0" applyNumberFormat="1" applyFont="1" applyFill="1" applyAlignment="1">
      <alignment horizontal="right" vertical="center"/>
    </xf>
    <xf numFmtId="0" fontId="72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Alignment="1">
      <alignment horizontal="right" vertical="center"/>
    </xf>
    <xf numFmtId="3" fontId="35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79" fillId="0" borderId="41" xfId="0" applyFont="1" applyFill="1" applyBorder="1" applyAlignment="1">
      <alignment horizontal="centerContinuous" vertical="center"/>
    </xf>
    <xf numFmtId="49" fontId="80" fillId="0" borderId="42" xfId="0" applyNumberFormat="1" applyFont="1" applyFill="1" applyBorder="1" applyAlignment="1" applyProtection="1">
      <alignment horizontal="centerContinuous" vertical="center"/>
      <protection locked="0"/>
    </xf>
    <xf numFmtId="0" fontId="74" fillId="0" borderId="38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3" fontId="153" fillId="0" borderId="0" xfId="0" applyNumberFormat="1" applyFont="1" applyAlignment="1">
      <alignment horizontal="center" vertical="center" wrapText="1"/>
    </xf>
    <xf numFmtId="0" fontId="35" fillId="50" borderId="152" xfId="0" applyFont="1" applyFill="1" applyBorder="1" applyAlignment="1">
      <alignment horizontal="center" vertical="center"/>
    </xf>
    <xf numFmtId="49" fontId="52" fillId="50" borderId="153" xfId="0" applyNumberFormat="1" applyFont="1" applyFill="1" applyBorder="1" applyAlignment="1" applyProtection="1">
      <alignment horizontal="center" vertical="center"/>
      <protection locked="0"/>
    </xf>
    <xf numFmtId="0" fontId="52" fillId="50" borderId="154" xfId="0" applyFont="1" applyFill="1" applyBorder="1" applyAlignment="1">
      <alignment horizontal="center" vertical="center"/>
    </xf>
    <xf numFmtId="3" fontId="52" fillId="50" borderId="155" xfId="0" applyNumberFormat="1" applyFont="1" applyFill="1" applyBorder="1" applyAlignment="1">
      <alignment horizontal="center" vertical="center"/>
    </xf>
    <xf numFmtId="0" fontId="52" fillId="50" borderId="155" xfId="0" applyFont="1" applyFill="1" applyBorder="1" applyAlignment="1">
      <alignment horizontal="center" vertical="center"/>
    </xf>
    <xf numFmtId="3" fontId="31" fillId="0" borderId="53" xfId="104" applyNumberFormat="1" applyFont="1" applyFill="1" applyBorder="1" applyAlignment="1">
      <alignment horizontal="right" vertical="center"/>
    </xf>
    <xf numFmtId="3" fontId="31" fillId="0" borderId="23" xfId="104" applyNumberFormat="1" applyFont="1" applyFill="1" applyBorder="1" applyAlignment="1">
      <alignment horizontal="right" vertical="center"/>
    </xf>
    <xf numFmtId="3" fontId="31" fillId="0" borderId="48" xfId="104" applyNumberFormat="1" applyFont="1" applyFill="1" applyBorder="1" applyAlignment="1">
      <alignment horizontal="right" vertical="center"/>
    </xf>
    <xf numFmtId="0" fontId="38" fillId="67" borderId="24" xfId="0" applyFont="1" applyFill="1" applyBorder="1" applyAlignment="1">
      <alignment horizontal="center" vertical="center"/>
    </xf>
    <xf numFmtId="3" fontId="38" fillId="67" borderId="24" xfId="104" applyNumberFormat="1" applyFont="1" applyFill="1" applyBorder="1" applyAlignment="1">
      <alignment horizontal="right" vertical="center"/>
    </xf>
    <xf numFmtId="3" fontId="71" fillId="0" borderId="23" xfId="104" applyNumberFormat="1" applyFont="1" applyFill="1" applyBorder="1" applyAlignment="1">
      <alignment horizontal="right" vertical="center"/>
    </xf>
    <xf numFmtId="0" fontId="31" fillId="0" borderId="0" xfId="0" applyFont="1" applyAlignment="1" applyProtection="1">
      <alignment vertical="center"/>
      <protection locked="0"/>
    </xf>
    <xf numFmtId="3" fontId="156" fillId="0" borderId="0" xfId="0" applyNumberFormat="1" applyFont="1" applyFill="1" applyAlignment="1">
      <alignment vertical="center"/>
    </xf>
    <xf numFmtId="0" fontId="74" fillId="0" borderId="23" xfId="0" applyFont="1" applyFill="1" applyBorder="1" applyAlignment="1">
      <alignment horizontal="center" vertical="center"/>
    </xf>
    <xf numFmtId="3" fontId="71" fillId="0" borderId="127" xfId="104" applyNumberFormat="1" applyFont="1" applyFill="1" applyBorder="1" applyAlignment="1">
      <alignment horizontal="right" vertical="center"/>
    </xf>
    <xf numFmtId="3" fontId="71" fillId="0" borderId="35" xfId="104" applyNumberFormat="1" applyFont="1" applyFill="1" applyBorder="1" applyAlignment="1">
      <alignment horizontal="right" vertical="center"/>
    </xf>
    <xf numFmtId="3" fontId="31" fillId="45" borderId="35" xfId="104" applyNumberFormat="1" applyFont="1" applyFill="1" applyBorder="1" applyAlignment="1">
      <alignment horizontal="right" vertical="center"/>
    </xf>
    <xf numFmtId="0" fontId="38" fillId="54" borderId="40" xfId="0" applyFont="1" applyFill="1" applyBorder="1" applyAlignment="1">
      <alignment horizontal="center" vertical="center"/>
    </xf>
    <xf numFmtId="3" fontId="31" fillId="0" borderId="35" xfId="105" applyNumberFormat="1" applyFont="1" applyBorder="1" applyAlignment="1">
      <alignment vertical="center"/>
    </xf>
    <xf numFmtId="3" fontId="31" fillId="45" borderId="67" xfId="0" applyNumberFormat="1" applyFont="1" applyFill="1" applyBorder="1" applyAlignment="1">
      <alignment horizontal="right" vertical="center"/>
    </xf>
    <xf numFmtId="3" fontId="31" fillId="0" borderId="34" xfId="105" applyNumberFormat="1" applyFont="1" applyBorder="1" applyAlignment="1">
      <alignment vertical="center"/>
    </xf>
    <xf numFmtId="3" fontId="31" fillId="45" borderId="55" xfId="0" applyNumberFormat="1" applyFont="1" applyFill="1" applyBorder="1" applyAlignment="1">
      <alignment horizontal="right" vertical="center"/>
    </xf>
    <xf numFmtId="3" fontId="31" fillId="0" borderId="49" xfId="105" applyNumberFormat="1" applyFont="1" applyBorder="1" applyAlignment="1">
      <alignment vertical="center"/>
    </xf>
    <xf numFmtId="3" fontId="31" fillId="45" borderId="82" xfId="0" applyNumberFormat="1" applyFont="1" applyFill="1" applyBorder="1" applyAlignment="1">
      <alignment horizontal="right" vertical="center"/>
    </xf>
    <xf numFmtId="0" fontId="38" fillId="53" borderId="40" xfId="0" applyFont="1" applyFill="1" applyBorder="1" applyAlignment="1">
      <alignment horizontal="center" vertical="center"/>
    </xf>
    <xf numFmtId="3" fontId="76" fillId="0" borderId="0" xfId="0" applyNumberFormat="1" applyFont="1" applyAlignment="1">
      <alignment vertical="center"/>
    </xf>
    <xf numFmtId="0" fontId="76" fillId="0" borderId="0" xfId="0" applyFont="1" applyAlignment="1">
      <alignment vertical="center"/>
    </xf>
    <xf numFmtId="0" fontId="38" fillId="58" borderId="24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Alignment="1" applyProtection="1">
      <alignment vertical="center"/>
      <protection locked="0"/>
    </xf>
    <xf numFmtId="0" fontId="38" fillId="0" borderId="48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3" fontId="161" fillId="0" borderId="0" xfId="0" applyNumberFormat="1" applyFont="1" applyAlignment="1">
      <alignment horizontal="right" vertical="center"/>
    </xf>
    <xf numFmtId="3" fontId="162" fillId="0" borderId="0" xfId="0" applyNumberFormat="1" applyFont="1" applyAlignment="1">
      <alignment horizontal="right" vertical="center"/>
    </xf>
    <xf numFmtId="0" fontId="38" fillId="58" borderId="136" xfId="0" applyFont="1" applyFill="1" applyBorder="1" applyAlignment="1">
      <alignment horizontal="center" vertical="center"/>
    </xf>
    <xf numFmtId="0" fontId="38" fillId="58" borderId="69" xfId="0" applyFont="1" applyFill="1" applyBorder="1" applyAlignment="1">
      <alignment horizontal="center" vertical="center"/>
    </xf>
    <xf numFmtId="0" fontId="38" fillId="54" borderId="138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3" fontId="31" fillId="0" borderId="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right" vertical="center"/>
      <protection locked="0"/>
    </xf>
    <xf numFmtId="49" fontId="31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centerContinuous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3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 applyProtection="1">
      <alignment horizontal="centerContinuous" vertical="center"/>
      <protection locked="0"/>
    </xf>
    <xf numFmtId="0" fontId="31" fillId="0" borderId="0" xfId="0" applyFont="1" applyFill="1" applyBorder="1" applyAlignment="1" applyProtection="1">
      <alignment horizontal="centerContinuous" vertical="center"/>
      <protection locked="0"/>
    </xf>
    <xf numFmtId="49" fontId="44" fillId="0" borderId="0" xfId="0" applyNumberFormat="1" applyFont="1" applyFill="1" applyBorder="1" applyAlignment="1" applyProtection="1">
      <alignment horizontal="right" vertical="center"/>
      <protection locked="0"/>
    </xf>
    <xf numFmtId="3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49" fontId="38" fillId="0" borderId="0" xfId="0" applyNumberFormat="1" applyFont="1" applyFill="1" applyBorder="1" applyAlignment="1" applyProtection="1">
      <alignment horizontal="right" vertical="center"/>
      <protection locked="0"/>
    </xf>
    <xf numFmtId="3" fontId="38" fillId="0" borderId="0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3" fontId="44" fillId="0" borderId="0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Alignment="1">
      <alignment vertical="center"/>
    </xf>
    <xf numFmtId="3" fontId="39" fillId="0" borderId="0" xfId="0" applyNumberFormat="1" applyFont="1" applyFill="1" applyBorder="1" applyAlignment="1" applyProtection="1">
      <alignment horizontal="right" vertical="center"/>
      <protection locked="0"/>
    </xf>
    <xf numFmtId="3" fontId="39" fillId="0" borderId="0" xfId="0" applyNumberFormat="1" applyFont="1" applyFill="1" applyBorder="1" applyAlignment="1" applyProtection="1">
      <alignment vertical="center"/>
      <protection locked="0"/>
    </xf>
    <xf numFmtId="3" fontId="44" fillId="0" borderId="0" xfId="0" applyNumberFormat="1" applyFont="1" applyFill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49" fontId="71" fillId="0" borderId="35" xfId="97" applyNumberFormat="1" applyFont="1" applyFill="1" applyBorder="1" applyAlignment="1">
      <alignment vertical="center" wrapText="1"/>
      <protection/>
    </xf>
    <xf numFmtId="3" fontId="71" fillId="0" borderId="67" xfId="105" applyNumberFormat="1" applyFont="1" applyFill="1" applyBorder="1" applyAlignment="1">
      <alignment horizontal="right" vertical="center"/>
    </xf>
    <xf numFmtId="0" fontId="23" fillId="0" borderId="28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vertical="center"/>
    </xf>
    <xf numFmtId="0" fontId="12" fillId="51" borderId="115" xfId="0" applyFont="1" applyFill="1" applyBorder="1" applyAlignment="1" applyProtection="1">
      <alignment horizontal="left" vertical="center"/>
      <protection locked="0"/>
    </xf>
    <xf numFmtId="0" fontId="51" fillId="0" borderId="49" xfId="96" applyFont="1" applyFill="1" applyBorder="1" applyAlignment="1">
      <alignment horizontal="center" vertical="center"/>
      <protection/>
    </xf>
    <xf numFmtId="3" fontId="45" fillId="0" borderId="0" xfId="96" applyNumberFormat="1" applyFont="1" applyFill="1" applyBorder="1" applyAlignment="1" quotePrefix="1">
      <alignment vertical="center"/>
      <protection/>
    </xf>
    <xf numFmtId="3" fontId="44" fillId="61" borderId="48" xfId="96" applyNumberFormat="1" applyFont="1" applyFill="1" applyBorder="1" applyAlignment="1" quotePrefix="1">
      <alignment vertical="center"/>
      <protection/>
    </xf>
    <xf numFmtId="3" fontId="45" fillId="45" borderId="23" xfId="0" applyNumberFormat="1" applyFont="1" applyFill="1" applyBorder="1" applyAlignment="1">
      <alignment horizontal="right" vertical="center"/>
    </xf>
    <xf numFmtId="3" fontId="45" fillId="45" borderId="35" xfId="0" applyNumberFormat="1" applyFont="1" applyFill="1" applyBorder="1" applyAlignment="1">
      <alignment horizontal="right" vertical="center"/>
    </xf>
    <xf numFmtId="3" fontId="45" fillId="0" borderId="38" xfId="96" applyNumberFormat="1" applyFont="1" applyFill="1" applyBorder="1" applyAlignment="1">
      <alignment vertical="center"/>
      <protection/>
    </xf>
    <xf numFmtId="3" fontId="45" fillId="0" borderId="39" xfId="96" applyNumberFormat="1" applyFont="1" applyFill="1" applyBorder="1" applyAlignment="1">
      <alignment vertical="center"/>
      <protection/>
    </xf>
    <xf numFmtId="49" fontId="31" fillId="0" borderId="149" xfId="0" applyNumberFormat="1" applyFont="1" applyFill="1" applyBorder="1" applyAlignment="1" applyProtection="1">
      <alignment horizontal="right" vertical="center"/>
      <protection locked="0"/>
    </xf>
    <xf numFmtId="49" fontId="31" fillId="0" borderId="34" xfId="0" applyNumberFormat="1" applyFont="1" applyFill="1" applyBorder="1" applyAlignment="1" applyProtection="1">
      <alignment horizontal="right" vertical="center"/>
      <protection locked="0"/>
    </xf>
    <xf numFmtId="3" fontId="31" fillId="0" borderId="34" xfId="0" applyNumberFormat="1" applyFont="1" applyFill="1" applyBorder="1" applyAlignment="1">
      <alignment vertical="center"/>
    </xf>
    <xf numFmtId="3" fontId="38" fillId="0" borderId="34" xfId="0" applyNumberFormat="1" applyFont="1" applyFill="1" applyBorder="1" applyAlignment="1">
      <alignment vertical="center"/>
    </xf>
    <xf numFmtId="0" fontId="44" fillId="0" borderId="48" xfId="96" applyFont="1" applyBorder="1" applyAlignment="1">
      <alignment vertical="center"/>
      <protection/>
    </xf>
    <xf numFmtId="3" fontId="44" fillId="0" borderId="44" xfId="96" applyNumberFormat="1" applyFont="1" applyBorder="1" applyAlignment="1">
      <alignment horizontal="right" vertical="center"/>
      <protection/>
    </xf>
    <xf numFmtId="3" fontId="39" fillId="0" borderId="73" xfId="107" applyNumberFormat="1" applyFont="1" applyFill="1" applyBorder="1" applyAlignment="1">
      <alignment horizontal="right" vertical="center"/>
      <protection/>
    </xf>
    <xf numFmtId="3" fontId="39" fillId="0" borderId="31" xfId="107" applyNumberFormat="1" applyFont="1" applyFill="1" applyBorder="1" applyAlignment="1">
      <alignment horizontal="right" vertical="center"/>
      <protection/>
    </xf>
    <xf numFmtId="3" fontId="39" fillId="0" borderId="119" xfId="107" applyNumberFormat="1" applyFont="1" applyFill="1" applyBorder="1" applyAlignment="1">
      <alignment horizontal="right" vertical="center"/>
      <protection/>
    </xf>
    <xf numFmtId="3" fontId="39" fillId="0" borderId="76" xfId="107" applyNumberFormat="1" applyFont="1" applyFill="1" applyBorder="1" applyAlignment="1">
      <alignment horizontal="right" vertical="center"/>
      <protection/>
    </xf>
    <xf numFmtId="3" fontId="44" fillId="58" borderId="35" xfId="107" applyNumberFormat="1" applyFont="1" applyFill="1" applyBorder="1" applyAlignment="1">
      <alignment horizontal="right" vertical="center"/>
      <protection/>
    </xf>
    <xf numFmtId="3" fontId="39" fillId="0" borderId="37" xfId="107" applyNumberFormat="1" applyFont="1" applyFill="1" applyBorder="1" applyAlignment="1">
      <alignment horizontal="right" vertical="center"/>
      <protection/>
    </xf>
    <xf numFmtId="3" fontId="39" fillId="0" borderId="35" xfId="107" applyNumberFormat="1" applyFont="1" applyFill="1" applyBorder="1" applyAlignment="1">
      <alignment horizontal="right" vertical="center"/>
      <protection/>
    </xf>
    <xf numFmtId="3" fontId="44" fillId="0" borderId="35" xfId="107" applyNumberFormat="1" applyFont="1" applyBorder="1" applyAlignment="1">
      <alignment horizontal="right" vertical="center"/>
      <protection/>
    </xf>
    <xf numFmtId="3" fontId="44" fillId="58" borderId="35" xfId="107" applyNumberFormat="1" applyFont="1" applyFill="1" applyBorder="1" applyAlignment="1">
      <alignment vertical="center"/>
      <protection/>
    </xf>
    <xf numFmtId="0" fontId="44" fillId="0" borderId="35" xfId="107" applyFont="1" applyFill="1" applyBorder="1" applyAlignment="1">
      <alignment horizontal="center" vertical="center"/>
      <protection/>
    </xf>
    <xf numFmtId="0" fontId="39" fillId="0" borderId="119" xfId="107" applyFont="1" applyFill="1" applyBorder="1" applyAlignment="1">
      <alignment vertical="center"/>
      <protection/>
    </xf>
    <xf numFmtId="3" fontId="39" fillId="0" borderId="0" xfId="107" applyNumberFormat="1" applyFont="1" applyFill="1" applyBorder="1" applyAlignment="1">
      <alignment horizontal="center" vertical="center"/>
      <protection/>
    </xf>
    <xf numFmtId="0" fontId="39" fillId="0" borderId="0" xfId="107" applyFont="1" applyAlignment="1">
      <alignment vertical="center"/>
      <protection/>
    </xf>
    <xf numFmtId="0" fontId="14" fillId="0" borderId="35" xfId="107" applyFont="1" applyFill="1" applyBorder="1" applyAlignment="1">
      <alignment horizontal="center" vertical="center"/>
      <protection/>
    </xf>
    <xf numFmtId="3" fontId="31" fillId="0" borderId="116" xfId="110" applyNumberFormat="1" applyFont="1" applyBorder="1" applyAlignment="1">
      <alignment vertical="center"/>
      <protection/>
    </xf>
    <xf numFmtId="3" fontId="31" fillId="57" borderId="34" xfId="110" applyNumberFormat="1" applyFont="1" applyFill="1" applyBorder="1" applyAlignment="1">
      <alignment vertical="center"/>
      <protection/>
    </xf>
    <xf numFmtId="3" fontId="31" fillId="0" borderId="27" xfId="110" applyNumberFormat="1" applyFont="1" applyBorder="1" applyAlignment="1">
      <alignment vertical="center"/>
      <protection/>
    </xf>
    <xf numFmtId="3" fontId="31" fillId="0" borderId="115" xfId="110" applyNumberFormat="1" applyFont="1" applyBorder="1" applyAlignment="1">
      <alignment vertical="center"/>
      <protection/>
    </xf>
    <xf numFmtId="3" fontId="31" fillId="0" borderId="36" xfId="110" applyNumberFormat="1" applyFont="1" applyBorder="1" applyAlignment="1">
      <alignment vertical="center"/>
      <protection/>
    </xf>
    <xf numFmtId="3" fontId="31" fillId="0" borderId="86" xfId="110" applyNumberFormat="1" applyFont="1" applyBorder="1" applyAlignment="1">
      <alignment vertical="center"/>
      <protection/>
    </xf>
    <xf numFmtId="0" fontId="31" fillId="0" borderId="52" xfId="111" applyFont="1" applyBorder="1" applyAlignment="1">
      <alignment vertical="center" wrapText="1"/>
      <protection/>
    </xf>
    <xf numFmtId="0" fontId="31" fillId="0" borderId="87" xfId="111" applyFont="1" applyBorder="1" applyAlignment="1">
      <alignment vertical="center" wrapText="1"/>
      <protection/>
    </xf>
    <xf numFmtId="3" fontId="31" fillId="0" borderId="37" xfId="0" applyNumberFormat="1" applyFont="1" applyFill="1" applyBorder="1" applyAlignment="1">
      <alignment vertical="center"/>
    </xf>
    <xf numFmtId="3" fontId="31" fillId="0" borderId="31" xfId="0" applyNumberFormat="1" applyFont="1" applyFill="1" applyBorder="1" applyAlignment="1">
      <alignment vertical="center"/>
    </xf>
    <xf numFmtId="3" fontId="31" fillId="0" borderId="86" xfId="0" applyNumberFormat="1" applyFont="1" applyFill="1" applyBorder="1" applyAlignment="1">
      <alignment vertical="center"/>
    </xf>
    <xf numFmtId="0" fontId="31" fillId="0" borderId="26" xfId="0" applyFont="1" applyBorder="1" applyAlignment="1">
      <alignment wrapText="1"/>
    </xf>
    <xf numFmtId="0" fontId="31" fillId="0" borderId="52" xfId="0" applyFont="1" applyBorder="1" applyAlignment="1">
      <alignment wrapText="1"/>
    </xf>
    <xf numFmtId="0" fontId="38" fillId="0" borderId="34" xfId="0" applyFont="1" applyFill="1" applyBorder="1" applyAlignment="1">
      <alignment vertical="center"/>
    </xf>
    <xf numFmtId="0" fontId="38" fillId="0" borderId="136" xfId="0" applyFont="1" applyFill="1" applyBorder="1" applyAlignment="1">
      <alignment vertical="center"/>
    </xf>
    <xf numFmtId="0" fontId="44" fillId="0" borderId="86" xfId="108" applyFont="1" applyBorder="1" applyAlignment="1" applyProtection="1">
      <alignment horizontal="left" vertical="center"/>
      <protection hidden="1"/>
    </xf>
    <xf numFmtId="0" fontId="44" fillId="0" borderId="115" xfId="108" applyFont="1" applyBorder="1" applyAlignment="1" applyProtection="1">
      <alignment horizontal="left" vertical="center"/>
      <protection hidden="1"/>
    </xf>
    <xf numFmtId="0" fontId="44" fillId="0" borderId="55" xfId="108" applyFont="1" applyBorder="1" applyAlignment="1" applyProtection="1">
      <alignment horizontal="left" vertical="center"/>
      <protection hidden="1"/>
    </xf>
    <xf numFmtId="0" fontId="44" fillId="54" borderId="38" xfId="108" applyFont="1" applyFill="1" applyBorder="1" applyAlignment="1" applyProtection="1">
      <alignment horizontal="left" vertical="center"/>
      <protection hidden="1"/>
    </xf>
    <xf numFmtId="0" fontId="44" fillId="54" borderId="25" xfId="108" applyFont="1" applyFill="1" applyBorder="1" applyAlignment="1" applyProtection="1">
      <alignment horizontal="left" vertical="center"/>
      <protection hidden="1"/>
    </xf>
    <xf numFmtId="0" fontId="44" fillId="54" borderId="39" xfId="108" applyFont="1" applyFill="1" applyBorder="1" applyAlignment="1" applyProtection="1">
      <alignment horizontal="left" vertical="center"/>
      <protection hidden="1"/>
    </xf>
    <xf numFmtId="0" fontId="46" fillId="62" borderId="38" xfId="108" applyFont="1" applyFill="1" applyBorder="1" applyAlignment="1" applyProtection="1">
      <alignment horizontal="left" vertical="center"/>
      <protection hidden="1"/>
    </xf>
    <xf numFmtId="0" fontId="46" fillId="62" borderId="25" xfId="108" applyFont="1" applyFill="1" applyBorder="1" applyAlignment="1" applyProtection="1">
      <alignment horizontal="left" vertical="center"/>
      <protection hidden="1"/>
    </xf>
    <xf numFmtId="0" fontId="44" fillId="0" borderId="126" xfId="108" applyFont="1" applyBorder="1" applyAlignment="1" applyProtection="1">
      <alignment horizontal="left" vertical="center"/>
      <protection hidden="1"/>
    </xf>
    <xf numFmtId="0" fontId="44" fillId="0" borderId="129" xfId="108" applyFont="1" applyBorder="1" applyAlignment="1" applyProtection="1">
      <alignment horizontal="left" vertical="center"/>
      <protection hidden="1"/>
    </xf>
    <xf numFmtId="0" fontId="44" fillId="0" borderId="118" xfId="108" applyFont="1" applyBorder="1" applyAlignment="1" applyProtection="1">
      <alignment horizontal="left" vertical="center"/>
      <protection hidden="1"/>
    </xf>
    <xf numFmtId="0" fontId="46" fillId="62" borderId="39" xfId="108" applyFont="1" applyFill="1" applyBorder="1" applyAlignment="1" applyProtection="1">
      <alignment horizontal="left" vertical="center"/>
      <protection hidden="1"/>
    </xf>
    <xf numFmtId="0" fontId="44" fillId="0" borderId="123" xfId="108" applyFont="1" applyBorder="1" applyAlignment="1" applyProtection="1">
      <alignment horizontal="left" vertical="center"/>
      <protection hidden="1"/>
    </xf>
    <xf numFmtId="0" fontId="44" fillId="0" borderId="74" xfId="108" applyFont="1" applyBorder="1" applyAlignment="1" applyProtection="1">
      <alignment horizontal="left" vertical="center"/>
      <protection hidden="1"/>
    </xf>
    <xf numFmtId="0" fontId="44" fillId="0" borderId="62" xfId="108" applyFont="1" applyBorder="1" applyAlignment="1" applyProtection="1">
      <alignment horizontal="left" vertical="center"/>
      <protection hidden="1"/>
    </xf>
    <xf numFmtId="0" fontId="39" fillId="0" borderId="123" xfId="108" applyFont="1" applyBorder="1" applyAlignment="1" applyProtection="1">
      <alignment horizontal="left" vertical="center"/>
      <protection hidden="1"/>
    </xf>
    <xf numFmtId="0" fontId="39" fillId="0" borderId="74" xfId="108" applyFont="1" applyBorder="1" applyAlignment="1" applyProtection="1">
      <alignment horizontal="left" vertical="center"/>
      <protection hidden="1"/>
    </xf>
    <xf numFmtId="0" fontId="39" fillId="0" borderId="62" xfId="108" applyFont="1" applyBorder="1" applyAlignment="1" applyProtection="1">
      <alignment horizontal="left" vertical="center"/>
      <protection hidden="1"/>
    </xf>
    <xf numFmtId="0" fontId="45" fillId="0" borderId="86" xfId="108" applyFont="1" applyBorder="1" applyAlignment="1" applyProtection="1">
      <alignment horizontal="left" vertical="center"/>
      <protection hidden="1"/>
    </xf>
    <xf numFmtId="0" fontId="45" fillId="0" borderId="55" xfId="108" applyFont="1" applyBorder="1" applyAlignment="1" applyProtection="1">
      <alignment horizontal="left" vertical="center"/>
      <protection hidden="1"/>
    </xf>
    <xf numFmtId="0" fontId="39" fillId="0" borderId="86" xfId="108" applyFont="1" applyBorder="1" applyAlignment="1" applyProtection="1">
      <alignment horizontal="left" vertical="center"/>
      <protection hidden="1"/>
    </xf>
    <xf numFmtId="0" fontId="39" fillId="0" borderId="115" xfId="108" applyFont="1" applyBorder="1" applyAlignment="1" applyProtection="1">
      <alignment horizontal="left" vertical="center"/>
      <protection hidden="1"/>
    </xf>
    <xf numFmtId="0" fontId="39" fillId="0" borderId="55" xfId="108" applyFont="1" applyBorder="1" applyAlignment="1" applyProtection="1">
      <alignment horizontal="left" vertical="center"/>
      <protection hidden="1"/>
    </xf>
    <xf numFmtId="0" fontId="39" fillId="0" borderId="126" xfId="108" applyFont="1" applyBorder="1" applyAlignment="1" applyProtection="1">
      <alignment horizontal="left" vertical="center"/>
      <protection hidden="1"/>
    </xf>
    <xf numFmtId="0" fontId="39" fillId="0" borderId="129" xfId="108" applyFont="1" applyBorder="1" applyAlignment="1" applyProtection="1">
      <alignment horizontal="left" vertical="center"/>
      <protection hidden="1"/>
    </xf>
    <xf numFmtId="0" fontId="39" fillId="0" borderId="118" xfId="108" applyFont="1" applyBorder="1" applyAlignment="1" applyProtection="1">
      <alignment horizontal="left" vertical="center"/>
      <protection hidden="1"/>
    </xf>
    <xf numFmtId="0" fontId="46" fillId="62" borderId="88" xfId="108" applyFont="1" applyFill="1" applyBorder="1" applyAlignment="1" applyProtection="1">
      <alignment horizontal="left" vertical="center"/>
      <protection hidden="1"/>
    </xf>
    <xf numFmtId="0" fontId="45" fillId="0" borderId="52" xfId="108" applyFont="1" applyBorder="1" applyAlignment="1" applyProtection="1">
      <alignment horizontal="center" vertical="top"/>
      <protection hidden="1"/>
    </xf>
    <xf numFmtId="0" fontId="45" fillId="0" borderId="83" xfId="108" applyFont="1" applyBorder="1" applyAlignment="1" applyProtection="1">
      <alignment horizontal="center" vertical="top"/>
      <protection hidden="1"/>
    </xf>
    <xf numFmtId="0" fontId="45" fillId="0" borderId="93" xfId="108" applyFont="1" applyBorder="1" applyAlignment="1" applyProtection="1">
      <alignment horizontal="center" vertical="top"/>
      <protection hidden="1"/>
    </xf>
    <xf numFmtId="0" fontId="44" fillId="54" borderId="88" xfId="108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45" fillId="0" borderId="85" xfId="108" applyFont="1" applyBorder="1" applyAlignment="1" applyProtection="1">
      <alignment horizontal="left" vertical="center"/>
      <protection hidden="1"/>
    </xf>
    <xf numFmtId="0" fontId="45" fillId="0" borderId="119" xfId="108" applyFont="1" applyBorder="1" applyAlignment="1" applyProtection="1">
      <alignment horizontal="left" vertical="center"/>
      <protection hidden="1"/>
    </xf>
    <xf numFmtId="0" fontId="44" fillId="0" borderId="25" xfId="108" applyFont="1" applyBorder="1" applyAlignment="1" applyProtection="1">
      <alignment horizontal="left" vertical="center"/>
      <protection hidden="1"/>
    </xf>
    <xf numFmtId="0" fontId="44" fillId="0" borderId="39" xfId="108" applyFont="1" applyBorder="1" applyAlignment="1" applyProtection="1">
      <alignment horizontal="left" vertical="center"/>
      <protection hidden="1"/>
    </xf>
    <xf numFmtId="0" fontId="44" fillId="0" borderId="119" xfId="108" applyFont="1" applyBorder="1" applyAlignment="1" applyProtection="1">
      <alignment horizontal="left" vertical="center"/>
      <protection hidden="1"/>
    </xf>
    <xf numFmtId="0" fontId="44" fillId="0" borderId="67" xfId="108" applyFont="1" applyBorder="1" applyAlignment="1" applyProtection="1">
      <alignment horizontal="left" vertical="center"/>
      <protection hidden="1"/>
    </xf>
    <xf numFmtId="0" fontId="48" fillId="0" borderId="86" xfId="108" applyFont="1" applyBorder="1" applyAlignment="1" applyProtection="1">
      <alignment horizontal="left" vertical="center"/>
      <protection hidden="1"/>
    </xf>
    <xf numFmtId="0" fontId="48" fillId="0" borderId="115" xfId="108" applyFont="1" applyBorder="1" applyAlignment="1" applyProtection="1">
      <alignment horizontal="left" vertical="center"/>
      <protection hidden="1"/>
    </xf>
    <xf numFmtId="0" fontId="48" fillId="0" borderId="55" xfId="108" applyFont="1" applyBorder="1" applyAlignment="1" applyProtection="1">
      <alignment horizontal="left" vertical="center"/>
      <protection hidden="1"/>
    </xf>
    <xf numFmtId="0" fontId="52" fillId="17" borderId="88" xfId="108" applyFont="1" applyFill="1" applyBorder="1" applyAlignment="1" applyProtection="1">
      <alignment horizontal="center" vertical="center" wrapText="1"/>
      <protection hidden="1"/>
    </xf>
    <xf numFmtId="0" fontId="52" fillId="17" borderId="25" xfId="108" applyFont="1" applyFill="1" applyBorder="1" applyAlignment="1" applyProtection="1">
      <alignment horizontal="center" vertical="center" wrapText="1"/>
      <protection hidden="1"/>
    </xf>
    <xf numFmtId="0" fontId="52" fillId="17" borderId="39" xfId="108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/>
    </xf>
    <xf numFmtId="0" fontId="44" fillId="45" borderId="25" xfId="108" applyFont="1" applyFill="1" applyBorder="1" applyAlignment="1" applyProtection="1">
      <alignment horizontal="center" vertical="center" wrapText="1"/>
      <protection hidden="1"/>
    </xf>
    <xf numFmtId="0" fontId="44" fillId="45" borderId="39" xfId="108" applyFont="1" applyFill="1" applyBorder="1" applyAlignment="1" applyProtection="1">
      <alignment horizontal="center" vertical="center" wrapText="1"/>
      <protection hidden="1"/>
    </xf>
    <xf numFmtId="0" fontId="44" fillId="0" borderId="88" xfId="108" applyFont="1" applyBorder="1" applyAlignment="1" applyProtection="1">
      <alignment horizontal="left" vertical="center"/>
      <protection hidden="1"/>
    </xf>
    <xf numFmtId="0" fontId="45" fillId="0" borderId="115" xfId="108" applyFont="1" applyBorder="1" applyAlignment="1" applyProtection="1">
      <alignment horizontal="left" vertical="center"/>
      <protection hidden="1"/>
    </xf>
    <xf numFmtId="0" fontId="45" fillId="0" borderId="83" xfId="108" applyFont="1" applyBorder="1" applyAlignment="1" applyProtection="1">
      <alignment horizontal="center" vertical="center"/>
      <protection hidden="1"/>
    </xf>
    <xf numFmtId="0" fontId="45" fillId="0" borderId="93" xfId="108" applyFont="1" applyBorder="1" applyAlignment="1" applyProtection="1">
      <alignment horizontal="center" vertical="center"/>
      <protection hidden="1"/>
    </xf>
    <xf numFmtId="0" fontId="39" fillId="0" borderId="52" xfId="108" applyFont="1" applyBorder="1" applyAlignment="1" applyProtection="1">
      <alignment horizontal="center" vertical="center"/>
      <protection hidden="1"/>
    </xf>
    <xf numFmtId="0" fontId="39" fillId="0" borderId="83" xfId="108" applyFont="1" applyBorder="1" applyAlignment="1" applyProtection="1">
      <alignment horizontal="center" vertical="center"/>
      <protection hidden="1"/>
    </xf>
    <xf numFmtId="0" fontId="39" fillId="0" borderId="93" xfId="108" applyFont="1" applyBorder="1" applyAlignment="1" applyProtection="1">
      <alignment horizontal="center" vertical="center"/>
      <protection hidden="1"/>
    </xf>
    <xf numFmtId="0" fontId="45" fillId="0" borderId="90" xfId="108" applyFont="1" applyBorder="1" applyAlignment="1" applyProtection="1">
      <alignment horizontal="center" vertical="center"/>
      <protection hidden="1"/>
    </xf>
    <xf numFmtId="0" fontId="45" fillId="0" borderId="116" xfId="108" applyFont="1" applyBorder="1" applyAlignment="1" applyProtection="1">
      <alignment horizontal="center" vertical="center"/>
      <protection hidden="1"/>
    </xf>
    <xf numFmtId="0" fontId="39" fillId="0" borderId="26" xfId="108" applyFont="1" applyBorder="1" applyAlignment="1" applyProtection="1">
      <alignment horizontal="left" vertical="center"/>
      <protection hidden="1"/>
    </xf>
    <xf numFmtId="0" fontId="39" fillId="0" borderId="21" xfId="108" applyFont="1" applyBorder="1" applyAlignment="1" applyProtection="1">
      <alignment horizontal="left" vertical="center"/>
      <protection hidden="1"/>
    </xf>
    <xf numFmtId="0" fontId="45" fillId="0" borderId="52" xfId="108" applyFont="1" applyBorder="1" applyAlignment="1" applyProtection="1">
      <alignment horizontal="center" vertical="center"/>
      <protection hidden="1"/>
    </xf>
    <xf numFmtId="0" fontId="44" fillId="0" borderId="75" xfId="108" applyFont="1" applyBorder="1" applyAlignment="1" applyProtection="1">
      <alignment horizontal="center" vertical="top"/>
      <protection hidden="1"/>
    </xf>
    <xf numFmtId="0" fontId="44" fillId="0" borderId="90" xfId="108" applyFont="1" applyBorder="1" applyAlignment="1" applyProtection="1">
      <alignment horizontal="center" vertical="top"/>
      <protection hidden="1"/>
    </xf>
    <xf numFmtId="0" fontId="44" fillId="0" borderId="116" xfId="108" applyFont="1" applyBorder="1" applyAlignment="1" applyProtection="1">
      <alignment horizontal="center" vertical="top"/>
      <protection hidden="1"/>
    </xf>
    <xf numFmtId="0" fontId="33" fillId="53" borderId="25" xfId="108" applyFont="1" applyFill="1" applyBorder="1" applyAlignment="1" applyProtection="1">
      <alignment horizontal="left" vertical="center"/>
      <protection hidden="1"/>
    </xf>
    <xf numFmtId="0" fontId="33" fillId="53" borderId="39" xfId="108" applyFont="1" applyFill="1" applyBorder="1" applyAlignment="1" applyProtection="1">
      <alignment horizontal="left" vertical="center"/>
      <protection hidden="1"/>
    </xf>
    <xf numFmtId="0" fontId="39" fillId="0" borderId="87" xfId="108" applyFont="1" applyBorder="1" applyAlignment="1" applyProtection="1">
      <alignment horizontal="left" vertical="center"/>
      <protection hidden="1"/>
    </xf>
    <xf numFmtId="0" fontId="39" fillId="0" borderId="125" xfId="108" applyFont="1" applyBorder="1" applyAlignment="1" applyProtection="1">
      <alignment horizontal="left" vertical="center"/>
      <protection hidden="1"/>
    </xf>
    <xf numFmtId="0" fontId="39" fillId="0" borderId="66" xfId="108" applyFont="1" applyBorder="1" applyAlignment="1" applyProtection="1">
      <alignment horizontal="left" vertical="center"/>
      <protection hidden="1"/>
    </xf>
    <xf numFmtId="0" fontId="44" fillId="0" borderId="73" xfId="108" applyFont="1" applyBorder="1" applyAlignment="1" applyProtection="1">
      <alignment horizontal="center" vertical="top"/>
      <protection hidden="1"/>
    </xf>
    <xf numFmtId="0" fontId="44" fillId="0" borderId="120" xfId="108" applyFont="1" applyBorder="1" applyAlignment="1" applyProtection="1">
      <alignment horizontal="left" vertical="center"/>
      <protection hidden="1"/>
    </xf>
    <xf numFmtId="0" fontId="44" fillId="0" borderId="30" xfId="108" applyFont="1" applyBorder="1" applyAlignment="1" applyProtection="1">
      <alignment horizontal="left" vertical="center"/>
      <protection hidden="1"/>
    </xf>
    <xf numFmtId="0" fontId="44" fillId="45" borderId="88" xfId="96" applyFont="1" applyFill="1" applyBorder="1" applyAlignment="1" applyProtection="1">
      <alignment horizontal="center" vertical="center"/>
      <protection/>
    </xf>
    <xf numFmtId="0" fontId="44" fillId="45" borderId="25" xfId="96" applyFont="1" applyFill="1" applyBorder="1" applyAlignment="1" applyProtection="1">
      <alignment horizontal="center" vertical="center"/>
      <protection/>
    </xf>
    <xf numFmtId="0" fontId="44" fillId="45" borderId="46" xfId="96" applyFont="1" applyFill="1" applyBorder="1" applyAlignment="1" applyProtection="1">
      <alignment horizontal="center" vertical="center"/>
      <protection/>
    </xf>
    <xf numFmtId="0" fontId="44" fillId="54" borderId="46" xfId="108" applyFont="1" applyFill="1" applyBorder="1" applyAlignment="1" applyProtection="1">
      <alignment horizontal="left" vertical="center"/>
      <protection hidden="1"/>
    </xf>
    <xf numFmtId="0" fontId="33" fillId="28" borderId="38" xfId="108" applyFont="1" applyFill="1" applyBorder="1" applyAlignment="1" applyProtection="1">
      <alignment horizontal="center" vertical="center"/>
      <protection hidden="1"/>
    </xf>
    <xf numFmtId="0" fontId="33" fillId="28" borderId="25" xfId="108" applyFont="1" applyFill="1" applyBorder="1" applyAlignment="1" applyProtection="1">
      <alignment horizontal="center" vertical="center"/>
      <protection hidden="1"/>
    </xf>
    <xf numFmtId="0" fontId="33" fillId="28" borderId="39" xfId="108" applyFont="1" applyFill="1" applyBorder="1" applyAlignment="1" applyProtection="1">
      <alignment horizontal="center" vertical="center"/>
      <protection hidden="1"/>
    </xf>
    <xf numFmtId="0" fontId="52" fillId="17" borderId="88" xfId="96" applyFont="1" applyFill="1" applyBorder="1" applyAlignment="1" applyProtection="1">
      <alignment horizontal="center" vertical="center"/>
      <protection/>
    </xf>
    <xf numFmtId="0" fontId="52" fillId="17" borderId="25" xfId="96" applyFont="1" applyFill="1" applyBorder="1" applyAlignment="1" applyProtection="1">
      <alignment horizontal="center" vertical="center"/>
      <protection/>
    </xf>
    <xf numFmtId="0" fontId="52" fillId="17" borderId="46" xfId="96" applyFont="1" applyFill="1" applyBorder="1" applyAlignment="1" applyProtection="1">
      <alignment horizontal="center" vertical="center"/>
      <protection/>
    </xf>
    <xf numFmtId="0" fontId="46" fillId="62" borderId="38" xfId="96" applyFont="1" applyFill="1" applyBorder="1" applyAlignment="1" applyProtection="1">
      <alignment horizontal="left" vertical="center"/>
      <protection hidden="1"/>
    </xf>
    <xf numFmtId="0" fontId="46" fillId="62" borderId="25" xfId="96" applyFont="1" applyFill="1" applyBorder="1" applyAlignment="1" applyProtection="1">
      <alignment horizontal="left" vertical="center"/>
      <protection hidden="1"/>
    </xf>
    <xf numFmtId="0" fontId="39" fillId="0" borderId="120" xfId="108" applyFont="1" applyBorder="1" applyAlignment="1" applyProtection="1">
      <alignment horizontal="left" vertical="center"/>
      <protection hidden="1"/>
    </xf>
    <xf numFmtId="0" fontId="39" fillId="0" borderId="128" xfId="108" applyFont="1" applyBorder="1" applyAlignment="1" applyProtection="1">
      <alignment horizontal="left" vertical="center"/>
      <protection hidden="1"/>
    </xf>
    <xf numFmtId="0" fontId="33" fillId="53" borderId="88" xfId="108" applyFont="1" applyFill="1" applyBorder="1" applyAlignment="1" applyProtection="1">
      <alignment horizontal="left" vertical="center"/>
      <protection hidden="1"/>
    </xf>
    <xf numFmtId="0" fontId="44" fillId="0" borderId="108" xfId="108" applyFont="1" applyBorder="1" applyAlignment="1" applyProtection="1">
      <alignment horizontal="center" vertical="top"/>
      <protection hidden="1"/>
    </xf>
    <xf numFmtId="0" fontId="44" fillId="0" borderId="83" xfId="108" applyFont="1" applyBorder="1" applyAlignment="1" applyProtection="1">
      <alignment horizontal="center" vertical="top"/>
      <protection hidden="1"/>
    </xf>
    <xf numFmtId="0" fontId="44" fillId="0" borderId="72" xfId="108" applyFont="1" applyBorder="1" applyAlignment="1" applyProtection="1">
      <alignment horizontal="center" vertical="top"/>
      <protection hidden="1"/>
    </xf>
    <xf numFmtId="0" fontId="44" fillId="0" borderId="107" xfId="96" applyFont="1" applyFill="1" applyBorder="1" applyAlignment="1" applyProtection="1">
      <alignment horizontal="center" vertical="center"/>
      <protection hidden="1"/>
    </xf>
    <xf numFmtId="0" fontId="44" fillId="0" borderId="90" xfId="96" applyFont="1" applyFill="1" applyBorder="1" applyAlignment="1" applyProtection="1">
      <alignment horizontal="center" vertical="center"/>
      <protection hidden="1"/>
    </xf>
    <xf numFmtId="0" fontId="44" fillId="0" borderId="116" xfId="96" applyFont="1" applyFill="1" applyBorder="1" applyAlignment="1" applyProtection="1">
      <alignment horizontal="center" vertical="center"/>
      <protection hidden="1"/>
    </xf>
    <xf numFmtId="49" fontId="13" fillId="9" borderId="50" xfId="0" applyNumberFormat="1" applyFont="1" applyFill="1" applyBorder="1" applyAlignment="1">
      <alignment horizontal="center" vertical="center"/>
    </xf>
    <xf numFmtId="49" fontId="13" fillId="9" borderId="0" xfId="0" applyNumberFormat="1" applyFont="1" applyFill="1" applyBorder="1" applyAlignment="1">
      <alignment horizontal="center" vertical="center"/>
    </xf>
    <xf numFmtId="49" fontId="13" fillId="9" borderId="82" xfId="0" applyNumberFormat="1" applyFont="1" applyFill="1" applyBorder="1" applyAlignment="1">
      <alignment horizontal="center" vertical="center"/>
    </xf>
    <xf numFmtId="0" fontId="44" fillId="0" borderId="128" xfId="108" applyFont="1" applyBorder="1" applyAlignment="1" applyProtection="1">
      <alignment horizontal="left" vertical="center"/>
      <protection hidden="1"/>
    </xf>
    <xf numFmtId="0" fontId="33" fillId="54" borderId="88" xfId="108" applyFont="1" applyFill="1" applyBorder="1" applyAlignment="1" applyProtection="1">
      <alignment horizontal="left" vertical="center"/>
      <protection hidden="1"/>
    </xf>
    <xf numFmtId="0" fontId="33" fillId="54" borderId="25" xfId="108" applyFont="1" applyFill="1" applyBorder="1" applyAlignment="1" applyProtection="1">
      <alignment horizontal="left" vertical="center"/>
      <protection hidden="1"/>
    </xf>
    <xf numFmtId="0" fontId="33" fillId="54" borderId="46" xfId="108" applyFont="1" applyFill="1" applyBorder="1" applyAlignment="1" applyProtection="1">
      <alignment horizontal="left" vertical="center"/>
      <protection hidden="1"/>
    </xf>
    <xf numFmtId="0" fontId="46" fillId="62" borderId="38" xfId="96" applyFont="1" applyFill="1" applyBorder="1" applyAlignment="1" applyProtection="1">
      <alignment horizontal="left" vertical="center"/>
      <protection/>
    </xf>
    <xf numFmtId="0" fontId="46" fillId="62" borderId="25" xfId="96" applyFont="1" applyFill="1" applyBorder="1" applyAlignment="1" applyProtection="1">
      <alignment horizontal="left" vertical="center"/>
      <protection/>
    </xf>
    <xf numFmtId="0" fontId="44" fillId="54" borderId="134" xfId="108" applyFont="1" applyFill="1" applyBorder="1" applyAlignment="1" applyProtection="1">
      <alignment horizontal="left" vertical="center"/>
      <protection hidden="1"/>
    </xf>
    <xf numFmtId="0" fontId="44" fillId="54" borderId="113" xfId="108" applyFont="1" applyFill="1" applyBorder="1" applyAlignment="1" applyProtection="1">
      <alignment horizontal="left" vertical="center"/>
      <protection hidden="1"/>
    </xf>
    <xf numFmtId="0" fontId="44" fillId="54" borderId="121" xfId="108" applyFont="1" applyFill="1" applyBorder="1" applyAlignment="1" applyProtection="1">
      <alignment horizontal="left" vertical="center"/>
      <protection hidden="1"/>
    </xf>
    <xf numFmtId="0" fontId="39" fillId="0" borderId="107" xfId="96" applyFont="1" applyFill="1" applyBorder="1" applyAlignment="1" applyProtection="1">
      <alignment horizontal="center" vertical="center"/>
      <protection hidden="1"/>
    </xf>
    <xf numFmtId="0" fontId="39" fillId="0" borderId="116" xfId="96" applyFont="1" applyFill="1" applyBorder="1" applyAlignment="1" applyProtection="1">
      <alignment horizontal="center" vertical="center"/>
      <protection hidden="1"/>
    </xf>
    <xf numFmtId="0" fontId="44" fillId="45" borderId="107" xfId="96" applyFont="1" applyFill="1" applyBorder="1" applyAlignment="1" applyProtection="1">
      <alignment horizontal="center" vertical="center"/>
      <protection/>
    </xf>
    <xf numFmtId="0" fontId="44" fillId="45" borderId="90" xfId="96" applyFont="1" applyFill="1" applyBorder="1" applyAlignment="1" applyProtection="1">
      <alignment horizontal="center" vertical="center"/>
      <protection/>
    </xf>
    <xf numFmtId="0" fontId="44" fillId="45" borderId="116" xfId="96" applyFont="1" applyFill="1" applyBorder="1" applyAlignment="1" applyProtection="1">
      <alignment horizontal="center" vertical="center"/>
      <protection/>
    </xf>
    <xf numFmtId="0" fontId="44" fillId="45" borderId="52" xfId="96" applyFont="1" applyFill="1" applyBorder="1" applyAlignment="1" applyProtection="1">
      <alignment horizontal="center" vertical="top"/>
      <protection/>
    </xf>
    <xf numFmtId="0" fontId="44" fillId="45" borderId="83" xfId="96" applyFont="1" applyFill="1" applyBorder="1" applyAlignment="1" applyProtection="1">
      <alignment horizontal="center" vertical="top"/>
      <protection/>
    </xf>
    <xf numFmtId="0" fontId="44" fillId="45" borderId="93" xfId="96" applyFont="1" applyFill="1" applyBorder="1" applyAlignment="1" applyProtection="1">
      <alignment horizontal="center" vertical="top"/>
      <protection/>
    </xf>
    <xf numFmtId="0" fontId="44" fillId="45" borderId="72" xfId="96" applyFont="1" applyFill="1" applyBorder="1" applyAlignment="1" applyProtection="1">
      <alignment horizontal="center" vertical="top"/>
      <protection/>
    </xf>
    <xf numFmtId="0" fontId="44" fillId="0" borderId="52" xfId="108" applyFont="1" applyBorder="1" applyAlignment="1" applyProtection="1">
      <alignment horizontal="center" vertical="top"/>
      <protection hidden="1"/>
    </xf>
    <xf numFmtId="0" fontId="50" fillId="0" borderId="52" xfId="108" applyFont="1" applyBorder="1" applyAlignment="1" applyProtection="1">
      <alignment horizontal="center" vertical="top"/>
      <protection hidden="1"/>
    </xf>
    <xf numFmtId="0" fontId="50" fillId="0" borderId="83" xfId="108" applyFont="1" applyBorder="1" applyAlignment="1" applyProtection="1">
      <alignment horizontal="center" vertical="top"/>
      <protection hidden="1"/>
    </xf>
    <xf numFmtId="0" fontId="50" fillId="0" borderId="72" xfId="108" applyFont="1" applyBorder="1" applyAlignment="1" applyProtection="1">
      <alignment horizontal="center" vertical="top"/>
      <protection hidden="1"/>
    </xf>
    <xf numFmtId="0" fontId="44" fillId="0" borderId="93" xfId="108" applyFont="1" applyBorder="1" applyAlignment="1" applyProtection="1">
      <alignment horizontal="center" vertical="top"/>
      <protection hidden="1"/>
    </xf>
    <xf numFmtId="0" fontId="13" fillId="0" borderId="44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68" borderId="74" xfId="0" applyFont="1" applyFill="1" applyBorder="1" applyAlignment="1">
      <alignment horizontal="center" vertical="center"/>
    </xf>
    <xf numFmtId="0" fontId="13" fillId="68" borderId="62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 wrapText="1"/>
    </xf>
    <xf numFmtId="0" fontId="13" fillId="53" borderId="74" xfId="0" applyFont="1" applyFill="1" applyBorder="1" applyAlignment="1">
      <alignment horizontal="center" vertical="center"/>
    </xf>
    <xf numFmtId="0" fontId="13" fillId="53" borderId="62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33" fillId="0" borderId="44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33" fillId="0" borderId="62" xfId="0" applyFont="1" applyFill="1" applyBorder="1" applyAlignment="1">
      <alignment horizontal="center" vertical="center" wrapText="1"/>
    </xf>
    <xf numFmtId="0" fontId="13" fillId="53" borderId="44" xfId="0" applyFont="1" applyFill="1" applyBorder="1" applyAlignment="1" applyProtection="1">
      <alignment horizontal="center" vertical="center" wrapText="1"/>
      <protection locked="0"/>
    </xf>
    <xf numFmtId="0" fontId="13" fillId="53" borderId="74" xfId="0" applyFont="1" applyFill="1" applyBorder="1" applyAlignment="1" applyProtection="1">
      <alignment horizontal="center" vertical="center" wrapText="1"/>
      <protection locked="0"/>
    </xf>
    <xf numFmtId="0" fontId="13" fillId="53" borderId="6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63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0" fillId="45" borderId="0" xfId="0" applyFont="1" applyFill="1" applyBorder="1" applyAlignment="1" applyProtection="1">
      <alignment horizontal="center" vertical="center" wrapText="1"/>
      <protection locked="0"/>
    </xf>
    <xf numFmtId="0" fontId="10" fillId="45" borderId="0" xfId="0" applyFont="1" applyFill="1" applyBorder="1" applyAlignment="1" applyProtection="1">
      <alignment horizontal="center" wrapText="1"/>
      <protection locked="0"/>
    </xf>
    <xf numFmtId="0" fontId="13" fillId="45" borderId="0" xfId="0" applyFont="1" applyFill="1" applyBorder="1" applyAlignment="1" applyProtection="1">
      <alignment horizontal="center" vertical="center" wrapText="1"/>
      <protection locked="0"/>
    </xf>
    <xf numFmtId="0" fontId="44" fillId="56" borderId="38" xfId="0" applyFont="1" applyFill="1" applyBorder="1" applyAlignment="1" applyProtection="1">
      <alignment horizontal="center" vertical="center"/>
      <protection locked="0"/>
    </xf>
    <xf numFmtId="0" fontId="44" fillId="56" borderId="25" xfId="0" applyFont="1" applyFill="1" applyBorder="1" applyAlignment="1" applyProtection="1">
      <alignment horizontal="center" vertical="center"/>
      <protection locked="0"/>
    </xf>
    <xf numFmtId="0" fontId="44" fillId="56" borderId="39" xfId="0" applyFont="1" applyFill="1" applyBorder="1" applyAlignment="1" applyProtection="1">
      <alignment horizontal="center" vertical="center"/>
      <protection locked="0"/>
    </xf>
    <xf numFmtId="0" fontId="21" fillId="45" borderId="38" xfId="0" applyFont="1" applyFill="1" applyBorder="1" applyAlignment="1">
      <alignment horizontal="center" vertical="center"/>
    </xf>
    <xf numFmtId="0" fontId="21" fillId="45" borderId="25" xfId="0" applyFont="1" applyFill="1" applyBorder="1" applyAlignment="1">
      <alignment horizontal="center" vertical="center"/>
    </xf>
    <xf numFmtId="0" fontId="22" fillId="45" borderId="0" xfId="0" applyFont="1" applyFill="1" applyBorder="1" applyAlignment="1" applyProtection="1">
      <alignment horizontal="center" wrapText="1"/>
      <protection locked="0"/>
    </xf>
    <xf numFmtId="0" fontId="19" fillId="50" borderId="38" xfId="0" applyFont="1" applyFill="1" applyBorder="1" applyAlignment="1" applyProtection="1">
      <alignment horizontal="center" vertical="center"/>
      <protection locked="0"/>
    </xf>
    <xf numFmtId="0" fontId="19" fillId="50" borderId="25" xfId="0" applyFont="1" applyFill="1" applyBorder="1" applyAlignment="1" applyProtection="1">
      <alignment horizontal="center" vertical="center"/>
      <protection locked="0"/>
    </xf>
    <xf numFmtId="0" fontId="44" fillId="61" borderId="120" xfId="96" applyFont="1" applyFill="1" applyBorder="1" applyAlignment="1">
      <alignment horizontal="left" vertical="center" wrapText="1"/>
      <protection/>
    </xf>
    <xf numFmtId="0" fontId="44" fillId="61" borderId="123" xfId="96" applyFont="1" applyFill="1" applyBorder="1" applyAlignment="1">
      <alignment horizontal="left" vertical="center" wrapText="1"/>
      <protection/>
    </xf>
    <xf numFmtId="0" fontId="44" fillId="61" borderId="38" xfId="96" applyFont="1" applyFill="1" applyBorder="1" applyAlignment="1">
      <alignment horizontal="left" vertical="center" wrapText="1"/>
      <protection/>
    </xf>
    <xf numFmtId="0" fontId="44" fillId="61" borderId="39" xfId="96" applyFont="1" applyFill="1" applyBorder="1" applyAlignment="1">
      <alignment horizontal="left" vertical="center" wrapText="1"/>
      <protection/>
    </xf>
    <xf numFmtId="0" fontId="44" fillId="61" borderId="46" xfId="96" applyFont="1" applyFill="1" applyBorder="1" applyAlignment="1">
      <alignment horizontal="left" vertical="center" wrapText="1"/>
      <protection/>
    </xf>
    <xf numFmtId="0" fontId="44" fillId="61" borderId="88" xfId="96" applyFont="1" applyFill="1" applyBorder="1" applyAlignment="1">
      <alignment horizontal="left" vertical="center" wrapText="1"/>
      <protection/>
    </xf>
    <xf numFmtId="0" fontId="44" fillId="0" borderId="53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77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31" fillId="0" borderId="40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13" fillId="16" borderId="38" xfId="0" applyFont="1" applyFill="1" applyBorder="1" applyAlignment="1">
      <alignment horizontal="left" vertical="center"/>
    </xf>
    <xf numFmtId="0" fontId="13" fillId="16" borderId="39" xfId="0" applyFont="1" applyFill="1" applyBorder="1" applyAlignment="1">
      <alignment horizontal="left" vertical="center"/>
    </xf>
    <xf numFmtId="0" fontId="14" fillId="58" borderId="38" xfId="0" applyFont="1" applyFill="1" applyBorder="1" applyAlignment="1">
      <alignment horizontal="left" vertical="center"/>
    </xf>
    <xf numFmtId="0" fontId="14" fillId="58" borderId="39" xfId="0" applyFont="1" applyFill="1" applyBorder="1" applyAlignment="1">
      <alignment horizontal="left" vertical="center"/>
    </xf>
    <xf numFmtId="0" fontId="14" fillId="58" borderId="38" xfId="0" applyFont="1" applyFill="1" applyBorder="1" applyAlignment="1">
      <alignment horizontal="left" vertical="center"/>
    </xf>
    <xf numFmtId="0" fontId="14" fillId="58" borderId="39" xfId="0" applyFont="1" applyFill="1" applyBorder="1" applyAlignment="1">
      <alignment horizontal="left" vertical="center"/>
    </xf>
    <xf numFmtId="0" fontId="13" fillId="59" borderId="47" xfId="0" applyFont="1" applyFill="1" applyBorder="1" applyAlignment="1">
      <alignment horizontal="left" vertical="center"/>
    </xf>
    <xf numFmtId="0" fontId="13" fillId="59" borderId="65" xfId="0" applyFont="1" applyFill="1" applyBorder="1" applyAlignment="1">
      <alignment horizontal="left" vertical="center"/>
    </xf>
    <xf numFmtId="0" fontId="31" fillId="0" borderId="38" xfId="110" applyFont="1" applyBorder="1" applyAlignment="1">
      <alignment horizontal="center" vertical="center" wrapText="1"/>
      <protection/>
    </xf>
    <xf numFmtId="0" fontId="31" fillId="0" borderId="25" xfId="110" applyFont="1" applyBorder="1" applyAlignment="1">
      <alignment horizontal="center" vertical="center" wrapText="1"/>
      <protection/>
    </xf>
    <xf numFmtId="0" fontId="31" fillId="0" borderId="39" xfId="110" applyFont="1" applyBorder="1" applyAlignment="1">
      <alignment horizontal="center" vertical="center" wrapText="1"/>
      <protection/>
    </xf>
    <xf numFmtId="0" fontId="38" fillId="0" borderId="38" xfId="110" applyFont="1" applyBorder="1" applyAlignment="1">
      <alignment horizontal="center" vertical="center" wrapText="1"/>
      <protection/>
    </xf>
    <xf numFmtId="0" fontId="38" fillId="0" borderId="25" xfId="110" applyFont="1" applyBorder="1" applyAlignment="1">
      <alignment horizontal="center" vertical="center" wrapText="1"/>
      <protection/>
    </xf>
    <xf numFmtId="0" fontId="38" fillId="0" borderId="39" xfId="110" applyFont="1" applyBorder="1" applyAlignment="1">
      <alignment horizontal="center" vertical="center" wrapText="1"/>
      <protection/>
    </xf>
    <xf numFmtId="0" fontId="9" fillId="0" borderId="0" xfId="107" applyFont="1" applyFill="1" applyBorder="1" applyAlignment="1">
      <alignment horizontal="center"/>
      <protection/>
    </xf>
    <xf numFmtId="0" fontId="22" fillId="0" borderId="0" xfId="107" applyFont="1" applyFill="1" applyBorder="1" applyAlignment="1">
      <alignment horizontal="center"/>
      <protection/>
    </xf>
    <xf numFmtId="0" fontId="31" fillId="0" borderId="40" xfId="110" applyFont="1" applyBorder="1" applyAlignment="1">
      <alignment horizontal="center" vertical="center" wrapText="1"/>
      <protection/>
    </xf>
    <xf numFmtId="0" fontId="31" fillId="0" borderId="23" xfId="110" applyFont="1" applyBorder="1" applyAlignment="1">
      <alignment horizontal="center" vertical="center" wrapText="1"/>
      <protection/>
    </xf>
    <xf numFmtId="0" fontId="31" fillId="0" borderId="107" xfId="110" applyFont="1" applyBorder="1" applyAlignment="1">
      <alignment horizontal="center" vertical="center" wrapText="1"/>
      <protection/>
    </xf>
    <xf numFmtId="0" fontId="31" fillId="0" borderId="116" xfId="110" applyFont="1" applyBorder="1" applyAlignment="1">
      <alignment horizontal="center" vertical="center" wrapText="1"/>
      <protection/>
    </xf>
    <xf numFmtId="0" fontId="31" fillId="0" borderId="106" xfId="110" applyFont="1" applyBorder="1" applyAlignment="1">
      <alignment horizontal="center" vertical="center" wrapText="1"/>
      <protection/>
    </xf>
    <xf numFmtId="0" fontId="31" fillId="0" borderId="135" xfId="110" applyFont="1" applyBorder="1" applyAlignment="1">
      <alignment horizontal="center" vertical="center" wrapText="1"/>
      <protection/>
    </xf>
    <xf numFmtId="0" fontId="9" fillId="0" borderId="0" xfId="107" applyFont="1" applyFill="1" applyBorder="1" applyAlignment="1">
      <alignment horizontal="center" vertical="center"/>
      <protection/>
    </xf>
    <xf numFmtId="0" fontId="10" fillId="0" borderId="40" xfId="107" applyFont="1" applyFill="1" applyBorder="1" applyAlignment="1">
      <alignment horizontal="center" vertical="center" wrapText="1"/>
      <protection/>
    </xf>
    <xf numFmtId="0" fontId="10" fillId="0" borderId="49" xfId="107" applyFont="1" applyFill="1" applyBorder="1" applyAlignment="1">
      <alignment horizontal="center" vertical="center" wrapText="1"/>
      <protection/>
    </xf>
    <xf numFmtId="0" fontId="10" fillId="0" borderId="23" xfId="107" applyFont="1" applyFill="1" applyBorder="1" applyAlignment="1">
      <alignment horizontal="center" vertical="center" wrapText="1"/>
      <protection/>
    </xf>
    <xf numFmtId="0" fontId="23" fillId="0" borderId="40" xfId="107" applyFont="1" applyFill="1" applyBorder="1" applyAlignment="1">
      <alignment horizontal="center" vertical="center" wrapText="1"/>
      <protection/>
    </xf>
    <xf numFmtId="0" fontId="23" fillId="0" borderId="49" xfId="107" applyFont="1" applyFill="1" applyBorder="1" applyAlignment="1">
      <alignment horizontal="center" vertical="center" wrapText="1"/>
      <protection/>
    </xf>
    <xf numFmtId="0" fontId="23" fillId="0" borderId="23" xfId="107" applyFont="1" applyFill="1" applyBorder="1" applyAlignment="1">
      <alignment horizontal="center" vertical="center" wrapText="1"/>
      <protection/>
    </xf>
    <xf numFmtId="0" fontId="17" fillId="0" borderId="42" xfId="107" applyFont="1" applyFill="1" applyBorder="1" applyAlignment="1">
      <alignment horizontal="center" vertical="center" wrapText="1"/>
      <protection/>
    </xf>
    <xf numFmtId="0" fontId="14" fillId="0" borderId="113" xfId="107" applyFont="1" applyFill="1" applyBorder="1" applyAlignment="1">
      <alignment horizontal="center" vertical="center" wrapText="1"/>
      <protection/>
    </xf>
    <xf numFmtId="0" fontId="14" fillId="58" borderId="40" xfId="107" applyFont="1" applyFill="1" applyBorder="1" applyAlignment="1">
      <alignment horizontal="center" vertical="center" wrapText="1"/>
      <protection/>
    </xf>
    <xf numFmtId="0" fontId="14" fillId="58" borderId="23" xfId="107" applyFont="1" applyFill="1" applyBorder="1" applyAlignment="1">
      <alignment horizontal="center" vertical="center" wrapText="1"/>
      <protection/>
    </xf>
    <xf numFmtId="0" fontId="10" fillId="0" borderId="38" xfId="107" applyFont="1" applyFill="1" applyBorder="1" applyAlignment="1">
      <alignment horizontal="center" vertical="center" wrapText="1"/>
      <protection/>
    </xf>
    <xf numFmtId="0" fontId="10" fillId="0" borderId="25" xfId="107" applyFont="1" applyFill="1" applyBorder="1" applyAlignment="1">
      <alignment horizontal="center" vertical="center" wrapText="1"/>
      <protection/>
    </xf>
    <xf numFmtId="0" fontId="10" fillId="0" borderId="39" xfId="107" applyFont="1" applyFill="1" applyBorder="1" applyAlignment="1">
      <alignment horizontal="center" vertical="center" wrapText="1"/>
      <protection/>
    </xf>
    <xf numFmtId="0" fontId="17" fillId="0" borderId="107" xfId="107" applyFont="1" applyFill="1" applyBorder="1" applyAlignment="1">
      <alignment horizontal="center" vertical="center" wrapText="1"/>
      <protection/>
    </xf>
    <xf numFmtId="0" fontId="17" fillId="0" borderId="116" xfId="107" applyFont="1" applyFill="1" applyBorder="1" applyAlignment="1">
      <alignment horizontal="center" vertical="center" wrapText="1"/>
      <protection/>
    </xf>
    <xf numFmtId="0" fontId="17" fillId="0" borderId="131" xfId="107" applyFont="1" applyFill="1" applyBorder="1" applyAlignment="1">
      <alignment horizontal="center" vertical="center" wrapText="1"/>
      <protection/>
    </xf>
    <xf numFmtId="0" fontId="17" fillId="0" borderId="121" xfId="107" applyFont="1" applyFill="1" applyBorder="1" applyAlignment="1">
      <alignment horizontal="center" vertical="center" wrapText="1"/>
      <protection/>
    </xf>
    <xf numFmtId="0" fontId="22" fillId="0" borderId="0" xfId="107" applyFont="1" applyFill="1" applyBorder="1" applyAlignment="1">
      <alignment horizontal="center" vertical="center"/>
      <protection/>
    </xf>
    <xf numFmtId="0" fontId="17" fillId="0" borderId="40" xfId="107" applyFont="1" applyFill="1" applyBorder="1" applyAlignment="1">
      <alignment horizontal="center" vertical="center" wrapText="1"/>
      <protection/>
    </xf>
    <xf numFmtId="0" fontId="17" fillId="0" borderId="23" xfId="107" applyFont="1" applyFill="1" applyBorder="1" applyAlignment="1">
      <alignment horizontal="center" vertical="center" wrapText="1"/>
      <protection/>
    </xf>
    <xf numFmtId="0" fontId="17" fillId="0" borderId="106" xfId="107" applyFont="1" applyFill="1" applyBorder="1" applyAlignment="1">
      <alignment horizontal="center" vertical="center" wrapText="1"/>
      <protection/>
    </xf>
    <xf numFmtId="0" fontId="14" fillId="0" borderId="135" xfId="107" applyFont="1" applyFill="1" applyBorder="1" applyAlignment="1">
      <alignment horizontal="center" vertical="center" wrapText="1"/>
      <protection/>
    </xf>
  </cellXfs>
  <cellStyles count="111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Comma0" xfId="63"/>
    <cellStyle name="Ellenőrzőcella" xfId="64"/>
    <cellStyle name="Ellenőrzőcella 2" xfId="65"/>
    <cellStyle name="Comma" xfId="66"/>
    <cellStyle name="Comma [0]" xfId="67"/>
    <cellStyle name="Ezres 2" xfId="68"/>
    <cellStyle name="Ezres 2 2" xfId="69"/>
    <cellStyle name="Figyelmeztetés" xfId="70"/>
    <cellStyle name="Figyelmeztetés 2" xfId="71"/>
    <cellStyle name="Hyperlink" xfId="72"/>
    <cellStyle name="Hivatkozott cella" xfId="73"/>
    <cellStyle name="Hivatkozott cella 2" xfId="74"/>
    <cellStyle name="Jegyzet" xfId="75"/>
    <cellStyle name="Jegyzet 2" xfId="76"/>
    <cellStyle name="Jelölőszín (1) 2" xfId="77"/>
    <cellStyle name="Jelölőszín (2) 2" xfId="78"/>
    <cellStyle name="Jelölőszín (3) 2" xfId="79"/>
    <cellStyle name="Jelölőszín (4) 2" xfId="80"/>
    <cellStyle name="Jelölőszín (5) 2" xfId="81"/>
    <cellStyle name="Jelölőszín (6) 2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Jó 2" xfId="90"/>
    <cellStyle name="Kimenet" xfId="91"/>
    <cellStyle name="Kimenet 2" xfId="92"/>
    <cellStyle name="Followed Hyperlink" xfId="93"/>
    <cellStyle name="Magyarázó szöveg" xfId="94"/>
    <cellStyle name="Magyarázó szöveg 2" xfId="95"/>
    <cellStyle name="Normál 2" xfId="96"/>
    <cellStyle name="Normál 2 2" xfId="97"/>
    <cellStyle name="Normál 3" xfId="98"/>
    <cellStyle name="Normál 3 2" xfId="99"/>
    <cellStyle name="Normál 4 2" xfId="100"/>
    <cellStyle name="Normál 4 2 2" xfId="101"/>
    <cellStyle name="Normál_GÖRDÜLŐ" xfId="102"/>
    <cellStyle name="Normál_gördülő2" xfId="103"/>
    <cellStyle name="Normál_kiad2003eredeti" xfId="104"/>
    <cellStyle name="Normál_kiad2004eredeti HIVATALI AJÁNLOTT" xfId="105"/>
    <cellStyle name="Normál_kiad2006eredeti(4)" xfId="106"/>
    <cellStyle name="Normál_kiadásössz" xfId="107"/>
    <cellStyle name="Normál_KVFORMÁTUM" xfId="108"/>
    <cellStyle name="Normál_Önkbevét+Intézm." xfId="109"/>
    <cellStyle name="Normál_ÖSSZESSÍTETT pályázatok" xfId="110"/>
    <cellStyle name="Normál_ÖSSZESSÍTETT pályázatok 2" xfId="111"/>
    <cellStyle name="Normál_Városüzemeltetés Kht." xfId="112"/>
    <cellStyle name="Normál_x4. sz. melléklet-VÜZ" xfId="113"/>
    <cellStyle name="Összesen" xfId="114"/>
    <cellStyle name="Összesen 2" xfId="115"/>
    <cellStyle name="Currency" xfId="116"/>
    <cellStyle name="Currency [0]" xfId="117"/>
    <cellStyle name="Rossz" xfId="118"/>
    <cellStyle name="Rossz 2" xfId="119"/>
    <cellStyle name="Semleges" xfId="120"/>
    <cellStyle name="Semleges 2" xfId="121"/>
    <cellStyle name="Számítás" xfId="122"/>
    <cellStyle name="Számítás 2" xfId="123"/>
    <cellStyle name="Percen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A7A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binet\irodai_kozos\TEST&#220;LETI%20EL&#336;TERJESZT&#201;SEK\2019\10%20november\november%2028\kiad2019_m&#243;dos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3">
        <row r="4">
          <cell r="H4">
            <v>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bevét+Intézm."/>
      <sheetName val="kiadásössz"/>
      <sheetName val="Kerületi feladatok"/>
      <sheetName val="Kulturális feladatok"/>
      <sheetName val="Idegenforgalom "/>
      <sheetName val="Sajtó"/>
      <sheetName val="Környezetvédelem"/>
      <sheetName val="Kerületi díjak"/>
      <sheetName val="Egészségügy és szoc fa-ok"/>
      <sheetName val="Önkormányzati segély"/>
      <sheetName val="Szociális feladatell."/>
      <sheetName val="Alapok, alapítványok"/>
      <sheetName val="Nemzetiségi Önkormányzatok"/>
      <sheetName val="Közszolg. fejlesztés"/>
      <sheetName val="Városrendezés"/>
      <sheetName val="Kártalanítás, utcamegnyitás"/>
      <sheetName val="Vagyongazdálkodás"/>
      <sheetName val="Vagyongazd. - altábla felújítás"/>
      <sheetName val="Városüzemeltetés"/>
      <sheetName val="Intézmények"/>
      <sheetName val="Egyéb pályázatok"/>
      <sheetName val="Közterület-Felügyelet"/>
      <sheetName val="EÜ N. Kft."/>
      <sheetName val="Tartalék"/>
      <sheetName val="Polgármesteri Hivatal"/>
      <sheetName val="PH-Számítástechnika"/>
      <sheetName val="Igazgatási feladatok"/>
      <sheetName val="Építéshatósági feladatok"/>
      <sheetName val="Szociális feladatok - Hivatal"/>
      <sheetName val="Közterület-Felügyelet(Hivatal)"/>
      <sheetName val="Munka1"/>
    </sheetNames>
    <sheetDataSet>
      <sheetData sheetId="2">
        <row r="19">
          <cell r="I19">
            <v>2000</v>
          </cell>
        </row>
        <row r="29">
          <cell r="T29">
            <v>8275</v>
          </cell>
        </row>
        <row r="30">
          <cell r="T30">
            <v>200</v>
          </cell>
        </row>
        <row r="31">
          <cell r="T31">
            <v>100</v>
          </cell>
        </row>
        <row r="33">
          <cell r="T33">
            <v>900</v>
          </cell>
        </row>
      </sheetData>
      <sheetData sheetId="5">
        <row r="20">
          <cell r="E20">
            <v>40809</v>
          </cell>
        </row>
        <row r="21">
          <cell r="E21">
            <v>8000</v>
          </cell>
        </row>
        <row r="22">
          <cell r="E22">
            <v>6861</v>
          </cell>
        </row>
      </sheetData>
      <sheetData sheetId="8">
        <row r="16">
          <cell r="T16">
            <v>2000</v>
          </cell>
        </row>
        <row r="17">
          <cell r="T17">
            <v>500</v>
          </cell>
        </row>
        <row r="18">
          <cell r="T18">
            <v>4600</v>
          </cell>
        </row>
        <row r="19">
          <cell r="T19">
            <v>10000</v>
          </cell>
        </row>
        <row r="20">
          <cell r="T20">
            <v>41969</v>
          </cell>
        </row>
      </sheetData>
      <sheetData sheetId="9">
        <row r="27">
          <cell r="T27">
            <v>8215</v>
          </cell>
        </row>
      </sheetData>
      <sheetData sheetId="10">
        <row r="16">
          <cell r="T16">
            <v>15088</v>
          </cell>
        </row>
        <row r="20">
          <cell r="T20">
            <v>1414</v>
          </cell>
        </row>
        <row r="21">
          <cell r="T21">
            <v>1300</v>
          </cell>
        </row>
        <row r="23">
          <cell r="T23">
            <v>3700</v>
          </cell>
        </row>
      </sheetData>
      <sheetData sheetId="14">
        <row r="15">
          <cell r="T15">
            <v>2000</v>
          </cell>
        </row>
        <row r="18">
          <cell r="T18">
            <v>1032</v>
          </cell>
        </row>
        <row r="23">
          <cell r="T23">
            <v>534</v>
          </cell>
        </row>
        <row r="24">
          <cell r="T24">
            <v>670</v>
          </cell>
        </row>
        <row r="25">
          <cell r="T25">
            <v>300</v>
          </cell>
        </row>
        <row r="26">
          <cell r="T26">
            <v>1212</v>
          </cell>
        </row>
      </sheetData>
      <sheetData sheetId="15">
        <row r="15">
          <cell r="T15">
            <v>175330</v>
          </cell>
        </row>
      </sheetData>
      <sheetData sheetId="16">
        <row r="11">
          <cell r="T11">
            <v>3066</v>
          </cell>
        </row>
        <row r="31">
          <cell r="T31">
            <v>30485</v>
          </cell>
        </row>
        <row r="32">
          <cell r="T32">
            <v>6000</v>
          </cell>
        </row>
        <row r="33">
          <cell r="T33">
            <v>30019</v>
          </cell>
        </row>
        <row r="34">
          <cell r="T34">
            <v>25000</v>
          </cell>
        </row>
        <row r="35">
          <cell r="T35">
            <v>8122</v>
          </cell>
        </row>
        <row r="38">
          <cell r="T38">
            <v>2000</v>
          </cell>
        </row>
        <row r="39">
          <cell r="T39">
            <v>66610</v>
          </cell>
        </row>
        <row r="40">
          <cell r="T40">
            <v>5000</v>
          </cell>
        </row>
        <row r="41">
          <cell r="T41">
            <v>81428</v>
          </cell>
        </row>
        <row r="42">
          <cell r="T42">
            <v>1000</v>
          </cell>
        </row>
      </sheetData>
      <sheetData sheetId="18">
        <row r="37">
          <cell r="T37">
            <v>694981</v>
          </cell>
        </row>
        <row r="40">
          <cell r="T40">
            <v>38002</v>
          </cell>
        </row>
        <row r="44">
          <cell r="T44">
            <v>47469</v>
          </cell>
        </row>
        <row r="48">
          <cell r="T48">
            <v>6765</v>
          </cell>
        </row>
        <row r="52">
          <cell r="T52">
            <v>43778</v>
          </cell>
        </row>
        <row r="107">
          <cell r="T107">
            <v>3485227</v>
          </cell>
        </row>
        <row r="117">
          <cell r="V117">
            <v>192117</v>
          </cell>
        </row>
        <row r="122">
          <cell r="V122">
            <v>61081</v>
          </cell>
        </row>
        <row r="127">
          <cell r="V127">
            <v>56512</v>
          </cell>
        </row>
        <row r="131">
          <cell r="V131">
            <v>40101</v>
          </cell>
        </row>
        <row r="159">
          <cell r="T159">
            <v>372025</v>
          </cell>
        </row>
        <row r="160">
          <cell r="T160">
            <v>58314</v>
          </cell>
        </row>
        <row r="161">
          <cell r="T161">
            <v>558406</v>
          </cell>
        </row>
        <row r="162">
          <cell r="T162">
            <v>10362</v>
          </cell>
        </row>
        <row r="182">
          <cell r="T182">
            <v>244631</v>
          </cell>
        </row>
        <row r="183">
          <cell r="T183">
            <v>88350</v>
          </cell>
        </row>
        <row r="188">
          <cell r="T188">
            <v>287427</v>
          </cell>
        </row>
        <row r="190">
          <cell r="T190">
            <v>8000</v>
          </cell>
        </row>
      </sheetData>
      <sheetData sheetId="22">
        <row r="15">
          <cell r="T15">
            <v>6000</v>
          </cell>
        </row>
        <row r="17">
          <cell r="T17">
            <v>13000</v>
          </cell>
        </row>
        <row r="18">
          <cell r="T18">
            <v>6480</v>
          </cell>
        </row>
      </sheetData>
      <sheetData sheetId="24">
        <row r="31">
          <cell r="T31">
            <v>3000</v>
          </cell>
        </row>
        <row r="32">
          <cell r="T32">
            <v>2152</v>
          </cell>
        </row>
        <row r="34">
          <cell r="T34">
            <v>8611</v>
          </cell>
        </row>
        <row r="35">
          <cell r="T35">
            <v>3000</v>
          </cell>
        </row>
        <row r="36">
          <cell r="T36">
            <v>2736</v>
          </cell>
        </row>
        <row r="40">
          <cell r="K40">
            <v>2540</v>
          </cell>
          <cell r="L40">
            <v>35657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6"/>
  <sheetViews>
    <sheetView showGridLines="0" tabSelected="1" zoomScale="90" zoomScaleNormal="9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" sqref="I1"/>
    </sheetView>
  </sheetViews>
  <sheetFormatPr defaultColWidth="9.00390625" defaultRowHeight="12.75"/>
  <cols>
    <col min="1" max="1" width="6.875" style="587" customWidth="1"/>
    <col min="2" max="2" width="7.375" style="587" customWidth="1"/>
    <col min="3" max="3" width="11.50390625" style="589" customWidth="1"/>
    <col min="4" max="4" width="6.875" style="589" customWidth="1"/>
    <col min="5" max="5" width="83.875" style="589" customWidth="1"/>
    <col min="6" max="6" width="9.375" style="589" customWidth="1"/>
    <col min="7" max="7" width="16.50390625" style="599" customWidth="1"/>
    <col min="8" max="8" width="17.125" style="599" customWidth="1"/>
    <col min="9" max="9" width="18.00390625" style="599" customWidth="1"/>
    <col min="10" max="10" width="16.125" style="29" customWidth="1"/>
    <col min="12" max="12" width="10.375" style="762" bestFit="1" customWidth="1"/>
  </cols>
  <sheetData>
    <row r="1" spans="3:9" ht="14.25">
      <c r="C1" s="588"/>
      <c r="I1" s="600" t="s">
        <v>911</v>
      </c>
    </row>
    <row r="2" ht="13.5" customHeight="1">
      <c r="I2" s="600" t="s">
        <v>93</v>
      </c>
    </row>
    <row r="3" spans="1:12" s="597" customFormat="1" ht="30.75" customHeight="1">
      <c r="A3" s="1849" t="s">
        <v>653</v>
      </c>
      <c r="B3" s="1849"/>
      <c r="C3" s="1849"/>
      <c r="D3" s="1849"/>
      <c r="E3" s="1849"/>
      <c r="F3" s="1849"/>
      <c r="G3" s="1849"/>
      <c r="H3" s="1849"/>
      <c r="I3" s="1849"/>
      <c r="J3" s="1181"/>
      <c r="L3" s="1507"/>
    </row>
    <row r="4" spans="1:12" s="594" customFormat="1" ht="21" customHeight="1">
      <c r="A4" s="1836" t="s">
        <v>559</v>
      </c>
      <c r="B4" s="1836"/>
      <c r="C4" s="1836"/>
      <c r="D4" s="1836"/>
      <c r="E4" s="1836"/>
      <c r="F4" s="1836"/>
      <c r="G4" s="1836"/>
      <c r="H4" s="1836"/>
      <c r="I4" s="1836"/>
      <c r="J4" s="1182"/>
      <c r="L4" s="762"/>
    </row>
    <row r="5" ht="24" customHeight="1" thickBot="1">
      <c r="I5" s="600" t="s">
        <v>134</v>
      </c>
    </row>
    <row r="6" spans="1:12" s="592" customFormat="1" ht="66" customHeight="1" thickBot="1">
      <c r="A6" s="593" t="s">
        <v>317</v>
      </c>
      <c r="B6" s="1850" t="s">
        <v>318</v>
      </c>
      <c r="C6" s="1850"/>
      <c r="D6" s="1850"/>
      <c r="E6" s="1851"/>
      <c r="F6" s="621" t="s">
        <v>231</v>
      </c>
      <c r="G6" s="1007" t="s">
        <v>793</v>
      </c>
      <c r="H6" s="1008" t="s">
        <v>438</v>
      </c>
      <c r="I6" s="616" t="s">
        <v>658</v>
      </c>
      <c r="J6" s="1183"/>
      <c r="L6" s="1505"/>
    </row>
    <row r="7" spans="1:12" s="995" customFormat="1" ht="10.5" customHeight="1" thickBot="1">
      <c r="A7" s="996">
        <v>1</v>
      </c>
      <c r="B7" s="1846">
        <v>2</v>
      </c>
      <c r="C7" s="1847"/>
      <c r="D7" s="1847"/>
      <c r="E7" s="1848"/>
      <c r="F7" s="997">
        <v>3</v>
      </c>
      <c r="G7" s="998">
        <v>4</v>
      </c>
      <c r="H7" s="999">
        <v>5</v>
      </c>
      <c r="I7" s="1000">
        <v>6</v>
      </c>
      <c r="J7" s="1184"/>
      <c r="L7" s="1505"/>
    </row>
    <row r="8" spans="1:12" s="200" customFormat="1" ht="17.25" customHeight="1" thickBot="1">
      <c r="A8" s="644">
        <v>1</v>
      </c>
      <c r="B8" s="1839" t="s">
        <v>319</v>
      </c>
      <c r="C8" s="1839"/>
      <c r="D8" s="1839"/>
      <c r="E8" s="1840"/>
      <c r="F8" s="645" t="s">
        <v>234</v>
      </c>
      <c r="G8" s="884">
        <f>SUM(G9:G14)</f>
        <v>1936353</v>
      </c>
      <c r="H8" s="884">
        <f>SUM(H9:H14)</f>
        <v>100663</v>
      </c>
      <c r="I8" s="1177">
        <f>SUM(I9:I14)</f>
        <v>2037016</v>
      </c>
      <c r="J8" s="152"/>
      <c r="L8" s="1506">
        <f>hivatal9!K36</f>
        <v>2037016</v>
      </c>
    </row>
    <row r="9" spans="1:12" s="88" customFormat="1" ht="15.75" customHeight="1">
      <c r="A9" s="662"/>
      <c r="B9" s="660" t="s">
        <v>98</v>
      </c>
      <c r="C9" s="1820" t="s">
        <v>235</v>
      </c>
      <c r="D9" s="1821"/>
      <c r="E9" s="1822"/>
      <c r="F9" s="649" t="s">
        <v>236</v>
      </c>
      <c r="G9" s="1032">
        <v>4546</v>
      </c>
      <c r="H9" s="650">
        <v>1969</v>
      </c>
      <c r="I9" s="651">
        <f aca="true" t="shared" si="0" ref="I9:I15">SUM(G9:H9)</f>
        <v>6515</v>
      </c>
      <c r="J9" s="234"/>
      <c r="L9" s="760"/>
    </row>
    <row r="10" spans="1:12" s="88" customFormat="1" ht="14.25">
      <c r="A10" s="662"/>
      <c r="B10" s="630" t="s">
        <v>99</v>
      </c>
      <c r="C10" s="1825" t="s">
        <v>237</v>
      </c>
      <c r="D10" s="1826"/>
      <c r="E10" s="1827"/>
      <c r="F10" s="622" t="s">
        <v>238</v>
      </c>
      <c r="G10" s="611">
        <v>881515</v>
      </c>
      <c r="H10" s="604">
        <f>15048+8860</f>
        <v>23908</v>
      </c>
      <c r="I10" s="651">
        <f t="shared" si="0"/>
        <v>905423</v>
      </c>
      <c r="J10" s="234"/>
      <c r="L10" s="760"/>
    </row>
    <row r="11" spans="1:12" s="88" customFormat="1" ht="14.25">
      <c r="A11" s="662"/>
      <c r="B11" s="630" t="s">
        <v>100</v>
      </c>
      <c r="C11" s="1843" t="s">
        <v>239</v>
      </c>
      <c r="D11" s="1844"/>
      <c r="E11" s="1845"/>
      <c r="F11" s="622" t="s">
        <v>240</v>
      </c>
      <c r="G11" s="611">
        <v>819420</v>
      </c>
      <c r="H11" s="604">
        <f>16691+34614+21416</f>
        <v>72721</v>
      </c>
      <c r="I11" s="651">
        <f t="shared" si="0"/>
        <v>892141</v>
      </c>
      <c r="J11" s="965">
        <f>SUM(I9:I11)</f>
        <v>1804079</v>
      </c>
      <c r="L11" s="760"/>
    </row>
    <row r="12" spans="1:12" s="88" customFormat="1" ht="14.25">
      <c r="A12" s="662"/>
      <c r="B12" s="630" t="s">
        <v>101</v>
      </c>
      <c r="C12" s="1825" t="s">
        <v>241</v>
      </c>
      <c r="D12" s="1826"/>
      <c r="E12" s="1827"/>
      <c r="F12" s="622" t="s">
        <v>242</v>
      </c>
      <c r="G12" s="611">
        <v>226156</v>
      </c>
      <c r="H12" s="604">
        <f>1922</f>
        <v>1922</v>
      </c>
      <c r="I12" s="651">
        <f t="shared" si="0"/>
        <v>228078</v>
      </c>
      <c r="J12" s="234"/>
      <c r="L12" s="760"/>
    </row>
    <row r="13" spans="1:12" s="88" customFormat="1" ht="14.25">
      <c r="A13" s="662"/>
      <c r="B13" s="630" t="s">
        <v>192</v>
      </c>
      <c r="C13" s="1825" t="s">
        <v>534</v>
      </c>
      <c r="D13" s="1826"/>
      <c r="E13" s="1827"/>
      <c r="F13" s="622" t="s">
        <v>243</v>
      </c>
      <c r="G13" s="611">
        <v>0</v>
      </c>
      <c r="H13" s="604"/>
      <c r="I13" s="651">
        <f t="shared" si="0"/>
        <v>0</v>
      </c>
      <c r="J13" s="234"/>
      <c r="L13" s="760"/>
    </row>
    <row r="14" spans="1:12" s="88" customFormat="1" ht="15" thickBot="1">
      <c r="A14" s="663"/>
      <c r="B14" s="638" t="s">
        <v>339</v>
      </c>
      <c r="C14" s="1828" t="s">
        <v>535</v>
      </c>
      <c r="D14" s="1829"/>
      <c r="E14" s="1830"/>
      <c r="F14" s="653" t="s">
        <v>244</v>
      </c>
      <c r="G14" s="613">
        <v>4716</v>
      </c>
      <c r="H14" s="605">
        <v>143</v>
      </c>
      <c r="I14" s="651">
        <f t="shared" si="0"/>
        <v>4859</v>
      </c>
      <c r="J14" s="234"/>
      <c r="L14" s="760"/>
    </row>
    <row r="15" spans="1:12" s="88" customFormat="1" ht="15.75" thickBot="1">
      <c r="A15" s="661">
        <v>2</v>
      </c>
      <c r="B15" s="1852" t="s">
        <v>245</v>
      </c>
      <c r="C15" s="1839"/>
      <c r="D15" s="1839"/>
      <c r="E15" s="1840"/>
      <c r="F15" s="695" t="s">
        <v>246</v>
      </c>
      <c r="G15" s="654"/>
      <c r="H15" s="655"/>
      <c r="I15" s="648">
        <f t="shared" si="0"/>
        <v>0</v>
      </c>
      <c r="J15" s="234"/>
      <c r="L15" s="760"/>
    </row>
    <row r="16" spans="1:12" s="234" customFormat="1" ht="14.25" customHeight="1">
      <c r="A16" s="657">
        <v>3</v>
      </c>
      <c r="B16" s="1817" t="s">
        <v>247</v>
      </c>
      <c r="C16" s="1818"/>
      <c r="D16" s="1818"/>
      <c r="E16" s="1819"/>
      <c r="F16" s="1774" t="s">
        <v>248</v>
      </c>
      <c r="G16" s="1775">
        <f>SUM(G17:G19)</f>
        <v>207508</v>
      </c>
      <c r="H16" s="1775">
        <f>SUM(H17:H19)</f>
        <v>6200</v>
      </c>
      <c r="I16" s="658">
        <f>SUM(I17:I19)</f>
        <v>213708</v>
      </c>
      <c r="L16" s="1464">
        <f>hivatal9!K39</f>
        <v>213708</v>
      </c>
    </row>
    <row r="17" spans="1:12" s="200" customFormat="1" ht="15" customHeight="1">
      <c r="A17" s="634"/>
      <c r="B17" s="1854"/>
      <c r="C17" s="793" t="s">
        <v>253</v>
      </c>
      <c r="D17" s="1837" t="s">
        <v>624</v>
      </c>
      <c r="E17" s="1838"/>
      <c r="F17" s="1039" t="s">
        <v>248</v>
      </c>
      <c r="G17" s="690">
        <v>116417</v>
      </c>
      <c r="H17" s="691">
        <v>12000</v>
      </c>
      <c r="I17" s="1040">
        <f>SUM(G17:H17)</f>
        <v>128417</v>
      </c>
      <c r="J17" s="152"/>
      <c r="L17" s="760"/>
    </row>
    <row r="18" spans="1:12" s="200" customFormat="1" ht="14.25">
      <c r="A18" s="634"/>
      <c r="B18" s="1854"/>
      <c r="C18" s="1204" t="s">
        <v>253</v>
      </c>
      <c r="D18" s="1823" t="s">
        <v>320</v>
      </c>
      <c r="E18" s="1853"/>
      <c r="F18" s="598" t="s">
        <v>248</v>
      </c>
      <c r="G18" s="619">
        <v>9940</v>
      </c>
      <c r="H18" s="619">
        <v>-9940</v>
      </c>
      <c r="I18" s="1040">
        <f>SUM(G18:H18)</f>
        <v>0</v>
      </c>
      <c r="J18" s="152"/>
      <c r="L18" s="760"/>
    </row>
    <row r="19" spans="1:12" s="200" customFormat="1" ht="15" thickBot="1">
      <c r="A19" s="634"/>
      <c r="B19" s="1855"/>
      <c r="C19" s="793" t="s">
        <v>253</v>
      </c>
      <c r="D19" s="1837" t="s">
        <v>364</v>
      </c>
      <c r="E19" s="1838"/>
      <c r="F19" s="598" t="s">
        <v>248</v>
      </c>
      <c r="G19" s="690">
        <v>81151</v>
      </c>
      <c r="H19" s="691">
        <f>-16691-1922+2652+27+10134+9940</f>
        <v>4140</v>
      </c>
      <c r="I19" s="601">
        <f>SUM(G19:H19)</f>
        <v>85291</v>
      </c>
      <c r="J19" s="152"/>
      <c r="L19" s="760"/>
    </row>
    <row r="20" spans="1:15" s="200" customFormat="1" ht="18.75" customHeight="1" thickBot="1">
      <c r="A20" s="705" t="s">
        <v>95</v>
      </c>
      <c r="B20" s="1835" t="s">
        <v>232</v>
      </c>
      <c r="C20" s="1809"/>
      <c r="D20" s="1809"/>
      <c r="E20" s="1810"/>
      <c r="F20" s="706" t="s">
        <v>233</v>
      </c>
      <c r="G20" s="707">
        <f>G8+G15+G16</f>
        <v>2143861</v>
      </c>
      <c r="H20" s="707">
        <f>H8+H15+H16</f>
        <v>106863</v>
      </c>
      <c r="I20" s="708">
        <f>I8+I106+I16</f>
        <v>2250724</v>
      </c>
      <c r="J20" s="1179">
        <f>SUM(G20:H20)</f>
        <v>2250724</v>
      </c>
      <c r="L20" s="1506">
        <f>hivatal9!K40</f>
        <v>2250724</v>
      </c>
      <c r="O20" s="596"/>
    </row>
    <row r="21" spans="1:12" s="200" customFormat="1" ht="15.75" thickBot="1">
      <c r="A21" s="644">
        <v>1</v>
      </c>
      <c r="B21" s="1839" t="s">
        <v>251</v>
      </c>
      <c r="C21" s="1839"/>
      <c r="D21" s="1839"/>
      <c r="E21" s="1840"/>
      <c r="F21" s="645" t="s">
        <v>252</v>
      </c>
      <c r="G21" s="646">
        <v>0</v>
      </c>
      <c r="H21" s="647">
        <v>0</v>
      </c>
      <c r="I21" s="652">
        <f>SUM(G21:H21)</f>
        <v>0</v>
      </c>
      <c r="J21" s="152"/>
      <c r="L21" s="760"/>
    </row>
    <row r="22" spans="1:12" s="200" customFormat="1" ht="15">
      <c r="A22" s="657">
        <v>2</v>
      </c>
      <c r="B22" s="1841" t="s">
        <v>254</v>
      </c>
      <c r="C22" s="1841"/>
      <c r="D22" s="1841"/>
      <c r="E22" s="1842"/>
      <c r="F22" s="632" t="s">
        <v>255</v>
      </c>
      <c r="G22" s="643">
        <f>SUM(G23:G25)</f>
        <v>1810000</v>
      </c>
      <c r="H22" s="610">
        <f>SUM(H23:H25)</f>
        <v>0</v>
      </c>
      <c r="I22" s="610">
        <f>SUM(I23:I25)</f>
        <v>1810000</v>
      </c>
      <c r="J22" s="1179">
        <f>SUM(I23:I25)</f>
        <v>1810000</v>
      </c>
      <c r="L22" s="760"/>
    </row>
    <row r="23" spans="1:12" s="88" customFormat="1" ht="14.25">
      <c r="A23" s="634"/>
      <c r="B23" s="630" t="s">
        <v>98</v>
      </c>
      <c r="C23" s="1825" t="s">
        <v>96</v>
      </c>
      <c r="D23" s="1826"/>
      <c r="E23" s="1827"/>
      <c r="F23" s="624" t="s">
        <v>255</v>
      </c>
      <c r="G23" s="612">
        <v>1100000</v>
      </c>
      <c r="H23" s="619"/>
      <c r="I23" s="618">
        <f>SUM(G23:H23)</f>
        <v>1100000</v>
      </c>
      <c r="J23" s="234"/>
      <c r="L23" s="760"/>
    </row>
    <row r="24" spans="1:12" s="88" customFormat="1" ht="14.25">
      <c r="A24" s="634"/>
      <c r="B24" s="630" t="s">
        <v>99</v>
      </c>
      <c r="C24" s="1825" t="s">
        <v>103</v>
      </c>
      <c r="D24" s="1826"/>
      <c r="E24" s="1827"/>
      <c r="F24" s="624" t="s">
        <v>255</v>
      </c>
      <c r="G24" s="612">
        <v>210000</v>
      </c>
      <c r="H24" s="619"/>
      <c r="I24" s="618">
        <f>SUM(G24:H24)</f>
        <v>210000</v>
      </c>
      <c r="J24" s="234"/>
      <c r="L24" s="760"/>
    </row>
    <row r="25" spans="1:12" s="88" customFormat="1" ht="15" thickBot="1">
      <c r="A25" s="634"/>
      <c r="B25" s="638" t="s">
        <v>100</v>
      </c>
      <c r="C25" s="1869" t="s">
        <v>97</v>
      </c>
      <c r="D25" s="1870"/>
      <c r="E25" s="1871"/>
      <c r="F25" s="669" t="s">
        <v>255</v>
      </c>
      <c r="G25" s="614">
        <v>500000</v>
      </c>
      <c r="H25" s="620"/>
      <c r="I25" s="618">
        <f>SUM(G25:H25)</f>
        <v>500000</v>
      </c>
      <c r="J25" s="234"/>
      <c r="L25" s="760"/>
    </row>
    <row r="26" spans="1:12" s="200" customFormat="1" ht="15" customHeight="1">
      <c r="A26" s="657">
        <v>3</v>
      </c>
      <c r="B26" s="1817" t="s">
        <v>256</v>
      </c>
      <c r="C26" s="1818"/>
      <c r="D26" s="1818"/>
      <c r="E26" s="1819"/>
      <c r="F26" s="629" t="s">
        <v>257</v>
      </c>
      <c r="G26" s="639">
        <f>G27+G29+G30+G28</f>
        <v>4504921</v>
      </c>
      <c r="H26" s="639">
        <f>H27+H29+H30+H28</f>
        <v>46</v>
      </c>
      <c r="I26" s="640">
        <f>I27+I29+I30+I28</f>
        <v>4504967</v>
      </c>
      <c r="J26" s="152"/>
      <c r="L26" s="760"/>
    </row>
    <row r="27" spans="1:12" s="200" customFormat="1" ht="14.25">
      <c r="A27" s="634"/>
      <c r="B27" s="630" t="s">
        <v>98</v>
      </c>
      <c r="C27" s="1825" t="s">
        <v>380</v>
      </c>
      <c r="D27" s="1826"/>
      <c r="E27" s="1827"/>
      <c r="F27" s="623" t="s">
        <v>258</v>
      </c>
      <c r="G27" s="966">
        <v>4319222</v>
      </c>
      <c r="H27" s="601"/>
      <c r="I27" s="601">
        <f>SUM(G27:H27)</f>
        <v>4319222</v>
      </c>
      <c r="J27" s="152"/>
      <c r="L27" s="760"/>
    </row>
    <row r="28" spans="1:12" s="200" customFormat="1" ht="14.25">
      <c r="A28" s="634"/>
      <c r="B28" s="630" t="s">
        <v>99</v>
      </c>
      <c r="C28" s="1057" t="s">
        <v>501</v>
      </c>
      <c r="D28" s="1058"/>
      <c r="E28" s="623"/>
      <c r="F28" s="623" t="s">
        <v>502</v>
      </c>
      <c r="G28" s="966"/>
      <c r="H28" s="601"/>
      <c r="I28" s="601">
        <f>SUM(G28:H28)</f>
        <v>0</v>
      </c>
      <c r="J28" s="152"/>
      <c r="L28" s="760"/>
    </row>
    <row r="29" spans="1:12" s="88" customFormat="1" ht="14.25">
      <c r="A29" s="634"/>
      <c r="B29" s="630" t="s">
        <v>100</v>
      </c>
      <c r="C29" s="1825" t="s">
        <v>104</v>
      </c>
      <c r="D29" s="1826"/>
      <c r="E29" s="1827"/>
      <c r="F29" s="623" t="s">
        <v>259</v>
      </c>
      <c r="G29" s="966">
        <v>185000</v>
      </c>
      <c r="H29" s="601"/>
      <c r="I29" s="601">
        <f>SUM(G29:H29)</f>
        <v>185000</v>
      </c>
      <c r="J29" s="234"/>
      <c r="L29" s="760"/>
    </row>
    <row r="30" spans="1:12" s="88" customFormat="1" ht="15">
      <c r="A30" s="634"/>
      <c r="B30" s="1832" t="s">
        <v>101</v>
      </c>
      <c r="C30" s="1825" t="s">
        <v>260</v>
      </c>
      <c r="D30" s="1826"/>
      <c r="E30" s="1827"/>
      <c r="F30" s="633" t="s">
        <v>261</v>
      </c>
      <c r="G30" s="685">
        <f>SUM(G31:G32)</f>
        <v>699</v>
      </c>
      <c r="H30" s="685">
        <f>SUM(H31:H32)</f>
        <v>46</v>
      </c>
      <c r="I30" s="602">
        <f>SUM(I31:I32)</f>
        <v>745</v>
      </c>
      <c r="J30" s="234"/>
      <c r="L30" s="760"/>
    </row>
    <row r="31" spans="1:12" s="88" customFormat="1" ht="14.25">
      <c r="A31" s="634"/>
      <c r="B31" s="1833"/>
      <c r="C31" s="736" t="s">
        <v>253</v>
      </c>
      <c r="D31" s="1187" t="s">
        <v>528</v>
      </c>
      <c r="E31" s="623"/>
      <c r="F31" s="624" t="s">
        <v>261</v>
      </c>
      <c r="G31" s="1196">
        <v>699</v>
      </c>
      <c r="H31" s="1196">
        <v>46</v>
      </c>
      <c r="I31" s="891">
        <f>SUM(G31:H31)</f>
        <v>745</v>
      </c>
      <c r="J31" s="234"/>
      <c r="L31" s="760"/>
    </row>
    <row r="32" spans="1:12" s="1010" customFormat="1" ht="14.25" customHeight="1" thickBot="1">
      <c r="A32" s="1011"/>
      <c r="B32" s="1834"/>
      <c r="C32" s="755" t="s">
        <v>253</v>
      </c>
      <c r="D32" s="636" t="s">
        <v>365</v>
      </c>
      <c r="E32" s="637"/>
      <c r="F32" s="669" t="s">
        <v>261</v>
      </c>
      <c r="G32" s="1012"/>
      <c r="H32" s="971"/>
      <c r="I32" s="1197">
        <f>SUM(G32:H32)</f>
        <v>0</v>
      </c>
      <c r="J32" s="1185"/>
      <c r="L32" s="739"/>
    </row>
    <row r="33" spans="1:12" s="200" customFormat="1" ht="14.25" customHeight="1">
      <c r="A33" s="657">
        <v>4</v>
      </c>
      <c r="B33" s="1817" t="s">
        <v>262</v>
      </c>
      <c r="C33" s="1818"/>
      <c r="D33" s="1818"/>
      <c r="E33" s="1818"/>
      <c r="F33" s="1275" t="s">
        <v>263</v>
      </c>
      <c r="G33" s="1271">
        <f>SUM(G34:G39)</f>
        <v>24535</v>
      </c>
      <c r="H33" s="640">
        <f>SUM(H34:H39)</f>
        <v>1232</v>
      </c>
      <c r="I33" s="1271">
        <f>SUM(I34:I39)</f>
        <v>25767</v>
      </c>
      <c r="J33" s="1179">
        <f>SUM(G33:H33)</f>
        <v>25767</v>
      </c>
      <c r="L33" s="760"/>
    </row>
    <row r="34" spans="1:12" s="88" customFormat="1" ht="14.25" customHeight="1">
      <c r="A34" s="634"/>
      <c r="B34" s="1856"/>
      <c r="C34" s="736" t="s">
        <v>253</v>
      </c>
      <c r="D34" s="1825" t="s">
        <v>48</v>
      </c>
      <c r="E34" s="1826"/>
      <c r="F34" s="598" t="s">
        <v>263</v>
      </c>
      <c r="G34" s="1269">
        <v>45</v>
      </c>
      <c r="H34" s="619">
        <v>20</v>
      </c>
      <c r="I34" s="618">
        <f>SUM(G34:H34)</f>
        <v>65</v>
      </c>
      <c r="J34" s="234"/>
      <c r="L34" s="760"/>
    </row>
    <row r="35" spans="1:12" s="88" customFormat="1" ht="14.25" customHeight="1">
      <c r="A35" s="634"/>
      <c r="B35" s="1857"/>
      <c r="C35" s="736" t="s">
        <v>253</v>
      </c>
      <c r="D35" s="1825" t="s">
        <v>848</v>
      </c>
      <c r="E35" s="1826"/>
      <c r="F35" s="598" t="s">
        <v>263</v>
      </c>
      <c r="G35" s="1269">
        <v>955</v>
      </c>
      <c r="H35" s="619">
        <v>1122</v>
      </c>
      <c r="I35" s="618">
        <f>SUM(G35:H35)</f>
        <v>2077</v>
      </c>
      <c r="J35" s="234"/>
      <c r="L35" s="760"/>
    </row>
    <row r="36" spans="1:12" s="88" customFormat="1" ht="14.25" customHeight="1">
      <c r="A36" s="634"/>
      <c r="B36" s="1857"/>
      <c r="C36" s="736" t="s">
        <v>253</v>
      </c>
      <c r="D36" s="1825" t="s">
        <v>337</v>
      </c>
      <c r="E36" s="1826"/>
      <c r="F36" s="598" t="s">
        <v>263</v>
      </c>
      <c r="G36" s="1269"/>
      <c r="H36" s="619"/>
      <c r="I36" s="618">
        <f>SUM(G36:H36)</f>
        <v>0</v>
      </c>
      <c r="J36" s="234"/>
      <c r="L36" s="760"/>
    </row>
    <row r="37" spans="1:12" s="200" customFormat="1" ht="14.25" customHeight="1">
      <c r="A37" s="635"/>
      <c r="B37" s="1857"/>
      <c r="C37" s="736" t="s">
        <v>253</v>
      </c>
      <c r="D37" s="1825" t="s">
        <v>338</v>
      </c>
      <c r="E37" s="1826"/>
      <c r="F37" s="598" t="s">
        <v>263</v>
      </c>
      <c r="G37" s="1269"/>
      <c r="H37" s="619"/>
      <c r="I37" s="618">
        <f>SUM(G37:H37)</f>
        <v>0</v>
      </c>
      <c r="J37" s="152"/>
      <c r="L37" s="760"/>
    </row>
    <row r="38" spans="1:12" s="200" customFormat="1" ht="14.25" customHeight="1">
      <c r="A38" s="635"/>
      <c r="B38" s="1857"/>
      <c r="C38" s="736" t="s">
        <v>253</v>
      </c>
      <c r="D38" s="1825" t="s">
        <v>321</v>
      </c>
      <c r="E38" s="1826"/>
      <c r="F38" s="598" t="s">
        <v>263</v>
      </c>
      <c r="G38" s="1269"/>
      <c r="H38" s="619"/>
      <c r="I38" s="618">
        <f>SUM(G38:H38)</f>
        <v>0</v>
      </c>
      <c r="J38" s="152"/>
      <c r="L38" s="760"/>
    </row>
    <row r="39" spans="1:12" s="88" customFormat="1" ht="14.25" customHeight="1">
      <c r="A39" s="1859"/>
      <c r="B39" s="1857"/>
      <c r="C39" s="1832" t="s">
        <v>253</v>
      </c>
      <c r="D39" s="1825" t="s">
        <v>49</v>
      </c>
      <c r="E39" s="1826"/>
      <c r="F39" s="598" t="s">
        <v>263</v>
      </c>
      <c r="G39" s="1269">
        <f>SUM(G40:G43)</f>
        <v>23535</v>
      </c>
      <c r="H39" s="619">
        <f>SUM(H40:H43)</f>
        <v>90</v>
      </c>
      <c r="I39" s="1269">
        <f>SUM(I40:I43)</f>
        <v>23625</v>
      </c>
      <c r="J39" s="234"/>
      <c r="L39" s="760"/>
    </row>
    <row r="40" spans="1:12" s="88" customFormat="1" ht="14.25" customHeight="1">
      <c r="A40" s="1859"/>
      <c r="B40" s="1857"/>
      <c r="C40" s="1833"/>
      <c r="D40" s="585" t="s">
        <v>57</v>
      </c>
      <c r="E40" s="1272" t="s">
        <v>445</v>
      </c>
      <c r="F40" s="598" t="s">
        <v>263</v>
      </c>
      <c r="G40" s="1270">
        <v>5000</v>
      </c>
      <c r="H40" s="606"/>
      <c r="I40" s="1268">
        <f>SUM(G40:H40)</f>
        <v>5000</v>
      </c>
      <c r="J40" s="234"/>
      <c r="L40" s="760"/>
    </row>
    <row r="41" spans="1:12" s="88" customFormat="1" ht="14.25" customHeight="1">
      <c r="A41" s="1859"/>
      <c r="B41" s="1857"/>
      <c r="C41" s="1833"/>
      <c r="D41" s="585" t="s">
        <v>58</v>
      </c>
      <c r="E41" s="1272" t="s">
        <v>440</v>
      </c>
      <c r="F41" s="598" t="s">
        <v>263</v>
      </c>
      <c r="G41" s="1390">
        <v>10535</v>
      </c>
      <c r="H41" s="606"/>
      <c r="I41" s="1268">
        <f>SUM(G41:H41)</f>
        <v>10535</v>
      </c>
      <c r="J41" s="234"/>
      <c r="L41" s="760"/>
    </row>
    <row r="42" spans="1:12" s="88" customFormat="1" ht="14.25" customHeight="1">
      <c r="A42" s="1859"/>
      <c r="B42" s="1857"/>
      <c r="C42" s="1833"/>
      <c r="D42" s="664" t="s">
        <v>555</v>
      </c>
      <c r="E42" s="1272" t="s">
        <v>335</v>
      </c>
      <c r="F42" s="598" t="s">
        <v>263</v>
      </c>
      <c r="G42" s="1270">
        <v>8000</v>
      </c>
      <c r="H42" s="606"/>
      <c r="I42" s="1268">
        <f>SUM(G42:H42)</f>
        <v>8000</v>
      </c>
      <c r="J42" s="234"/>
      <c r="L42" s="760"/>
    </row>
    <row r="43" spans="1:12" s="88" customFormat="1" ht="14.25" customHeight="1" thickBot="1">
      <c r="A43" s="1860"/>
      <c r="B43" s="1858"/>
      <c r="C43" s="1834"/>
      <c r="D43" s="664" t="s">
        <v>556</v>
      </c>
      <c r="E43" s="1272" t="s">
        <v>381</v>
      </c>
      <c r="F43" s="1274" t="s">
        <v>263</v>
      </c>
      <c r="G43" s="1273"/>
      <c r="H43" s="971">
        <v>90</v>
      </c>
      <c r="I43" s="1268">
        <f>SUM(G43:H43)</f>
        <v>90</v>
      </c>
      <c r="J43" s="234"/>
      <c r="L43" s="760"/>
    </row>
    <row r="44" spans="1:12" s="200" customFormat="1" ht="18.75" customHeight="1" thickBot="1">
      <c r="A44" s="709" t="s">
        <v>102</v>
      </c>
      <c r="B44" s="1808" t="s">
        <v>249</v>
      </c>
      <c r="C44" s="1809"/>
      <c r="D44" s="1809"/>
      <c r="E44" s="1810"/>
      <c r="F44" s="710" t="s">
        <v>250</v>
      </c>
      <c r="G44" s="711">
        <f>G21+G22++G26+G33</f>
        <v>6339456</v>
      </c>
      <c r="H44" s="712">
        <f>H21+H22++H26+H33</f>
        <v>1278</v>
      </c>
      <c r="I44" s="708">
        <f>I21+I22++I26+I33</f>
        <v>6340734</v>
      </c>
      <c r="J44" s="1179">
        <f>SUM(G44:H44)</f>
        <v>6340734</v>
      </c>
      <c r="L44" s="1506">
        <f>hivatal9!K45</f>
        <v>6340734</v>
      </c>
    </row>
    <row r="45" spans="1:12" s="200" customFormat="1" ht="15.75" customHeight="1">
      <c r="A45" s="657">
        <v>1</v>
      </c>
      <c r="B45" s="1817" t="s">
        <v>266</v>
      </c>
      <c r="C45" s="1818"/>
      <c r="D45" s="1818"/>
      <c r="E45" s="1819"/>
      <c r="F45" s="667" t="s">
        <v>267</v>
      </c>
      <c r="G45" s="673">
        <v>1591</v>
      </c>
      <c r="H45" s="674">
        <f>299+150</f>
        <v>449</v>
      </c>
      <c r="I45" s="686">
        <f aca="true" t="shared" si="1" ref="I45:I56">SUM(G45:H45)</f>
        <v>2040</v>
      </c>
      <c r="J45" s="152"/>
      <c r="L45" s="760"/>
    </row>
    <row r="46" spans="1:12" s="200" customFormat="1" ht="15" customHeight="1">
      <c r="A46" s="656">
        <v>2</v>
      </c>
      <c r="B46" s="1805" t="s">
        <v>268</v>
      </c>
      <c r="C46" s="1806"/>
      <c r="D46" s="1806"/>
      <c r="E46" s="1807"/>
      <c r="F46" s="668" t="s">
        <v>269</v>
      </c>
      <c r="G46" s="677">
        <v>591976</v>
      </c>
      <c r="H46" s="678">
        <f>15+998+4374+5123+24205</f>
        <v>34715</v>
      </c>
      <c r="I46" s="703">
        <f t="shared" si="1"/>
        <v>626691</v>
      </c>
      <c r="J46" s="152"/>
      <c r="L46" s="760"/>
    </row>
    <row r="47" spans="1:10" s="739" customFormat="1" ht="15" customHeight="1">
      <c r="A47" s="735"/>
      <c r="B47" s="1055"/>
      <c r="C47" s="585" t="s">
        <v>253</v>
      </c>
      <c r="D47" s="585" t="s">
        <v>322</v>
      </c>
      <c r="E47" s="586"/>
      <c r="F47" s="624" t="s">
        <v>269</v>
      </c>
      <c r="G47" s="1391">
        <v>493589</v>
      </c>
      <c r="H47" s="606">
        <v>24365</v>
      </c>
      <c r="I47" s="891">
        <f t="shared" si="1"/>
        <v>517954</v>
      </c>
      <c r="J47" s="1009"/>
    </row>
    <row r="48" spans="1:12" s="200" customFormat="1" ht="15" customHeight="1">
      <c r="A48" s="656">
        <v>3</v>
      </c>
      <c r="B48" s="1805" t="s">
        <v>270</v>
      </c>
      <c r="C48" s="1806"/>
      <c r="D48" s="1806"/>
      <c r="E48" s="1807"/>
      <c r="F48" s="668" t="s">
        <v>271</v>
      </c>
      <c r="G48" s="677">
        <v>93407</v>
      </c>
      <c r="H48" s="678">
        <f>-431+12923+415+12701</f>
        <v>25608</v>
      </c>
      <c r="I48" s="602">
        <f t="shared" si="1"/>
        <v>119015</v>
      </c>
      <c r="J48" s="152"/>
      <c r="L48" s="760"/>
    </row>
    <row r="49" spans="1:12" s="200" customFormat="1" ht="15" customHeight="1">
      <c r="A49" s="675">
        <v>4</v>
      </c>
      <c r="B49" s="1806" t="s">
        <v>272</v>
      </c>
      <c r="C49" s="1806"/>
      <c r="D49" s="1806"/>
      <c r="E49" s="1807"/>
      <c r="F49" s="633" t="s">
        <v>273</v>
      </c>
      <c r="G49" s="615">
        <v>7080</v>
      </c>
      <c r="H49" s="615"/>
      <c r="I49" s="602">
        <f t="shared" si="1"/>
        <v>7080</v>
      </c>
      <c r="J49" s="152"/>
      <c r="L49" s="760"/>
    </row>
    <row r="50" spans="1:12" s="200" customFormat="1" ht="16.5" customHeight="1">
      <c r="A50" s="642">
        <v>5</v>
      </c>
      <c r="B50" s="1805" t="s">
        <v>274</v>
      </c>
      <c r="C50" s="1806"/>
      <c r="D50" s="1806"/>
      <c r="E50" s="1807"/>
      <c r="F50" s="633" t="s">
        <v>275</v>
      </c>
      <c r="G50" s="615">
        <v>243445</v>
      </c>
      <c r="H50" s="607">
        <v>1487</v>
      </c>
      <c r="I50" s="602">
        <f t="shared" si="1"/>
        <v>244932</v>
      </c>
      <c r="J50" s="152"/>
      <c r="L50" s="760"/>
    </row>
    <row r="51" spans="1:12" s="200" customFormat="1" ht="16.5" customHeight="1">
      <c r="A51" s="675">
        <v>6</v>
      </c>
      <c r="B51" s="1805" t="s">
        <v>276</v>
      </c>
      <c r="C51" s="1806"/>
      <c r="D51" s="1806"/>
      <c r="E51" s="1807"/>
      <c r="F51" s="668" t="s">
        <v>277</v>
      </c>
      <c r="G51" s="677">
        <v>216556</v>
      </c>
      <c r="H51" s="678">
        <f>87+2634+8+1776</f>
        <v>4505</v>
      </c>
      <c r="I51" s="703">
        <f t="shared" si="1"/>
        <v>221061</v>
      </c>
      <c r="J51" s="152"/>
      <c r="L51" s="760"/>
    </row>
    <row r="52" spans="1:12" s="200" customFormat="1" ht="16.5" customHeight="1">
      <c r="A52" s="675">
        <v>7</v>
      </c>
      <c r="B52" s="1805" t="s">
        <v>278</v>
      </c>
      <c r="C52" s="1806"/>
      <c r="D52" s="1806"/>
      <c r="E52" s="1807"/>
      <c r="F52" s="633" t="s">
        <v>279</v>
      </c>
      <c r="G52" s="615">
        <v>27755</v>
      </c>
      <c r="H52" s="607">
        <v>41082</v>
      </c>
      <c r="I52" s="602">
        <f t="shared" si="1"/>
        <v>68837</v>
      </c>
      <c r="J52" s="152"/>
      <c r="L52" s="760"/>
    </row>
    <row r="53" spans="1:12" s="200" customFormat="1" ht="15.75" customHeight="1">
      <c r="A53" s="675">
        <v>8</v>
      </c>
      <c r="B53" s="1805" t="s">
        <v>47</v>
      </c>
      <c r="C53" s="1806"/>
      <c r="D53" s="1806"/>
      <c r="E53" s="1807"/>
      <c r="F53" s="633" t="s">
        <v>280</v>
      </c>
      <c r="G53" s="615">
        <v>5049</v>
      </c>
      <c r="H53" s="607">
        <f>25492+6</f>
        <v>25498</v>
      </c>
      <c r="I53" s="602">
        <f t="shared" si="1"/>
        <v>30547</v>
      </c>
      <c r="J53" s="152"/>
      <c r="L53" s="760"/>
    </row>
    <row r="54" spans="1:12" s="152" customFormat="1" ht="15">
      <c r="A54" s="675">
        <v>9</v>
      </c>
      <c r="B54" s="1805" t="s">
        <v>281</v>
      </c>
      <c r="C54" s="1806"/>
      <c r="D54" s="1806"/>
      <c r="E54" s="1807"/>
      <c r="F54" s="668" t="s">
        <v>282</v>
      </c>
      <c r="G54" s="677">
        <v>0</v>
      </c>
      <c r="H54" s="678"/>
      <c r="I54" s="602">
        <f t="shared" si="1"/>
        <v>0</v>
      </c>
      <c r="L54" s="764"/>
    </row>
    <row r="55" spans="1:12" s="152" customFormat="1" ht="15">
      <c r="A55" s="675">
        <v>10</v>
      </c>
      <c r="B55" s="1805" t="s">
        <v>495</v>
      </c>
      <c r="C55" s="1806"/>
      <c r="D55" s="1806"/>
      <c r="E55" s="1807"/>
      <c r="F55" s="1068" t="s">
        <v>284</v>
      </c>
      <c r="G55" s="677">
        <v>1261</v>
      </c>
      <c r="H55" s="678">
        <v>99</v>
      </c>
      <c r="I55" s="602">
        <f t="shared" si="1"/>
        <v>1360</v>
      </c>
      <c r="L55" s="764"/>
    </row>
    <row r="56" spans="1:12" s="152" customFormat="1" ht="16.5" customHeight="1" thickBot="1">
      <c r="A56" s="680">
        <v>11</v>
      </c>
      <c r="B56" s="1813" t="s">
        <v>283</v>
      </c>
      <c r="C56" s="1814"/>
      <c r="D56" s="1814"/>
      <c r="E56" s="1815"/>
      <c r="F56" s="1069" t="s">
        <v>494</v>
      </c>
      <c r="G56" s="682">
        <v>17916</v>
      </c>
      <c r="H56" s="683">
        <f>431+102+296+1627+1699</f>
        <v>4155</v>
      </c>
      <c r="I56" s="602">
        <f t="shared" si="1"/>
        <v>22071</v>
      </c>
      <c r="L56" s="764"/>
    </row>
    <row r="57" spans="1:12" s="200" customFormat="1" ht="18.75" customHeight="1" thickBot="1">
      <c r="A57" s="705" t="s">
        <v>105</v>
      </c>
      <c r="B57" s="1835" t="s">
        <v>264</v>
      </c>
      <c r="C57" s="1809"/>
      <c r="D57" s="1809"/>
      <c r="E57" s="1810"/>
      <c r="F57" s="714" t="s">
        <v>265</v>
      </c>
      <c r="G57" s="707">
        <f>G45+G46+G48+G49+G50+G51+G52+G53+G54+G56+G55</f>
        <v>1206036</v>
      </c>
      <c r="H57" s="707">
        <f>H45+H46+H48+H49+H50+H51+H52+H53+H54+H56+H55</f>
        <v>137598</v>
      </c>
      <c r="I57" s="708">
        <f>I45+I46+I48+I49+I50+I51+I52+I53+I54+I56+I55</f>
        <v>1343634</v>
      </c>
      <c r="J57" s="1179">
        <f>SUM(G57:H57)</f>
        <v>1343634</v>
      </c>
      <c r="L57" s="1506">
        <f>hivatal9!K46</f>
        <v>1343634</v>
      </c>
    </row>
    <row r="58" spans="1:12" s="88" customFormat="1" ht="15">
      <c r="A58" s="625">
        <v>1</v>
      </c>
      <c r="B58" s="1820" t="s">
        <v>287</v>
      </c>
      <c r="C58" s="1821"/>
      <c r="D58" s="1821"/>
      <c r="E58" s="1822"/>
      <c r="F58" s="1068" t="s">
        <v>496</v>
      </c>
      <c r="G58" s="611"/>
      <c r="H58" s="604"/>
      <c r="I58" s="617"/>
      <c r="J58" s="234"/>
      <c r="L58" s="760"/>
    </row>
    <row r="59" spans="1:12" s="88" customFormat="1" ht="15.75" thickBot="1">
      <c r="A59" s="626">
        <v>2</v>
      </c>
      <c r="B59" s="1828" t="s">
        <v>288</v>
      </c>
      <c r="C59" s="1829"/>
      <c r="D59" s="1829"/>
      <c r="E59" s="1830"/>
      <c r="F59" s="1069" t="s">
        <v>497</v>
      </c>
      <c r="G59" s="613">
        <v>361</v>
      </c>
      <c r="H59" s="605"/>
      <c r="I59" s="617">
        <f>SUM(G59:H59)</f>
        <v>361</v>
      </c>
      <c r="J59" s="234"/>
      <c r="L59" s="760"/>
    </row>
    <row r="60" spans="1:12" s="88" customFormat="1" ht="17.25" customHeight="1" thickBot="1">
      <c r="A60" s="705" t="s">
        <v>106</v>
      </c>
      <c r="B60" s="1835" t="s">
        <v>285</v>
      </c>
      <c r="C60" s="1809"/>
      <c r="D60" s="1809"/>
      <c r="E60" s="1810"/>
      <c r="F60" s="713" t="s">
        <v>286</v>
      </c>
      <c r="G60" s="707">
        <f>SUM(G58:G59)</f>
        <v>361</v>
      </c>
      <c r="H60" s="708">
        <f>SUM(H58:H59)</f>
        <v>0</v>
      </c>
      <c r="I60" s="715">
        <f>SUM(I58:I59)</f>
        <v>361</v>
      </c>
      <c r="J60" s="965">
        <f>SUM(G60:H60)</f>
        <v>361</v>
      </c>
      <c r="L60" s="1506">
        <f>hivatal9!K47</f>
        <v>361</v>
      </c>
    </row>
    <row r="61" spans="1:12" s="540" customFormat="1" ht="21" customHeight="1" thickBot="1">
      <c r="A61" s="850" t="s">
        <v>120</v>
      </c>
      <c r="B61" s="1831" t="s">
        <v>419</v>
      </c>
      <c r="C61" s="1812"/>
      <c r="D61" s="1812"/>
      <c r="E61" s="1816"/>
      <c r="F61" s="851"/>
      <c r="G61" s="852">
        <f>G20+G44+G57+G60</f>
        <v>9689714</v>
      </c>
      <c r="H61" s="852">
        <f>H20+H44+H57+H60</f>
        <v>245739</v>
      </c>
      <c r="I61" s="853">
        <f>I20+I44+I57+I60</f>
        <v>9935453</v>
      </c>
      <c r="J61" s="1186">
        <f>SUM(G61:H61)</f>
        <v>9935453</v>
      </c>
      <c r="L61" s="760"/>
    </row>
    <row r="62" spans="1:12" s="200" customFormat="1" ht="16.5" customHeight="1">
      <c r="A62" s="675">
        <v>1</v>
      </c>
      <c r="B62" s="1817" t="s">
        <v>291</v>
      </c>
      <c r="C62" s="1818"/>
      <c r="D62" s="1818"/>
      <c r="E62" s="1819"/>
      <c r="F62" s="633" t="s">
        <v>292</v>
      </c>
      <c r="G62" s="615">
        <v>1136400</v>
      </c>
      <c r="H62" s="607">
        <v>930200</v>
      </c>
      <c r="I62" s="640">
        <f>SUM(G62:H62)</f>
        <v>2066600</v>
      </c>
      <c r="J62" s="152"/>
      <c r="L62" s="1506">
        <f>hivatal9!K48</f>
        <v>2066600</v>
      </c>
    </row>
    <row r="63" spans="1:12" s="200" customFormat="1" ht="16.5" customHeight="1">
      <c r="A63" s="1864">
        <v>2</v>
      </c>
      <c r="B63" s="1805" t="s">
        <v>293</v>
      </c>
      <c r="C63" s="1806"/>
      <c r="D63" s="1806"/>
      <c r="E63" s="1807"/>
      <c r="F63" s="670" t="s">
        <v>294</v>
      </c>
      <c r="G63" s="682">
        <v>542279</v>
      </c>
      <c r="H63" s="682"/>
      <c r="I63" s="683">
        <f>SUM(I64:I66)</f>
        <v>542279</v>
      </c>
      <c r="J63" s="1179">
        <f>SUM(G63:H63)</f>
        <v>542279</v>
      </c>
      <c r="L63" s="1506">
        <f>hivatal9!K50</f>
        <v>542279</v>
      </c>
    </row>
    <row r="64" spans="1:12" s="88" customFormat="1" ht="15" customHeight="1">
      <c r="A64" s="1865"/>
      <c r="B64" s="1863"/>
      <c r="C64" s="584" t="s">
        <v>253</v>
      </c>
      <c r="D64" s="1823" t="s">
        <v>382</v>
      </c>
      <c r="E64" s="1824"/>
      <c r="F64" s="622" t="s">
        <v>294</v>
      </c>
      <c r="G64" s="612">
        <v>106287</v>
      </c>
      <c r="H64" s="619"/>
      <c r="I64" s="601">
        <f>SUM(G64:H64)</f>
        <v>106287</v>
      </c>
      <c r="J64" s="234"/>
      <c r="L64" s="760"/>
    </row>
    <row r="65" spans="1:12" s="88" customFormat="1" ht="15" customHeight="1">
      <c r="A65" s="1865"/>
      <c r="B65" s="1854"/>
      <c r="C65" s="734" t="s">
        <v>253</v>
      </c>
      <c r="D65" s="757" t="s">
        <v>320</v>
      </c>
      <c r="E65" s="758"/>
      <c r="F65" s="756" t="s">
        <v>294</v>
      </c>
      <c r="G65" s="690">
        <v>261325</v>
      </c>
      <c r="H65" s="691"/>
      <c r="I65" s="601">
        <f>SUM(G65:H65)</f>
        <v>261325</v>
      </c>
      <c r="J65" s="234"/>
      <c r="L65" s="760"/>
    </row>
    <row r="66" spans="1:12" s="88" customFormat="1" ht="15" customHeight="1" thickBot="1">
      <c r="A66" s="1866"/>
      <c r="B66" s="1855"/>
      <c r="C66" s="584" t="s">
        <v>253</v>
      </c>
      <c r="D66" s="585" t="s">
        <v>429</v>
      </c>
      <c r="E66" s="586"/>
      <c r="F66" s="653" t="s">
        <v>294</v>
      </c>
      <c r="G66" s="612">
        <v>174667</v>
      </c>
      <c r="H66" s="619"/>
      <c r="I66" s="1415">
        <f>SUM(G66:H66)</f>
        <v>174667</v>
      </c>
      <c r="J66" s="234"/>
      <c r="L66" s="760"/>
    </row>
    <row r="67" spans="1:10" ht="15.75" thickBot="1">
      <c r="A67" s="705" t="s">
        <v>107</v>
      </c>
      <c r="B67" s="1808" t="s">
        <v>289</v>
      </c>
      <c r="C67" s="1809"/>
      <c r="D67" s="1809"/>
      <c r="E67" s="1810"/>
      <c r="F67" s="713" t="s">
        <v>290</v>
      </c>
      <c r="G67" s="707">
        <f>SUM(G62:G63)</f>
        <v>1678679</v>
      </c>
      <c r="H67" s="707">
        <f>SUM(H62:H63)</f>
        <v>930200</v>
      </c>
      <c r="I67" s="708">
        <f>SUM(I62:I63)</f>
        <v>2608879</v>
      </c>
      <c r="J67" s="1006">
        <f>SUM(G67:H67)</f>
        <v>2608879</v>
      </c>
    </row>
    <row r="68" spans="1:12" s="88" customFormat="1" ht="16.5" customHeight="1">
      <c r="A68" s="688">
        <v>1</v>
      </c>
      <c r="B68" s="1820" t="s">
        <v>50</v>
      </c>
      <c r="C68" s="1821"/>
      <c r="D68" s="1821"/>
      <c r="E68" s="1822"/>
      <c r="F68" s="689" t="s">
        <v>297</v>
      </c>
      <c r="G68" s="690"/>
      <c r="H68" s="691"/>
      <c r="I68" s="692">
        <f>SUM(G68:H68)</f>
        <v>0</v>
      </c>
      <c r="J68" s="234"/>
      <c r="L68" s="760"/>
    </row>
    <row r="69" spans="1:12" s="88" customFormat="1" ht="16.5" customHeight="1">
      <c r="A69" s="625">
        <v>2</v>
      </c>
      <c r="B69" s="1825" t="s">
        <v>298</v>
      </c>
      <c r="C69" s="1826"/>
      <c r="D69" s="1826"/>
      <c r="E69" s="1827"/>
      <c r="F69" s="623" t="s">
        <v>299</v>
      </c>
      <c r="G69" s="612">
        <v>602602</v>
      </c>
      <c r="H69" s="619">
        <f>-106351+68748-1008</f>
        <v>-38611</v>
      </c>
      <c r="I69" s="692">
        <f>SUM(G69:H69)</f>
        <v>563991</v>
      </c>
      <c r="J69" s="234"/>
      <c r="L69" s="760"/>
    </row>
    <row r="70" spans="1:12" s="88" customFormat="1" ht="16.5" customHeight="1">
      <c r="A70" s="625">
        <v>3</v>
      </c>
      <c r="B70" s="1825" t="s">
        <v>300</v>
      </c>
      <c r="C70" s="1826"/>
      <c r="D70" s="1826"/>
      <c r="E70" s="1827"/>
      <c r="F70" s="623" t="s">
        <v>301</v>
      </c>
      <c r="G70" s="612">
        <v>1194</v>
      </c>
      <c r="H70" s="619"/>
      <c r="I70" s="692">
        <f>SUM(G70:H70)</f>
        <v>1194</v>
      </c>
      <c r="J70" s="234"/>
      <c r="L70" s="760"/>
    </row>
    <row r="71" spans="1:12" s="200" customFormat="1" ht="16.5" customHeight="1" thickBot="1">
      <c r="A71" s="626">
        <v>4</v>
      </c>
      <c r="B71" s="1828" t="s">
        <v>625</v>
      </c>
      <c r="C71" s="1829"/>
      <c r="D71" s="1829"/>
      <c r="E71" s="1830"/>
      <c r="F71" s="671" t="s">
        <v>302</v>
      </c>
      <c r="G71" s="614"/>
      <c r="H71" s="620"/>
      <c r="I71" s="692">
        <f>SUM(G71:H71)</f>
        <v>0</v>
      </c>
      <c r="J71" s="152"/>
      <c r="L71" s="760"/>
    </row>
    <row r="72" spans="1:12" s="88" customFormat="1" ht="16.5" customHeight="1" thickBot="1">
      <c r="A72" s="705" t="s">
        <v>326</v>
      </c>
      <c r="B72" s="1808" t="s">
        <v>295</v>
      </c>
      <c r="C72" s="1809"/>
      <c r="D72" s="1809"/>
      <c r="E72" s="1810"/>
      <c r="F72" s="713" t="s">
        <v>296</v>
      </c>
      <c r="G72" s="715">
        <f>SUM(G68:G71)</f>
        <v>603796</v>
      </c>
      <c r="H72" s="715">
        <f>SUM(H68:H71)</f>
        <v>-38611</v>
      </c>
      <c r="I72" s="715">
        <f>SUM(I68:I71)</f>
        <v>565185</v>
      </c>
      <c r="J72" s="965">
        <f>SUM(G72:H72)</f>
        <v>565185</v>
      </c>
      <c r="L72" s="1506">
        <f>hivatal9!K52</f>
        <v>565185</v>
      </c>
    </row>
    <row r="73" spans="1:12" s="200" customFormat="1" ht="16.5" customHeight="1">
      <c r="A73" s="641">
        <v>1</v>
      </c>
      <c r="B73" s="1817" t="s">
        <v>305</v>
      </c>
      <c r="C73" s="1818"/>
      <c r="D73" s="1818"/>
      <c r="E73" s="1819"/>
      <c r="F73" s="1070" t="s">
        <v>498</v>
      </c>
      <c r="G73" s="693">
        <f>SUM(G74:G75)</f>
        <v>2340</v>
      </c>
      <c r="H73" s="693">
        <f>SUM(H74:H75)</f>
        <v>616</v>
      </c>
      <c r="I73" s="658">
        <f>SUM(I74:I75)</f>
        <v>2956</v>
      </c>
      <c r="J73" s="152"/>
      <c r="L73" s="1506">
        <f>hivatal9!K53</f>
        <v>2956</v>
      </c>
    </row>
    <row r="74" spans="1:10" s="739" customFormat="1" ht="15" customHeight="1">
      <c r="A74" s="635"/>
      <c r="B74" s="1863"/>
      <c r="C74" s="584" t="s">
        <v>253</v>
      </c>
      <c r="D74" s="585" t="s">
        <v>80</v>
      </c>
      <c r="E74" s="586"/>
      <c r="F74" s="1071" t="s">
        <v>498</v>
      </c>
      <c r="G74" s="684"/>
      <c r="H74" s="606"/>
      <c r="I74" s="891">
        <f>SUM(G74:H74)</f>
        <v>0</v>
      </c>
      <c r="J74" s="1009"/>
    </row>
    <row r="75" spans="1:10" s="739" customFormat="1" ht="15" customHeight="1" thickBot="1">
      <c r="A75" s="635"/>
      <c r="B75" s="1855"/>
      <c r="C75" s="609" t="s">
        <v>253</v>
      </c>
      <c r="D75" s="696" t="s">
        <v>81</v>
      </c>
      <c r="E75" s="627"/>
      <c r="F75" s="1072" t="str">
        <f>F74</f>
        <v>B74</v>
      </c>
      <c r="G75" s="1014">
        <v>2340</v>
      </c>
      <c r="H75" s="1015">
        <f>442+80+94</f>
        <v>616</v>
      </c>
      <c r="I75" s="891">
        <f>SUM(G75:H75)</f>
        <v>2956</v>
      </c>
      <c r="J75" s="1009"/>
    </row>
    <row r="76" spans="1:12" s="200" customFormat="1" ht="16.5" customHeight="1">
      <c r="A76" s="641">
        <v>2</v>
      </c>
      <c r="B76" s="1817" t="s">
        <v>82</v>
      </c>
      <c r="C76" s="1818"/>
      <c r="D76" s="1818"/>
      <c r="E76" s="1819"/>
      <c r="F76" s="1073" t="s">
        <v>499</v>
      </c>
      <c r="G76" s="665">
        <f>SUM(G77:G78)</f>
        <v>0</v>
      </c>
      <c r="H76" s="665">
        <f>SUM(H77:H78)</f>
        <v>0</v>
      </c>
      <c r="I76" s="666">
        <f>SUM(I77:I78)</f>
        <v>0</v>
      </c>
      <c r="J76" s="1179">
        <f>SUM(I78:I78)</f>
        <v>0</v>
      </c>
      <c r="L76" s="760"/>
    </row>
    <row r="77" spans="1:10" s="739" customFormat="1" ht="15" customHeight="1">
      <c r="A77" s="635"/>
      <c r="B77" s="631"/>
      <c r="C77" s="609" t="s">
        <v>253</v>
      </c>
      <c r="D77" s="696" t="s">
        <v>81</v>
      </c>
      <c r="E77" s="627"/>
      <c r="F77" s="1013" t="str">
        <f>F76</f>
        <v>B75</v>
      </c>
      <c r="G77" s="1014"/>
      <c r="H77" s="1015"/>
      <c r="I77" s="967">
        <f>SUM(G77:H77)</f>
        <v>0</v>
      </c>
      <c r="J77" s="1009"/>
    </row>
    <row r="78" spans="1:10" s="739" customFormat="1" ht="15" customHeight="1" thickBot="1">
      <c r="A78" s="635"/>
      <c r="B78" s="631"/>
      <c r="C78" s="609" t="s">
        <v>253</v>
      </c>
      <c r="D78" s="696" t="s">
        <v>428</v>
      </c>
      <c r="E78" s="627"/>
      <c r="F78" s="1013" t="str">
        <f>F77</f>
        <v>B75</v>
      </c>
      <c r="G78" s="1012"/>
      <c r="H78" s="971"/>
      <c r="I78" s="967">
        <f>SUM(G78:H78)</f>
        <v>0</v>
      </c>
      <c r="J78" s="1009"/>
    </row>
    <row r="79" spans="1:12" s="200" customFormat="1" ht="18" customHeight="1" thickBot="1">
      <c r="A79" s="1003" t="s">
        <v>327</v>
      </c>
      <c r="B79" s="1808" t="s">
        <v>303</v>
      </c>
      <c r="C79" s="1809"/>
      <c r="D79" s="1809"/>
      <c r="E79" s="1810"/>
      <c r="F79" s="713" t="s">
        <v>304</v>
      </c>
      <c r="G79" s="707">
        <f>G73+G76</f>
        <v>2340</v>
      </c>
      <c r="H79" s="707">
        <f>H73+H76</f>
        <v>616</v>
      </c>
      <c r="I79" s="708">
        <f>I73+I76</f>
        <v>2956</v>
      </c>
      <c r="J79" s="1179">
        <f>SUM(G79:H79)</f>
        <v>2956</v>
      </c>
      <c r="L79" s="760"/>
    </row>
    <row r="80" spans="1:12" s="200" customFormat="1" ht="21" customHeight="1" thickBot="1">
      <c r="A80" s="1004" t="s">
        <v>121</v>
      </c>
      <c r="B80" s="1811" t="s">
        <v>420</v>
      </c>
      <c r="C80" s="1812"/>
      <c r="D80" s="1812"/>
      <c r="E80" s="1816"/>
      <c r="F80" s="851"/>
      <c r="G80" s="852">
        <f>G67+G72+G79</f>
        <v>2284815</v>
      </c>
      <c r="H80" s="852">
        <f>H67+H72+H79</f>
        <v>892205</v>
      </c>
      <c r="I80" s="853">
        <f>I67+I72+I79</f>
        <v>3177020</v>
      </c>
      <c r="J80" s="152"/>
      <c r="L80" s="760"/>
    </row>
    <row r="81" spans="1:12" s="540" customFormat="1" ht="24" customHeight="1" thickBot="1">
      <c r="A81" s="754" t="s">
        <v>111</v>
      </c>
      <c r="B81" s="1867" t="s">
        <v>83</v>
      </c>
      <c r="C81" s="1867"/>
      <c r="D81" s="1867"/>
      <c r="E81" s="1868"/>
      <c r="F81" s="697"/>
      <c r="G81" s="698">
        <f>G61+G80</f>
        <v>11974529</v>
      </c>
      <c r="H81" s="698">
        <f>H61+H80</f>
        <v>1137944</v>
      </c>
      <c r="I81" s="699">
        <f>I61+I80</f>
        <v>13112473</v>
      </c>
      <c r="J81" s="1180"/>
      <c r="L81" s="760"/>
    </row>
    <row r="82" spans="1:12" s="200" customFormat="1" ht="15.75" customHeight="1">
      <c r="A82" s="642">
        <v>1</v>
      </c>
      <c r="B82" s="1817" t="s">
        <v>308</v>
      </c>
      <c r="C82" s="1818"/>
      <c r="D82" s="1818"/>
      <c r="E82" s="1819"/>
      <c r="F82" s="667" t="s">
        <v>309</v>
      </c>
      <c r="G82" s="700"/>
      <c r="H82" s="701"/>
      <c r="I82" s="658">
        <f>SUM(G82:H82)</f>
        <v>0</v>
      </c>
      <c r="J82" s="152"/>
      <c r="L82" s="760"/>
    </row>
    <row r="83" spans="1:12" s="200" customFormat="1" ht="15.75" customHeight="1">
      <c r="A83" s="675">
        <v>2</v>
      </c>
      <c r="B83" s="1805" t="s">
        <v>310</v>
      </c>
      <c r="C83" s="1806"/>
      <c r="D83" s="1806"/>
      <c r="E83" s="1807"/>
      <c r="F83" s="668" t="s">
        <v>311</v>
      </c>
      <c r="G83" s="1396"/>
      <c r="H83" s="678"/>
      <c r="I83" s="678">
        <f>SUM(G83:H83)</f>
        <v>0</v>
      </c>
      <c r="J83" s="152"/>
      <c r="L83" s="760"/>
    </row>
    <row r="84" spans="1:12" s="200" customFormat="1" ht="15.75" customHeight="1">
      <c r="A84" s="1864">
        <v>3</v>
      </c>
      <c r="B84" s="1805" t="s">
        <v>312</v>
      </c>
      <c r="C84" s="1806"/>
      <c r="D84" s="1806"/>
      <c r="E84" s="1807"/>
      <c r="F84" s="668" t="s">
        <v>313</v>
      </c>
      <c r="G84" s="702">
        <f>SUM(G85:G86)</f>
        <v>3707472</v>
      </c>
      <c r="H84" s="702">
        <f>SUM(H85:H86)</f>
        <v>0</v>
      </c>
      <c r="I84" s="703">
        <f>SUM(I85:I86)</f>
        <v>3707472</v>
      </c>
      <c r="J84" s="152"/>
      <c r="L84" s="760"/>
    </row>
    <row r="85" spans="1:12" s="88" customFormat="1" ht="15.75" customHeight="1">
      <c r="A85" s="1865"/>
      <c r="B85" s="785">
        <v>1</v>
      </c>
      <c r="C85" s="1861" t="s">
        <v>470</v>
      </c>
      <c r="D85" s="1861"/>
      <c r="E85" s="1862"/>
      <c r="F85" s="623" t="s">
        <v>314</v>
      </c>
      <c r="G85" s="612">
        <v>3707472</v>
      </c>
      <c r="H85" s="619"/>
      <c r="I85" s="604">
        <f>SUM(G85:H85)</f>
        <v>3707472</v>
      </c>
      <c r="J85" s="234"/>
      <c r="L85" s="760"/>
    </row>
    <row r="86" spans="1:12" s="88" customFormat="1" ht="15.75" customHeight="1">
      <c r="A86" s="1872"/>
      <c r="B86" s="785">
        <v>2</v>
      </c>
      <c r="C86" s="1861" t="s">
        <v>471</v>
      </c>
      <c r="D86" s="1861"/>
      <c r="E86" s="1862"/>
      <c r="F86" s="623" t="s">
        <v>472</v>
      </c>
      <c r="G86" s="612"/>
      <c r="H86" s="619"/>
      <c r="I86" s="604">
        <f>SUM(G86:H86)</f>
        <v>0</v>
      </c>
      <c r="J86" s="234"/>
      <c r="L86" s="760"/>
    </row>
    <row r="87" spans="1:12" s="200" customFormat="1" ht="15.75" customHeight="1">
      <c r="A87" s="675">
        <v>4</v>
      </c>
      <c r="B87" s="1805" t="s">
        <v>480</v>
      </c>
      <c r="C87" s="1806"/>
      <c r="D87" s="1806"/>
      <c r="E87" s="1807"/>
      <c r="F87" s="668" t="s">
        <v>479</v>
      </c>
      <c r="G87" s="677"/>
      <c r="H87" s="677"/>
      <c r="I87" s="678">
        <f>SUM(G87:H87)</f>
        <v>0</v>
      </c>
      <c r="J87" s="152"/>
      <c r="L87" s="760"/>
    </row>
    <row r="88" spans="1:12" s="200" customFormat="1" ht="15.75" customHeight="1" thickBot="1">
      <c r="A88" s="680">
        <v>5</v>
      </c>
      <c r="B88" s="1813" t="s">
        <v>315</v>
      </c>
      <c r="C88" s="1814"/>
      <c r="D88" s="1814"/>
      <c r="E88" s="1815"/>
      <c r="F88" s="670" t="s">
        <v>316</v>
      </c>
      <c r="G88" s="682">
        <v>2000000</v>
      </c>
      <c r="H88" s="683"/>
      <c r="I88" s="678">
        <f>SUM(G88:H88)</f>
        <v>2000000</v>
      </c>
      <c r="J88" s="152"/>
      <c r="L88" s="760"/>
    </row>
    <row r="89" spans="1:12" s="200" customFormat="1" ht="21" customHeight="1" thickBot="1">
      <c r="A89" s="1003" t="s">
        <v>110</v>
      </c>
      <c r="B89" s="1808" t="s">
        <v>306</v>
      </c>
      <c r="C89" s="1809"/>
      <c r="D89" s="1809"/>
      <c r="E89" s="1810"/>
      <c r="F89" s="713" t="s">
        <v>307</v>
      </c>
      <c r="G89" s="707">
        <f>G82+G83+G84+G87+G88</f>
        <v>5707472</v>
      </c>
      <c r="H89" s="707">
        <f>H82+H83+H84+H87+H88</f>
        <v>0</v>
      </c>
      <c r="I89" s="708">
        <f>I82+I83+I84+I87+I88</f>
        <v>5707472</v>
      </c>
      <c r="J89" s="1179">
        <f>SUM(G89:H89)</f>
        <v>5707472</v>
      </c>
      <c r="L89" s="760"/>
    </row>
    <row r="90" spans="1:12" s="200" customFormat="1" ht="21" customHeight="1" thickBot="1">
      <c r="A90" s="1003" t="s">
        <v>422</v>
      </c>
      <c r="B90" s="1808" t="s">
        <v>433</v>
      </c>
      <c r="C90" s="1809"/>
      <c r="D90" s="1809"/>
      <c r="E90" s="1810"/>
      <c r="F90" s="713" t="s">
        <v>40</v>
      </c>
      <c r="G90" s="707"/>
      <c r="H90" s="707"/>
      <c r="I90" s="708">
        <f>SUM(G90:H90)</f>
        <v>0</v>
      </c>
      <c r="J90" s="1179">
        <f>SUM(G90:H90)</f>
        <v>0</v>
      </c>
      <c r="L90" s="760"/>
    </row>
    <row r="91" spans="1:12" s="200" customFormat="1" ht="21" customHeight="1" thickBot="1">
      <c r="A91" s="1004" t="s">
        <v>42</v>
      </c>
      <c r="B91" s="1811" t="s">
        <v>423</v>
      </c>
      <c r="C91" s="1812"/>
      <c r="D91" s="1812"/>
      <c r="E91" s="1812"/>
      <c r="F91" s="1056" t="s">
        <v>44</v>
      </c>
      <c r="G91" s="852">
        <f>SUM(G89:G90)</f>
        <v>5707472</v>
      </c>
      <c r="H91" s="852">
        <f>SUM(H89:H90)</f>
        <v>0</v>
      </c>
      <c r="I91" s="853">
        <f>SUM(I89:I90)</f>
        <v>5707472</v>
      </c>
      <c r="J91" s="152"/>
      <c r="L91" s="760"/>
    </row>
    <row r="92" spans="1:12" s="540" customFormat="1" ht="21" customHeight="1" thickBot="1">
      <c r="A92" s="754" t="s">
        <v>43</v>
      </c>
      <c r="B92" s="1867" t="s">
        <v>41</v>
      </c>
      <c r="C92" s="1867"/>
      <c r="D92" s="1867"/>
      <c r="E92" s="1868"/>
      <c r="F92" s="697"/>
      <c r="G92" s="698">
        <f>G81+G91</f>
        <v>17682001</v>
      </c>
      <c r="H92" s="698">
        <f>H81+H91</f>
        <v>1137944</v>
      </c>
      <c r="I92" s="699">
        <f>I81+I91</f>
        <v>18819945</v>
      </c>
      <c r="J92" s="1186">
        <f>hivatal9!K60</f>
        <v>18819945</v>
      </c>
      <c r="L92" s="760"/>
    </row>
    <row r="93" spans="1:12" s="88" customFormat="1" ht="14.25">
      <c r="A93" s="590"/>
      <c r="B93" s="590"/>
      <c r="C93" s="591"/>
      <c r="D93" s="591"/>
      <c r="E93" s="591"/>
      <c r="F93" s="591"/>
      <c r="G93" s="608"/>
      <c r="H93" s="608"/>
      <c r="I93" s="608"/>
      <c r="J93" s="234"/>
      <c r="L93" s="760"/>
    </row>
    <row r="94" spans="1:12" s="88" customFormat="1" ht="14.25">
      <c r="A94" s="590"/>
      <c r="B94" s="590"/>
      <c r="C94" s="591"/>
      <c r="D94" s="591"/>
      <c r="E94" s="591"/>
      <c r="F94" s="591"/>
      <c r="G94" s="608"/>
      <c r="H94" s="608"/>
      <c r="I94" s="608"/>
      <c r="J94" s="234"/>
      <c r="L94" s="760"/>
    </row>
    <row r="95" spans="1:12" s="88" customFormat="1" ht="14.25">
      <c r="A95" s="590"/>
      <c r="B95" s="590"/>
      <c r="C95" s="591"/>
      <c r="D95" s="591"/>
      <c r="E95" s="591"/>
      <c r="F95" s="591"/>
      <c r="G95" s="608"/>
      <c r="H95" s="608"/>
      <c r="I95" s="608"/>
      <c r="J95" s="234"/>
      <c r="L95" s="760"/>
    </row>
    <row r="96" spans="1:12" s="88" customFormat="1" ht="14.25">
      <c r="A96" s="590"/>
      <c r="B96" s="590"/>
      <c r="C96" s="591"/>
      <c r="D96" s="591"/>
      <c r="E96" s="591"/>
      <c r="F96" s="591"/>
      <c r="G96" s="608"/>
      <c r="H96" s="608"/>
      <c r="I96" s="608">
        <f>I92-hivatal9!K60</f>
        <v>0</v>
      </c>
      <c r="J96" s="234"/>
      <c r="L96" s="760"/>
    </row>
    <row r="97" spans="1:12" s="88" customFormat="1" ht="14.25">
      <c r="A97" s="590"/>
      <c r="B97" s="590"/>
      <c r="C97" s="591"/>
      <c r="D97" s="591"/>
      <c r="E97" s="591"/>
      <c r="F97" s="591"/>
      <c r="G97" s="608"/>
      <c r="H97" s="608"/>
      <c r="I97" s="608"/>
      <c r="J97" s="234"/>
      <c r="L97" s="760"/>
    </row>
    <row r="98" spans="1:12" s="88" customFormat="1" ht="14.25">
      <c r="A98" s="590"/>
      <c r="B98" s="590"/>
      <c r="C98" s="591"/>
      <c r="D98" s="591"/>
      <c r="E98" s="591"/>
      <c r="F98" s="591"/>
      <c r="G98" s="608"/>
      <c r="H98" s="608"/>
      <c r="I98" s="608"/>
      <c r="J98" s="234"/>
      <c r="L98" s="760"/>
    </row>
    <row r="99" spans="1:12" s="88" customFormat="1" ht="14.25">
      <c r="A99" s="590"/>
      <c r="B99" s="590"/>
      <c r="C99" s="591"/>
      <c r="D99" s="591"/>
      <c r="E99" s="591"/>
      <c r="F99" s="591"/>
      <c r="G99" s="608"/>
      <c r="H99" s="608"/>
      <c r="I99" s="608"/>
      <c r="J99" s="234"/>
      <c r="L99" s="760"/>
    </row>
    <row r="100" spans="1:12" s="88" customFormat="1" ht="14.25">
      <c r="A100" s="590"/>
      <c r="B100" s="590"/>
      <c r="C100" s="591"/>
      <c r="D100" s="591"/>
      <c r="E100" s="591"/>
      <c r="F100" s="591"/>
      <c r="G100" s="608"/>
      <c r="H100" s="608"/>
      <c r="I100" s="608"/>
      <c r="J100" s="234"/>
      <c r="L100" s="760"/>
    </row>
    <row r="101" spans="1:12" s="88" customFormat="1" ht="14.25">
      <c r="A101" s="590"/>
      <c r="B101" s="590"/>
      <c r="C101" s="591"/>
      <c r="D101" s="591"/>
      <c r="E101" s="591"/>
      <c r="F101" s="591"/>
      <c r="G101" s="603"/>
      <c r="H101" s="603"/>
      <c r="I101" s="603"/>
      <c r="J101" s="234"/>
      <c r="L101" s="760"/>
    </row>
    <row r="102" spans="1:12" s="88" customFormat="1" ht="14.25">
      <c r="A102" s="590"/>
      <c r="B102" s="590"/>
      <c r="C102" s="591"/>
      <c r="D102" s="591"/>
      <c r="E102" s="591"/>
      <c r="F102" s="591"/>
      <c r="G102" s="603"/>
      <c r="H102" s="603"/>
      <c r="I102" s="603"/>
      <c r="J102" s="234"/>
      <c r="L102" s="760"/>
    </row>
    <row r="103" spans="1:12" s="88" customFormat="1" ht="14.25">
      <c r="A103" s="590"/>
      <c r="B103" s="590"/>
      <c r="C103" s="591"/>
      <c r="D103" s="591"/>
      <c r="E103" s="591"/>
      <c r="F103" s="591"/>
      <c r="G103" s="603"/>
      <c r="H103" s="603"/>
      <c r="I103" s="603"/>
      <c r="J103" s="234"/>
      <c r="L103" s="760"/>
    </row>
    <row r="104" spans="1:12" s="88" customFormat="1" ht="14.25">
      <c r="A104" s="590"/>
      <c r="B104" s="590"/>
      <c r="C104" s="591"/>
      <c r="D104" s="591"/>
      <c r="E104" s="591"/>
      <c r="F104" s="591"/>
      <c r="G104" s="603"/>
      <c r="H104" s="603"/>
      <c r="I104" s="603"/>
      <c r="J104" s="234"/>
      <c r="L104" s="760"/>
    </row>
    <row r="105" spans="1:12" s="88" customFormat="1" ht="14.25">
      <c r="A105" s="590"/>
      <c r="B105" s="590"/>
      <c r="C105" s="591"/>
      <c r="D105" s="591"/>
      <c r="E105" s="591"/>
      <c r="F105" s="591"/>
      <c r="G105" s="603"/>
      <c r="H105" s="603"/>
      <c r="I105" s="603"/>
      <c r="J105" s="234"/>
      <c r="L105" s="760"/>
    </row>
    <row r="106" spans="1:12" s="88" customFormat="1" ht="14.25">
      <c r="A106" s="590"/>
      <c r="B106" s="590"/>
      <c r="C106" s="591"/>
      <c r="D106" s="591"/>
      <c r="E106" s="591"/>
      <c r="F106" s="591"/>
      <c r="G106" s="603"/>
      <c r="H106" s="603"/>
      <c r="I106" s="603"/>
      <c r="J106" s="234"/>
      <c r="L106" s="760"/>
    </row>
    <row r="107" spans="1:12" s="88" customFormat="1" ht="14.25">
      <c r="A107" s="590"/>
      <c r="B107" s="590"/>
      <c r="C107" s="591"/>
      <c r="D107" s="591"/>
      <c r="E107" s="591"/>
      <c r="F107" s="591"/>
      <c r="G107" s="603"/>
      <c r="H107" s="603"/>
      <c r="I107" s="603"/>
      <c r="J107" s="234"/>
      <c r="L107" s="760"/>
    </row>
    <row r="108" spans="1:12" s="88" customFormat="1" ht="14.25">
      <c r="A108" s="590"/>
      <c r="B108" s="590"/>
      <c r="C108" s="591"/>
      <c r="D108" s="591"/>
      <c r="E108" s="591"/>
      <c r="F108" s="591"/>
      <c r="G108" s="603"/>
      <c r="H108" s="603"/>
      <c r="I108" s="603"/>
      <c r="J108" s="234"/>
      <c r="L108" s="760"/>
    </row>
    <row r="109" spans="1:12" s="88" customFormat="1" ht="14.25">
      <c r="A109" s="590"/>
      <c r="B109" s="590"/>
      <c r="C109" s="591"/>
      <c r="D109" s="591"/>
      <c r="E109" s="591"/>
      <c r="F109" s="591"/>
      <c r="G109" s="603"/>
      <c r="H109" s="603"/>
      <c r="I109" s="603"/>
      <c r="J109" s="234"/>
      <c r="L109" s="760"/>
    </row>
    <row r="110" spans="1:12" s="88" customFormat="1" ht="14.25">
      <c r="A110" s="590"/>
      <c r="B110" s="590"/>
      <c r="C110" s="591"/>
      <c r="D110" s="591"/>
      <c r="E110" s="591"/>
      <c r="F110" s="591"/>
      <c r="G110" s="603"/>
      <c r="H110" s="603"/>
      <c r="I110" s="603"/>
      <c r="J110" s="234"/>
      <c r="L110" s="760"/>
    </row>
    <row r="111" spans="1:12" s="88" customFormat="1" ht="14.25">
      <c r="A111" s="590"/>
      <c r="B111" s="590"/>
      <c r="C111" s="591"/>
      <c r="D111" s="591"/>
      <c r="E111" s="591"/>
      <c r="F111" s="591"/>
      <c r="G111" s="603"/>
      <c r="H111" s="603"/>
      <c r="I111" s="603"/>
      <c r="J111" s="234"/>
      <c r="L111" s="760"/>
    </row>
    <row r="112" spans="1:12" s="88" customFormat="1" ht="14.25">
      <c r="A112" s="590"/>
      <c r="B112" s="590"/>
      <c r="C112" s="591"/>
      <c r="D112" s="591"/>
      <c r="E112" s="591"/>
      <c r="F112" s="591"/>
      <c r="G112" s="603"/>
      <c r="H112" s="603"/>
      <c r="I112" s="603"/>
      <c r="J112" s="234"/>
      <c r="L112" s="760"/>
    </row>
    <row r="113" spans="1:12" s="88" customFormat="1" ht="14.25">
      <c r="A113" s="590"/>
      <c r="B113" s="590"/>
      <c r="C113" s="591"/>
      <c r="D113" s="591"/>
      <c r="E113" s="591"/>
      <c r="F113" s="591"/>
      <c r="G113" s="603"/>
      <c r="H113" s="603"/>
      <c r="I113" s="603"/>
      <c r="J113" s="234"/>
      <c r="L113" s="760"/>
    </row>
    <row r="114" spans="1:12" s="88" customFormat="1" ht="14.25">
      <c r="A114" s="590"/>
      <c r="B114" s="590"/>
      <c r="C114" s="591"/>
      <c r="D114" s="591"/>
      <c r="E114" s="591"/>
      <c r="F114" s="591"/>
      <c r="G114" s="603"/>
      <c r="H114" s="603"/>
      <c r="I114" s="603"/>
      <c r="J114" s="234"/>
      <c r="L114" s="760"/>
    </row>
    <row r="115" spans="1:12" s="88" customFormat="1" ht="14.25">
      <c r="A115" s="590"/>
      <c r="B115" s="590"/>
      <c r="C115" s="591"/>
      <c r="D115" s="591"/>
      <c r="E115" s="591"/>
      <c r="F115" s="591"/>
      <c r="G115" s="603"/>
      <c r="H115" s="603"/>
      <c r="I115" s="603"/>
      <c r="J115" s="234"/>
      <c r="L115" s="760"/>
    </row>
    <row r="116" spans="1:12" s="88" customFormat="1" ht="14.25">
      <c r="A116" s="590"/>
      <c r="B116" s="590"/>
      <c r="C116" s="591"/>
      <c r="D116" s="591"/>
      <c r="E116" s="591"/>
      <c r="F116" s="591"/>
      <c r="G116" s="603"/>
      <c r="H116" s="603"/>
      <c r="I116" s="603"/>
      <c r="J116" s="234"/>
      <c r="L116" s="760"/>
    </row>
    <row r="117" spans="1:12" s="88" customFormat="1" ht="14.25">
      <c r="A117" s="590"/>
      <c r="B117" s="590"/>
      <c r="C117" s="591"/>
      <c r="D117" s="591"/>
      <c r="E117" s="591"/>
      <c r="F117" s="591"/>
      <c r="G117" s="603"/>
      <c r="H117" s="603"/>
      <c r="I117" s="603"/>
      <c r="J117" s="234"/>
      <c r="L117" s="760"/>
    </row>
    <row r="118" spans="1:12" s="88" customFormat="1" ht="14.25">
      <c r="A118" s="590"/>
      <c r="B118" s="590"/>
      <c r="C118" s="591"/>
      <c r="D118" s="591"/>
      <c r="E118" s="591"/>
      <c r="F118" s="591"/>
      <c r="G118" s="603"/>
      <c r="H118" s="603"/>
      <c r="I118" s="603"/>
      <c r="J118" s="234"/>
      <c r="L118" s="760"/>
    </row>
    <row r="119" spans="1:12" s="88" customFormat="1" ht="14.25">
      <c r="A119" s="590"/>
      <c r="B119" s="590"/>
      <c r="C119" s="591"/>
      <c r="D119" s="591"/>
      <c r="E119" s="591"/>
      <c r="F119" s="591"/>
      <c r="G119" s="603"/>
      <c r="H119" s="603"/>
      <c r="I119" s="603"/>
      <c r="J119" s="234"/>
      <c r="L119" s="760"/>
    </row>
    <row r="120" spans="1:12" s="88" customFormat="1" ht="14.25">
      <c r="A120" s="590"/>
      <c r="B120" s="590"/>
      <c r="C120" s="591"/>
      <c r="D120" s="591"/>
      <c r="E120" s="591"/>
      <c r="F120" s="591"/>
      <c r="G120" s="603"/>
      <c r="H120" s="603"/>
      <c r="I120" s="603"/>
      <c r="J120" s="234"/>
      <c r="L120" s="760"/>
    </row>
    <row r="121" spans="1:12" s="88" customFormat="1" ht="14.25">
      <c r="A121" s="590"/>
      <c r="B121" s="590"/>
      <c r="C121" s="591"/>
      <c r="D121" s="591"/>
      <c r="E121" s="591"/>
      <c r="F121" s="591"/>
      <c r="G121" s="603"/>
      <c r="H121" s="603"/>
      <c r="I121" s="603"/>
      <c r="J121" s="234"/>
      <c r="L121" s="760"/>
    </row>
    <row r="122" spans="1:12" s="88" customFormat="1" ht="14.25">
      <c r="A122" s="590"/>
      <c r="B122" s="590"/>
      <c r="C122" s="591"/>
      <c r="D122" s="591"/>
      <c r="E122" s="591"/>
      <c r="F122" s="591"/>
      <c r="G122" s="603"/>
      <c r="H122" s="603"/>
      <c r="I122" s="603"/>
      <c r="J122" s="234"/>
      <c r="L122" s="760"/>
    </row>
    <row r="123" spans="1:12" s="88" customFormat="1" ht="14.25">
      <c r="A123" s="590"/>
      <c r="B123" s="590"/>
      <c r="C123" s="591"/>
      <c r="D123" s="591"/>
      <c r="E123" s="591"/>
      <c r="F123" s="591"/>
      <c r="G123" s="603"/>
      <c r="H123" s="603"/>
      <c r="I123" s="603"/>
      <c r="J123" s="234"/>
      <c r="L123" s="760"/>
    </row>
    <row r="124" spans="1:12" s="88" customFormat="1" ht="14.25">
      <c r="A124" s="590"/>
      <c r="B124" s="590"/>
      <c r="C124" s="591"/>
      <c r="D124" s="591"/>
      <c r="E124" s="591"/>
      <c r="F124" s="591"/>
      <c r="G124" s="603"/>
      <c r="H124" s="603"/>
      <c r="I124" s="603"/>
      <c r="J124" s="234"/>
      <c r="L124" s="760"/>
    </row>
    <row r="125" spans="1:12" s="88" customFormat="1" ht="14.25">
      <c r="A125" s="590"/>
      <c r="B125" s="590"/>
      <c r="C125" s="591"/>
      <c r="D125" s="591"/>
      <c r="E125" s="591"/>
      <c r="F125" s="591"/>
      <c r="G125" s="603"/>
      <c r="H125" s="603"/>
      <c r="I125" s="603"/>
      <c r="J125" s="234"/>
      <c r="L125" s="760"/>
    </row>
    <row r="126" spans="1:12" s="88" customFormat="1" ht="14.25">
      <c r="A126" s="590"/>
      <c r="B126" s="590"/>
      <c r="C126" s="591"/>
      <c r="D126" s="591"/>
      <c r="E126" s="591"/>
      <c r="F126" s="591"/>
      <c r="G126" s="603"/>
      <c r="H126" s="603"/>
      <c r="I126" s="603"/>
      <c r="J126" s="234"/>
      <c r="L126" s="760"/>
    </row>
    <row r="127" spans="1:12" s="88" customFormat="1" ht="14.25">
      <c r="A127" s="590"/>
      <c r="B127" s="590"/>
      <c r="C127" s="591"/>
      <c r="D127" s="591"/>
      <c r="E127" s="591"/>
      <c r="F127" s="591"/>
      <c r="G127" s="603"/>
      <c r="H127" s="603"/>
      <c r="I127" s="603"/>
      <c r="J127" s="234"/>
      <c r="L127" s="760"/>
    </row>
    <row r="128" spans="1:12" s="88" customFormat="1" ht="14.25">
      <c r="A128" s="590"/>
      <c r="B128" s="590"/>
      <c r="C128" s="591"/>
      <c r="D128" s="591"/>
      <c r="E128" s="591"/>
      <c r="F128" s="591"/>
      <c r="G128" s="603"/>
      <c r="H128" s="603"/>
      <c r="I128" s="603"/>
      <c r="J128" s="234"/>
      <c r="L128" s="760"/>
    </row>
    <row r="129" spans="1:12" s="88" customFormat="1" ht="14.25">
      <c r="A129" s="590"/>
      <c r="B129" s="590"/>
      <c r="C129" s="591"/>
      <c r="D129" s="591"/>
      <c r="E129" s="591"/>
      <c r="F129" s="591"/>
      <c r="G129" s="603"/>
      <c r="H129" s="603"/>
      <c r="I129" s="603"/>
      <c r="J129" s="234"/>
      <c r="L129" s="760"/>
    </row>
    <row r="130" spans="1:12" s="88" customFormat="1" ht="14.25">
      <c r="A130" s="590"/>
      <c r="B130" s="590"/>
      <c r="C130" s="591"/>
      <c r="D130" s="591"/>
      <c r="E130" s="591"/>
      <c r="F130" s="591"/>
      <c r="G130" s="603"/>
      <c r="H130" s="603"/>
      <c r="I130" s="603"/>
      <c r="J130" s="234"/>
      <c r="L130" s="760"/>
    </row>
    <row r="131" spans="1:12" s="88" customFormat="1" ht="14.25">
      <c r="A131" s="590"/>
      <c r="B131" s="590"/>
      <c r="C131" s="591"/>
      <c r="D131" s="591"/>
      <c r="E131" s="591"/>
      <c r="F131" s="591"/>
      <c r="G131" s="603"/>
      <c r="H131" s="603"/>
      <c r="I131" s="603"/>
      <c r="J131" s="234"/>
      <c r="L131" s="760"/>
    </row>
    <row r="132" spans="1:12" s="88" customFormat="1" ht="14.25">
      <c r="A132" s="590"/>
      <c r="B132" s="590"/>
      <c r="C132" s="591"/>
      <c r="D132" s="591"/>
      <c r="E132" s="591"/>
      <c r="F132" s="591"/>
      <c r="G132" s="603"/>
      <c r="H132" s="603"/>
      <c r="I132" s="603"/>
      <c r="J132" s="234"/>
      <c r="L132" s="760"/>
    </row>
    <row r="133" spans="1:12" s="88" customFormat="1" ht="14.25">
      <c r="A133" s="590"/>
      <c r="B133" s="590"/>
      <c r="C133" s="591"/>
      <c r="D133" s="591"/>
      <c r="E133" s="591"/>
      <c r="F133" s="591"/>
      <c r="G133" s="603"/>
      <c r="H133" s="603"/>
      <c r="I133" s="603"/>
      <c r="J133" s="234"/>
      <c r="L133" s="760"/>
    </row>
    <row r="134" spans="1:12" s="88" customFormat="1" ht="14.25">
      <c r="A134" s="590"/>
      <c r="B134" s="590"/>
      <c r="C134" s="591"/>
      <c r="D134" s="591"/>
      <c r="E134" s="591"/>
      <c r="F134" s="591"/>
      <c r="G134" s="603"/>
      <c r="H134" s="603"/>
      <c r="I134" s="603"/>
      <c r="J134" s="234"/>
      <c r="L134" s="760"/>
    </row>
    <row r="135" spans="1:12" s="88" customFormat="1" ht="14.25">
      <c r="A135" s="590"/>
      <c r="B135" s="590"/>
      <c r="C135" s="591"/>
      <c r="D135" s="591"/>
      <c r="E135" s="591"/>
      <c r="F135" s="591"/>
      <c r="G135" s="603"/>
      <c r="H135" s="603"/>
      <c r="I135" s="603"/>
      <c r="J135" s="234"/>
      <c r="L135" s="760"/>
    </row>
    <row r="136" spans="1:12" s="88" customFormat="1" ht="14.25">
      <c r="A136" s="590"/>
      <c r="B136" s="590"/>
      <c r="C136" s="591"/>
      <c r="D136" s="591"/>
      <c r="E136" s="591"/>
      <c r="F136" s="591"/>
      <c r="G136" s="603"/>
      <c r="H136" s="603"/>
      <c r="I136" s="603"/>
      <c r="J136" s="234"/>
      <c r="L136" s="760"/>
    </row>
  </sheetData>
  <sheetProtection/>
  <mergeCells count="84">
    <mergeCell ref="A63:A66"/>
    <mergeCell ref="B92:E92"/>
    <mergeCell ref="C23:E23"/>
    <mergeCell ref="C24:E24"/>
    <mergeCell ref="C25:E25"/>
    <mergeCell ref="C29:E29"/>
    <mergeCell ref="B49:E49"/>
    <mergeCell ref="A84:A86"/>
    <mergeCell ref="B30:B32"/>
    <mergeCell ref="B81:E81"/>
    <mergeCell ref="A39:A43"/>
    <mergeCell ref="C85:E85"/>
    <mergeCell ref="C86:E86"/>
    <mergeCell ref="B69:E69"/>
    <mergeCell ref="B50:E50"/>
    <mergeCell ref="B64:B66"/>
    <mergeCell ref="B74:B75"/>
    <mergeCell ref="B57:E57"/>
    <mergeCell ref="B72:E72"/>
    <mergeCell ref="B59:E59"/>
    <mergeCell ref="A3:I3"/>
    <mergeCell ref="B6:E6"/>
    <mergeCell ref="B8:E8"/>
    <mergeCell ref="B15:E15"/>
    <mergeCell ref="B16:E16"/>
    <mergeCell ref="D34:E34"/>
    <mergeCell ref="D17:E17"/>
    <mergeCell ref="D18:E18"/>
    <mergeCell ref="B17:B19"/>
    <mergeCell ref="B34:B43"/>
    <mergeCell ref="C11:E11"/>
    <mergeCell ref="C12:E12"/>
    <mergeCell ref="B7:E7"/>
    <mergeCell ref="B26:E26"/>
    <mergeCell ref="C27:E27"/>
    <mergeCell ref="C30:E30"/>
    <mergeCell ref="B20:E20"/>
    <mergeCell ref="C13:E13"/>
    <mergeCell ref="C14:E14"/>
    <mergeCell ref="B62:E62"/>
    <mergeCell ref="B60:E60"/>
    <mergeCell ref="A4:I4"/>
    <mergeCell ref="D19:E19"/>
    <mergeCell ref="B21:E21"/>
    <mergeCell ref="B22:E22"/>
    <mergeCell ref="D36:E36"/>
    <mergeCell ref="B51:E51"/>
    <mergeCell ref="C9:E9"/>
    <mergeCell ref="C10:E10"/>
    <mergeCell ref="D39:E39"/>
    <mergeCell ref="B44:E44"/>
    <mergeCell ref="B45:E45"/>
    <mergeCell ref="B46:E46"/>
    <mergeCell ref="B33:E33"/>
    <mergeCell ref="C39:C43"/>
    <mergeCell ref="D37:E37"/>
    <mergeCell ref="D38:E38"/>
    <mergeCell ref="D35:E35"/>
    <mergeCell ref="B48:E48"/>
    <mergeCell ref="B76:E76"/>
    <mergeCell ref="B53:E53"/>
    <mergeCell ref="B68:E68"/>
    <mergeCell ref="B70:E70"/>
    <mergeCell ref="B71:E71"/>
    <mergeCell ref="B52:E52"/>
    <mergeCell ref="B54:E54"/>
    <mergeCell ref="B56:E56"/>
    <mergeCell ref="B61:E61"/>
    <mergeCell ref="B79:E79"/>
    <mergeCell ref="B80:E80"/>
    <mergeCell ref="B82:E82"/>
    <mergeCell ref="B83:E83"/>
    <mergeCell ref="B55:E55"/>
    <mergeCell ref="B73:E73"/>
    <mergeCell ref="B58:E58"/>
    <mergeCell ref="B63:E63"/>
    <mergeCell ref="B67:E67"/>
    <mergeCell ref="D64:E64"/>
    <mergeCell ref="B84:E84"/>
    <mergeCell ref="B87:E87"/>
    <mergeCell ref="B89:E89"/>
    <mergeCell ref="B90:E90"/>
    <mergeCell ref="B91:E91"/>
    <mergeCell ref="B88:E88"/>
  </mergeCells>
  <printOptions horizontalCentered="1" verticalCentered="1"/>
  <pageMargins left="0.63" right="0.51" top="0.46" bottom="0.48" header="0.29" footer="0.3"/>
  <pageSetup fitToHeight="1" fitToWidth="1" horizontalDpi="600" verticalDpi="600" orientation="portrait" paperSize="9" scale="50" r:id="rId1"/>
  <headerFooter alignWithMargins="0">
    <oddFooter>&amp;L&amp;F&amp;C&amp;D,  &amp;T&amp;R&amp;A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O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3" width="13.875" style="88" customWidth="1"/>
    <col min="4" max="4" width="14.50390625" style="88" customWidth="1"/>
    <col min="5" max="5" width="14.00390625" style="88" customWidth="1"/>
    <col min="6" max="6" width="13.125" style="88" customWidth="1"/>
    <col min="7" max="7" width="12.875" style="88" customWidth="1"/>
    <col min="8" max="9" width="13.625" style="88" customWidth="1"/>
    <col min="10" max="10" width="14.00390625" style="88" customWidth="1"/>
    <col min="11" max="11" width="13.125" style="88" customWidth="1"/>
    <col min="12" max="12" width="14.625" style="88" customWidth="1"/>
    <col min="13" max="13" width="14.50390625" style="88" customWidth="1"/>
    <col min="14" max="14" width="14.375" style="88" customWidth="1"/>
    <col min="15" max="15" width="14.625" style="234" customWidth="1"/>
    <col min="16" max="16" width="14.50390625" style="234" customWidth="1"/>
    <col min="17" max="17" width="14.375" style="234" customWidth="1"/>
  </cols>
  <sheetData>
    <row r="1" spans="1:17" ht="10.5" customHeight="1">
      <c r="A1" s="303"/>
      <c r="B1" s="304"/>
      <c r="C1" s="304"/>
      <c r="D1" s="386"/>
      <c r="E1" s="386"/>
      <c r="F1" s="386"/>
      <c r="G1" s="386"/>
      <c r="H1" s="386"/>
      <c r="I1" s="386"/>
      <c r="J1" s="386"/>
      <c r="K1" s="386"/>
      <c r="L1" s="386"/>
      <c r="M1" s="386"/>
      <c r="O1" s="400"/>
      <c r="P1" s="400"/>
      <c r="Q1" s="892" t="s">
        <v>915</v>
      </c>
    </row>
    <row r="2" spans="1:17" ht="13.5" customHeight="1">
      <c r="A2" s="303"/>
      <c r="B2" s="304"/>
      <c r="C2" s="304"/>
      <c r="D2" s="386"/>
      <c r="E2" s="386"/>
      <c r="F2" s="386"/>
      <c r="G2" s="386"/>
      <c r="H2" s="386"/>
      <c r="I2" s="386"/>
      <c r="J2" s="386"/>
      <c r="K2" s="386"/>
      <c r="L2" s="386"/>
      <c r="M2" s="386"/>
      <c r="O2" s="400"/>
      <c r="P2" s="400"/>
      <c r="Q2" s="892" t="s">
        <v>93</v>
      </c>
    </row>
    <row r="3" spans="1:17" ht="15">
      <c r="A3" s="303"/>
      <c r="B3" s="304"/>
      <c r="C3" s="304"/>
      <c r="D3" s="386"/>
      <c r="E3" s="386"/>
      <c r="F3" s="386"/>
      <c r="G3" s="386"/>
      <c r="H3" s="386"/>
      <c r="I3" s="386"/>
      <c r="J3" s="386"/>
      <c r="K3" s="386"/>
      <c r="L3" s="386"/>
      <c r="M3" s="386"/>
      <c r="O3" s="400"/>
      <c r="P3" s="400"/>
      <c r="Q3" s="892" t="s">
        <v>144</v>
      </c>
    </row>
    <row r="4" spans="1:17" s="15" customFormat="1" ht="20.25">
      <c r="A4" s="1936" t="s">
        <v>648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</row>
    <row r="5" spans="1:17" s="15" customFormat="1" ht="18">
      <c r="A5" s="1937" t="s">
        <v>562</v>
      </c>
      <c r="B5" s="1937"/>
      <c r="C5" s="1937"/>
      <c r="D5" s="1937"/>
      <c r="E5" s="1937"/>
      <c r="F5" s="1937"/>
      <c r="G5" s="1937"/>
      <c r="H5" s="1937"/>
      <c r="I5" s="1937"/>
      <c r="J5" s="1937"/>
      <c r="K5" s="1937"/>
      <c r="L5" s="1937"/>
      <c r="M5" s="1937"/>
      <c r="N5" s="1937"/>
      <c r="O5" s="1937"/>
      <c r="P5" s="1937"/>
      <c r="Q5" s="1937"/>
    </row>
    <row r="6" spans="1:17" ht="45" customHeight="1" thickBot="1">
      <c r="A6" s="303"/>
      <c r="B6" s="304"/>
      <c r="C6" s="931"/>
      <c r="D6" s="931"/>
      <c r="E6" s="931"/>
      <c r="F6" s="386"/>
      <c r="G6" s="386"/>
      <c r="H6" s="386"/>
      <c r="I6" s="386"/>
      <c r="J6" s="386"/>
      <c r="K6" s="386"/>
      <c r="L6" s="386"/>
      <c r="M6" s="386"/>
      <c r="N6" s="896"/>
      <c r="O6" s="400"/>
      <c r="P6" s="400"/>
      <c r="Q6" s="123" t="s">
        <v>134</v>
      </c>
    </row>
    <row r="7" spans="1:17" s="122" customFormat="1" ht="32.25" customHeight="1">
      <c r="A7" s="120" t="s">
        <v>124</v>
      </c>
      <c r="B7" s="121" t="s">
        <v>125</v>
      </c>
      <c r="C7" s="1925" t="s">
        <v>524</v>
      </c>
      <c r="D7" s="1949"/>
      <c r="E7" s="1948"/>
      <c r="F7" s="1925" t="s">
        <v>659</v>
      </c>
      <c r="G7" s="1949"/>
      <c r="H7" s="1948"/>
      <c r="I7" s="1925" t="s">
        <v>660</v>
      </c>
      <c r="J7" s="1949"/>
      <c r="K7" s="1948"/>
      <c r="L7" s="1950" t="s">
        <v>661</v>
      </c>
      <c r="M7" s="1951"/>
      <c r="N7" s="1952"/>
      <c r="O7" s="1950" t="s">
        <v>662</v>
      </c>
      <c r="P7" s="1951"/>
      <c r="Q7" s="1952"/>
    </row>
    <row r="8" spans="1:17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29" customFormat="1" ht="13.5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2">
        <v>6</v>
      </c>
      <c r="G9" s="422">
        <v>7</v>
      </c>
      <c r="H9" s="422">
        <v>8</v>
      </c>
      <c r="I9" s="421">
        <v>9</v>
      </c>
      <c r="J9" s="422">
        <v>10</v>
      </c>
      <c r="K9" s="424">
        <v>11</v>
      </c>
      <c r="L9" s="422">
        <v>12</v>
      </c>
      <c r="M9" s="422">
        <v>13</v>
      </c>
      <c r="N9" s="424">
        <v>14</v>
      </c>
      <c r="O9" s="422">
        <v>15</v>
      </c>
      <c r="P9" s="422">
        <v>16</v>
      </c>
      <c r="Q9" s="424">
        <v>17</v>
      </c>
    </row>
    <row r="10" spans="1:17" s="29" customFormat="1" ht="16.5" thickBot="1">
      <c r="A10" s="380"/>
      <c r="B10" s="346" t="s">
        <v>129</v>
      </c>
      <c r="C10" s="381"/>
      <c r="D10" s="382"/>
      <c r="E10" s="383"/>
      <c r="F10" s="384"/>
      <c r="G10" s="385"/>
      <c r="H10" s="383"/>
      <c r="I10" s="384"/>
      <c r="J10" s="385"/>
      <c r="K10" s="383"/>
      <c r="L10" s="384"/>
      <c r="M10" s="385"/>
      <c r="N10" s="383"/>
      <c r="O10" s="384"/>
      <c r="P10" s="385"/>
      <c r="Q10" s="383"/>
    </row>
    <row r="11" spans="1:17" ht="16.5" thickBot="1">
      <c r="A11" s="313">
        <v>1</v>
      </c>
      <c r="B11" s="305" t="s">
        <v>113</v>
      </c>
      <c r="C11" s="314">
        <v>4785</v>
      </c>
      <c r="D11" s="314">
        <v>793</v>
      </c>
      <c r="E11" s="358">
        <f>SUM(C11:D11)</f>
        <v>5578</v>
      </c>
      <c r="F11" s="314"/>
      <c r="G11" s="314">
        <v>12</v>
      </c>
      <c r="H11" s="358">
        <f>SUM(F11:G11)</f>
        <v>12</v>
      </c>
      <c r="I11" s="314"/>
      <c r="J11" s="314"/>
      <c r="K11" s="358">
        <f aca="true" t="shared" si="0" ref="K11:K16">SUM(I11:J11)</f>
        <v>0</v>
      </c>
      <c r="L11" s="314"/>
      <c r="M11" s="314"/>
      <c r="N11" s="358">
        <f aca="true" t="shared" si="1" ref="N11:N16">SUM(L11:M11)</f>
        <v>0</v>
      </c>
      <c r="O11" s="387"/>
      <c r="P11" s="387"/>
      <c r="Q11" s="388">
        <f aca="true" t="shared" si="2" ref="Q11:Q16">SUM(O11:P11)</f>
        <v>0</v>
      </c>
    </row>
    <row r="12" spans="1:17" s="28" customFormat="1" ht="16.5" thickBot="1">
      <c r="A12" s="317">
        <v>2</v>
      </c>
      <c r="B12" s="932" t="s">
        <v>202</v>
      </c>
      <c r="C12" s="316">
        <v>861</v>
      </c>
      <c r="D12" s="314">
        <v>121</v>
      </c>
      <c r="E12" s="358">
        <f>SUM(C12:D12)</f>
        <v>982</v>
      </c>
      <c r="F12" s="316"/>
      <c r="G12" s="314"/>
      <c r="H12" s="358">
        <f>SUM(F12:G12)</f>
        <v>0</v>
      </c>
      <c r="I12" s="316"/>
      <c r="J12" s="314"/>
      <c r="K12" s="358">
        <f t="shared" si="0"/>
        <v>0</v>
      </c>
      <c r="L12" s="316"/>
      <c r="M12" s="314"/>
      <c r="N12" s="358">
        <f t="shared" si="1"/>
        <v>0</v>
      </c>
      <c r="O12" s="387"/>
      <c r="P12" s="387"/>
      <c r="Q12" s="388">
        <f t="shared" si="2"/>
        <v>0</v>
      </c>
    </row>
    <row r="13" spans="1:17" s="15" customFormat="1" ht="16.5" thickBot="1">
      <c r="A13" s="317">
        <v>3</v>
      </c>
      <c r="B13" s="305" t="s">
        <v>116</v>
      </c>
      <c r="C13" s="316">
        <v>167101</v>
      </c>
      <c r="D13" s="314">
        <v>14411</v>
      </c>
      <c r="E13" s="358">
        <f>SUM(C13:D13)</f>
        <v>181512</v>
      </c>
      <c r="F13" s="314">
        <v>119126</v>
      </c>
      <c r="G13" s="314">
        <v>1007</v>
      </c>
      <c r="H13" s="358">
        <f>SUM(F13:G13)</f>
        <v>120133</v>
      </c>
      <c r="I13" s="314">
        <v>3124</v>
      </c>
      <c r="J13" s="314"/>
      <c r="K13" s="358">
        <f t="shared" si="0"/>
        <v>3124</v>
      </c>
      <c r="L13" s="314">
        <v>11608</v>
      </c>
      <c r="M13" s="314">
        <v>-742</v>
      </c>
      <c r="N13" s="358">
        <f t="shared" si="1"/>
        <v>10866</v>
      </c>
      <c r="O13" s="387">
        <v>70039</v>
      </c>
      <c r="P13" s="387">
        <v>14885</v>
      </c>
      <c r="Q13" s="388">
        <f t="shared" si="2"/>
        <v>84924</v>
      </c>
    </row>
    <row r="14" spans="1:17" s="15" customFormat="1" ht="16.5" thickBot="1">
      <c r="A14" s="317">
        <v>4</v>
      </c>
      <c r="B14" s="305" t="s">
        <v>172</v>
      </c>
      <c r="C14" s="316"/>
      <c r="D14" s="316"/>
      <c r="E14" s="320">
        <f>SUM(C14:D14)</f>
        <v>0</v>
      </c>
      <c r="F14" s="316"/>
      <c r="G14" s="316"/>
      <c r="H14" s="320">
        <f>SUM(F14:G14)</f>
        <v>0</v>
      </c>
      <c r="I14" s="316"/>
      <c r="J14" s="316"/>
      <c r="K14" s="320">
        <f t="shared" si="0"/>
        <v>0</v>
      </c>
      <c r="L14" s="316"/>
      <c r="M14" s="316"/>
      <c r="N14" s="320">
        <f t="shared" si="1"/>
        <v>0</v>
      </c>
      <c r="O14" s="319"/>
      <c r="P14" s="316"/>
      <c r="Q14" s="320">
        <f t="shared" si="2"/>
        <v>0</v>
      </c>
    </row>
    <row r="15" spans="1:17" ht="15">
      <c r="A15" s="156" t="s">
        <v>98</v>
      </c>
      <c r="B15" s="145" t="s">
        <v>383</v>
      </c>
      <c r="C15" s="226"/>
      <c r="D15" s="226"/>
      <c r="E15" s="389">
        <f>C15+D15</f>
        <v>0</v>
      </c>
      <c r="F15" s="226"/>
      <c r="G15" s="226"/>
      <c r="H15" s="389">
        <f>F15+G15</f>
        <v>0</v>
      </c>
      <c r="I15" s="226"/>
      <c r="J15" s="226"/>
      <c r="K15" s="389">
        <f t="shared" si="0"/>
        <v>0</v>
      </c>
      <c r="L15" s="226"/>
      <c r="M15" s="226"/>
      <c r="N15" s="389">
        <f t="shared" si="1"/>
        <v>0</v>
      </c>
      <c r="O15" s="390"/>
      <c r="P15" s="390"/>
      <c r="Q15" s="391">
        <f t="shared" si="2"/>
        <v>0</v>
      </c>
    </row>
    <row r="16" spans="1:17" ht="15">
      <c r="A16" s="153" t="s">
        <v>99</v>
      </c>
      <c r="B16" s="149" t="s">
        <v>626</v>
      </c>
      <c r="C16" s="139"/>
      <c r="D16" s="139"/>
      <c r="E16" s="389">
        <f>C16+D16</f>
        <v>0</v>
      </c>
      <c r="F16" s="139"/>
      <c r="G16" s="139"/>
      <c r="H16" s="389">
        <f>F16+G16</f>
        <v>0</v>
      </c>
      <c r="I16" s="139"/>
      <c r="J16" s="139"/>
      <c r="K16" s="389">
        <f t="shared" si="0"/>
        <v>0</v>
      </c>
      <c r="L16" s="139"/>
      <c r="M16" s="139"/>
      <c r="N16" s="389">
        <f t="shared" si="1"/>
        <v>0</v>
      </c>
      <c r="O16" s="392"/>
      <c r="P16" s="392"/>
      <c r="Q16" s="391">
        <f t="shared" si="2"/>
        <v>0</v>
      </c>
    </row>
    <row r="17" spans="1:17" ht="15">
      <c r="A17" s="153" t="s">
        <v>100</v>
      </c>
      <c r="B17" s="149" t="s">
        <v>627</v>
      </c>
      <c r="C17" s="139"/>
      <c r="D17" s="139"/>
      <c r="E17" s="389">
        <f aca="true" t="shared" si="3" ref="E17:E22">C17+D17</f>
        <v>0</v>
      </c>
      <c r="F17" s="139"/>
      <c r="G17" s="139"/>
      <c r="H17" s="389">
        <f aca="true" t="shared" si="4" ref="H17:H22">F17+G17</f>
        <v>0</v>
      </c>
      <c r="I17" s="139"/>
      <c r="J17" s="139"/>
      <c r="K17" s="389">
        <f aca="true" t="shared" si="5" ref="K17:K22">SUM(I17:J17)</f>
        <v>0</v>
      </c>
      <c r="L17" s="139"/>
      <c r="M17" s="139"/>
      <c r="N17" s="389">
        <f aca="true" t="shared" si="6" ref="N17:N22">SUM(L17:M17)</f>
        <v>0</v>
      </c>
      <c r="O17" s="392"/>
      <c r="P17" s="392"/>
      <c r="Q17" s="391">
        <f aca="true" t="shared" si="7" ref="Q17:Q22">SUM(O17:P17)</f>
        <v>0</v>
      </c>
    </row>
    <row r="18" spans="1:17" ht="15">
      <c r="A18" s="153" t="s">
        <v>101</v>
      </c>
      <c r="B18" s="149" t="s">
        <v>384</v>
      </c>
      <c r="C18" s="143"/>
      <c r="D18" s="139">
        <v>675</v>
      </c>
      <c r="E18" s="389">
        <f t="shared" si="3"/>
        <v>675</v>
      </c>
      <c r="F18" s="139"/>
      <c r="G18" s="139"/>
      <c r="H18" s="389">
        <f t="shared" si="4"/>
        <v>0</v>
      </c>
      <c r="I18" s="139"/>
      <c r="J18" s="139"/>
      <c r="K18" s="389">
        <f t="shared" si="5"/>
        <v>0</v>
      </c>
      <c r="L18" s="139"/>
      <c r="M18" s="139"/>
      <c r="N18" s="389">
        <f t="shared" si="6"/>
        <v>0</v>
      </c>
      <c r="O18" s="392"/>
      <c r="P18" s="392"/>
      <c r="Q18" s="391">
        <f t="shared" si="7"/>
        <v>0</v>
      </c>
    </row>
    <row r="19" spans="1:17" ht="15">
      <c r="A19" s="148" t="s">
        <v>192</v>
      </c>
      <c r="B19" s="149" t="s">
        <v>628</v>
      </c>
      <c r="C19" s="143"/>
      <c r="D19" s="139"/>
      <c r="E19" s="389">
        <f>C19+D19</f>
        <v>0</v>
      </c>
      <c r="F19" s="139"/>
      <c r="G19" s="139"/>
      <c r="H19" s="389">
        <f>F19+G19</f>
        <v>0</v>
      </c>
      <c r="I19" s="139"/>
      <c r="J19" s="139"/>
      <c r="K19" s="389">
        <f>SUM(I19:J19)</f>
        <v>0</v>
      </c>
      <c r="L19" s="139"/>
      <c r="M19" s="139"/>
      <c r="N19" s="389">
        <f>SUM(L19:M19)</f>
        <v>0</v>
      </c>
      <c r="O19" s="392"/>
      <c r="P19" s="392"/>
      <c r="Q19" s="391">
        <f>SUM(O19:P19)</f>
        <v>0</v>
      </c>
    </row>
    <row r="20" spans="1:17" ht="15">
      <c r="A20" s="148" t="s">
        <v>339</v>
      </c>
      <c r="B20" s="149" t="s">
        <v>629</v>
      </c>
      <c r="C20" s="143"/>
      <c r="D20" s="139"/>
      <c r="E20" s="389">
        <f t="shared" si="3"/>
        <v>0</v>
      </c>
      <c r="F20" s="139"/>
      <c r="G20" s="139"/>
      <c r="H20" s="389">
        <f t="shared" si="4"/>
        <v>0</v>
      </c>
      <c r="I20" s="139"/>
      <c r="J20" s="139"/>
      <c r="K20" s="389">
        <f t="shared" si="5"/>
        <v>0</v>
      </c>
      <c r="L20" s="139"/>
      <c r="M20" s="139"/>
      <c r="N20" s="389">
        <f t="shared" si="6"/>
        <v>0</v>
      </c>
      <c r="O20" s="392"/>
      <c r="P20" s="392"/>
      <c r="Q20" s="391">
        <f t="shared" si="7"/>
        <v>0</v>
      </c>
    </row>
    <row r="21" spans="1:17" ht="15">
      <c r="A21" s="148" t="s">
        <v>340</v>
      </c>
      <c r="B21" s="149" t="s">
        <v>385</v>
      </c>
      <c r="C21" s="239"/>
      <c r="D21" s="226"/>
      <c r="E21" s="389">
        <f>C21+D21</f>
        <v>0</v>
      </c>
      <c r="F21" s="306">
        <v>1970</v>
      </c>
      <c r="G21" s="139"/>
      <c r="H21" s="228">
        <f t="shared" si="4"/>
        <v>1970</v>
      </c>
      <c r="I21" s="226">
        <v>87</v>
      </c>
      <c r="J21" s="226"/>
      <c r="K21" s="389">
        <f t="shared" si="5"/>
        <v>87</v>
      </c>
      <c r="L21" s="306"/>
      <c r="M21" s="139"/>
      <c r="N21" s="228">
        <f t="shared" si="6"/>
        <v>0</v>
      </c>
      <c r="O21" s="390"/>
      <c r="P21" s="390"/>
      <c r="Q21" s="391">
        <f t="shared" si="7"/>
        <v>0</v>
      </c>
    </row>
    <row r="22" spans="1:17" ht="15" customHeight="1" thickBot="1">
      <c r="A22" s="16" t="s">
        <v>69</v>
      </c>
      <c r="B22" s="334" t="s">
        <v>386</v>
      </c>
      <c r="C22" s="150"/>
      <c r="D22" s="151"/>
      <c r="E22" s="389">
        <f t="shared" si="3"/>
        <v>0</v>
      </c>
      <c r="F22" s="308"/>
      <c r="G22" s="151"/>
      <c r="H22" s="228">
        <f t="shared" si="4"/>
        <v>0</v>
      </c>
      <c r="I22" s="308"/>
      <c r="J22" s="151"/>
      <c r="K22" s="228">
        <f t="shared" si="5"/>
        <v>0</v>
      </c>
      <c r="L22" s="308"/>
      <c r="M22" s="151"/>
      <c r="N22" s="228">
        <f t="shared" si="6"/>
        <v>0</v>
      </c>
      <c r="O22" s="1145"/>
      <c r="P22" s="393"/>
      <c r="Q22" s="1116">
        <f t="shared" si="7"/>
        <v>0</v>
      </c>
    </row>
    <row r="23" spans="1:17" s="15" customFormat="1" ht="16.5" thickBot="1">
      <c r="A23" s="317">
        <v>5</v>
      </c>
      <c r="B23" s="305" t="s">
        <v>171</v>
      </c>
      <c r="C23" s="319">
        <f aca="true" t="shared" si="8" ref="C23:Q23">SUM(C15:C22)</f>
        <v>0</v>
      </c>
      <c r="D23" s="316">
        <f t="shared" si="8"/>
        <v>675</v>
      </c>
      <c r="E23" s="320">
        <f t="shared" si="8"/>
        <v>675</v>
      </c>
      <c r="F23" s="330">
        <f t="shared" si="8"/>
        <v>1970</v>
      </c>
      <c r="G23" s="314">
        <f t="shared" si="8"/>
        <v>0</v>
      </c>
      <c r="H23" s="330">
        <f t="shared" si="8"/>
        <v>1970</v>
      </c>
      <c r="I23" s="347">
        <f t="shared" si="8"/>
        <v>87</v>
      </c>
      <c r="J23" s="314">
        <f t="shared" si="8"/>
        <v>0</v>
      </c>
      <c r="K23" s="320">
        <f t="shared" si="8"/>
        <v>87</v>
      </c>
      <c r="L23" s="347">
        <f t="shared" si="8"/>
        <v>0</v>
      </c>
      <c r="M23" s="314">
        <f t="shared" si="8"/>
        <v>0</v>
      </c>
      <c r="N23" s="320">
        <f t="shared" si="8"/>
        <v>0</v>
      </c>
      <c r="O23" s="347">
        <f t="shared" si="8"/>
        <v>0</v>
      </c>
      <c r="P23" s="314">
        <f t="shared" si="8"/>
        <v>0</v>
      </c>
      <c r="Q23" s="320">
        <f t="shared" si="8"/>
        <v>0</v>
      </c>
    </row>
    <row r="24" spans="1:17" ht="16.5" thickBot="1">
      <c r="A24" s="313">
        <v>6</v>
      </c>
      <c r="B24" s="305" t="s">
        <v>174</v>
      </c>
      <c r="C24" s="314">
        <v>12</v>
      </c>
      <c r="D24" s="314"/>
      <c r="E24" s="358">
        <f aca="true" t="shared" si="9" ref="E24:E30">SUM(C24:D24)</f>
        <v>12</v>
      </c>
      <c r="F24" s="318">
        <v>477420</v>
      </c>
      <c r="G24" s="314">
        <v>-1429</v>
      </c>
      <c r="H24" s="320">
        <f aca="true" t="shared" si="10" ref="H24:H30">SUM(F24:G24)</f>
        <v>475991</v>
      </c>
      <c r="I24" s="318"/>
      <c r="J24" s="314"/>
      <c r="K24" s="320">
        <f aca="true" t="shared" si="11" ref="K24:K30">SUM(I24:J24)</f>
        <v>0</v>
      </c>
      <c r="L24" s="318">
        <v>40409</v>
      </c>
      <c r="M24" s="314">
        <v>1152</v>
      </c>
      <c r="N24" s="330">
        <f aca="true" t="shared" si="12" ref="N24:N30">SUM(L24:M24)</f>
        <v>41561</v>
      </c>
      <c r="O24" s="1129"/>
      <c r="P24" s="387">
        <v>314531</v>
      </c>
      <c r="Q24" s="1117">
        <f aca="true" t="shared" si="13" ref="Q24:Q30">SUM(O24:P24)</f>
        <v>314531</v>
      </c>
    </row>
    <row r="25" spans="1:17" s="15" customFormat="1" ht="16.5" thickBot="1">
      <c r="A25" s="313">
        <v>7</v>
      </c>
      <c r="B25" s="305" t="s">
        <v>435</v>
      </c>
      <c r="C25" s="314"/>
      <c r="D25" s="314"/>
      <c r="E25" s="358">
        <f t="shared" si="9"/>
        <v>0</v>
      </c>
      <c r="F25" s="318"/>
      <c r="G25" s="314"/>
      <c r="H25" s="330">
        <f t="shared" si="10"/>
        <v>0</v>
      </c>
      <c r="I25" s="347"/>
      <c r="J25" s="314"/>
      <c r="K25" s="320">
        <f t="shared" si="11"/>
        <v>0</v>
      </c>
      <c r="L25" s="330"/>
      <c r="M25" s="314"/>
      <c r="N25" s="330">
        <f t="shared" si="12"/>
        <v>0</v>
      </c>
      <c r="O25" s="1129">
        <v>261805</v>
      </c>
      <c r="P25" s="387">
        <v>-261805</v>
      </c>
      <c r="Q25" s="1117">
        <f t="shared" si="13"/>
        <v>0</v>
      </c>
    </row>
    <row r="26" spans="1:17" ht="15">
      <c r="A26" s="156" t="s">
        <v>98</v>
      </c>
      <c r="B26" s="149" t="s">
        <v>632</v>
      </c>
      <c r="C26" s="226"/>
      <c r="D26" s="226"/>
      <c r="E26" s="389">
        <f t="shared" si="9"/>
        <v>0</v>
      </c>
      <c r="F26" s="306"/>
      <c r="G26" s="226"/>
      <c r="H26" s="228">
        <f t="shared" si="10"/>
        <v>0</v>
      </c>
      <c r="I26" s="306"/>
      <c r="J26" s="226"/>
      <c r="K26" s="228">
        <f t="shared" si="11"/>
        <v>0</v>
      </c>
      <c r="L26" s="306"/>
      <c r="M26" s="226"/>
      <c r="N26" s="887">
        <f t="shared" si="12"/>
        <v>0</v>
      </c>
      <c r="O26" s="1127"/>
      <c r="P26" s="390"/>
      <c r="Q26" s="1116">
        <f t="shared" si="13"/>
        <v>0</v>
      </c>
    </row>
    <row r="27" spans="1:17" ht="15">
      <c r="A27" s="156" t="s">
        <v>99</v>
      </c>
      <c r="B27" s="149" t="s">
        <v>630</v>
      </c>
      <c r="C27" s="306"/>
      <c r="D27" s="139"/>
      <c r="E27" s="228">
        <f t="shared" si="9"/>
        <v>0</v>
      </c>
      <c r="F27" s="306"/>
      <c r="G27" s="226"/>
      <c r="H27" s="228">
        <f t="shared" si="10"/>
        <v>0</v>
      </c>
      <c r="I27" s="306"/>
      <c r="J27" s="226"/>
      <c r="K27" s="228">
        <f t="shared" si="11"/>
        <v>0</v>
      </c>
      <c r="L27" s="306"/>
      <c r="M27" s="226"/>
      <c r="N27" s="887">
        <f t="shared" si="12"/>
        <v>0</v>
      </c>
      <c r="O27" s="1127"/>
      <c r="P27" s="390"/>
      <c r="Q27" s="1116">
        <f t="shared" si="13"/>
        <v>0</v>
      </c>
    </row>
    <row r="28" spans="1:17" ht="15">
      <c r="A28" s="156" t="s">
        <v>100</v>
      </c>
      <c r="B28" s="149" t="s">
        <v>387</v>
      </c>
      <c r="C28" s="306"/>
      <c r="D28" s="226"/>
      <c r="E28" s="228">
        <f t="shared" si="9"/>
        <v>0</v>
      </c>
      <c r="F28" s="306"/>
      <c r="G28" s="226"/>
      <c r="H28" s="228">
        <f t="shared" si="10"/>
        <v>0</v>
      </c>
      <c r="I28" s="306"/>
      <c r="J28" s="226"/>
      <c r="K28" s="228">
        <f t="shared" si="11"/>
        <v>0</v>
      </c>
      <c r="L28" s="306"/>
      <c r="M28" s="226"/>
      <c r="N28" s="887">
        <f t="shared" si="12"/>
        <v>0</v>
      </c>
      <c r="O28" s="1127"/>
      <c r="P28" s="390"/>
      <c r="Q28" s="1116">
        <f t="shared" si="13"/>
        <v>0</v>
      </c>
    </row>
    <row r="29" spans="1:17" ht="15">
      <c r="A29" s="156" t="s">
        <v>101</v>
      </c>
      <c r="B29" s="149" t="s">
        <v>631</v>
      </c>
      <c r="C29" s="306"/>
      <c r="D29" s="226"/>
      <c r="E29" s="228">
        <f t="shared" si="9"/>
        <v>0</v>
      </c>
      <c r="F29" s="306"/>
      <c r="G29" s="226"/>
      <c r="H29" s="228">
        <f t="shared" si="10"/>
        <v>0</v>
      </c>
      <c r="I29" s="306"/>
      <c r="J29" s="226"/>
      <c r="K29" s="228">
        <f t="shared" si="11"/>
        <v>0</v>
      </c>
      <c r="L29" s="306"/>
      <c r="M29" s="226"/>
      <c r="N29" s="887">
        <f t="shared" si="12"/>
        <v>0</v>
      </c>
      <c r="O29" s="1127"/>
      <c r="P29" s="390"/>
      <c r="Q29" s="1116">
        <f t="shared" si="13"/>
        <v>0</v>
      </c>
    </row>
    <row r="30" spans="1:17" ht="15.75" thickBot="1">
      <c r="A30" s="335" t="s">
        <v>192</v>
      </c>
      <c r="B30" s="149" t="s">
        <v>388</v>
      </c>
      <c r="C30" s="329"/>
      <c r="D30" s="321"/>
      <c r="E30" s="324">
        <f t="shared" si="9"/>
        <v>0</v>
      </c>
      <c r="F30" s="329"/>
      <c r="G30" s="321"/>
      <c r="H30" s="324">
        <f t="shared" si="10"/>
        <v>0</v>
      </c>
      <c r="I30" s="329"/>
      <c r="J30" s="321"/>
      <c r="K30" s="324">
        <f t="shared" si="11"/>
        <v>0</v>
      </c>
      <c r="L30" s="329"/>
      <c r="M30" s="321"/>
      <c r="N30" s="157">
        <f t="shared" si="12"/>
        <v>0</v>
      </c>
      <c r="O30" s="1130"/>
      <c r="P30" s="396"/>
      <c r="Q30" s="1118">
        <f t="shared" si="13"/>
        <v>0</v>
      </c>
    </row>
    <row r="31" spans="1:17" s="15" customFormat="1" ht="16.5" thickBot="1">
      <c r="A31" s="313">
        <v>8</v>
      </c>
      <c r="B31" s="305" t="s">
        <v>173</v>
      </c>
      <c r="C31" s="347">
        <f aca="true" t="shared" si="14" ref="C31:Q31">SUM(C26:C30)</f>
        <v>0</v>
      </c>
      <c r="D31" s="314">
        <f t="shared" si="14"/>
        <v>0</v>
      </c>
      <c r="E31" s="320">
        <f t="shared" si="14"/>
        <v>0</v>
      </c>
      <c r="F31" s="330">
        <f t="shared" si="14"/>
        <v>0</v>
      </c>
      <c r="G31" s="314">
        <f t="shared" si="14"/>
        <v>0</v>
      </c>
      <c r="H31" s="330">
        <f t="shared" si="14"/>
        <v>0</v>
      </c>
      <c r="I31" s="347">
        <f t="shared" si="14"/>
        <v>0</v>
      </c>
      <c r="J31" s="314">
        <f t="shared" si="14"/>
        <v>0</v>
      </c>
      <c r="K31" s="320">
        <f t="shared" si="14"/>
        <v>0</v>
      </c>
      <c r="L31" s="347">
        <f t="shared" si="14"/>
        <v>0</v>
      </c>
      <c r="M31" s="314">
        <f t="shared" si="14"/>
        <v>0</v>
      </c>
      <c r="N31" s="330">
        <f t="shared" si="14"/>
        <v>0</v>
      </c>
      <c r="O31" s="347">
        <f t="shared" si="14"/>
        <v>0</v>
      </c>
      <c r="P31" s="314">
        <f t="shared" si="14"/>
        <v>0</v>
      </c>
      <c r="Q31" s="320">
        <f t="shared" si="14"/>
        <v>0</v>
      </c>
    </row>
    <row r="32" spans="1:17" ht="16.5" thickBot="1">
      <c r="A32" s="313">
        <v>9</v>
      </c>
      <c r="B32" s="305" t="s">
        <v>179</v>
      </c>
      <c r="C32" s="318"/>
      <c r="D32" s="314"/>
      <c r="E32" s="320">
        <f>SUM(C32:D32)</f>
        <v>0</v>
      </c>
      <c r="F32" s="318"/>
      <c r="G32" s="314"/>
      <c r="H32" s="320">
        <f>SUM(F32:G32)</f>
        <v>0</v>
      </c>
      <c r="I32" s="318"/>
      <c r="J32" s="314"/>
      <c r="K32" s="320">
        <f>SUM(I32:J32)</f>
        <v>0</v>
      </c>
      <c r="L32" s="318"/>
      <c r="M32" s="314"/>
      <c r="N32" s="330">
        <f>SUM(L32:M32)</f>
        <v>0</v>
      </c>
      <c r="O32" s="1129"/>
      <c r="P32" s="387"/>
      <c r="Q32" s="1117">
        <f>SUM(O32:P32)</f>
        <v>0</v>
      </c>
    </row>
    <row r="33" spans="1:21" s="34" customFormat="1" ht="16.5" thickBot="1">
      <c r="A33" s="367">
        <v>10</v>
      </c>
      <c r="B33" s="933"/>
      <c r="C33" s="158"/>
      <c r="D33" s="369"/>
      <c r="E33" s="1107">
        <f>SUM(C33:D33)</f>
        <v>0</v>
      </c>
      <c r="F33" s="158"/>
      <c r="G33" s="369"/>
      <c r="H33" s="1107">
        <f>SUM(F33:G33)</f>
        <v>0</v>
      </c>
      <c r="I33" s="158"/>
      <c r="J33" s="369"/>
      <c r="K33" s="1107">
        <f>SUM(I33:J33)</f>
        <v>0</v>
      </c>
      <c r="L33" s="158"/>
      <c r="M33" s="369"/>
      <c r="N33" s="293">
        <f>SUM(L33:M33)</f>
        <v>0</v>
      </c>
      <c r="O33" s="158"/>
      <c r="P33" s="369"/>
      <c r="Q33" s="1107">
        <f>SUM(O33:P33)</f>
        <v>0</v>
      </c>
      <c r="R33" s="32"/>
      <c r="S33" s="32"/>
      <c r="T33" s="32"/>
      <c r="U33" s="32"/>
    </row>
    <row r="34" spans="1:93" s="35" customFormat="1" ht="17.25" thickBot="1" thickTop="1">
      <c r="A34" s="343" t="s">
        <v>108</v>
      </c>
      <c r="B34" s="366" t="s">
        <v>180</v>
      </c>
      <c r="C34" s="365">
        <f aca="true" t="shared" si="15" ref="C34:Q34">C11+C12+C13+C23+C14+C31+C25+C24+C32+C33</f>
        <v>172759</v>
      </c>
      <c r="D34" s="344">
        <f t="shared" si="15"/>
        <v>16000</v>
      </c>
      <c r="E34" s="778">
        <f t="shared" si="15"/>
        <v>188759</v>
      </c>
      <c r="F34" s="365">
        <f t="shared" si="15"/>
        <v>598516</v>
      </c>
      <c r="G34" s="344">
        <f t="shared" si="15"/>
        <v>-410</v>
      </c>
      <c r="H34" s="778">
        <f t="shared" si="15"/>
        <v>598106</v>
      </c>
      <c r="I34" s="365">
        <f t="shared" si="15"/>
        <v>3211</v>
      </c>
      <c r="J34" s="344">
        <f t="shared" si="15"/>
        <v>0</v>
      </c>
      <c r="K34" s="778">
        <f t="shared" si="15"/>
        <v>3211</v>
      </c>
      <c r="L34" s="365">
        <f t="shared" si="15"/>
        <v>52017</v>
      </c>
      <c r="M34" s="344">
        <f t="shared" si="15"/>
        <v>410</v>
      </c>
      <c r="N34" s="778">
        <f t="shared" si="15"/>
        <v>52427</v>
      </c>
      <c r="O34" s="365">
        <f t="shared" si="15"/>
        <v>331844</v>
      </c>
      <c r="P34" s="344">
        <f t="shared" si="15"/>
        <v>67611</v>
      </c>
      <c r="Q34" s="374">
        <f t="shared" si="15"/>
        <v>399455</v>
      </c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</row>
    <row r="35" spans="1:93" ht="17.25" thickBot="1" thickTop="1">
      <c r="A35" s="144"/>
      <c r="B35" s="346" t="s">
        <v>131</v>
      </c>
      <c r="C35" s="1077"/>
      <c r="D35" s="302"/>
      <c r="E35" s="1108"/>
      <c r="F35" s="888"/>
      <c r="G35" s="302"/>
      <c r="H35" s="1108"/>
      <c r="I35" s="935"/>
      <c r="J35" s="302"/>
      <c r="K35" s="1108"/>
      <c r="L35" s="935"/>
      <c r="M35" s="302"/>
      <c r="N35" s="888"/>
      <c r="O35" s="1077"/>
      <c r="P35" s="302"/>
      <c r="Q35" s="1108"/>
      <c r="R35" s="26"/>
      <c r="S35" s="26"/>
      <c r="T35" s="26"/>
      <c r="U35" s="26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</row>
    <row r="36" spans="1:17" s="762" customFormat="1" ht="15">
      <c r="A36" s="769" t="s">
        <v>98</v>
      </c>
      <c r="B36" s="770" t="s">
        <v>389</v>
      </c>
      <c r="C36" s="1085"/>
      <c r="D36" s="771"/>
      <c r="E36" s="776">
        <f>SUM(C36:D36)</f>
        <v>0</v>
      </c>
      <c r="F36" s="775"/>
      <c r="G36" s="771"/>
      <c r="H36" s="776">
        <f>SUM(F36:G36)</f>
        <v>0</v>
      </c>
      <c r="I36" s="1085"/>
      <c r="J36" s="771"/>
      <c r="K36" s="776">
        <f>SUM(I36:J36)</f>
        <v>0</v>
      </c>
      <c r="L36" s="1085"/>
      <c r="M36" s="771"/>
      <c r="N36" s="775">
        <f>SUM(L36:M36)</f>
        <v>0</v>
      </c>
      <c r="O36" s="1131"/>
      <c r="P36" s="774"/>
      <c r="Q36" s="1119">
        <f>SUM(O36:P36)</f>
        <v>0</v>
      </c>
    </row>
    <row r="37" spans="1:17" s="762" customFormat="1" ht="15">
      <c r="A37" s="153" t="s">
        <v>99</v>
      </c>
      <c r="B37" s="149" t="s">
        <v>245</v>
      </c>
      <c r="C37" s="906"/>
      <c r="D37" s="139"/>
      <c r="E37" s="162">
        <f>SUM(C37:D37)</f>
        <v>0</v>
      </c>
      <c r="F37" s="885"/>
      <c r="G37" s="139"/>
      <c r="H37" s="162">
        <f>SUM(F37:G37)</f>
        <v>0</v>
      </c>
      <c r="I37" s="906"/>
      <c r="J37" s="139"/>
      <c r="K37" s="162">
        <f>SUM(I37:J37)</f>
        <v>0</v>
      </c>
      <c r="L37" s="906"/>
      <c r="M37" s="139"/>
      <c r="N37" s="885">
        <f>SUM(L37:M37)</f>
        <v>0</v>
      </c>
      <c r="O37" s="1126"/>
      <c r="P37" s="392"/>
      <c r="Q37" s="1120">
        <f>SUM(O37:P37)</f>
        <v>0</v>
      </c>
    </row>
    <row r="38" spans="1:17" s="762" customFormat="1" ht="15">
      <c r="A38" s="335" t="s">
        <v>100</v>
      </c>
      <c r="B38" s="142" t="s">
        <v>390</v>
      </c>
      <c r="C38" s="1076"/>
      <c r="D38" s="321"/>
      <c r="E38" s="324">
        <f>SUM(C38:D38)</f>
        <v>0</v>
      </c>
      <c r="F38" s="157"/>
      <c r="G38" s="321"/>
      <c r="H38" s="324">
        <f>SUM(F38:G38)</f>
        <v>0</v>
      </c>
      <c r="I38" s="1076"/>
      <c r="J38" s="321"/>
      <c r="K38" s="324">
        <f>SUM(I38:J38)</f>
        <v>0</v>
      </c>
      <c r="L38" s="1076"/>
      <c r="M38" s="321"/>
      <c r="N38" s="157">
        <f>SUM(L38:M38)</f>
        <v>0</v>
      </c>
      <c r="O38" s="1130"/>
      <c r="P38" s="396"/>
      <c r="Q38" s="1118">
        <f>SUM(O38:P38)</f>
        <v>0</v>
      </c>
    </row>
    <row r="39" spans="1:17" s="762" customFormat="1" ht="15.75" thickBot="1">
      <c r="A39" s="154" t="s">
        <v>101</v>
      </c>
      <c r="B39" s="155" t="s">
        <v>394</v>
      </c>
      <c r="C39" s="907">
        <v>26613</v>
      </c>
      <c r="D39" s="151"/>
      <c r="E39" s="238">
        <f>SUM(C39:D39)</f>
        <v>26613</v>
      </c>
      <c r="F39" s="886"/>
      <c r="G39" s="151"/>
      <c r="H39" s="238">
        <f>SUM(F39:G39)</f>
        <v>0</v>
      </c>
      <c r="I39" s="907"/>
      <c r="J39" s="151"/>
      <c r="K39" s="238">
        <f>SUM(I39:J39)</f>
        <v>0</v>
      </c>
      <c r="L39" s="907"/>
      <c r="M39" s="151"/>
      <c r="N39" s="886">
        <f>SUM(L39:M39)</f>
        <v>0</v>
      </c>
      <c r="O39" s="1128"/>
      <c r="P39" s="393"/>
      <c r="Q39" s="1121">
        <f>SUM(O39:P39)</f>
        <v>0</v>
      </c>
    </row>
    <row r="40" spans="1:17" s="15" customFormat="1" ht="16.5" thickBot="1">
      <c r="A40" s="313">
        <v>1</v>
      </c>
      <c r="B40" s="305" t="s">
        <v>177</v>
      </c>
      <c r="C40" s="347">
        <f aca="true" t="shared" si="16" ref="C40:Q40">SUM(C36:C39)</f>
        <v>26613</v>
      </c>
      <c r="D40" s="314">
        <f t="shared" si="16"/>
        <v>0</v>
      </c>
      <c r="E40" s="320">
        <f t="shared" si="16"/>
        <v>26613</v>
      </c>
      <c r="F40" s="347">
        <f t="shared" si="16"/>
        <v>0</v>
      </c>
      <c r="G40" s="314">
        <f t="shared" si="16"/>
        <v>0</v>
      </c>
      <c r="H40" s="320">
        <f t="shared" si="16"/>
        <v>0</v>
      </c>
      <c r="I40" s="347">
        <f t="shared" si="16"/>
        <v>0</v>
      </c>
      <c r="J40" s="314">
        <f t="shared" si="16"/>
        <v>0</v>
      </c>
      <c r="K40" s="320">
        <f t="shared" si="16"/>
        <v>0</v>
      </c>
      <c r="L40" s="347">
        <f t="shared" si="16"/>
        <v>0</v>
      </c>
      <c r="M40" s="314">
        <f t="shared" si="16"/>
        <v>0</v>
      </c>
      <c r="N40" s="320">
        <f t="shared" si="16"/>
        <v>0</v>
      </c>
      <c r="O40" s="347">
        <f t="shared" si="16"/>
        <v>0</v>
      </c>
      <c r="P40" s="314">
        <f t="shared" si="16"/>
        <v>0</v>
      </c>
      <c r="Q40" s="320">
        <f t="shared" si="16"/>
        <v>0</v>
      </c>
    </row>
    <row r="41" spans="1:17" ht="15">
      <c r="A41" s="156" t="s">
        <v>98</v>
      </c>
      <c r="B41" s="145" t="s">
        <v>416</v>
      </c>
      <c r="C41" s="1075"/>
      <c r="D41" s="226"/>
      <c r="E41" s="228">
        <f>SUM(C41:D41)</f>
        <v>0</v>
      </c>
      <c r="F41" s="887"/>
      <c r="G41" s="226"/>
      <c r="H41" s="228">
        <f>SUM(F41:G41)</f>
        <v>0</v>
      </c>
      <c r="I41" s="1075"/>
      <c r="J41" s="226"/>
      <c r="K41" s="228">
        <f>SUM(I41:J41)</f>
        <v>0</v>
      </c>
      <c r="L41" s="1075"/>
      <c r="M41" s="226"/>
      <c r="N41" s="887">
        <f>SUM(L41:M41)</f>
        <v>0</v>
      </c>
      <c r="O41" s="1127"/>
      <c r="P41" s="390"/>
      <c r="Q41" s="1116">
        <f>SUM(O41:P41)</f>
        <v>0</v>
      </c>
    </row>
    <row r="42" spans="1:17" ht="15">
      <c r="A42" s="153" t="s">
        <v>99</v>
      </c>
      <c r="B42" s="149" t="s">
        <v>391</v>
      </c>
      <c r="C42" s="906"/>
      <c r="D42" s="139"/>
      <c r="E42" s="162">
        <f>SUM(C42:D42)</f>
        <v>0</v>
      </c>
      <c r="F42" s="885"/>
      <c r="G42" s="139"/>
      <c r="H42" s="162">
        <f>SUM(F42:G42)</f>
        <v>0</v>
      </c>
      <c r="I42" s="906"/>
      <c r="J42" s="139"/>
      <c r="K42" s="162">
        <f>SUM(I42:J42)</f>
        <v>0</v>
      </c>
      <c r="L42" s="906"/>
      <c r="M42" s="139"/>
      <c r="N42" s="885">
        <f>SUM(L42:M42)</f>
        <v>0</v>
      </c>
      <c r="O42" s="1126"/>
      <c r="P42" s="392"/>
      <c r="Q42" s="1120">
        <f>SUM(O42:P42)</f>
        <v>0</v>
      </c>
    </row>
    <row r="43" spans="1:17" ht="15">
      <c r="A43" s="153" t="s">
        <v>100</v>
      </c>
      <c r="B43" s="149" t="s">
        <v>392</v>
      </c>
      <c r="C43" s="906"/>
      <c r="D43" s="139"/>
      <c r="E43" s="162">
        <f>SUM(C43:D43)</f>
        <v>0</v>
      </c>
      <c r="F43" s="885"/>
      <c r="G43" s="139"/>
      <c r="H43" s="162">
        <f>SUM(F43:G43)</f>
        <v>0</v>
      </c>
      <c r="I43" s="906"/>
      <c r="J43" s="139"/>
      <c r="K43" s="162">
        <f>SUM(I43:J43)</f>
        <v>0</v>
      </c>
      <c r="L43" s="906"/>
      <c r="M43" s="139"/>
      <c r="N43" s="885">
        <f>SUM(L43:M43)</f>
        <v>0</v>
      </c>
      <c r="O43" s="1126"/>
      <c r="P43" s="392"/>
      <c r="Q43" s="1120">
        <f>SUM(O43:P43)</f>
        <v>0</v>
      </c>
    </row>
    <row r="44" spans="1:17" ht="15.75" thickBot="1">
      <c r="A44" s="154" t="s">
        <v>101</v>
      </c>
      <c r="B44" s="155" t="s">
        <v>175</v>
      </c>
      <c r="C44" s="907"/>
      <c r="D44" s="151"/>
      <c r="E44" s="238">
        <f>SUM(C44:D44)</f>
        <v>0</v>
      </c>
      <c r="F44" s="886"/>
      <c r="G44" s="151"/>
      <c r="H44" s="238">
        <f>SUM(F44:G44)</f>
        <v>0</v>
      </c>
      <c r="I44" s="907"/>
      <c r="J44" s="151"/>
      <c r="K44" s="238">
        <f>SUM(I44:J44)</f>
        <v>0</v>
      </c>
      <c r="L44" s="907"/>
      <c r="M44" s="151"/>
      <c r="N44" s="886">
        <f>SUM(L44:M44)</f>
        <v>0</v>
      </c>
      <c r="O44" s="1128"/>
      <c r="P44" s="393"/>
      <c r="Q44" s="1121">
        <f>SUM(O44:P44)</f>
        <v>0</v>
      </c>
    </row>
    <row r="45" spans="1:17" s="15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7" ref="D45:Q45">SUM(D41:D44)</f>
        <v>0</v>
      </c>
      <c r="E45" s="316">
        <f t="shared" si="17"/>
        <v>0</v>
      </c>
      <c r="F45" s="347">
        <f t="shared" si="17"/>
        <v>0</v>
      </c>
      <c r="G45" s="314">
        <f t="shared" si="17"/>
        <v>0</v>
      </c>
      <c r="H45" s="316">
        <f t="shared" si="17"/>
        <v>0</v>
      </c>
      <c r="I45" s="347">
        <f t="shared" si="17"/>
        <v>0</v>
      </c>
      <c r="J45" s="314">
        <f t="shared" si="17"/>
        <v>0</v>
      </c>
      <c r="K45" s="316">
        <f t="shared" si="17"/>
        <v>0</v>
      </c>
      <c r="L45" s="347">
        <f t="shared" si="17"/>
        <v>0</v>
      </c>
      <c r="M45" s="314">
        <f t="shared" si="17"/>
        <v>0</v>
      </c>
      <c r="N45" s="330">
        <f t="shared" si="17"/>
        <v>0</v>
      </c>
      <c r="O45" s="347">
        <f t="shared" si="17"/>
        <v>0</v>
      </c>
      <c r="P45" s="314">
        <f t="shared" si="17"/>
        <v>0</v>
      </c>
      <c r="Q45" s="320">
        <f t="shared" si="17"/>
        <v>0</v>
      </c>
    </row>
    <row r="46" spans="1:17" s="15" customFormat="1" ht="16.5" thickBot="1">
      <c r="A46" s="313">
        <v>3</v>
      </c>
      <c r="B46" s="305" t="s">
        <v>264</v>
      </c>
      <c r="C46" s="347"/>
      <c r="D46" s="314"/>
      <c r="E46" s="316">
        <f>SUM(C46:D46)</f>
        <v>0</v>
      </c>
      <c r="F46" s="347"/>
      <c r="G46" s="314"/>
      <c r="H46" s="316">
        <f>SUM(F46:G46)</f>
        <v>0</v>
      </c>
      <c r="I46" s="347"/>
      <c r="J46" s="314"/>
      <c r="K46" s="316">
        <f>SUM(I46:J46)</f>
        <v>0</v>
      </c>
      <c r="L46" s="347"/>
      <c r="M46" s="314"/>
      <c r="N46" s="330">
        <f>SUM(L46:M46)</f>
        <v>0</v>
      </c>
      <c r="O46" s="347"/>
      <c r="P46" s="314"/>
      <c r="Q46" s="320">
        <f>SUM(O46:P46)</f>
        <v>0</v>
      </c>
    </row>
    <row r="47" spans="1:17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16">
        <f>SUM(I47:J47)</f>
        <v>0</v>
      </c>
      <c r="L47" s="347"/>
      <c r="M47" s="314"/>
      <c r="N47" s="330">
        <f>SUM(L47:M47)</f>
        <v>0</v>
      </c>
      <c r="O47" s="347"/>
      <c r="P47" s="314"/>
      <c r="Q47" s="320">
        <f>SUM(O47:P47)</f>
        <v>0</v>
      </c>
    </row>
    <row r="48" spans="1:17" s="762" customFormat="1" ht="15">
      <c r="A48" s="156" t="s">
        <v>98</v>
      </c>
      <c r="B48" s="142" t="s">
        <v>291</v>
      </c>
      <c r="C48" s="1075"/>
      <c r="D48" s="226"/>
      <c r="E48" s="228">
        <f>SUM(C48:D48)</f>
        <v>0</v>
      </c>
      <c r="F48" s="887"/>
      <c r="G48" s="226"/>
      <c r="H48" s="228">
        <f>SUM(F48:G48)</f>
        <v>0</v>
      </c>
      <c r="I48" s="1075"/>
      <c r="J48" s="226"/>
      <c r="K48" s="228">
        <f>SUM(I48:J48)</f>
        <v>0</v>
      </c>
      <c r="L48" s="1075"/>
      <c r="M48" s="226"/>
      <c r="N48" s="887">
        <f>SUM(L48:M48)</f>
        <v>0</v>
      </c>
      <c r="O48" s="1127"/>
      <c r="P48" s="390"/>
      <c r="Q48" s="1116">
        <f>SUM(O48:P48)</f>
        <v>0</v>
      </c>
    </row>
    <row r="49" spans="1:17" ht="1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06"/>
      <c r="M49" s="139"/>
      <c r="N49" s="885">
        <f>SUM(L49:M49)</f>
        <v>0</v>
      </c>
      <c r="O49" s="1126"/>
      <c r="P49" s="392"/>
      <c r="Q49" s="1120">
        <f>SUM(O49:P49)</f>
        <v>0</v>
      </c>
    </row>
    <row r="50" spans="1:17" ht="15.75" thickBot="1">
      <c r="A50" s="154" t="s">
        <v>100</v>
      </c>
      <c r="B50" s="334" t="s">
        <v>426</v>
      </c>
      <c r="C50" s="906"/>
      <c r="D50" s="139"/>
      <c r="E50" s="162">
        <f>SUM(C50:D50)</f>
        <v>0</v>
      </c>
      <c r="F50" s="885">
        <v>200000</v>
      </c>
      <c r="G50" s="139"/>
      <c r="H50" s="162">
        <f>SUM(F50:G50)</f>
        <v>200000</v>
      </c>
      <c r="I50" s="906">
        <v>51325</v>
      </c>
      <c r="J50" s="139"/>
      <c r="K50" s="162">
        <f>SUM(I50:J50)</f>
        <v>51325</v>
      </c>
      <c r="L50" s="906"/>
      <c r="M50" s="139"/>
      <c r="N50" s="885">
        <f>SUM(L50:M50)</f>
        <v>0</v>
      </c>
      <c r="O50" s="1126"/>
      <c r="P50" s="392"/>
      <c r="Q50" s="1120">
        <f>SUM(O50:P50)</f>
        <v>0</v>
      </c>
    </row>
    <row r="51" spans="1:17" s="15" customFormat="1" ht="16.5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16">
        <f aca="true" t="shared" si="18" ref="E51:Q51">SUM(E48:E50)</f>
        <v>0</v>
      </c>
      <c r="F51" s="347">
        <f t="shared" si="18"/>
        <v>200000</v>
      </c>
      <c r="G51" s="314">
        <f t="shared" si="18"/>
        <v>0</v>
      </c>
      <c r="H51" s="316">
        <f t="shared" si="18"/>
        <v>200000</v>
      </c>
      <c r="I51" s="347">
        <f t="shared" si="18"/>
        <v>51325</v>
      </c>
      <c r="J51" s="314">
        <f t="shared" si="18"/>
        <v>0</v>
      </c>
      <c r="K51" s="316">
        <f t="shared" si="18"/>
        <v>51325</v>
      </c>
      <c r="L51" s="347">
        <f t="shared" si="18"/>
        <v>0</v>
      </c>
      <c r="M51" s="314">
        <f t="shared" si="18"/>
        <v>0</v>
      </c>
      <c r="N51" s="316">
        <f t="shared" si="18"/>
        <v>0</v>
      </c>
      <c r="O51" s="347">
        <f t="shared" si="18"/>
        <v>0</v>
      </c>
      <c r="P51" s="314">
        <f t="shared" si="18"/>
        <v>0</v>
      </c>
      <c r="Q51" s="320">
        <f t="shared" si="18"/>
        <v>0</v>
      </c>
    </row>
    <row r="52" spans="1:17" s="15" customFormat="1" ht="16.5" thickBot="1">
      <c r="A52" s="765">
        <v>6</v>
      </c>
      <c r="B52" s="766" t="s">
        <v>295</v>
      </c>
      <c r="C52" s="1078"/>
      <c r="D52" s="339"/>
      <c r="E52" s="332">
        <f>SUM(C52:D52)</f>
        <v>0</v>
      </c>
      <c r="F52" s="333"/>
      <c r="G52" s="339"/>
      <c r="H52" s="332">
        <f>SUM(F52:G52)</f>
        <v>0</v>
      </c>
      <c r="I52" s="1084"/>
      <c r="J52" s="339"/>
      <c r="K52" s="332">
        <f>SUM(I52:J52)</f>
        <v>0</v>
      </c>
      <c r="L52" s="1084"/>
      <c r="M52" s="339"/>
      <c r="N52" s="333">
        <f>SUM(L52:M52)</f>
        <v>0</v>
      </c>
      <c r="O52" s="1132"/>
      <c r="P52" s="759"/>
      <c r="Q52" s="1122">
        <f>SUM(O52:P52)</f>
        <v>0</v>
      </c>
    </row>
    <row r="53" spans="1:17" ht="15">
      <c r="A53" s="137" t="s">
        <v>98</v>
      </c>
      <c r="B53" s="138" t="s">
        <v>395</v>
      </c>
      <c r="C53" s="1079"/>
      <c r="D53" s="140"/>
      <c r="E53" s="195">
        <f>SUM(C53:D53)</f>
        <v>0</v>
      </c>
      <c r="F53" s="889"/>
      <c r="G53" s="140"/>
      <c r="H53" s="195">
        <f>SUM(F53:G53)</f>
        <v>0</v>
      </c>
      <c r="I53" s="1079"/>
      <c r="J53" s="140"/>
      <c r="K53" s="195">
        <f>SUM(I53:J53)</f>
        <v>0</v>
      </c>
      <c r="L53" s="1079"/>
      <c r="M53" s="140"/>
      <c r="N53" s="889">
        <f>SUM(L53:M53)</f>
        <v>0</v>
      </c>
      <c r="O53" s="1133"/>
      <c r="P53" s="401"/>
      <c r="Q53" s="1123">
        <f>SUM(O53:P53)</f>
        <v>0</v>
      </c>
    </row>
    <row r="54" spans="1:17" ht="15.75" thickBot="1">
      <c r="A54" s="335" t="s">
        <v>99</v>
      </c>
      <c r="B54" s="142" t="s">
        <v>396</v>
      </c>
      <c r="C54" s="1076"/>
      <c r="D54" s="321"/>
      <c r="E54" s="324">
        <f>SUM(C54:D54)</f>
        <v>0</v>
      </c>
      <c r="F54" s="157"/>
      <c r="G54" s="321"/>
      <c r="H54" s="324">
        <f>SUM(F54:G54)</f>
        <v>0</v>
      </c>
      <c r="I54" s="1076"/>
      <c r="J54" s="321"/>
      <c r="K54" s="324">
        <f>SUM(I54:J54)</f>
        <v>0</v>
      </c>
      <c r="L54" s="1076"/>
      <c r="M54" s="321"/>
      <c r="N54" s="157">
        <f>SUM(L54:M54)</f>
        <v>0</v>
      </c>
      <c r="O54" s="1130"/>
      <c r="P54" s="396"/>
      <c r="Q54" s="1118">
        <f>SUM(O54:P54)</f>
        <v>0</v>
      </c>
    </row>
    <row r="55" spans="1:17" s="15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>
        <f aca="true" t="shared" si="19" ref="D55:Q55">SUM(D53:D54)</f>
        <v>0</v>
      </c>
      <c r="E55" s="316">
        <f t="shared" si="19"/>
        <v>0</v>
      </c>
      <c r="F55" s="347">
        <f t="shared" si="19"/>
        <v>0</v>
      </c>
      <c r="G55" s="314">
        <f t="shared" si="19"/>
        <v>0</v>
      </c>
      <c r="H55" s="316">
        <f t="shared" si="19"/>
        <v>0</v>
      </c>
      <c r="I55" s="347">
        <f t="shared" si="19"/>
        <v>0</v>
      </c>
      <c r="J55" s="314">
        <f t="shared" si="19"/>
        <v>0</v>
      </c>
      <c r="K55" s="316">
        <f t="shared" si="19"/>
        <v>0</v>
      </c>
      <c r="L55" s="347">
        <f t="shared" si="19"/>
        <v>0</v>
      </c>
      <c r="M55" s="314">
        <f t="shared" si="19"/>
        <v>0</v>
      </c>
      <c r="N55" s="316">
        <f t="shared" si="19"/>
        <v>0</v>
      </c>
      <c r="O55" s="1086">
        <f t="shared" si="19"/>
        <v>0</v>
      </c>
      <c r="P55" s="1088">
        <f t="shared" si="19"/>
        <v>0</v>
      </c>
      <c r="Q55" s="1090">
        <f t="shared" si="19"/>
        <v>0</v>
      </c>
    </row>
    <row r="56" spans="1:17" s="28" customFormat="1" ht="19.5" customHeight="1" thickBot="1">
      <c r="A56" s="716">
        <v>8</v>
      </c>
      <c r="B56" s="717" t="s">
        <v>46</v>
      </c>
      <c r="C56" s="1111">
        <f>C34-C40-C45-C46-C47-C51-C52-C55-C57-C58-C59</f>
        <v>146146</v>
      </c>
      <c r="D56" s="1112">
        <f>D34-D40-D45-D46-D47-D51-D52-D55-D57-D58-D59</f>
        <v>16000</v>
      </c>
      <c r="E56" s="1109">
        <f aca="true" t="shared" si="20" ref="E56:Q56">E34-E40-E45-E46-E47-E51-E52-E55-E57-E58-E59</f>
        <v>162146</v>
      </c>
      <c r="F56" s="1111">
        <f t="shared" si="20"/>
        <v>398516</v>
      </c>
      <c r="G56" s="1112">
        <f t="shared" si="20"/>
        <v>-410</v>
      </c>
      <c r="H56" s="1109">
        <f t="shared" si="20"/>
        <v>398106</v>
      </c>
      <c r="I56" s="1111">
        <f t="shared" si="20"/>
        <v>-48114</v>
      </c>
      <c r="J56" s="1112">
        <f t="shared" si="20"/>
        <v>0</v>
      </c>
      <c r="K56" s="1109">
        <f t="shared" si="20"/>
        <v>-48114</v>
      </c>
      <c r="L56" s="1111">
        <f t="shared" si="20"/>
        <v>52017</v>
      </c>
      <c r="M56" s="1112">
        <f t="shared" si="20"/>
        <v>410</v>
      </c>
      <c r="N56" s="1109">
        <f t="shared" si="20"/>
        <v>52427</v>
      </c>
      <c r="O56" s="1134">
        <f t="shared" si="20"/>
        <v>331844</v>
      </c>
      <c r="P56" s="1136">
        <f t="shared" si="20"/>
        <v>67611</v>
      </c>
      <c r="Q56" s="1124">
        <f t="shared" si="20"/>
        <v>399455</v>
      </c>
    </row>
    <row r="57" spans="1:17" s="15" customFormat="1" ht="15.75">
      <c r="A57" s="336" t="s">
        <v>398</v>
      </c>
      <c r="B57" s="337" t="s">
        <v>184</v>
      </c>
      <c r="C57" s="1081"/>
      <c r="D57" s="327"/>
      <c r="E57" s="1110">
        <f>SUM(C57:D57)</f>
        <v>0</v>
      </c>
      <c r="F57" s="890"/>
      <c r="G57" s="327"/>
      <c r="H57" s="1110">
        <f>SUM(F57:G57)</f>
        <v>0</v>
      </c>
      <c r="I57" s="1081"/>
      <c r="J57" s="327"/>
      <c r="K57" s="1110">
        <f>SUM(I57:J57)</f>
        <v>0</v>
      </c>
      <c r="L57" s="1081"/>
      <c r="M57" s="327"/>
      <c r="N57" s="1110">
        <f>SUM(L57:M57)</f>
        <v>0</v>
      </c>
      <c r="O57" s="1135"/>
      <c r="P57" s="404"/>
      <c r="Q57" s="1125">
        <f>SUM(O57:P57)</f>
        <v>0</v>
      </c>
    </row>
    <row r="58" spans="1:17" s="15" customFormat="1" ht="15.75">
      <c r="A58" s="336" t="s">
        <v>183</v>
      </c>
      <c r="B58" s="337" t="s">
        <v>397</v>
      </c>
      <c r="C58" s="1081"/>
      <c r="D58" s="327"/>
      <c r="E58" s="1110">
        <f>SUM(C58:D58)</f>
        <v>0</v>
      </c>
      <c r="F58" s="890"/>
      <c r="G58" s="327"/>
      <c r="H58" s="1110">
        <f>SUM(F58:G58)</f>
        <v>0</v>
      </c>
      <c r="I58" s="326"/>
      <c r="J58" s="327"/>
      <c r="K58" s="402">
        <f>SUM(I58:J58)</f>
        <v>0</v>
      </c>
      <c r="L58" s="326"/>
      <c r="M58" s="327"/>
      <c r="N58" s="402">
        <f>SUM(L58:M58)</f>
        <v>0</v>
      </c>
      <c r="O58" s="1135"/>
      <c r="P58" s="404"/>
      <c r="Q58" s="1125">
        <f>SUM(O58:P58)</f>
        <v>0</v>
      </c>
    </row>
    <row r="59" spans="1:17" s="15" customFormat="1" ht="16.5" thickBot="1">
      <c r="A59" s="351">
        <v>10</v>
      </c>
      <c r="B59" s="352"/>
      <c r="C59" s="353"/>
      <c r="D59" s="354"/>
      <c r="E59" s="406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353"/>
      <c r="M59" s="354"/>
      <c r="N59" s="407">
        <f>SUM(L59:M59)</f>
        <v>0</v>
      </c>
      <c r="O59" s="408"/>
      <c r="P59" s="409"/>
      <c r="Q59" s="410">
        <f>SUM(O59:P59)</f>
        <v>0</v>
      </c>
    </row>
    <row r="60" spans="1:17" s="32" customFormat="1" ht="17.25" thickBot="1" thickTop="1">
      <c r="A60" s="343" t="s">
        <v>109</v>
      </c>
      <c r="B60" s="345" t="s">
        <v>182</v>
      </c>
      <c r="C60" s="779">
        <f>C40+C45+C46+C47+C51+C52+C55+C56+C57+C58+C59</f>
        <v>172759</v>
      </c>
      <c r="D60" s="780">
        <f aca="true" t="shared" si="21" ref="D60:Q60">D40+D45+D46+D47+D51+D52+D55+D56+D57+D58+D59</f>
        <v>16000</v>
      </c>
      <c r="E60" s="778">
        <f t="shared" si="21"/>
        <v>188759</v>
      </c>
      <c r="F60" s="364">
        <f t="shared" si="21"/>
        <v>598516</v>
      </c>
      <c r="G60" s="344">
        <f t="shared" si="21"/>
        <v>-410</v>
      </c>
      <c r="H60" s="778">
        <f t="shared" si="21"/>
        <v>598106</v>
      </c>
      <c r="I60" s="779">
        <f t="shared" si="21"/>
        <v>3211</v>
      </c>
      <c r="J60" s="780">
        <f t="shared" si="21"/>
        <v>0</v>
      </c>
      <c r="K60" s="778">
        <f t="shared" si="21"/>
        <v>3211</v>
      </c>
      <c r="L60" s="364">
        <f t="shared" si="21"/>
        <v>52017</v>
      </c>
      <c r="M60" s="344">
        <f t="shared" si="21"/>
        <v>410</v>
      </c>
      <c r="N60" s="778">
        <f t="shared" si="21"/>
        <v>52427</v>
      </c>
      <c r="O60" s="364">
        <f t="shared" si="21"/>
        <v>331844</v>
      </c>
      <c r="P60" s="344">
        <f t="shared" si="21"/>
        <v>67611</v>
      </c>
      <c r="Q60" s="374">
        <f t="shared" si="21"/>
        <v>399455</v>
      </c>
    </row>
    <row r="61" spans="1:17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411"/>
      <c r="P61" s="411"/>
      <c r="Q61" s="411"/>
    </row>
    <row r="62" spans="1:17" ht="16.5" thickBot="1" thickTop="1">
      <c r="A62" s="167"/>
      <c r="B62" s="168" t="s">
        <v>579</v>
      </c>
      <c r="C62" s="196"/>
      <c r="D62" s="412"/>
      <c r="E62" s="413">
        <f>SUM(C62:D62)</f>
        <v>0</v>
      </c>
      <c r="F62" s="196"/>
      <c r="G62" s="414"/>
      <c r="H62" s="413">
        <f>SUM(F62:G62)</f>
        <v>0</v>
      </c>
      <c r="I62" s="196"/>
      <c r="J62" s="414"/>
      <c r="K62" s="413">
        <f>SUM(I62:J62)</f>
        <v>0</v>
      </c>
      <c r="L62" s="196"/>
      <c r="M62" s="414"/>
      <c r="N62" s="413">
        <f>SUM(L62:M62)</f>
        <v>0</v>
      </c>
      <c r="O62" s="415"/>
      <c r="P62" s="416"/>
      <c r="Q62" s="417">
        <f>SUM(O62:P62)</f>
        <v>0</v>
      </c>
    </row>
    <row r="63" spans="1:17" ht="16.5" thickBot="1" thickTop="1">
      <c r="A63" s="167"/>
      <c r="B63" s="168" t="s">
        <v>580</v>
      </c>
      <c r="C63" s="196"/>
      <c r="D63" s="412"/>
      <c r="E63" s="413">
        <f>SUM(C63:D63)</f>
        <v>0</v>
      </c>
      <c r="F63" s="196"/>
      <c r="G63" s="414"/>
      <c r="H63" s="413">
        <f>SUM(F63:G63)</f>
        <v>0</v>
      </c>
      <c r="I63" s="196"/>
      <c r="J63" s="414"/>
      <c r="K63" s="413">
        <f>SUM(I63:J63)</f>
        <v>0</v>
      </c>
      <c r="L63" s="196"/>
      <c r="M63" s="414"/>
      <c r="N63" s="413">
        <f>SUM(L63:M63)</f>
        <v>0</v>
      </c>
      <c r="O63" s="415"/>
      <c r="P63" s="416"/>
      <c r="Q63" s="417">
        <f>SUM(O63:P63)</f>
        <v>0</v>
      </c>
    </row>
    <row r="64" ht="16.5" thickTop="1">
      <c r="A64" s="418"/>
    </row>
    <row r="65" ht="15.75">
      <c r="A65" s="418"/>
    </row>
  </sheetData>
  <sheetProtection/>
  <mergeCells count="7">
    <mergeCell ref="A4:Q4"/>
    <mergeCell ref="A5:Q5"/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N1" sqref="N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14" width="16.625" style="88" customWidth="1"/>
    <col min="15" max="15" width="14.125" style="161" customWidth="1"/>
    <col min="16" max="17" width="9.375" style="161" customWidth="1"/>
  </cols>
  <sheetData>
    <row r="1" spans="1:14" ht="10.5" customHeight="1">
      <c r="A1" s="303"/>
      <c r="B1" s="304"/>
      <c r="C1" s="304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892" t="s">
        <v>915</v>
      </c>
    </row>
    <row r="2" spans="1:14" ht="12.75" customHeight="1">
      <c r="A2" s="303"/>
      <c r="B2" s="304"/>
      <c r="C2" s="304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892" t="s">
        <v>93</v>
      </c>
    </row>
    <row r="3" spans="1:14" ht="15">
      <c r="A3" s="303"/>
      <c r="B3" s="304"/>
      <c r="C3" s="304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893" t="s">
        <v>145</v>
      </c>
    </row>
    <row r="4" spans="1:17" s="15" customFormat="1" ht="20.25">
      <c r="A4" s="1936" t="s">
        <v>648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902"/>
      <c r="P4" s="902"/>
      <c r="Q4" s="902"/>
    </row>
    <row r="5" spans="1:17" s="15" customFormat="1" ht="18">
      <c r="A5" s="1937" t="s">
        <v>562</v>
      </c>
      <c r="B5" s="1937"/>
      <c r="C5" s="1937"/>
      <c r="D5" s="1937"/>
      <c r="E5" s="1937"/>
      <c r="F5" s="1937"/>
      <c r="G5" s="1937"/>
      <c r="H5" s="1937"/>
      <c r="I5" s="1937"/>
      <c r="J5" s="1937"/>
      <c r="K5" s="1937"/>
      <c r="L5" s="1937"/>
      <c r="M5" s="1937"/>
      <c r="N5" s="1937"/>
      <c r="O5" s="904"/>
      <c r="P5" s="904"/>
      <c r="Q5" s="904"/>
    </row>
    <row r="6" spans="1:14" ht="29.25" customHeight="1" thickBot="1">
      <c r="A6" s="303"/>
      <c r="B6" s="304"/>
      <c r="C6" s="304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905" t="s">
        <v>134</v>
      </c>
    </row>
    <row r="7" spans="1:17" s="88" customFormat="1" ht="30" customHeight="1">
      <c r="A7" s="230" t="s">
        <v>124</v>
      </c>
      <c r="B7" s="87" t="s">
        <v>125</v>
      </c>
      <c r="C7" s="93" t="s">
        <v>146</v>
      </c>
      <c r="D7" s="231"/>
      <c r="E7" s="232"/>
      <c r="F7" s="1311" t="s">
        <v>353</v>
      </c>
      <c r="G7" s="1312"/>
      <c r="H7" s="1313"/>
      <c r="I7" s="1953" t="s">
        <v>68</v>
      </c>
      <c r="J7" s="1954"/>
      <c r="K7" s="1955"/>
      <c r="L7" s="53" t="s">
        <v>147</v>
      </c>
      <c r="M7" s="14"/>
      <c r="N7" s="52"/>
      <c r="O7" s="161"/>
      <c r="P7" s="161"/>
      <c r="Q7" s="161"/>
    </row>
    <row r="8" spans="1:26" s="25" customFormat="1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912"/>
      <c r="P8" s="912"/>
      <c r="Q8" s="912"/>
      <c r="R8" s="60"/>
      <c r="S8" s="60"/>
      <c r="T8" s="60"/>
      <c r="U8" s="60"/>
      <c r="V8" s="60"/>
      <c r="W8" s="60"/>
      <c r="X8" s="60"/>
      <c r="Y8" s="60"/>
      <c r="Z8" s="60"/>
    </row>
    <row r="9" spans="1:26" s="33" customFormat="1" ht="13.5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1">
        <v>6</v>
      </c>
      <c r="G9" s="422">
        <v>7</v>
      </c>
      <c r="H9" s="913">
        <v>8</v>
      </c>
      <c r="I9" s="914">
        <v>9</v>
      </c>
      <c r="J9" s="422">
        <v>10</v>
      </c>
      <c r="K9" s="424">
        <v>11</v>
      </c>
      <c r="L9" s="421">
        <v>12</v>
      </c>
      <c r="M9" s="422">
        <v>13</v>
      </c>
      <c r="N9" s="424">
        <v>14</v>
      </c>
      <c r="O9" s="357"/>
      <c r="P9" s="357"/>
      <c r="Q9" s="357"/>
      <c r="R9" s="29"/>
      <c r="S9" s="29"/>
      <c r="T9" s="29"/>
      <c r="U9" s="29"/>
      <c r="V9" s="29"/>
      <c r="W9" s="29"/>
      <c r="X9" s="29"/>
      <c r="Y9" s="29"/>
      <c r="Z9" s="29"/>
    </row>
    <row r="10" spans="1:14" ht="18.75" thickBot="1">
      <c r="A10" s="380"/>
      <c r="B10" s="425" t="s">
        <v>129</v>
      </c>
      <c r="C10" s="381"/>
      <c r="D10" s="382"/>
      <c r="E10" s="426"/>
      <c r="F10" s="384"/>
      <c r="G10" s="385"/>
      <c r="H10" s="915"/>
      <c r="I10" s="916"/>
      <c r="J10" s="385"/>
      <c r="K10" s="383"/>
      <c r="L10" s="384"/>
      <c r="M10" s="385"/>
      <c r="N10" s="383"/>
    </row>
    <row r="11" spans="1:17" ht="16.5" thickBot="1">
      <c r="A11" s="313">
        <v>1</v>
      </c>
      <c r="B11" s="305" t="s">
        <v>113</v>
      </c>
      <c r="C11" s="314"/>
      <c r="D11" s="314"/>
      <c r="E11" s="358">
        <f>SUM(C11:D11)</f>
        <v>0</v>
      </c>
      <c r="F11" s="319">
        <f>hivatal1!C11+hivatal1!F11+hivatal1!I11+hivatal1!L11+hivatal1!O11+hivatal2!C11+hivatal2!F11+hivatal2!I11+hivatal2!L11+hivatal2!O11+hivatal3!C11+hivatal3!F11+hivatal3!I11+hivatal3!L11+hivatal3!O11+hivatal4!C11+hivatal4!F11+hivatal4!I11+hivatal4!L11+hivatal4!O11+'hivatal5 '!C11+'hivatal5 '!F11+'hivatal5 '!I11+'hivatal5 '!L11+'hivatal5 '!O11+hivatal6!C11+hivatal6!F11+hivatal6!I11+hivatal6!L11+hivatal6!O11+hivatal7!C11</f>
        <v>252213</v>
      </c>
      <c r="G11" s="314">
        <f>hivatal1!D11+hivatal1!G11+hivatal1!J11+hivatal1!M11+hivatal1!P11+hivatal2!D11+hivatal2!G11+hivatal2!J11+hivatal2!M11+hivatal2!P11+hivatal3!D11+hivatal3!G11+hivatal3!J11+hivatal3!M11+hivatal3!P11+hivatal4!D11+hivatal4!G11+hivatal4!J11+hivatal4!M11+hivatal4!P11+'hivatal5 '!D11+'hivatal5 '!G11+'hivatal5 '!J11+'hivatal5 '!M11+'hivatal5 '!P11+hivatal6!D11+hivatal6!G11+hivatal6!J11+hivatal6!M11+hivatal6!P11+hivatal7!D11</f>
        <v>6022</v>
      </c>
      <c r="H11" s="320">
        <f>hivatal1!E11+hivatal1!H11+hivatal1!K11+hivatal1!N11+hivatal1!Q11+hivatal2!E11+hivatal2!H11+hivatal2!K11+hivatal2!N11+hivatal2!Q11+hivatal3!E11+hivatal3!H11+hivatal3!K11+hivatal3!N11+hivatal3!Q11+hivatal4!E11+hivatal4!H11+hivatal4!K11+hivatal4!N11+hivatal4!Q11+'hivatal5 '!E11+'hivatal5 '!H11+'hivatal5 '!K11+'hivatal5 '!N11+'hivatal5 '!Q11+hivatal6!E11+hivatal6!H11+hivatal6!K11+hivatal6!N11+hivatal6!Q11+hivatal7!E11</f>
        <v>258235</v>
      </c>
      <c r="I11" s="316"/>
      <c r="J11" s="314"/>
      <c r="K11" s="358">
        <f aca="true" t="shared" si="0" ref="K11:K16">SUM(I11:J11)</f>
        <v>0</v>
      </c>
      <c r="L11" s="319"/>
      <c r="M11" s="314"/>
      <c r="N11" s="358"/>
      <c r="O11" s="917">
        <f>SUM(L11:M11)</f>
        <v>0</v>
      </c>
      <c r="P11" s="341"/>
      <c r="Q11" s="341"/>
    </row>
    <row r="12" spans="1:17" s="28" customFormat="1" ht="16.5" thickBot="1">
      <c r="A12" s="317">
        <v>2</v>
      </c>
      <c r="B12" s="305" t="s">
        <v>202</v>
      </c>
      <c r="C12" s="316"/>
      <c r="D12" s="314"/>
      <c r="E12" s="358">
        <f>SUM(C12:D12)</f>
        <v>0</v>
      </c>
      <c r="F12" s="319">
        <f>hivatal1!C12+hivatal1!F12+hivatal1!I12+hivatal1!L12+hivatal1!O12+hivatal2!C12+hivatal2!F12+hivatal2!I12+hivatal2!L12+hivatal2!O12+hivatal3!C12+hivatal3!F12+hivatal3!I12+hivatal3!L12+hivatal3!O12+hivatal4!C12+hivatal4!F12+hivatal4!I12+hivatal4!L12+hivatal4!O12+'hivatal5 '!C12+'hivatal5 '!F12+'hivatal5 '!I12+'hivatal5 '!L12+'hivatal5 '!O12+hivatal6!C12+hivatal6!F12+hivatal6!I12+hivatal6!L12+hivatal6!O12+hivatal7!C12</f>
        <v>62960</v>
      </c>
      <c r="G12" s="314">
        <f>hivatal1!D12+hivatal1!G12+hivatal1!J12+hivatal1!M12+hivatal1!P12+hivatal2!D12+hivatal2!G12+hivatal2!J12+hivatal2!M12+hivatal2!P12+hivatal3!D12+hivatal3!G12+hivatal3!J12+hivatal3!M12+hivatal3!P12+hivatal4!D12+hivatal4!G12+hivatal4!J12+hivatal4!M12+hivatal4!P12+'hivatal5 '!D12+'hivatal5 '!G12+'hivatal5 '!J12+'hivatal5 '!M12+'hivatal5 '!P12+hivatal6!D12+hivatal6!G12+hivatal6!J12+hivatal6!M12+hivatal6!P12+hivatal7!D12</f>
        <v>1257</v>
      </c>
      <c r="H12" s="320">
        <f>hivatal1!E12+hivatal1!H12+hivatal1!K12+hivatal1!N12+hivatal1!Q12+hivatal2!E12+hivatal2!H12+hivatal2!K12+hivatal2!N12+hivatal2!Q12+hivatal3!E12+hivatal3!H12+hivatal3!K12+hivatal3!N12+hivatal3!Q12+hivatal4!E12+hivatal4!H12+hivatal4!K12+hivatal4!N12+hivatal4!Q12+'hivatal5 '!E12+'hivatal5 '!H12+'hivatal5 '!K12+'hivatal5 '!N12+'hivatal5 '!Q12+hivatal6!E12+hivatal6!H12+hivatal6!K12+hivatal6!N12+hivatal6!Q12+hivatal7!E12</f>
        <v>64217</v>
      </c>
      <c r="I12" s="316"/>
      <c r="J12" s="314"/>
      <c r="K12" s="358">
        <f t="shared" si="0"/>
        <v>0</v>
      </c>
      <c r="L12" s="316"/>
      <c r="M12" s="314"/>
      <c r="N12" s="358"/>
      <c r="O12" s="917"/>
      <c r="P12" s="341"/>
      <c r="Q12" s="918">
        <f>SUM(O12:P12)</f>
        <v>0</v>
      </c>
    </row>
    <row r="13" spans="1:17" s="15" customFormat="1" ht="16.5" thickBot="1">
      <c r="A13" s="317">
        <v>3</v>
      </c>
      <c r="B13" s="305" t="s">
        <v>116</v>
      </c>
      <c r="C13" s="316"/>
      <c r="D13" s="314"/>
      <c r="E13" s="358">
        <f>SUM(C13:D13)</f>
        <v>0</v>
      </c>
      <c r="F13" s="319">
        <f>hivatal1!C13+hivatal1!F13+hivatal1!I13+hivatal1!L13+hivatal1!O13+hivatal2!C13+hivatal2!F13+hivatal2!I13+hivatal2!L13+hivatal2!O13+hivatal3!C13+hivatal3!F13+hivatal3!I13+hivatal3!L13+hivatal3!O13+hivatal4!C13+hivatal4!F13+hivatal4!I13+hivatal4!L13+hivatal4!O13+'hivatal5 '!C13+'hivatal5 '!F13+'hivatal5 '!I13+'hivatal5 '!L13+'hivatal5 '!O13+hivatal6!C13+hivatal6!F13+hivatal6!I13+hivatal6!L13+hivatal6!O13+hivatal7!C13</f>
        <v>3421549</v>
      </c>
      <c r="G13" s="314">
        <f>hivatal1!D13+hivatal1!G13+hivatal1!J13+hivatal1!M13+hivatal1!P13+hivatal2!D13+hivatal2!G13+hivatal2!J13+hivatal2!M13+hivatal2!P13+hivatal3!D13+hivatal3!G13+hivatal3!J13+hivatal3!M13+hivatal3!P13+hivatal4!D13+hivatal4!G13+hivatal4!J13+hivatal4!M13+hivatal4!P13+'hivatal5 '!D13+'hivatal5 '!G13+'hivatal5 '!J13+'hivatal5 '!M13+'hivatal5 '!P13+hivatal6!D13+hivatal6!G13+hivatal6!J13+hivatal6!M13+hivatal6!P13+hivatal7!D13</f>
        <v>287133</v>
      </c>
      <c r="H13" s="320">
        <f>hivatal1!E13+hivatal1!H13+hivatal1!K13+hivatal1!N13+hivatal1!Q13+hivatal2!E13+hivatal2!H13+hivatal2!K13+hivatal2!N13+hivatal2!Q13+hivatal3!E13+hivatal3!H13+hivatal3!K13+hivatal3!N13+hivatal3!Q13+hivatal4!E13+hivatal4!H13+hivatal4!K13+hivatal4!N13+hivatal4!Q13+'hivatal5 '!E13+'hivatal5 '!H13+'hivatal5 '!K13+'hivatal5 '!N13+'hivatal5 '!Q13+hivatal6!E13+hivatal6!H13+hivatal6!K13+hivatal6!N13+hivatal6!Q13+hivatal7!E13</f>
        <v>3708682</v>
      </c>
      <c r="I13" s="316"/>
      <c r="J13" s="314"/>
      <c r="K13" s="358">
        <f t="shared" si="0"/>
        <v>0</v>
      </c>
      <c r="L13" s="319"/>
      <c r="M13" s="314"/>
      <c r="N13" s="358"/>
      <c r="O13" s="917">
        <f aca="true" t="shared" si="1" ref="O13:O21">SUM(L13:M13)</f>
        <v>0</v>
      </c>
      <c r="P13" s="341"/>
      <c r="Q13" s="341"/>
    </row>
    <row r="14" spans="1:17" s="15" customFormat="1" ht="16.5" thickBot="1">
      <c r="A14" s="317">
        <v>4</v>
      </c>
      <c r="B14" s="305" t="s">
        <v>172</v>
      </c>
      <c r="C14" s="316"/>
      <c r="D14" s="316"/>
      <c r="E14" s="320">
        <f>SUM(C14:D14)</f>
        <v>0</v>
      </c>
      <c r="F14" s="286">
        <f>hivatal1!C14+hivatal1!F14+hivatal1!I14+hivatal1!L14+hivatal1!O14+hivatal2!C14+hivatal2!F14+hivatal2!I14+hivatal2!L14+hivatal2!O14+hivatal3!C14+hivatal3!F14+hivatal3!I14+hivatal3!L14+hivatal3!O14+hivatal4!C14+hivatal4!F14+hivatal4!I14+hivatal4!L14+hivatal4!O14+'hivatal5 '!C14+'hivatal5 '!F14+'hivatal5 '!I14+'hivatal5 '!L14+'hivatal5 '!O14+hivatal6!C14+hivatal6!F14+hivatal6!I14+hivatal6!L14+hivatal6!O14+hivatal7!C14</f>
        <v>122287</v>
      </c>
      <c r="G14" s="290">
        <f>hivatal1!D14+hivatal1!G14+hivatal1!J14+hivatal1!M14+hivatal1!P14+hivatal2!D14+hivatal2!G14+hivatal2!J14+hivatal2!M14+hivatal2!P14+hivatal3!D14+hivatal3!G14+hivatal3!J14+hivatal3!M14+hivatal3!P14+hivatal4!D14+hivatal4!G14+hivatal4!J14+hivatal4!M14+hivatal4!P14+'hivatal5 '!D14+'hivatal5 '!G14+'hivatal5 '!J14+'hivatal5 '!M14+'hivatal5 '!P14+hivatal6!D14+hivatal6!G14+hivatal6!J14+hivatal6!M14+hivatal6!P14+hivatal7!D14</f>
        <v>-600</v>
      </c>
      <c r="H14" s="288">
        <f>F14+G14</f>
        <v>121687</v>
      </c>
      <c r="I14" s="316"/>
      <c r="J14" s="316"/>
      <c r="K14" s="320">
        <f t="shared" si="0"/>
        <v>0</v>
      </c>
      <c r="L14" s="319"/>
      <c r="M14" s="316"/>
      <c r="N14" s="320"/>
      <c r="O14" s="333"/>
      <c r="P14" s="333"/>
      <c r="Q14" s="333"/>
    </row>
    <row r="15" spans="1:15" ht="15">
      <c r="A15" s="156" t="s">
        <v>98</v>
      </c>
      <c r="B15" s="145" t="s">
        <v>383</v>
      </c>
      <c r="C15" s="226"/>
      <c r="D15" s="226"/>
      <c r="E15" s="389">
        <f aca="true" t="shared" si="2" ref="E15:E22">C15+D15</f>
        <v>0</v>
      </c>
      <c r="F15" s="227">
        <f>hivatal1!C15+hivatal1!F15+hivatal1!I15+hivatal1!L15+hivatal1!O15+hivatal2!C15+hivatal2!F15+hivatal2!I15+hivatal2!L15+hivatal2!O15+hivatal3!C15+hivatal3!F15+hivatal3!I15+hivatal3!L15+hivatal3!O15+hivatal4!C15+hivatal4!F15+hivatal4!I15+hivatal4!L15+hivatal4!O15+'hivatal5 '!C15+'hivatal5 '!F15+'hivatal5 '!I15+'hivatal5 '!L15+'hivatal5 '!O15+hivatal6!C15+hivatal6!F15+hivatal6!I15+hivatal6!L15+hivatal6!O15+hivatal7!C15</f>
        <v>157855</v>
      </c>
      <c r="G15" s="226">
        <f>hivatal1!D15+hivatal1!G15+hivatal1!J15+hivatal1!M15+hivatal1!P15+hivatal2!D15+hivatal2!G15+hivatal2!J15+hivatal2!M15+hivatal2!P15+hivatal3!D15+hivatal3!G15+hivatal3!J15+hivatal3!M15+hivatal3!P15+hivatal4!D15+hivatal4!G15+hivatal4!J15+hivatal4!M15+hivatal4!P15+'hivatal5 '!D15+'hivatal5 '!G15+'hivatal5 '!J15+'hivatal5 '!M15+'hivatal5 '!P15+hivatal6!D15+hivatal6!G15+hivatal6!J15+hivatal6!M15+hivatal6!P15+hivatal7!D15</f>
        <v>0</v>
      </c>
      <c r="H15" s="228">
        <f>F15+G15</f>
        <v>157855</v>
      </c>
      <c r="I15" s="239"/>
      <c r="J15" s="226"/>
      <c r="K15" s="389">
        <f t="shared" si="0"/>
        <v>0</v>
      </c>
      <c r="L15" s="227"/>
      <c r="M15" s="226"/>
      <c r="N15" s="389"/>
      <c r="O15" s="917">
        <f t="shared" si="1"/>
        <v>0</v>
      </c>
    </row>
    <row r="16" spans="1:15" ht="15">
      <c r="A16" s="153" t="s">
        <v>99</v>
      </c>
      <c r="B16" s="149" t="s">
        <v>626</v>
      </c>
      <c r="C16" s="139"/>
      <c r="D16" s="139"/>
      <c r="E16" s="389">
        <f t="shared" si="2"/>
        <v>0</v>
      </c>
      <c r="F16" s="227">
        <f>hivatal1!C16+hivatal1!F16+hivatal1!I16+hivatal1!L16+hivatal1!O16+hivatal2!C16+hivatal2!F16+hivatal2!I16+hivatal2!L16+hivatal2!O16+hivatal3!C16+hivatal3!F16+hivatal3!I16+hivatal3!L16+hivatal3!O16+hivatal4!C16+hivatal4!F16+hivatal4!I16+hivatal4!L16+hivatal4!O16+'hivatal5 '!C16+'hivatal5 '!F16+'hivatal5 '!I16+'hivatal5 '!L16+'hivatal5 '!O16+hivatal6!C16+hivatal6!F16+hivatal6!I16+hivatal6!L16+hivatal6!O16+hivatal7!C16</f>
        <v>0</v>
      </c>
      <c r="G16" s="226">
        <f>hivatal1!D16+hivatal1!G16+hivatal1!J16+hivatal1!M16+hivatal1!P16+hivatal2!D16+hivatal2!G16+hivatal2!J16+hivatal2!M16+hivatal2!P16+hivatal3!D16+hivatal3!G16+hivatal3!J16+hivatal3!M16+hivatal3!P16+hivatal4!D16+hivatal4!G16+hivatal4!J16+hivatal4!M16+hivatal4!P16+'hivatal5 '!D16+'hivatal5 '!G16+'hivatal5 '!J16+'hivatal5 '!M16+'hivatal5 '!P16+hivatal6!D16+hivatal6!G16+hivatal6!J16+hivatal6!M16+hivatal6!P16+hivatal7!D16</f>
        <v>0</v>
      </c>
      <c r="H16" s="228">
        <f>F16+G16</f>
        <v>0</v>
      </c>
      <c r="I16" s="141"/>
      <c r="J16" s="139"/>
      <c r="K16" s="389">
        <f t="shared" si="0"/>
        <v>0</v>
      </c>
      <c r="L16" s="143"/>
      <c r="M16" s="139"/>
      <c r="N16" s="389"/>
      <c r="O16" s="917">
        <f>SUM(L16:M16)</f>
        <v>0</v>
      </c>
    </row>
    <row r="17" spans="1:15" ht="15">
      <c r="A17" s="153" t="s">
        <v>100</v>
      </c>
      <c r="B17" s="149" t="s">
        <v>627</v>
      </c>
      <c r="C17" s="139"/>
      <c r="D17" s="139"/>
      <c r="E17" s="389">
        <f t="shared" si="2"/>
        <v>0</v>
      </c>
      <c r="F17" s="227">
        <f>hivatal1!C17+hivatal1!F17+hivatal1!I17+hivatal1!L17+hivatal1!O17+hivatal2!C17+hivatal2!F17+hivatal2!I17+hivatal2!L17+hivatal2!O17+hivatal3!C17+hivatal3!F17+hivatal3!I17+hivatal3!L17+hivatal3!O17+hivatal4!C17+hivatal4!F17+hivatal4!I17+hivatal4!L17+hivatal4!O17+'hivatal5 '!C17+'hivatal5 '!F17+'hivatal5 '!I17+'hivatal5 '!L17+'hivatal5 '!O17+hivatal6!C17+hivatal6!F17+hivatal6!I17+hivatal6!L17+hivatal6!O17+hivatal7!C17</f>
        <v>0</v>
      </c>
      <c r="G17" s="226">
        <f>hivatal1!D17+hivatal1!G17+hivatal1!J17+hivatal1!M17+hivatal1!P17+hivatal2!D17+hivatal2!G17+hivatal2!J17+hivatal2!M17+hivatal2!P17+hivatal3!D17+hivatal3!G17+hivatal3!J17+hivatal3!M17+hivatal3!P17+hivatal4!D17+hivatal4!G17+hivatal4!J17+hivatal4!M17+hivatal4!P17+'hivatal5 '!D17+'hivatal5 '!G17+'hivatal5 '!J17+'hivatal5 '!M17+'hivatal5 '!P17+hivatal6!D17+hivatal6!G17+hivatal6!J17+hivatal6!M17+hivatal6!P17+hivatal7!D17</f>
        <v>0</v>
      </c>
      <c r="H17" s="228">
        <f aca="true" t="shared" si="3" ref="H17:H22">F17+G17</f>
        <v>0</v>
      </c>
      <c r="I17" s="141"/>
      <c r="J17" s="139"/>
      <c r="K17" s="389">
        <f aca="true" t="shared" si="4" ref="K17:K22">SUM(I17:J17)</f>
        <v>0</v>
      </c>
      <c r="L17" s="143"/>
      <c r="M17" s="139"/>
      <c r="N17" s="389"/>
      <c r="O17" s="917">
        <f t="shared" si="1"/>
        <v>0</v>
      </c>
    </row>
    <row r="18" spans="1:15" ht="15">
      <c r="A18" s="153" t="s">
        <v>101</v>
      </c>
      <c r="B18" s="149" t="s">
        <v>384</v>
      </c>
      <c r="C18" s="139"/>
      <c r="D18" s="139"/>
      <c r="E18" s="389">
        <f t="shared" si="2"/>
        <v>0</v>
      </c>
      <c r="F18" s="227">
        <f>hivatal1!C18+hivatal1!F18+hivatal1!I18+hivatal1!L18+hivatal1!O18+hivatal2!C18+hivatal2!F18+hivatal2!I18+hivatal2!L18+hivatal2!O18+hivatal3!C18+hivatal3!F18+hivatal3!I18+hivatal3!L18+hivatal3!O18+hivatal4!C18+hivatal4!F18+hivatal4!I18+hivatal4!L18+hivatal4!O18+'hivatal5 '!C18+'hivatal5 '!F18+'hivatal5 '!I18+'hivatal5 '!L18+'hivatal5 '!O18+hivatal6!C18+hivatal6!F18+hivatal6!I18+hivatal6!L18+hivatal6!O18+hivatal7!C18</f>
        <v>37768</v>
      </c>
      <c r="G18" s="226">
        <f>hivatal1!D18+hivatal1!G18+hivatal1!J18+hivatal1!M18+hivatal1!P18+hivatal2!D18+hivatal2!G18+hivatal2!J18+hivatal2!M18+hivatal2!P18+hivatal3!D18+hivatal3!G18+hivatal3!J18+hivatal3!M18+hivatal3!P18+hivatal4!D18+hivatal4!G18+hivatal4!J18+hivatal4!M18+hivatal4!P18+'hivatal5 '!D18+'hivatal5 '!G18+'hivatal5 '!J18+'hivatal5 '!M18+'hivatal5 '!P18+hivatal6!D18+hivatal6!G18+hivatal6!J18+hivatal6!M18+hivatal6!P18+hivatal7!D18</f>
        <v>675</v>
      </c>
      <c r="H18" s="228">
        <f t="shared" si="3"/>
        <v>38443</v>
      </c>
      <c r="I18" s="141"/>
      <c r="J18" s="139"/>
      <c r="K18" s="389">
        <f t="shared" si="4"/>
        <v>0</v>
      </c>
      <c r="L18" s="237"/>
      <c r="M18" s="151"/>
      <c r="N18" s="389"/>
      <c r="O18" s="917">
        <f t="shared" si="1"/>
        <v>0</v>
      </c>
    </row>
    <row r="19" spans="1:15" ht="15">
      <c r="A19" s="148" t="s">
        <v>192</v>
      </c>
      <c r="B19" s="149" t="s">
        <v>628</v>
      </c>
      <c r="C19" s="141"/>
      <c r="D19" s="139"/>
      <c r="E19" s="389">
        <f t="shared" si="2"/>
        <v>0</v>
      </c>
      <c r="F19" s="227">
        <f>hivatal1!C19+hivatal1!F19+hivatal1!I19+hivatal1!L19+hivatal1!O19+hivatal2!C19+hivatal2!F19+hivatal2!I19+hivatal2!L19+hivatal2!O19+hivatal3!C19+hivatal3!F19+hivatal3!I19+hivatal3!L19+hivatal3!O19+hivatal4!C19+hivatal4!F19+hivatal4!I19+hivatal4!L19+hivatal4!O19+'hivatal5 '!C19+'hivatal5 '!F19+'hivatal5 '!I19+'hivatal5 '!L19+'hivatal5 '!O19+hivatal6!C19+hivatal6!F19+hivatal6!I19+hivatal6!L19+hivatal6!O19+hivatal7!C19</f>
        <v>0</v>
      </c>
      <c r="G19" s="226">
        <f>hivatal1!D19+hivatal1!G19+hivatal1!J19+hivatal1!M19+hivatal1!P19+hivatal2!D19+hivatal2!G19+hivatal2!J19+hivatal2!M19+hivatal2!P19+hivatal3!D19+hivatal3!G19+hivatal3!J19+hivatal3!M19+hivatal3!P19+hivatal4!D19+hivatal4!G19+hivatal4!J19+hivatal4!M19+hivatal4!P19+'hivatal5 '!D19+'hivatal5 '!G19+'hivatal5 '!J19+'hivatal5 '!M19+'hivatal5 '!P19+hivatal6!D19+hivatal6!G19+hivatal6!J19+hivatal6!M19+hivatal6!P19+hivatal7!D19</f>
        <v>0</v>
      </c>
      <c r="H19" s="228">
        <f t="shared" si="3"/>
        <v>0</v>
      </c>
      <c r="I19" s="141"/>
      <c r="J19" s="139"/>
      <c r="K19" s="389">
        <f>SUM(I19:J19)</f>
        <v>0</v>
      </c>
      <c r="L19" s="143"/>
      <c r="M19" s="139"/>
      <c r="N19" s="389"/>
      <c r="O19" s="917">
        <f>SUM(L19:M19)</f>
        <v>0</v>
      </c>
    </row>
    <row r="20" spans="1:15" ht="15">
      <c r="A20" s="148" t="s">
        <v>339</v>
      </c>
      <c r="B20" s="149" t="s">
        <v>629</v>
      </c>
      <c r="C20" s="141"/>
      <c r="D20" s="139"/>
      <c r="E20" s="389">
        <f t="shared" si="2"/>
        <v>0</v>
      </c>
      <c r="F20" s="227">
        <f>hivatal1!C20+hivatal1!F20+hivatal1!I20+hivatal1!L20+hivatal1!O20+hivatal2!C20+hivatal2!F20+hivatal2!I20+hivatal2!L20+hivatal2!O20+hivatal3!C20+hivatal3!F20+hivatal3!I20+hivatal3!L20+hivatal3!O20+hivatal4!C20+hivatal4!F20+hivatal4!I20+hivatal4!L20+hivatal4!O20+'hivatal5 '!C20+'hivatal5 '!F20+'hivatal5 '!I20+'hivatal5 '!L20+'hivatal5 '!O20+hivatal6!C20+hivatal6!F20+hivatal6!I20+hivatal6!L20+hivatal6!O20+hivatal7!C20</f>
        <v>0</v>
      </c>
      <c r="G20" s="226">
        <f>hivatal1!D20+hivatal1!G20+hivatal1!J20+hivatal1!M20+hivatal1!P20+hivatal2!D20+hivatal2!G20+hivatal2!J20+hivatal2!M20+hivatal2!P20+hivatal3!D20+hivatal3!G20+hivatal3!J20+hivatal3!M20+hivatal3!P20+hivatal4!D20+hivatal4!G20+hivatal4!J20+hivatal4!M20+hivatal4!P20+'hivatal5 '!D20+'hivatal5 '!G20+'hivatal5 '!J20+'hivatal5 '!M20+'hivatal5 '!P20+hivatal6!D20+hivatal6!G20+hivatal6!J20+hivatal6!M20+hivatal6!P20+hivatal7!D20</f>
        <v>0</v>
      </c>
      <c r="H20" s="228">
        <f t="shared" si="3"/>
        <v>0</v>
      </c>
      <c r="I20" s="141"/>
      <c r="J20" s="139"/>
      <c r="K20" s="389">
        <f t="shared" si="4"/>
        <v>0</v>
      </c>
      <c r="L20" s="143"/>
      <c r="M20" s="139"/>
      <c r="N20" s="389"/>
      <c r="O20" s="917">
        <f t="shared" si="1"/>
        <v>0</v>
      </c>
    </row>
    <row r="21" spans="1:15" ht="15">
      <c r="A21" s="148" t="s">
        <v>340</v>
      </c>
      <c r="B21" s="149" t="s">
        <v>385</v>
      </c>
      <c r="C21" s="239"/>
      <c r="D21" s="226"/>
      <c r="E21" s="389">
        <f t="shared" si="2"/>
        <v>0</v>
      </c>
      <c r="F21" s="227">
        <f>hivatal1!C21+hivatal1!F21+hivatal1!I21+hivatal1!L21+hivatal1!O21+hivatal2!C21+hivatal2!F21+hivatal2!I21+hivatal2!L21+hivatal2!O21+hivatal3!C21+hivatal3!F21+hivatal3!I21+hivatal3!L21+hivatal3!O21+hivatal4!C21+hivatal4!F21+hivatal4!I21+hivatal4!L21+hivatal4!O21+'hivatal5 '!C21+'hivatal5 '!F21+'hivatal5 '!I21+'hivatal5 '!L21+'hivatal5 '!O21+hivatal6!C21+hivatal6!F21+hivatal6!I21+hivatal6!L21+hivatal6!O21+hivatal7!C21</f>
        <v>192370</v>
      </c>
      <c r="G21" s="226">
        <f>hivatal1!D21+hivatal1!G21+hivatal1!J21+hivatal1!M21+hivatal1!P21+hivatal2!D21+hivatal2!G21+hivatal2!J21+hivatal2!M21+hivatal2!P21+hivatal3!D21+hivatal3!G21+hivatal3!J21+hivatal3!M21+hivatal3!P21+hivatal4!D21+hivatal4!G21+hivatal4!J21+hivatal4!M21+hivatal4!P21+'hivatal5 '!D21+'hivatal5 '!G21+'hivatal5 '!J21+'hivatal5 '!M21+'hivatal5 '!P21+hivatal6!D21+hivatal6!G21+hivatal6!J21+hivatal6!M21+hivatal6!P21+hivatal7!D21</f>
        <v>-8229</v>
      </c>
      <c r="H21" s="228">
        <f t="shared" si="3"/>
        <v>184141</v>
      </c>
      <c r="I21" s="239"/>
      <c r="J21" s="226"/>
      <c r="K21" s="389">
        <f t="shared" si="4"/>
        <v>0</v>
      </c>
      <c r="L21" s="227"/>
      <c r="M21" s="226"/>
      <c r="N21" s="389"/>
      <c r="O21" s="917">
        <f t="shared" si="1"/>
        <v>0</v>
      </c>
    </row>
    <row r="22" spans="1:15" ht="15" customHeight="1" thickBot="1">
      <c r="A22" s="16" t="s">
        <v>69</v>
      </c>
      <c r="B22" s="919" t="s">
        <v>386</v>
      </c>
      <c r="C22" s="150">
        <f>tartalék!D37</f>
        <v>661799</v>
      </c>
      <c r="D22" s="150">
        <f>tartalék!E37</f>
        <v>-26539</v>
      </c>
      <c r="E22" s="389">
        <f t="shared" si="2"/>
        <v>635260</v>
      </c>
      <c r="F22" s="227">
        <f>hivatal1!C22+hivatal1!F22+hivatal1!I22+hivatal1!L22+hivatal1!O22+hivatal2!C22+hivatal2!F22+hivatal2!I22+hivatal2!L22+hivatal2!O22+hivatal3!C22+hivatal3!F22+hivatal3!I22+hivatal3!L22+hivatal3!O22+hivatal4!C22+hivatal4!F22+hivatal4!I22+hivatal4!L22+hivatal4!O22+'hivatal5 '!C22+'hivatal5 '!F22+'hivatal5 '!I22+'hivatal5 '!L22+'hivatal5 '!O22+hivatal6!C22+hivatal6!F22+hivatal6!I22+hivatal6!L22+hivatal6!O22+hivatal7!C22</f>
        <v>661799</v>
      </c>
      <c r="G22" s="226">
        <f>hivatal1!D22+hivatal1!G22+hivatal1!J22+hivatal1!M22+hivatal1!P22+hivatal2!D22+hivatal2!G22+hivatal2!J22+hivatal2!M22+hivatal2!P22+hivatal3!D22+hivatal3!G22+hivatal3!J22+hivatal3!M22+hivatal3!P22+hivatal4!D22+hivatal4!G22+hivatal4!J22+hivatal4!M22+hivatal4!P22+'hivatal5 '!D22+'hivatal5 '!G22+'hivatal5 '!J22+'hivatal5 '!M22+'hivatal5 '!P22+hivatal6!D22+hivatal6!G22+hivatal6!J22+hivatal6!M22+hivatal6!P22+hivatal7!D22</f>
        <v>-26539</v>
      </c>
      <c r="H22" s="228">
        <f t="shared" si="3"/>
        <v>635260</v>
      </c>
      <c r="I22" s="150"/>
      <c r="J22" s="151"/>
      <c r="K22" s="389">
        <f t="shared" si="4"/>
        <v>0</v>
      </c>
      <c r="L22" s="237"/>
      <c r="M22" s="151"/>
      <c r="N22" s="389"/>
      <c r="O22" s="917"/>
    </row>
    <row r="23" spans="1:17" s="15" customFormat="1" ht="16.5" thickBot="1">
      <c r="A23" s="317">
        <v>5</v>
      </c>
      <c r="B23" s="305" t="s">
        <v>171</v>
      </c>
      <c r="C23" s="319">
        <f aca="true" t="shared" si="5" ref="C23:P23">SUM(C15:C22)</f>
        <v>661799</v>
      </c>
      <c r="D23" s="316">
        <f t="shared" si="5"/>
        <v>-26539</v>
      </c>
      <c r="E23" s="320">
        <f t="shared" si="5"/>
        <v>635260</v>
      </c>
      <c r="F23" s="316">
        <f t="shared" si="5"/>
        <v>1049792</v>
      </c>
      <c r="G23" s="316">
        <f t="shared" si="5"/>
        <v>-34093</v>
      </c>
      <c r="H23" s="330">
        <f t="shared" si="5"/>
        <v>1015699</v>
      </c>
      <c r="I23" s="319">
        <f t="shared" si="5"/>
        <v>0</v>
      </c>
      <c r="J23" s="316">
        <f t="shared" si="5"/>
        <v>0</v>
      </c>
      <c r="K23" s="320">
        <f t="shared" si="5"/>
        <v>0</v>
      </c>
      <c r="L23" s="319"/>
      <c r="M23" s="316"/>
      <c r="N23" s="320"/>
      <c r="O23" s="333">
        <f t="shared" si="5"/>
        <v>0</v>
      </c>
      <c r="P23" s="333">
        <f t="shared" si="5"/>
        <v>0</v>
      </c>
      <c r="Q23" s="333"/>
    </row>
    <row r="24" spans="1:17" ht="16.5" thickBot="1">
      <c r="A24" s="313">
        <v>6</v>
      </c>
      <c r="B24" s="305" t="s">
        <v>174</v>
      </c>
      <c r="C24" s="314"/>
      <c r="D24" s="314"/>
      <c r="E24" s="358">
        <f aca="true" t="shared" si="6" ref="E24:E30">SUM(C24:D24)</f>
        <v>0</v>
      </c>
      <c r="F24" s="286">
        <f>hivatal1!C24+hivatal1!F24+hivatal1!I24+hivatal1!L24+hivatal1!O24+hivatal2!C24+hivatal2!F24+hivatal2!I24+hivatal2!L24+hivatal2!O24+hivatal3!C24+hivatal3!F24+hivatal3!I24+hivatal3!L24+hivatal3!O24+hivatal4!C24+hivatal4!F24+hivatal4!I24+hivatal4!L24+hivatal4!O24+'hivatal5 '!C24+'hivatal5 '!F24+'hivatal5 '!I24+'hivatal5 '!L24+'hivatal5 '!O24+hivatal6!C24+hivatal6!F24+hivatal6!I24+hivatal6!L24+hivatal6!O24+hivatal7!C24</f>
        <v>3638996</v>
      </c>
      <c r="G24" s="290">
        <f>hivatal1!D24+hivatal1!G24+hivatal1!J24+hivatal1!M24+hivatal1!P24+hivatal2!D24+hivatal2!G24+hivatal2!J24+hivatal2!M24+hivatal2!P24+hivatal3!D24+hivatal3!G24+hivatal3!J24+hivatal3!M24+hivatal3!P24+hivatal4!D24+hivatal4!G24+hivatal4!J24+hivatal4!M24+hivatal4!P24+'hivatal5 '!D24+'hivatal5 '!G24+'hivatal5 '!J24+'hivatal5 '!M24+'hivatal5 '!P24+hivatal6!D24+hivatal6!G24+hivatal6!J24+hivatal6!M24+hivatal6!P24+hivatal7!D24</f>
        <v>1140236</v>
      </c>
      <c r="H24" s="288">
        <f>F24+G24</f>
        <v>4779232</v>
      </c>
      <c r="I24" s="316"/>
      <c r="J24" s="314"/>
      <c r="K24" s="358">
        <f aca="true" t="shared" si="7" ref="K24:K33">SUM(I24:J24)</f>
        <v>0</v>
      </c>
      <c r="L24" s="319"/>
      <c r="M24" s="314"/>
      <c r="N24" s="358"/>
      <c r="O24" s="917">
        <f aca="true" t="shared" si="8" ref="O24:O34">SUM(L24:M24)</f>
        <v>0</v>
      </c>
      <c r="P24" s="341"/>
      <c r="Q24" s="341"/>
    </row>
    <row r="25" spans="1:17" s="15" customFormat="1" ht="16.5" thickBot="1">
      <c r="A25" s="313">
        <v>7</v>
      </c>
      <c r="B25" s="305" t="s">
        <v>435</v>
      </c>
      <c r="C25" s="314"/>
      <c r="D25" s="314"/>
      <c r="E25" s="358">
        <f t="shared" si="6"/>
        <v>0</v>
      </c>
      <c r="F25" s="286">
        <f>hivatal1!C25+hivatal1!F25+hivatal1!I25+hivatal1!L25+hivatal1!O25+hivatal2!C25+hivatal2!F25+hivatal2!I25+hivatal2!L25+hivatal2!O25+hivatal3!C25+hivatal3!F25+hivatal3!I25+hivatal3!L25+hivatal3!O25+hivatal4!C25+hivatal4!F25+hivatal4!I25+hivatal4!L25+hivatal4!O25+'hivatal5 '!C25+'hivatal5 '!F25+'hivatal5 '!I25+'hivatal5 '!L25+'hivatal5 '!O25+hivatal6!C25+hivatal6!F25+hivatal6!I25+hivatal6!L25+hivatal6!O25+hivatal7!C25</f>
        <v>2078802</v>
      </c>
      <c r="G25" s="290">
        <f>hivatal1!D25+hivatal1!G25+hivatal1!J25+hivatal1!M25+hivatal1!P25+hivatal2!D25+hivatal2!G25+hivatal2!J25+hivatal2!M25+hivatal2!P25+hivatal3!D25+hivatal3!G25+hivatal3!J25+hivatal3!M25+hivatal3!P25+hivatal4!D25+hivatal4!G25+hivatal4!J25+hivatal4!M25+hivatal4!P25+'hivatal5 '!D25+'hivatal5 '!G25+'hivatal5 '!J25+'hivatal5 '!M25+'hivatal5 '!P25+hivatal6!D25+hivatal6!G25+hivatal6!J25+hivatal6!M25+hivatal6!P25+hivatal7!D25</f>
        <v>-308398</v>
      </c>
      <c r="H25" s="288">
        <f>F25+G25</f>
        <v>1770404</v>
      </c>
      <c r="I25" s="316"/>
      <c r="J25" s="314"/>
      <c r="K25" s="358">
        <f t="shared" si="7"/>
        <v>0</v>
      </c>
      <c r="L25" s="319"/>
      <c r="M25" s="314"/>
      <c r="N25" s="358"/>
      <c r="O25" s="917">
        <f t="shared" si="8"/>
        <v>0</v>
      </c>
      <c r="P25" s="341"/>
      <c r="Q25" s="341"/>
    </row>
    <row r="26" spans="1:15" ht="15">
      <c r="A26" s="156" t="s">
        <v>98</v>
      </c>
      <c r="B26" s="149" t="s">
        <v>632</v>
      </c>
      <c r="C26" s="226"/>
      <c r="D26" s="226"/>
      <c r="E26" s="389">
        <f t="shared" si="6"/>
        <v>0</v>
      </c>
      <c r="F26" s="227">
        <f>hivatal1!C26+hivatal1!F26+hivatal1!I26+hivatal1!L26+hivatal1!O26+hivatal2!C26+hivatal2!F26+hivatal2!I26+hivatal2!L26+hivatal2!O26+hivatal3!C26+hivatal3!F26+hivatal3!I26+hivatal3!L26+hivatal3!O26+hivatal4!C26+hivatal4!F26+hivatal4!I26+hivatal4!L26+hivatal4!O26+'hivatal5 '!C26+'hivatal5 '!F26+'hivatal5 '!I26+'hivatal5 '!L26+'hivatal5 '!O26+hivatal6!C26+hivatal6!F26+hivatal6!I26+hivatal6!L26+hivatal6!O26+hivatal7!C26</f>
        <v>0</v>
      </c>
      <c r="G26" s="226">
        <f>hivatal1!D26+hivatal1!G26+hivatal1!J26+hivatal1!M26+hivatal1!P26+hivatal2!D26+hivatal2!G26+hivatal2!J26+hivatal2!M26+hivatal2!P26+hivatal3!D26+hivatal3!G26+hivatal3!J26+hivatal3!M26+hivatal3!P26+hivatal4!D26+hivatal4!G26+hivatal4!J26+hivatal4!M26+hivatal4!P26+'hivatal5 '!D26+'hivatal5 '!G26+'hivatal5 '!J26+'hivatal5 '!M26+'hivatal5 '!P26+hivatal6!D26+hivatal6!G26+hivatal6!J26+hivatal6!M26+hivatal6!P26+hivatal7!D26</f>
        <v>0</v>
      </c>
      <c r="H26" s="228">
        <f>F26+G26</f>
        <v>0</v>
      </c>
      <c r="I26" s="239"/>
      <c r="J26" s="226"/>
      <c r="K26" s="389">
        <f t="shared" si="7"/>
        <v>0</v>
      </c>
      <c r="L26" s="227"/>
      <c r="M26" s="226"/>
      <c r="N26" s="389"/>
      <c r="O26" s="917">
        <f t="shared" si="8"/>
        <v>0</v>
      </c>
    </row>
    <row r="27" spans="1:15" ht="15">
      <c r="A27" s="156" t="s">
        <v>99</v>
      </c>
      <c r="B27" s="149" t="s">
        <v>630</v>
      </c>
      <c r="C27" s="226"/>
      <c r="D27" s="226"/>
      <c r="E27" s="389">
        <f t="shared" si="6"/>
        <v>0</v>
      </c>
      <c r="F27" s="227">
        <f>hivatal1!C27+hivatal1!F27+hivatal1!I27+hivatal1!L27+hivatal1!O27+hivatal2!C27+hivatal2!F27+hivatal2!I27+hivatal2!L27+hivatal2!O27+hivatal3!C27+hivatal3!F27+hivatal3!I27+hivatal3!L27+hivatal3!O27+hivatal4!C27+hivatal4!F27+hivatal4!I27+hivatal4!L27+hivatal4!O27+'hivatal5 '!C27+'hivatal5 '!F27+'hivatal5 '!I27+'hivatal5 '!L27+'hivatal5 '!O27+hivatal6!C27+hivatal6!F27+hivatal6!I27+hivatal6!L27+hivatal6!O27+hivatal7!C27</f>
        <v>0</v>
      </c>
      <c r="G27" s="226">
        <f>hivatal1!D27+hivatal1!G27+hivatal1!J27+hivatal1!M27+hivatal1!P27+hivatal2!D27+hivatal2!G27+hivatal2!J27+hivatal2!M27+hivatal2!P27+hivatal3!D27+hivatal3!G27+hivatal3!J27+hivatal3!M27+hivatal3!P27+hivatal4!D27+hivatal4!G27+hivatal4!J27+hivatal4!M27+hivatal4!P27+'hivatal5 '!D27+'hivatal5 '!G27+'hivatal5 '!J27+'hivatal5 '!M27+'hivatal5 '!P27+hivatal6!D27+hivatal6!G27+hivatal6!J27+hivatal6!M27+hivatal6!P27+hivatal7!D27</f>
        <v>0</v>
      </c>
      <c r="H27" s="228">
        <f aca="true" t="shared" si="9" ref="H27:H33">F27+G27</f>
        <v>0</v>
      </c>
      <c r="I27" s="239"/>
      <c r="J27" s="226"/>
      <c r="K27" s="389">
        <f t="shared" si="7"/>
        <v>0</v>
      </c>
      <c r="L27" s="227"/>
      <c r="M27" s="226"/>
      <c r="N27" s="389"/>
      <c r="O27" s="917">
        <f t="shared" si="8"/>
        <v>0</v>
      </c>
    </row>
    <row r="28" spans="1:15" ht="15">
      <c r="A28" s="156" t="s">
        <v>100</v>
      </c>
      <c r="B28" s="149" t="s">
        <v>387</v>
      </c>
      <c r="C28" s="226"/>
      <c r="D28" s="226"/>
      <c r="E28" s="389">
        <f t="shared" si="6"/>
        <v>0</v>
      </c>
      <c r="F28" s="227">
        <f>hivatal1!C28+hivatal1!F28+hivatal1!I28+hivatal1!L28+hivatal1!O28+hivatal2!C28+hivatal2!F28+hivatal2!I28+hivatal2!L28+hivatal2!O28+hivatal3!C28+hivatal3!F28+hivatal3!I28+hivatal3!L28+hivatal3!O28+hivatal4!C28+hivatal4!F28+hivatal4!I28+hivatal4!L28+hivatal4!O28+'hivatal5 '!C28+'hivatal5 '!F28+'hivatal5 '!I28+'hivatal5 '!L28+'hivatal5 '!O28+hivatal6!C28+hivatal6!F28+hivatal6!I28+hivatal6!L28+hivatal6!O28+hivatal7!C28</f>
        <v>0</v>
      </c>
      <c r="G28" s="226">
        <f>hivatal1!D28+hivatal1!G28+hivatal1!J28+hivatal1!M28+hivatal1!P28+hivatal2!D28+hivatal2!G28+hivatal2!J28+hivatal2!M28+hivatal2!P28+hivatal3!D28+hivatal3!G28+hivatal3!J28+hivatal3!M28+hivatal3!P28+hivatal4!D28+hivatal4!G28+hivatal4!J28+hivatal4!M28+hivatal4!P28+'hivatal5 '!D28+'hivatal5 '!G28+'hivatal5 '!J28+'hivatal5 '!M28+'hivatal5 '!P28+hivatal6!D28+hivatal6!G28+hivatal6!J28+hivatal6!M28+hivatal6!P28+hivatal7!D28</f>
        <v>0</v>
      </c>
      <c r="H28" s="228">
        <f t="shared" si="9"/>
        <v>0</v>
      </c>
      <c r="I28" s="239"/>
      <c r="J28" s="226"/>
      <c r="K28" s="389">
        <f t="shared" si="7"/>
        <v>0</v>
      </c>
      <c r="L28" s="1075"/>
      <c r="M28" s="139"/>
      <c r="N28" s="228"/>
      <c r="O28" s="917">
        <f t="shared" si="8"/>
        <v>0</v>
      </c>
    </row>
    <row r="29" spans="1:15" ht="15">
      <c r="A29" s="156" t="s">
        <v>101</v>
      </c>
      <c r="B29" s="149" t="s">
        <v>631</v>
      </c>
      <c r="C29" s="306"/>
      <c r="D29" s="139"/>
      <c r="E29" s="228">
        <f t="shared" si="6"/>
        <v>0</v>
      </c>
      <c r="F29" s="1075">
        <f>hivatal1!C29+hivatal1!F29+hivatal1!I29+hivatal1!L29+hivatal1!O29+hivatal2!C29+hivatal2!F29+hivatal2!I29+hivatal2!L29+hivatal2!O29+hivatal3!C29+hivatal3!F29+hivatal3!I29+hivatal3!L29+hivatal3!O29+hivatal4!C29+hivatal4!F29+hivatal4!I29+hivatal4!L29+hivatal4!O29+'hivatal5 '!C29+'hivatal5 '!F29+'hivatal5 '!I29+'hivatal5 '!L29+'hivatal5 '!O29+hivatal6!C29+hivatal6!F29+hivatal6!I29+hivatal6!L29+hivatal6!O29+hivatal7!C29</f>
        <v>10512</v>
      </c>
      <c r="G29" s="139">
        <f>hivatal1!D29+hivatal1!G29+hivatal1!J29+hivatal1!M29+hivatal1!P29+hivatal2!D29+hivatal2!G29+hivatal2!J29+hivatal2!M29+hivatal2!P29+hivatal3!D29+hivatal3!G29+hivatal3!J29+hivatal3!M29+hivatal3!P29+hivatal4!D29+hivatal4!G29+hivatal4!J29+hivatal4!M29+hivatal4!P29+'hivatal5 '!D29+'hivatal5 '!G29+'hivatal5 '!J29+'hivatal5 '!M29+'hivatal5 '!P29+hivatal6!D29+hivatal6!G29+hivatal6!J29+hivatal6!M29+hivatal6!P29+hivatal7!D29</f>
        <v>442</v>
      </c>
      <c r="H29" s="228">
        <f t="shared" si="9"/>
        <v>10954</v>
      </c>
      <c r="I29" s="887"/>
      <c r="J29" s="139"/>
      <c r="K29" s="228">
        <f t="shared" si="7"/>
        <v>0</v>
      </c>
      <c r="L29" s="1075"/>
      <c r="M29" s="226"/>
      <c r="N29" s="228"/>
      <c r="O29" s="917">
        <f t="shared" si="8"/>
        <v>0</v>
      </c>
    </row>
    <row r="30" spans="1:15" ht="15.75" thickBot="1">
      <c r="A30" s="335" t="s">
        <v>192</v>
      </c>
      <c r="B30" s="149" t="s">
        <v>388</v>
      </c>
      <c r="C30" s="329"/>
      <c r="D30" s="321"/>
      <c r="E30" s="228">
        <f t="shared" si="6"/>
        <v>0</v>
      </c>
      <c r="F30" s="1076">
        <f>hivatal1!C30+hivatal1!F30+hivatal1!I30+hivatal1!L30+hivatal1!O30+hivatal2!C30+hivatal2!F30+hivatal2!I30+hivatal2!L30+hivatal2!O30+hivatal3!C30+hivatal3!F30+hivatal3!I30+hivatal3!L30+hivatal3!O30+hivatal4!C30+hivatal4!F30+hivatal4!I30+hivatal4!L30+hivatal4!O30+'hivatal5 '!C30+'hivatal5 '!F30+'hivatal5 '!I30+'hivatal5 '!L30+'hivatal5 '!O30+hivatal6!C30+hivatal6!F30+hivatal6!I30+hivatal6!L30+hivatal6!O30+hivatal7!C30</f>
        <v>211214</v>
      </c>
      <c r="G30" s="321">
        <f>hivatal1!D30+hivatal1!G30+hivatal1!J30+hivatal1!M30+hivatal1!P30+hivatal2!D30+hivatal2!G30+hivatal2!J30+hivatal2!M30+hivatal2!P30+hivatal3!D30+hivatal3!G30+hivatal3!J30+hivatal3!M30+hivatal3!P30+hivatal4!D30+hivatal4!G30+hivatal4!J30+hivatal4!M30+hivatal4!P30+'hivatal5 '!D30+'hivatal5 '!G30+'hivatal5 '!J30+'hivatal5 '!M30+'hivatal5 '!P30+hivatal6!D30+hivatal6!G30+hivatal6!J30+hivatal6!M30+hivatal6!P30+hivatal7!D30</f>
        <v>295</v>
      </c>
      <c r="H30" s="324">
        <f t="shared" si="9"/>
        <v>211509</v>
      </c>
      <c r="I30" s="157"/>
      <c r="J30" s="321"/>
      <c r="K30" s="324">
        <f t="shared" si="7"/>
        <v>0</v>
      </c>
      <c r="L30" s="1076"/>
      <c r="M30" s="321"/>
      <c r="N30" s="324"/>
      <c r="O30" s="917">
        <f t="shared" si="8"/>
        <v>0</v>
      </c>
    </row>
    <row r="31" spans="1:17" s="15" customFormat="1" ht="16.5" thickBot="1">
      <c r="A31" s="313">
        <v>8</v>
      </c>
      <c r="B31" s="305" t="s">
        <v>173</v>
      </c>
      <c r="C31" s="318">
        <f>SUM(C26:C30)</f>
        <v>0</v>
      </c>
      <c r="D31" s="314">
        <f>SUM(D27:D30)</f>
        <v>0</v>
      </c>
      <c r="E31" s="316">
        <f>SUM(E27:E30)</f>
        <v>0</v>
      </c>
      <c r="F31" s="1095">
        <f>hivatal1!C31+hivatal1!F31+hivatal1!I31+hivatal1!L31+hivatal1!O31+hivatal2!C31+hivatal2!F31+hivatal2!I31+hivatal2!L31+hivatal2!O31+hivatal3!C31+hivatal3!F31+hivatal3!I31+hivatal3!L31+hivatal3!O31+hivatal4!C31+hivatal4!F31+hivatal4!I31+hivatal4!L31+hivatal4!O31+'hivatal5 '!C31+'hivatal5 '!F31+'hivatal5 '!I31+'hivatal5 '!L31+'hivatal5 '!O31+hivatal6!C31+hivatal6!F31+hivatal6!I31+hivatal6!L31+hivatal6!O31+hivatal7!C31</f>
        <v>221726</v>
      </c>
      <c r="G31" s="290">
        <f>hivatal1!D31+hivatal1!G31+hivatal1!J31+hivatal1!M31+hivatal1!P31+hivatal2!D31+hivatal2!G31+hivatal2!J31+hivatal2!M31+hivatal2!P31+hivatal3!D31+hivatal3!G31+hivatal3!J31+hivatal3!M31+hivatal3!P31+hivatal4!D31+hivatal4!G31+hivatal4!J31+hivatal4!M31+hivatal4!P31+'hivatal5 '!D31+'hivatal5 '!G31+'hivatal5 '!J31+'hivatal5 '!M31+'hivatal5 '!P31+hivatal6!D31+hivatal6!G31+hivatal6!J31+hivatal6!M31+hivatal6!P31+hivatal7!D31</f>
        <v>737</v>
      </c>
      <c r="H31" s="288">
        <f t="shared" si="9"/>
        <v>222463</v>
      </c>
      <c r="I31" s="330"/>
      <c r="J31" s="314"/>
      <c r="K31" s="320">
        <f t="shared" si="7"/>
        <v>0</v>
      </c>
      <c r="L31" s="347"/>
      <c r="M31" s="314"/>
      <c r="N31" s="320"/>
      <c r="O31" s="917">
        <f t="shared" si="8"/>
        <v>0</v>
      </c>
      <c r="P31" s="341"/>
      <c r="Q31" s="341"/>
    </row>
    <row r="32" spans="1:17" ht="16.5" thickBot="1">
      <c r="A32" s="313">
        <v>9</v>
      </c>
      <c r="B32" s="305" t="s">
        <v>179</v>
      </c>
      <c r="C32" s="318"/>
      <c r="D32" s="314"/>
      <c r="E32" s="320">
        <f>SUM(C32:D32)</f>
        <v>0</v>
      </c>
      <c r="F32" s="1095">
        <f>hivatal1!C32+hivatal1!F32+hivatal1!I32+hivatal1!L32+hivatal1!O32+hivatal2!C32+hivatal2!F32+hivatal2!I32+hivatal2!L32+hivatal2!O32+hivatal3!C32+hivatal3!F32+hivatal3!I32+hivatal3!L32+hivatal3!O32+hivatal4!C32+hivatal4!F32+hivatal4!I32+hivatal4!L32+hivatal4!O32+'hivatal5 '!C32+'hivatal5 '!F32+'hivatal5 '!I32+'hivatal5 '!L32+'hivatal5 '!O32+hivatal6!C32+hivatal6!F32+hivatal6!I32+hivatal6!L32+hivatal6!O32+hivatal7!C32</f>
        <v>38585</v>
      </c>
      <c r="G32" s="290">
        <f>hivatal1!D32+hivatal1!G32+hivatal1!J32+hivatal1!M32+hivatal1!P32+hivatal2!D32+hivatal2!G32+hivatal2!J32+hivatal2!M32+hivatal2!P32+hivatal3!D32+hivatal3!G32+hivatal3!J32+hivatal3!M32+hivatal3!P32+hivatal4!D32+hivatal4!G32+hivatal4!J32+hivatal4!M32+hivatal4!P32+'hivatal5 '!D32+'hivatal5 '!G32+'hivatal5 '!J32+'hivatal5 '!M32+'hivatal5 '!P32+hivatal6!D32+hivatal6!G32+hivatal6!J32+hivatal6!M32+hivatal6!P32+hivatal7!D32</f>
        <v>0</v>
      </c>
      <c r="H32" s="288">
        <f t="shared" si="9"/>
        <v>38585</v>
      </c>
      <c r="I32" s="330"/>
      <c r="J32" s="314"/>
      <c r="K32" s="320">
        <f t="shared" si="7"/>
        <v>0</v>
      </c>
      <c r="L32" s="347"/>
      <c r="M32" s="314"/>
      <c r="N32" s="320"/>
      <c r="O32" s="917">
        <f t="shared" si="8"/>
        <v>0</v>
      </c>
      <c r="P32" s="341"/>
      <c r="Q32" s="341"/>
    </row>
    <row r="33" spans="1:17" s="32" customFormat="1" ht="16.5" thickBot="1">
      <c r="A33" s="367">
        <v>10</v>
      </c>
      <c r="B33" s="368"/>
      <c r="C33" s="934"/>
      <c r="D33" s="369"/>
      <c r="E33" s="1107">
        <f>SUM(C33:D33)</f>
        <v>0</v>
      </c>
      <c r="F33" s="1097">
        <f>hivatal1!C33+hivatal1!F33+hivatal1!I33+hivatal1!L33+hivatal1!O33+hivatal2!C33+hivatal2!F33+hivatal2!I33+hivatal2!L33+hivatal2!O33+hivatal3!C33+hivatal3!F33+hivatal3!I33+hivatal3!L33+hivatal3!O33+hivatal4!C33+hivatal4!F33+hivatal4!I33+hivatal4!L33+hivatal4!O33+'hivatal5 '!C33+'hivatal5 '!F33+'hivatal5 '!I33+'hivatal5 '!L33+'hivatal5 '!O33+hivatal6!C33+hivatal6!F33+hivatal6!I33+hivatal6!L33+hivatal6!O33+hivatal7!C33</f>
        <v>0</v>
      </c>
      <c r="G33" s="370">
        <f>hivatal1!D33+hivatal1!G33+hivatal1!J33+hivatal1!M33+hivatal1!P33+hivatal2!D33+hivatal2!G33+hivatal2!J33+hivatal2!M33+hivatal2!P33+hivatal3!D33+hivatal3!G33+hivatal3!J33+hivatal3!M33+hivatal3!P33+hivatal4!D33+hivatal4!G33+hivatal4!J33+hivatal4!M33+hivatal4!P33+'hivatal5 '!D33+'hivatal5 '!G33+'hivatal5 '!J33+'hivatal5 '!M33+'hivatal5 '!P33+hivatal6!D33+hivatal6!G33+hivatal6!J33+hivatal6!M33+hivatal6!P33+hivatal7!D33</f>
        <v>0</v>
      </c>
      <c r="H33" s="371">
        <f t="shared" si="9"/>
        <v>0</v>
      </c>
      <c r="I33" s="293"/>
      <c r="J33" s="369"/>
      <c r="K33" s="1107">
        <f t="shared" si="7"/>
        <v>0</v>
      </c>
      <c r="L33" s="1091"/>
      <c r="M33" s="375"/>
      <c r="N33" s="376"/>
      <c r="O33" s="917">
        <f t="shared" si="8"/>
        <v>0</v>
      </c>
      <c r="P33" s="427"/>
      <c r="Q33" s="427"/>
    </row>
    <row r="34" spans="1:17" s="35" customFormat="1" ht="17.25" thickBot="1" thickTop="1">
      <c r="A34" s="343" t="s">
        <v>108</v>
      </c>
      <c r="B34" s="366" t="s">
        <v>180</v>
      </c>
      <c r="C34" s="365">
        <f aca="true" t="shared" si="10" ref="C34:N34">C11+C12+C13+C23+C14+C31+C25+C24+C32+C33</f>
        <v>661799</v>
      </c>
      <c r="D34" s="344">
        <f t="shared" si="10"/>
        <v>-26539</v>
      </c>
      <c r="E34" s="778">
        <f t="shared" si="10"/>
        <v>635260</v>
      </c>
      <c r="F34" s="365">
        <f t="shared" si="10"/>
        <v>10886910</v>
      </c>
      <c r="G34" s="344">
        <f t="shared" si="10"/>
        <v>1092294</v>
      </c>
      <c r="H34" s="778">
        <f t="shared" si="10"/>
        <v>11979204</v>
      </c>
      <c r="I34" s="365">
        <f t="shared" si="10"/>
        <v>0</v>
      </c>
      <c r="J34" s="344">
        <f t="shared" si="10"/>
        <v>0</v>
      </c>
      <c r="K34" s="778">
        <f t="shared" si="10"/>
        <v>0</v>
      </c>
      <c r="L34" s="365">
        <f t="shared" si="10"/>
        <v>0</v>
      </c>
      <c r="M34" s="344">
        <f t="shared" si="10"/>
        <v>0</v>
      </c>
      <c r="N34" s="374">
        <f t="shared" si="10"/>
        <v>0</v>
      </c>
      <c r="O34" s="917">
        <f t="shared" si="8"/>
        <v>0</v>
      </c>
      <c r="P34" s="431"/>
      <c r="Q34" s="431"/>
    </row>
    <row r="35" spans="1:14" ht="17.25" thickBot="1" thickTop="1">
      <c r="A35" s="144"/>
      <c r="B35" s="346" t="s">
        <v>131</v>
      </c>
      <c r="C35" s="1077"/>
      <c r="D35" s="302"/>
      <c r="E35" s="1108"/>
      <c r="F35" s="1092"/>
      <c r="G35" s="373"/>
      <c r="H35" s="920"/>
      <c r="I35" s="888"/>
      <c r="J35" s="302"/>
      <c r="K35" s="1108"/>
      <c r="L35" s="1092"/>
      <c r="M35" s="373"/>
      <c r="N35" s="920"/>
    </row>
    <row r="36" spans="1:17" s="762" customFormat="1" ht="15">
      <c r="A36" s="769" t="s">
        <v>98</v>
      </c>
      <c r="B36" s="770" t="s">
        <v>389</v>
      </c>
      <c r="C36" s="1085"/>
      <c r="D36" s="771"/>
      <c r="E36" s="776"/>
      <c r="F36" s="1085">
        <f>hivatal1!C36+hivatal1!F36+hivatal1!I36+hivatal1!L36+hivatal1!O36+hivatal2!C36+hivatal2!F36+hivatal2!I36+hivatal2!L36+hivatal2!O36+hivatal3!C36+hivatal3!F36+hivatal3!I36+hivatal3!L36+hivatal3!O36+hivatal4!C36+hivatal4!F36+hivatal4!I36+hivatal4!L36+hivatal4!O36+'hivatal5 '!C36+'hivatal5 '!F36+'hivatal5 '!I36+'hivatal5 '!L36+'hivatal5 '!O36+hivatal6!C36+hivatal6!F36+hivatal6!I36+hivatal6!L36+hivatal6!O36+hivatal7!C36</f>
        <v>0</v>
      </c>
      <c r="G36" s="771">
        <f>hivatal1!D36+hivatal1!G36+hivatal1!J36+hivatal1!M36+hivatal1!P36+hivatal2!D36+hivatal2!G36+hivatal2!J36+hivatal2!M36+hivatal2!P36+hivatal3!D36+hivatal3!G36+hivatal3!J36+hivatal3!M36+hivatal3!P36+hivatal4!D36+hivatal4!G36+hivatal4!J36+hivatal4!M36+hivatal4!P36+'hivatal5 '!D36+'hivatal5 '!G36+'hivatal5 '!J36+'hivatal5 '!M36+'hivatal5 '!P36+hivatal6!D36+hivatal6!G36+hivatal6!J36+hivatal6!M36+hivatal6!P36+hivatal7!D36</f>
        <v>0</v>
      </c>
      <c r="H36" s="776">
        <f>hivatal1!E36+hivatal1!H36+hivatal1!K36+hivatal1!N36+hivatal1!Q36+hivatal2!E36+hivatal2!H36+hivatal2!K36+hivatal2!N36+hivatal2!Q36+hivatal3!E36+hivatal3!H36+hivatal3!K36+hivatal3!N36+hivatal3!Q36+hivatal4!E36+hivatal4!H36+hivatal4!K36+hivatal4!N36+hivatal4!Q36+'hivatal5 '!E36+'hivatal5 '!H36+'hivatal5 '!K36+'hivatal5 '!N36+'hivatal5 '!Q36+hivatal6!E36+hivatal6!H36+hivatal6!K36+hivatal6!N36+hivatal6!Q36+hivatal7!E36</f>
        <v>0</v>
      </c>
      <c r="I36" s="775">
        <v>1736353</v>
      </c>
      <c r="J36" s="771">
        <v>100663</v>
      </c>
      <c r="K36" s="776">
        <f>SUM(I36:J36)</f>
        <v>1837016</v>
      </c>
      <c r="L36" s="1085"/>
      <c r="M36" s="771"/>
      <c r="N36" s="776"/>
      <c r="O36" s="921">
        <f>SUM(L36:M36)</f>
        <v>0</v>
      </c>
      <c r="P36" s="763"/>
      <c r="Q36" s="763"/>
    </row>
    <row r="37" spans="1:17" s="762" customFormat="1" ht="15">
      <c r="A37" s="153" t="s">
        <v>99</v>
      </c>
      <c r="B37" s="149" t="s">
        <v>245</v>
      </c>
      <c r="C37" s="906"/>
      <c r="D37" s="139"/>
      <c r="E37" s="162"/>
      <c r="F37" s="906">
        <f>hivatal1!C37+hivatal1!F37+hivatal1!I37+hivatal1!L37+hivatal1!O37+hivatal2!C37+hivatal2!F37+hivatal2!I37+hivatal2!L37+hivatal2!O37+hivatal3!C37+hivatal3!F37+hivatal3!I37+hivatal3!L37+hivatal3!O37+hivatal4!C37+hivatal4!F37+hivatal4!I37+hivatal4!L37+hivatal4!O37+'hivatal5 '!C37+'hivatal5 '!F37+'hivatal5 '!I37+'hivatal5 '!L37+'hivatal5 '!O37+hivatal6!C37+hivatal6!F37+hivatal6!I37+hivatal6!L37+hivatal6!O37+hivatal7!C37</f>
        <v>0</v>
      </c>
      <c r="G37" s="139">
        <f>hivatal1!D37+hivatal1!G37+hivatal1!J37+hivatal1!M37+hivatal1!P37+hivatal2!D37+hivatal2!G37+hivatal2!J37+hivatal2!M37+hivatal2!P37+hivatal3!D37+hivatal3!G37+hivatal3!J37+hivatal3!M37+hivatal3!P37+hivatal4!D37+hivatal4!G37+hivatal4!J37+hivatal4!M37+hivatal4!P37+'hivatal5 '!D37+'hivatal5 '!G37+'hivatal5 '!J37+'hivatal5 '!M37+'hivatal5 '!P37+hivatal6!D37+hivatal6!G37+hivatal6!J37+hivatal6!M37+hivatal6!P37+hivatal7!D37</f>
        <v>0</v>
      </c>
      <c r="H37" s="162">
        <f>hivatal1!E37+hivatal1!H37+hivatal1!K37+hivatal1!N37+hivatal1!Q37+hivatal2!E37+hivatal2!H37+hivatal2!K37+hivatal2!N37+hivatal2!Q37+hivatal3!E37+hivatal3!H37+hivatal3!K37+hivatal3!N37+hivatal3!Q37+hivatal4!E37+hivatal4!H37+hivatal4!K37+hivatal4!N37+hivatal4!Q37+'hivatal5 '!E37+'hivatal5 '!H37+'hivatal5 '!K37+'hivatal5 '!N37+'hivatal5 '!Q37+hivatal6!E37+hivatal6!H37+hivatal6!K37+hivatal6!N37+hivatal6!Q37+hivatal7!E37</f>
        <v>0</v>
      </c>
      <c r="I37" s="885"/>
      <c r="J37" s="139"/>
      <c r="K37" s="162">
        <f>SUM(I37:J37)</f>
        <v>0</v>
      </c>
      <c r="L37" s="906"/>
      <c r="M37" s="139"/>
      <c r="N37" s="162"/>
      <c r="O37" s="922">
        <f>SUM(L37:M37)</f>
        <v>0</v>
      </c>
      <c r="P37" s="923"/>
      <c r="Q37" s="777"/>
    </row>
    <row r="38" spans="1:17" s="762" customFormat="1" ht="15">
      <c r="A38" s="335" t="s">
        <v>100</v>
      </c>
      <c r="B38" s="142" t="s">
        <v>390</v>
      </c>
      <c r="C38" s="1076"/>
      <c r="D38" s="321"/>
      <c r="E38" s="324"/>
      <c r="F38" s="1076">
        <f>hivatal1!C38+hivatal1!F38+hivatal1!I38+hivatal1!L38+hivatal1!O38+hivatal2!C38+hivatal2!F38+hivatal2!I38+hivatal2!L38+hivatal2!O38+hivatal3!C38+hivatal3!F38+hivatal3!I38+hivatal3!L38+hivatal3!O38+hivatal4!C38+hivatal4!F38+hivatal4!I38+hivatal4!L38+hivatal4!O38+'hivatal5 '!C38+'hivatal5 '!F38+'hivatal5 '!I38+'hivatal5 '!L38+'hivatal5 '!O38+hivatal6!C38+hivatal6!F38+hivatal6!I38+hivatal6!L38+hivatal6!O38+hivatal7!C38</f>
        <v>0</v>
      </c>
      <c r="G38" s="321">
        <f>hivatal1!D38+hivatal1!G38+hivatal1!J38+hivatal1!M38+hivatal1!P38+hivatal2!D38+hivatal2!G38+hivatal2!J38+hivatal2!M38+hivatal2!P38+hivatal3!D38+hivatal3!G38+hivatal3!J38+hivatal3!M38+hivatal3!P38+hivatal4!D38+hivatal4!G38+hivatal4!J38+hivatal4!M38+hivatal4!P38+'hivatal5 '!D38+'hivatal5 '!G38+'hivatal5 '!J38+'hivatal5 '!M38+'hivatal5 '!P38+hivatal6!D38+hivatal6!G38+hivatal6!J38+hivatal6!M38+hivatal6!P38+hivatal7!D38</f>
        <v>0</v>
      </c>
      <c r="H38" s="324">
        <f>hivatal1!E38+hivatal1!H38+hivatal1!K38+hivatal1!N38+hivatal1!Q38+hivatal2!E38+hivatal2!H38+hivatal2!K38+hivatal2!N38+hivatal2!Q38+hivatal3!E38+hivatal3!H38+hivatal3!K38+hivatal3!N38+hivatal3!Q38+hivatal4!E38+hivatal4!H38+hivatal4!K38+hivatal4!N38+hivatal4!Q38+'hivatal5 '!E38+'hivatal5 '!H38+'hivatal5 '!K38+'hivatal5 '!N38+'hivatal5 '!Q38+hivatal6!E38+hivatal6!H38+hivatal6!K38+hivatal6!N38+hivatal6!Q38+hivatal7!E38</f>
        <v>0</v>
      </c>
      <c r="I38" s="157"/>
      <c r="J38" s="321"/>
      <c r="K38" s="324">
        <f aca="true" t="shared" si="11" ref="K38:K44">SUM(I38:J38)</f>
        <v>0</v>
      </c>
      <c r="L38" s="1076"/>
      <c r="M38" s="321"/>
      <c r="N38" s="324"/>
      <c r="O38" s="760"/>
      <c r="P38" s="760"/>
      <c r="Q38" s="760"/>
    </row>
    <row r="39" spans="1:17" s="762" customFormat="1" ht="15.75" thickBot="1">
      <c r="A39" s="154" t="s">
        <v>101</v>
      </c>
      <c r="B39" s="155" t="s">
        <v>394</v>
      </c>
      <c r="C39" s="907"/>
      <c r="D39" s="151"/>
      <c r="E39" s="238"/>
      <c r="F39" s="907">
        <f>hivatal1!C39+hivatal1!F39+hivatal1!I39+hivatal1!L39+hivatal1!O39+hivatal2!C39+hivatal2!F39+hivatal2!I39+hivatal2!L39+hivatal2!O39+hivatal3!C39+hivatal3!F39+hivatal3!I39+hivatal3!L39+hivatal3!O39+hivatal4!C39+hivatal4!F39+hivatal4!I39+hivatal4!L39+hivatal4!O39+'hivatal5 '!C39+'hivatal5 '!F39+'hivatal5 '!I39+'hivatal5 '!L39+'hivatal5 '!O39+hivatal6!C39+hivatal6!F39+hivatal6!I39+hivatal6!L39+hivatal6!O39+hivatal7!C39</f>
        <v>50809</v>
      </c>
      <c r="G39" s="151">
        <f>hivatal1!D39+hivatal1!G39+hivatal1!J39+hivatal1!M39+hivatal1!P39+hivatal2!D39+hivatal2!G39+hivatal2!J39+hivatal2!M39+hivatal2!P39+hivatal3!D39+hivatal3!G39+hivatal3!J39+hivatal3!M39+hivatal3!P39+hivatal4!D39+hivatal4!G39+hivatal4!J39+hivatal4!M39+hivatal4!P39+'hivatal5 '!D39+'hivatal5 '!G39+'hivatal5 '!J39+'hivatal5 '!M39+'hivatal5 '!P39+hivatal6!D39+hivatal6!G39+hivatal6!J39+hivatal6!M39+hivatal6!P39+hivatal7!D39</f>
        <v>0</v>
      </c>
      <c r="H39" s="238">
        <f>hivatal1!E39+hivatal1!H39+hivatal1!K39+hivatal1!N39+hivatal1!Q39+hivatal2!E39+hivatal2!H39+hivatal2!K39+hivatal2!N39+hivatal2!Q39+hivatal3!E39+hivatal3!H39+hivatal3!K39+hivatal3!N39+hivatal3!Q39+hivatal4!E39+hivatal4!H39+hivatal4!K39+hivatal4!N39+hivatal4!Q39+'hivatal5 '!E39+'hivatal5 '!H39+'hivatal5 '!K39+'hivatal5 '!N39+'hivatal5 '!Q39+hivatal6!E39+hivatal6!H39+hivatal6!K39+hivatal6!N39+hivatal6!Q39+hivatal7!E39</f>
        <v>50809</v>
      </c>
      <c r="I39" s="886">
        <v>146759</v>
      </c>
      <c r="J39" s="151">
        <v>-3934</v>
      </c>
      <c r="K39" s="238">
        <f t="shared" si="11"/>
        <v>142825</v>
      </c>
      <c r="L39" s="907"/>
      <c r="M39" s="151"/>
      <c r="N39" s="238"/>
      <c r="O39" s="760"/>
      <c r="P39" s="760"/>
      <c r="Q39" s="760"/>
    </row>
    <row r="40" spans="1:17" s="15" customFormat="1" ht="16.5" thickBot="1">
      <c r="A40" s="313">
        <v>1</v>
      </c>
      <c r="B40" s="305" t="s">
        <v>177</v>
      </c>
      <c r="C40" s="347">
        <f aca="true" t="shared" si="12" ref="C40:K40">SUM(C36:C39)</f>
        <v>0</v>
      </c>
      <c r="D40" s="314">
        <f t="shared" si="12"/>
        <v>0</v>
      </c>
      <c r="E40" s="320">
        <f t="shared" si="12"/>
        <v>0</v>
      </c>
      <c r="F40" s="347">
        <f t="shared" si="12"/>
        <v>50809</v>
      </c>
      <c r="G40" s="314">
        <f t="shared" si="12"/>
        <v>0</v>
      </c>
      <c r="H40" s="320">
        <f t="shared" si="12"/>
        <v>50809</v>
      </c>
      <c r="I40" s="347">
        <f t="shared" si="12"/>
        <v>1883112</v>
      </c>
      <c r="J40" s="314">
        <f t="shared" si="12"/>
        <v>96729</v>
      </c>
      <c r="K40" s="320">
        <f t="shared" si="12"/>
        <v>1979841</v>
      </c>
      <c r="L40" s="347"/>
      <c r="M40" s="314"/>
      <c r="N40" s="320"/>
      <c r="O40" s="200"/>
      <c r="P40" s="200"/>
      <c r="Q40" s="200"/>
    </row>
    <row r="41" spans="1:17" ht="15">
      <c r="A41" s="156" t="s">
        <v>98</v>
      </c>
      <c r="B41" s="145" t="s">
        <v>416</v>
      </c>
      <c r="C41" s="1075"/>
      <c r="D41" s="226"/>
      <c r="E41" s="228"/>
      <c r="F41" s="1075">
        <f>hivatal1!C41+hivatal1!F41+hivatal1!I41+hivatal1!L41+hivatal1!O41+hivatal2!C41+hivatal2!F41+hivatal2!I41+hivatal2!L41+hivatal2!O41+hivatal3!C41+hivatal3!F41+hivatal3!I41+hivatal3!L41+hivatal3!O41+hivatal4!C41+hivatal4!F41+hivatal4!I41+hivatal4!L41+hivatal4!O41+'hivatal5 '!C41+'hivatal5 '!F41+'hivatal5 '!I41+'hivatal5 '!L41+'hivatal5 '!O41+hivatal6!C41+hivatal6!F41+hivatal6!I41+hivatal6!L41+hivatal6!O41+hivatal7!C41</f>
        <v>0</v>
      </c>
      <c r="G41" s="226">
        <f>hivatal1!D41+hivatal1!G41+hivatal1!J41+hivatal1!M41+hivatal1!P41+hivatal2!D41+hivatal2!G41+hivatal2!J41+hivatal2!M41+hivatal2!P41+hivatal3!D41+hivatal3!G41+hivatal3!J41+hivatal3!M41+hivatal3!P41+hivatal4!D41+hivatal4!G41+hivatal4!J41+hivatal4!M41+hivatal4!P41+'hivatal5 '!D41+'hivatal5 '!G41+'hivatal5 '!J41+'hivatal5 '!M41+'hivatal5 '!P41+hivatal6!D41+hivatal6!G41+hivatal6!J41+hivatal6!M41+hivatal6!P41+hivatal7!D41</f>
        <v>0</v>
      </c>
      <c r="H41" s="228">
        <f>hivatal1!E41+hivatal1!H41+hivatal1!K41+hivatal1!N41+hivatal1!Q41+hivatal2!E41+hivatal2!H41+hivatal2!K41+hivatal2!N41+hivatal2!Q41+hivatal3!E41+hivatal3!H41+hivatal3!K41+hivatal3!N41+hivatal3!Q41+hivatal4!E41+hivatal4!H41+hivatal4!K41+hivatal4!N41+hivatal4!Q41+'hivatal5 '!E41+'hivatal5 '!H41+'hivatal5 '!K41+'hivatal5 '!N41+'hivatal5 '!Q41+hivatal6!E41+hivatal6!H41+hivatal6!K41+hivatal6!N41+hivatal6!Q41+hivatal7!E41</f>
        <v>0</v>
      </c>
      <c r="I41" s="887"/>
      <c r="J41" s="226"/>
      <c r="K41" s="228">
        <f t="shared" si="11"/>
        <v>0</v>
      </c>
      <c r="L41" s="1075"/>
      <c r="M41" s="226"/>
      <c r="N41" s="228"/>
      <c r="O41" s="88"/>
      <c r="P41" s="88"/>
      <c r="Q41" s="88"/>
    </row>
    <row r="42" spans="1:17" ht="15">
      <c r="A42" s="153" t="s">
        <v>99</v>
      </c>
      <c r="B42" s="149" t="s">
        <v>391</v>
      </c>
      <c r="C42" s="906"/>
      <c r="D42" s="139"/>
      <c r="E42" s="162"/>
      <c r="F42" s="1075">
        <f>hivatal1!C42+hivatal1!F42+hivatal1!I42+hivatal1!L42+hivatal1!O42+hivatal2!C42+hivatal2!F42+hivatal2!I42+hivatal2!L42+hivatal2!O42+hivatal3!C42+hivatal3!F42+hivatal3!I42+hivatal3!L42+hivatal3!O42+hivatal4!C42+hivatal4!F42+hivatal4!I42+hivatal4!L42+hivatal4!O42+'hivatal5 '!C42+'hivatal5 '!F42+'hivatal5 '!I42+'hivatal5 '!L42+'hivatal5 '!O42+hivatal6!C42+hivatal6!F42+hivatal6!I42+hivatal6!L42+hivatal6!O42+hivatal7!C42</f>
        <v>0</v>
      </c>
      <c r="G42" s="226">
        <f>hivatal1!D42+hivatal1!G42+hivatal1!J42+hivatal1!M42+hivatal1!P42+hivatal2!D42+hivatal2!G42+hivatal2!J42+hivatal2!M42+hivatal2!P42+hivatal3!D42+hivatal3!G42+hivatal3!J42+hivatal3!M42+hivatal3!P42+hivatal4!D42+hivatal4!G42+hivatal4!J42+hivatal4!M42+hivatal4!P42+'hivatal5 '!D42+'hivatal5 '!G42+'hivatal5 '!J42+'hivatal5 '!M42+'hivatal5 '!P42+hivatal6!D42+hivatal6!G42+hivatal6!J42+hivatal6!M42+hivatal6!P42+hivatal7!D42</f>
        <v>0</v>
      </c>
      <c r="H42" s="228">
        <f>hivatal1!E42+hivatal1!H42+hivatal1!K42+hivatal1!N42+hivatal1!Q42+hivatal2!E42+hivatal2!H42+hivatal2!K42+hivatal2!N42+hivatal2!Q42+hivatal3!E42+hivatal3!H42+hivatal3!K42+hivatal3!N42+hivatal3!Q42+hivatal4!E42+hivatal4!H42+hivatal4!K42+hivatal4!N42+hivatal4!Q42+'hivatal5 '!E42+'hivatal5 '!H42+'hivatal5 '!K42+'hivatal5 '!N42+'hivatal5 '!Q42+hivatal6!E42+hivatal6!H42+hivatal6!K42+hivatal6!N42+hivatal6!Q42+hivatal7!E42</f>
        <v>0</v>
      </c>
      <c r="I42" s="885">
        <v>1810000</v>
      </c>
      <c r="J42" s="139"/>
      <c r="K42" s="162">
        <f>SUM(I42:J42)</f>
        <v>1810000</v>
      </c>
      <c r="L42" s="906"/>
      <c r="M42" s="139"/>
      <c r="N42" s="162"/>
      <c r="O42" s="88"/>
      <c r="P42" s="88"/>
      <c r="Q42" s="88"/>
    </row>
    <row r="43" spans="1:17" ht="15">
      <c r="A43" s="153" t="s">
        <v>100</v>
      </c>
      <c r="B43" s="149" t="s">
        <v>392</v>
      </c>
      <c r="C43" s="906"/>
      <c r="D43" s="139"/>
      <c r="E43" s="162"/>
      <c r="F43" s="1075">
        <f>hivatal1!C43+hivatal1!F43+hivatal1!I43+hivatal1!L43+hivatal1!O43+hivatal2!C43+hivatal2!F43+hivatal2!I43+hivatal2!L43+hivatal2!O43+hivatal3!C43+hivatal3!F43+hivatal3!I43+hivatal3!L43+hivatal3!O43+hivatal4!C43+hivatal4!F43+hivatal4!I43+hivatal4!L43+hivatal4!O43+'hivatal5 '!C43+'hivatal5 '!F43+'hivatal5 '!I43+'hivatal5 '!L43+'hivatal5 '!O43+hivatal6!C43+hivatal6!F43+hivatal6!I43+hivatal6!L43+hivatal6!O43+hivatal7!C43</f>
        <v>0</v>
      </c>
      <c r="G43" s="226">
        <f>hivatal1!D43+hivatal1!G43+hivatal1!J43+hivatal1!M43+hivatal1!P43+hivatal2!D43+hivatal2!G43+hivatal2!J43+hivatal2!M43+hivatal2!P43+hivatal3!D43+hivatal3!G43+hivatal3!J43+hivatal3!M43+hivatal3!P43+hivatal4!D43+hivatal4!G43+hivatal4!J43+hivatal4!M43+hivatal4!P43+'hivatal5 '!D43+'hivatal5 '!G43+'hivatal5 '!J43+'hivatal5 '!M43+'hivatal5 '!P43+hivatal6!D43+hivatal6!G43+hivatal6!J43+hivatal6!M43+hivatal6!P43+hivatal7!D43</f>
        <v>0</v>
      </c>
      <c r="H43" s="228">
        <f>hivatal1!E43+hivatal1!H43+hivatal1!K43+hivatal1!N43+hivatal1!Q43+hivatal2!E43+hivatal2!H43+hivatal2!K43+hivatal2!N43+hivatal2!Q43+hivatal3!E43+hivatal3!H43+hivatal3!K43+hivatal3!N43+hivatal3!Q43+hivatal4!E43+hivatal4!H43+hivatal4!K43+hivatal4!N43+hivatal4!Q43+'hivatal5 '!E43+'hivatal5 '!H43+'hivatal5 '!K43+'hivatal5 '!N43+'hivatal5 '!Q43+hivatal6!E43+hivatal6!H43+hivatal6!K43+hivatal6!N43+hivatal6!Q43+hivatal7!E43</f>
        <v>0</v>
      </c>
      <c r="I43" s="885">
        <v>4504921</v>
      </c>
      <c r="J43" s="139">
        <v>46</v>
      </c>
      <c r="K43" s="162">
        <f>SUM(I43:J43)</f>
        <v>4504967</v>
      </c>
      <c r="L43" s="906"/>
      <c r="M43" s="139"/>
      <c r="N43" s="162"/>
      <c r="O43" s="88"/>
      <c r="P43" s="88"/>
      <c r="Q43" s="88"/>
    </row>
    <row r="44" spans="1:17" ht="15.75" thickBot="1">
      <c r="A44" s="154" t="s">
        <v>101</v>
      </c>
      <c r="B44" s="155" t="s">
        <v>175</v>
      </c>
      <c r="C44" s="907"/>
      <c r="D44" s="151"/>
      <c r="E44" s="238"/>
      <c r="F44" s="1076">
        <f>hivatal1!C44+hivatal1!F44+hivatal1!I44+hivatal1!L44+hivatal1!O44+hivatal2!C44+hivatal2!F44+hivatal2!I44+hivatal2!L44+hivatal2!O44+hivatal3!C44+hivatal3!F44+hivatal3!I44+hivatal3!L44+hivatal3!O44+hivatal4!C44+hivatal4!F44+hivatal4!I44+hivatal4!L44+hivatal4!O44+'hivatal5 '!C44+'hivatal5 '!F44+'hivatal5 '!I44+'hivatal5 '!L44+'hivatal5 '!O44+hivatal6!C44+hivatal6!F44+hivatal6!I44+hivatal6!L44+hivatal6!O44+hivatal7!C44</f>
        <v>955</v>
      </c>
      <c r="G44" s="321">
        <f>hivatal1!D44+hivatal1!G44+hivatal1!J44+hivatal1!M44+hivatal1!P44+hivatal2!D44+hivatal2!G44+hivatal2!J44+hivatal2!M44+hivatal2!P44+hivatal3!D44+hivatal3!G44+hivatal3!J44+hivatal3!M44+hivatal3!P44+hivatal4!D44+hivatal4!G44+hivatal4!J44+hivatal4!M44+hivatal4!P44+'hivatal5 '!D44+'hivatal5 '!G44+'hivatal5 '!J44+'hivatal5 '!M44+'hivatal5 '!P44+hivatal6!D44+hivatal6!G44+hivatal6!J44+hivatal6!M44+hivatal6!P44+hivatal7!D44</f>
        <v>1212</v>
      </c>
      <c r="H44" s="324">
        <f>hivatal1!E44+hivatal1!H44+hivatal1!K44+hivatal1!N44+hivatal1!Q44+hivatal2!E44+hivatal2!H44+hivatal2!K44+hivatal2!N44+hivatal2!Q44+hivatal3!E44+hivatal3!H44+hivatal3!K44+hivatal3!N44+hivatal3!Q44+hivatal4!E44+hivatal4!H44+hivatal4!K44+hivatal4!N44+hivatal4!Q44+'hivatal5 '!E44+'hivatal5 '!H44+'hivatal5 '!K44+'hivatal5 '!N44+'hivatal5 '!Q44+hivatal6!E44+hivatal6!H44+hivatal6!K44+hivatal6!N44+hivatal6!Q44+hivatal7!E44</f>
        <v>2167</v>
      </c>
      <c r="I44" s="886">
        <v>23535</v>
      </c>
      <c r="J44" s="151"/>
      <c r="K44" s="238">
        <f t="shared" si="11"/>
        <v>23535</v>
      </c>
      <c r="L44" s="907"/>
      <c r="M44" s="151"/>
      <c r="N44" s="238"/>
      <c r="O44" s="88"/>
      <c r="P44" s="88"/>
      <c r="Q44" s="88"/>
    </row>
    <row r="45" spans="1:17" s="15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3" ref="D45:K45">SUM(D41:D44)</f>
        <v>0</v>
      </c>
      <c r="E45" s="330">
        <f t="shared" si="13"/>
        <v>0</v>
      </c>
      <c r="F45" s="347">
        <f>SUM(F41:F44)</f>
        <v>955</v>
      </c>
      <c r="G45" s="314">
        <f t="shared" si="13"/>
        <v>1212</v>
      </c>
      <c r="H45" s="330">
        <f t="shared" si="13"/>
        <v>2167</v>
      </c>
      <c r="I45" s="347">
        <f t="shared" si="13"/>
        <v>6338456</v>
      </c>
      <c r="J45" s="314">
        <f t="shared" si="13"/>
        <v>46</v>
      </c>
      <c r="K45" s="330">
        <f t="shared" si="13"/>
        <v>6338502</v>
      </c>
      <c r="L45" s="347"/>
      <c r="M45" s="314"/>
      <c r="N45" s="320"/>
      <c r="O45" s="200"/>
      <c r="P45" s="200"/>
      <c r="Q45" s="200"/>
    </row>
    <row r="46" spans="1:17" s="15" customFormat="1" ht="16.5" thickBot="1">
      <c r="A46" s="313">
        <v>3</v>
      </c>
      <c r="B46" s="305" t="s">
        <v>264</v>
      </c>
      <c r="C46" s="347"/>
      <c r="D46" s="314"/>
      <c r="E46" s="320">
        <f>SUM(C46:D46)</f>
        <v>0</v>
      </c>
      <c r="F46" s="347">
        <f>hivatal1!C46+hivatal1!F46+hivatal1!I46+hivatal1!L46+hivatal1!O46+hivatal2!C46+hivatal2!F46+hivatal2!I46+hivatal2!L46+hivatal2!O46+hivatal3!C46+hivatal3!F46+hivatal3!I46+hivatal3!L46+hivatal3!O46+hivatal4!C46+hivatal4!F46+hivatal4!I46+hivatal4!L46+hivatal4!O46+'hivatal5 '!C46+'hivatal5 '!F46+'hivatal5 '!I46+'hivatal5 '!L46+'hivatal5 '!O46+hivatal6!C46+hivatal6!F46+hivatal6!I46+hivatal6!L46+hivatal6!O46+hivatal7!C46</f>
        <v>717103</v>
      </c>
      <c r="G46" s="314">
        <f>hivatal1!D46+hivatal1!G46+hivatal1!J46+hivatal1!M46+hivatal1!P46+hivatal2!D46+hivatal2!G46+hivatal2!J46+hivatal2!M46+hivatal2!P46+hivatal3!D46+hivatal3!G46+hivatal3!J46+hivatal3!M46+hivatal3!P46+hivatal4!D46+hivatal4!G46+hivatal4!J46+hivatal4!M46+hivatal4!P46+'hivatal5 '!D46+'hivatal5 '!G46+'hivatal5 '!J46+'hivatal5 '!M46+'hivatal5 '!P46+hivatal6!D46+hivatal6!G46+hivatal6!J46+hivatal6!M46+hivatal6!P46+hivatal7!D46</f>
        <v>73301</v>
      </c>
      <c r="H46" s="320">
        <f>hivatal1!E46+hivatal1!H46+hivatal1!K46+hivatal1!N46+hivatal1!Q46+hivatal2!E46+hivatal2!H46+hivatal2!K46+hivatal2!N46+hivatal2!Q46+hivatal3!E46+hivatal3!H46+hivatal3!K46+hivatal3!N46+hivatal3!Q46+hivatal4!E46+hivatal4!H46+hivatal4!K46+hivatal4!N46+hivatal4!Q46+'hivatal5 '!E46+'hivatal5 '!H46+'hivatal5 '!K46+'hivatal5 '!N46+'hivatal5 '!Q46+hivatal6!E46+hivatal6!H46+hivatal6!K46+hivatal6!N46+hivatal6!Q46+hivatal7!E46</f>
        <v>790404</v>
      </c>
      <c r="I46" s="347"/>
      <c r="J46" s="314"/>
      <c r="K46" s="320">
        <f>SUM(I46:J46)</f>
        <v>0</v>
      </c>
      <c r="L46" s="347"/>
      <c r="M46" s="314"/>
      <c r="N46" s="320"/>
      <c r="O46" s="200"/>
      <c r="P46" s="200"/>
      <c r="Q46" s="200"/>
    </row>
    <row r="47" spans="1:17" s="15" customFormat="1" ht="16.5" thickBot="1">
      <c r="A47" s="313">
        <v>4</v>
      </c>
      <c r="B47" s="305" t="s">
        <v>285</v>
      </c>
      <c r="C47" s="347"/>
      <c r="D47" s="314"/>
      <c r="E47" s="320">
        <f>SUM(C47:D47)</f>
        <v>0</v>
      </c>
      <c r="F47" s="1146">
        <f>hivatal1!C47+hivatal1!F47+hivatal1!I47+hivatal1!L47+hivatal1!O47+hivatal2!C47+hivatal2!F47+hivatal2!I47+hivatal2!L47+hivatal2!O47+hivatal3!C47+hivatal3!F47+hivatal3!I47+hivatal3!L47+hivatal3!O47+hivatal4!C47+hivatal4!F47+hivatal4!I47+hivatal4!L47+hivatal4!O47+'hivatal5 '!C47+'hivatal5 '!F47+'hivatal5 '!I47+'hivatal5 '!L47+'hivatal5 '!O47+hivatal6!C47+hivatal6!F47+hivatal6!I47+hivatal6!L47+hivatal6!O47+hivatal7!C47</f>
        <v>361</v>
      </c>
      <c r="G47" s="803">
        <f>hivatal1!D47+hivatal1!G47+hivatal1!J47+hivatal1!M47+hivatal1!P47+hivatal2!D47+hivatal2!G47+hivatal2!J47+hivatal2!M47+hivatal2!P47+hivatal3!D47+hivatal3!G47+hivatal3!J47+hivatal3!M47+hivatal3!P47+hivatal4!D47+hivatal4!G47+hivatal4!J47+hivatal4!M47+hivatal4!P47+'hivatal5 '!D47+'hivatal5 '!G47+'hivatal5 '!J47+'hivatal5 '!M47+'hivatal5 '!P47+hivatal6!D47+hivatal6!G47+hivatal6!J47+hivatal6!M47+hivatal6!P47+hivatal7!D47</f>
        <v>0</v>
      </c>
      <c r="H47" s="924">
        <f>hivatal1!E47+hivatal1!H47+hivatal1!K47+hivatal1!N47+hivatal1!Q47+hivatal2!E47+hivatal2!H47+hivatal2!K47+hivatal2!N47+hivatal2!Q47+hivatal3!E47+hivatal3!H47+hivatal3!K47+hivatal3!N47+hivatal3!Q47+hivatal4!E47+hivatal4!H47+hivatal4!K47+hivatal4!N47+hivatal4!Q47+'hivatal5 '!E47+'hivatal5 '!H47+'hivatal5 '!K47+'hivatal5 '!N47+'hivatal5 '!Q47+hivatal6!E47+hivatal6!H47+hivatal6!K47+hivatal6!N47+hivatal6!Q47+hivatal7!E47</f>
        <v>361</v>
      </c>
      <c r="I47" s="347"/>
      <c r="J47" s="314"/>
      <c r="K47" s="320">
        <f>SUM(I47:J47)</f>
        <v>0</v>
      </c>
      <c r="L47" s="347"/>
      <c r="M47" s="314"/>
      <c r="N47" s="320"/>
      <c r="O47" s="200"/>
      <c r="P47" s="200"/>
      <c r="Q47" s="200"/>
    </row>
    <row r="48" spans="1:17" s="762" customFormat="1" ht="15">
      <c r="A48" s="156" t="s">
        <v>98</v>
      </c>
      <c r="B48" s="142" t="s">
        <v>291</v>
      </c>
      <c r="C48" s="1075"/>
      <c r="D48" s="226"/>
      <c r="E48" s="228"/>
      <c r="F48" s="1075">
        <f>hivatal1!C48+hivatal1!F48+hivatal1!I48+hivatal1!L48+hivatal1!O48+hivatal2!C48+hivatal2!F48+hivatal2!I48+hivatal2!L48+hivatal2!O48+hivatal3!C48+hivatal3!F48+hivatal3!I48+hivatal3!L48+hivatal3!O48+hivatal4!C48+hivatal4!F48+hivatal4!I48+hivatal4!L48+hivatal4!O48+'hivatal5 '!C48+'hivatal5 '!F48+'hivatal5 '!I48+'hivatal5 '!L48+'hivatal5 '!O48+hivatal6!C48+hivatal6!F48+hivatal6!I48+hivatal6!L48+hivatal6!O48+hivatal7!C48</f>
        <v>1136400</v>
      </c>
      <c r="G48" s="226">
        <f>hivatal1!D48+hivatal1!G48+hivatal1!J48+hivatal1!M48+hivatal1!P48+hivatal2!D48+hivatal2!G48+hivatal2!J48+hivatal2!M48+hivatal2!P48+hivatal3!D48+hivatal3!G48+hivatal3!J48+hivatal3!M48+hivatal3!P48+hivatal4!D48+hivatal4!G48+hivatal4!J48+hivatal4!M48+hivatal4!P48+'hivatal5 '!D48+'hivatal5 '!G48+'hivatal5 '!J48+'hivatal5 '!M48+'hivatal5 '!P48+hivatal6!D48+hivatal6!G48+hivatal6!J48+hivatal6!M48+hivatal6!P48+hivatal7!D48</f>
        <v>930200</v>
      </c>
      <c r="H48" s="228">
        <f>hivatal1!E48+hivatal1!H48+hivatal1!K48+hivatal1!N48+hivatal1!Q48+hivatal2!E48+hivatal2!H48+hivatal2!K48+hivatal2!N48+hivatal2!Q48+hivatal3!E48+hivatal3!H48+hivatal3!K48+hivatal3!N48+hivatal3!Q48+hivatal4!E48+hivatal4!H48+hivatal4!K48+hivatal4!N48+hivatal4!Q48+'hivatal5 '!E48+'hivatal5 '!H48+'hivatal5 '!K48+'hivatal5 '!N48+'hivatal5 '!Q48+hivatal6!E48+hivatal6!H48+hivatal6!K48+hivatal6!N48+hivatal6!Q48+hivatal7!E48</f>
        <v>2066600</v>
      </c>
      <c r="I48" s="887"/>
      <c r="J48" s="226"/>
      <c r="K48" s="228">
        <f aca="true" t="shared" si="14" ref="K48:K55">SUM(I48:J48)</f>
        <v>0</v>
      </c>
      <c r="L48" s="1075"/>
      <c r="M48" s="226"/>
      <c r="N48" s="228"/>
      <c r="O48" s="760"/>
      <c r="P48" s="760"/>
      <c r="Q48" s="760"/>
    </row>
    <row r="49" spans="1:17" ht="15">
      <c r="A49" s="154" t="s">
        <v>99</v>
      </c>
      <c r="B49" s="334" t="s">
        <v>393</v>
      </c>
      <c r="C49" s="906"/>
      <c r="D49" s="139"/>
      <c r="E49" s="162"/>
      <c r="F49" s="1075">
        <f>hivatal1!C49+hivatal1!F49+hivatal1!I49+hivatal1!L49+hivatal1!O49+hivatal2!C49+hivatal2!F49+hivatal2!I49+hivatal2!L49+hivatal2!O49+hivatal3!C49+hivatal3!F49+hivatal3!I49+hivatal3!L49+hivatal3!O49+hivatal4!C49+hivatal4!F49+hivatal4!I49+hivatal4!L49+hivatal4!O49+'hivatal5 '!C49+'hivatal5 '!F49+'hivatal5 '!I49+'hivatal5 '!L49+'hivatal5 '!O49+hivatal6!C49+hivatal6!F49+hivatal6!I49+hivatal6!L49+hivatal6!O49+hivatal7!C49</f>
        <v>0</v>
      </c>
      <c r="G49" s="226">
        <f>hivatal1!D49+hivatal1!G49+hivatal1!J49+hivatal1!M49+hivatal1!P49+hivatal2!D49+hivatal2!G49+hivatal2!J49+hivatal2!M49+hivatal2!P49+hivatal3!D49+hivatal3!G49+hivatal3!J49+hivatal3!M49+hivatal3!P49+hivatal4!D49+hivatal4!G49+hivatal4!J49+hivatal4!M49+hivatal4!P49+'hivatal5 '!D49+'hivatal5 '!G49+'hivatal5 '!J49+'hivatal5 '!M49+'hivatal5 '!P49+hivatal6!D49+hivatal6!G49+hivatal6!J49+hivatal6!M49+hivatal6!P49+hivatal7!D49</f>
        <v>0</v>
      </c>
      <c r="H49" s="228">
        <f>hivatal1!E49+hivatal1!H49+hivatal1!K49+hivatal1!N49+hivatal1!Q49+hivatal2!E49+hivatal2!H49+hivatal2!K49+hivatal2!N49+hivatal2!Q49+hivatal3!E49+hivatal3!H49+hivatal3!K49+hivatal3!N49+hivatal3!Q49+hivatal4!E49+hivatal4!H49+hivatal4!K49+hivatal4!N49+hivatal4!Q49+'hivatal5 '!E49+'hivatal5 '!H49+'hivatal5 '!K49+'hivatal5 '!N49+'hivatal5 '!Q49+hivatal6!E49+hivatal6!H49+hivatal6!K49+hivatal6!N49+hivatal6!Q49+hivatal7!E49</f>
        <v>0</v>
      </c>
      <c r="I49" s="885"/>
      <c r="J49" s="139"/>
      <c r="K49" s="162">
        <f t="shared" si="14"/>
        <v>0</v>
      </c>
      <c r="L49" s="906"/>
      <c r="M49" s="139"/>
      <c r="N49" s="162"/>
      <c r="O49" s="88"/>
      <c r="P49" s="88"/>
      <c r="Q49" s="88"/>
    </row>
    <row r="50" spans="1:17" ht="15.75" thickBot="1">
      <c r="A50" s="154" t="s">
        <v>100</v>
      </c>
      <c r="B50" s="334" t="s">
        <v>426</v>
      </c>
      <c r="C50" s="906"/>
      <c r="D50" s="139"/>
      <c r="E50" s="162"/>
      <c r="F50" s="1075">
        <f>hivatal1!C50+hivatal1!F50+hivatal1!I50+hivatal1!L50+hivatal1!O50+hivatal2!C50+hivatal2!F50+hivatal2!I50+hivatal2!L50+hivatal2!O50+hivatal3!C50+hivatal3!F50+hivatal3!I50+hivatal3!L50+hivatal3!O50+hivatal4!C50+hivatal4!F50+hivatal4!I50+hivatal4!L50+hivatal4!O50+'hivatal5 '!C50+'hivatal5 '!F50+'hivatal5 '!I50+'hivatal5 '!L50+'hivatal5 '!O50+hivatal6!C50+hivatal6!F50+hivatal6!I50+hivatal6!L50+hivatal6!O50+hivatal7!C50</f>
        <v>367612</v>
      </c>
      <c r="G50" s="226">
        <f>hivatal1!D50+hivatal1!G50+hivatal1!J50+hivatal1!M50+hivatal1!P50+hivatal2!D50+hivatal2!G50+hivatal2!J50+hivatal2!M50+hivatal2!P50+hivatal3!D50+hivatal3!G50+hivatal3!J50+hivatal3!M50+hivatal3!P50+hivatal4!D50+hivatal4!G50+hivatal4!J50+hivatal4!M50+hivatal4!P50+'hivatal5 '!D50+'hivatal5 '!G50+'hivatal5 '!J50+'hivatal5 '!M50+'hivatal5 '!P50+hivatal6!D50+hivatal6!G50+hivatal6!J50+hivatal6!M50+hivatal6!P50+hivatal7!D50</f>
        <v>0</v>
      </c>
      <c r="H50" s="228">
        <f>hivatal1!E50+hivatal1!H50+hivatal1!K50+hivatal1!N50+hivatal1!Q50+hivatal2!E50+hivatal2!H50+hivatal2!K50+hivatal2!N50+hivatal2!Q50+hivatal3!E50+hivatal3!H50+hivatal3!K50+hivatal3!N50+hivatal3!Q50+hivatal4!E50+hivatal4!H50+hivatal4!K50+hivatal4!N50+hivatal4!Q50+'hivatal5 '!E50+'hivatal5 '!H50+'hivatal5 '!K50+'hivatal5 '!N50+'hivatal5 '!Q50+hivatal6!E50+hivatal6!H50+hivatal6!K50+hivatal6!N50+hivatal6!Q50+hivatal7!E50</f>
        <v>367612</v>
      </c>
      <c r="I50" s="885"/>
      <c r="J50" s="139"/>
      <c r="K50" s="162">
        <f>SUM(I50:J50)</f>
        <v>0</v>
      </c>
      <c r="L50" s="906"/>
      <c r="M50" s="139"/>
      <c r="N50" s="162"/>
      <c r="O50" s="88"/>
      <c r="P50" s="88"/>
      <c r="Q50" s="88"/>
    </row>
    <row r="51" spans="1:17" s="15" customFormat="1" ht="16.5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20"/>
      <c r="F51" s="347">
        <f>hivatal1!C51+hivatal1!F51+hivatal1!I51+hivatal1!L51+hivatal1!O51+hivatal2!C51+hivatal2!F51+hivatal2!I51+hivatal2!L51+hivatal2!O51+hivatal3!C51+hivatal3!F51+hivatal3!I51+hivatal3!L51+hivatal3!O51+hivatal4!C51+hivatal4!F51+hivatal4!I51+hivatal4!L51+hivatal4!O51+'hivatal5 '!C51+'hivatal5 '!F51+'hivatal5 '!I51+'hivatal5 '!L51+'hivatal5 '!O51+hivatal6!C51+hivatal6!F51+hivatal6!I51+hivatal6!L51+hivatal6!O51+hivatal7!C51</f>
        <v>1504012</v>
      </c>
      <c r="G51" s="314">
        <f>hivatal1!D51+hivatal1!G51+hivatal1!J51+hivatal1!M51+hivatal1!P51+hivatal2!D51+hivatal2!G51+hivatal2!J51+hivatal2!M51+hivatal2!P51+hivatal3!D51+hivatal3!G51+hivatal3!J51+hivatal3!M51+hivatal3!P51+hivatal4!D51+hivatal4!G51+hivatal4!J51+hivatal4!M51+hivatal4!P51+'hivatal5 '!D51+'hivatal5 '!G51+'hivatal5 '!J51+'hivatal5 '!M51+'hivatal5 '!P51+hivatal6!D51+hivatal6!G51+hivatal6!J51+hivatal6!M51+hivatal6!P51+hivatal7!D51</f>
        <v>930200</v>
      </c>
      <c r="H51" s="320">
        <f>hivatal1!E51+hivatal1!H51+hivatal1!K51+hivatal1!N51+hivatal1!Q51+hivatal2!E51+hivatal2!H51+hivatal2!K51+hivatal2!N51+hivatal2!Q51+hivatal3!E51+hivatal3!H51+hivatal3!K51+hivatal3!N51+hivatal3!Q51+hivatal4!E51+hivatal4!H51+hivatal4!K51+hivatal4!N51+hivatal4!Q51+'hivatal5 '!E51+'hivatal5 '!H51+'hivatal5 '!K51+'hivatal5 '!N51+'hivatal5 '!Q51+hivatal6!E51+hivatal6!H51+hivatal6!K51+hivatal6!N51+hivatal6!Q51+hivatal7!E51</f>
        <v>2434212</v>
      </c>
      <c r="I51" s="330">
        <f>SUM(I48:I50)</f>
        <v>0</v>
      </c>
      <c r="J51" s="314">
        <f>SUM(J48:J50)</f>
        <v>0</v>
      </c>
      <c r="K51" s="320">
        <f t="shared" si="14"/>
        <v>0</v>
      </c>
      <c r="L51" s="347"/>
      <c r="M51" s="314"/>
      <c r="N51" s="320"/>
      <c r="O51" s="200"/>
      <c r="P51" s="200"/>
      <c r="Q51" s="200"/>
    </row>
    <row r="52" spans="1:17" s="15" customFormat="1" ht="16.5" thickBot="1">
      <c r="A52" s="765">
        <v>6</v>
      </c>
      <c r="B52" s="766" t="s">
        <v>295</v>
      </c>
      <c r="C52" s="1078"/>
      <c r="D52" s="339"/>
      <c r="E52" s="332"/>
      <c r="F52" s="347">
        <f>hivatal1!C52+hivatal1!F52+hivatal1!I52+hivatal1!L52+hivatal1!O52+hivatal2!C52+hivatal2!F52+hivatal2!I52+hivatal2!L52+hivatal2!O52+hivatal3!C52+hivatal3!F52+hivatal3!I52+hivatal3!L52+hivatal3!O52+hivatal4!C52+hivatal4!F52+hivatal4!I52+hivatal4!L52+hivatal4!O52+'hivatal5 '!C52+'hivatal5 '!F52+'hivatal5 '!I52+'hivatal5 '!L52+'hivatal5 '!O52+hivatal6!C52+hivatal6!F52+hivatal6!I52+hivatal6!L52+hivatal6!O52+hivatal7!C52</f>
        <v>602602</v>
      </c>
      <c r="G52" s="314">
        <f>hivatal1!D52+hivatal1!G52+hivatal1!J52+hivatal1!M52+hivatal1!P52+hivatal2!D52+hivatal2!G52+hivatal2!J52+hivatal2!M52+hivatal2!P52+hivatal3!D52+hivatal3!G52+hivatal3!J52+hivatal3!M52+hivatal3!P52+hivatal4!D52+hivatal4!G52+hivatal4!J52+hivatal4!M52+hivatal4!P52+'hivatal5 '!D52+'hivatal5 '!G52+'hivatal5 '!J52+'hivatal5 '!M52+'hivatal5 '!P52+hivatal6!D52+hivatal6!G52+hivatal6!J52+hivatal6!M52+hivatal6!P52+hivatal7!D52</f>
        <v>-38611</v>
      </c>
      <c r="H52" s="320">
        <f>hivatal1!E52+hivatal1!H52+hivatal1!K52+hivatal1!N52+hivatal1!Q52+hivatal2!E52+hivatal2!H52+hivatal2!K52+hivatal2!N52+hivatal2!Q52+hivatal3!E52+hivatal3!H52+hivatal3!K52+hivatal3!N52+hivatal3!Q52+hivatal4!E52+hivatal4!H52+hivatal4!K52+hivatal4!N52+hivatal4!Q52+'hivatal5 '!E52+'hivatal5 '!H52+'hivatal5 '!K52+'hivatal5 '!N52+'hivatal5 '!Q52+hivatal6!E52+hivatal6!H52+hivatal6!K52+hivatal6!N52+hivatal6!Q52+hivatal7!E52</f>
        <v>563991</v>
      </c>
      <c r="I52" s="333"/>
      <c r="J52" s="339"/>
      <c r="K52" s="332">
        <f t="shared" si="14"/>
        <v>0</v>
      </c>
      <c r="L52" s="1084"/>
      <c r="M52" s="339"/>
      <c r="N52" s="332"/>
      <c r="O52" s="200"/>
      <c r="P52" s="200"/>
      <c r="Q52" s="200"/>
    </row>
    <row r="53" spans="1:17" ht="15">
      <c r="A53" s="137" t="s">
        <v>98</v>
      </c>
      <c r="B53" s="138" t="s">
        <v>395</v>
      </c>
      <c r="C53" s="1079"/>
      <c r="D53" s="140"/>
      <c r="E53" s="195"/>
      <c r="F53" s="1075">
        <f>hivatal1!C53+hivatal1!F53+hivatal1!I53+hivatal1!L53+hivatal1!O53+hivatal2!C53+hivatal2!F53+hivatal2!I53+hivatal2!L53+hivatal2!O53+hivatal3!C53+hivatal3!F53+hivatal3!I53+hivatal3!L53+hivatal3!O53+hivatal4!C53+hivatal4!F53+hivatal4!I53+hivatal4!L53+hivatal4!O53+'hivatal5 '!C53+'hivatal5 '!F53+'hivatal5 '!I53+'hivatal5 '!L53+'hivatal5 '!O53+hivatal6!C53+hivatal6!F53+hivatal6!I53+hivatal6!L53+hivatal6!O53+hivatal7!C53</f>
        <v>1340</v>
      </c>
      <c r="G53" s="226">
        <f>hivatal1!D53+hivatal1!G53+hivatal1!J53+hivatal1!M53+hivatal1!P53+hivatal2!D53+hivatal2!G53+hivatal2!J53+hivatal2!M53+hivatal2!P53+hivatal3!D53+hivatal3!G53+hivatal3!J53+hivatal3!M53+hivatal3!P53+hivatal4!D53+hivatal4!G53+hivatal4!J53+hivatal4!M53+hivatal4!P53+'hivatal5 '!D53+'hivatal5 '!G53+'hivatal5 '!J53+'hivatal5 '!M53+'hivatal5 '!P53+hivatal6!D53+hivatal6!G53+hivatal6!J53+hivatal6!M53+hivatal6!P53+hivatal7!D53</f>
        <v>616</v>
      </c>
      <c r="H53" s="228">
        <f>hivatal1!E53+hivatal1!H53+hivatal1!K53+hivatal1!N53+hivatal1!Q53+hivatal2!E53+hivatal2!H53+hivatal2!K53+hivatal2!N53+hivatal2!Q53+hivatal3!E53+hivatal3!H53+hivatal3!K53+hivatal3!N53+hivatal3!Q53+hivatal4!E53+hivatal4!H53+hivatal4!K53+hivatal4!N53+hivatal4!Q53+'hivatal5 '!E53+'hivatal5 '!H53+'hivatal5 '!K53+'hivatal5 '!N53+'hivatal5 '!Q53+hivatal6!E53+hivatal6!H53+hivatal6!K53+hivatal6!N53+hivatal6!Q53+hivatal7!E53</f>
        <v>1956</v>
      </c>
      <c r="I53" s="889">
        <v>1000</v>
      </c>
      <c r="J53" s="140"/>
      <c r="K53" s="195">
        <f t="shared" si="14"/>
        <v>1000</v>
      </c>
      <c r="L53" s="1079"/>
      <c r="M53" s="140"/>
      <c r="N53" s="195"/>
      <c r="O53" s="88"/>
      <c r="P53" s="88"/>
      <c r="Q53" s="88"/>
    </row>
    <row r="54" spans="1:17" ht="15.75" thickBot="1">
      <c r="A54" s="335" t="s">
        <v>99</v>
      </c>
      <c r="B54" s="142" t="s">
        <v>396</v>
      </c>
      <c r="C54" s="1076"/>
      <c r="D54" s="321"/>
      <c r="E54" s="324"/>
      <c r="F54" s="1076">
        <f>hivatal1!C54+hivatal1!F54+hivatal1!I54+hivatal1!L54+hivatal1!O54+hivatal2!C54+hivatal2!F54+hivatal2!I54+hivatal2!L54+hivatal2!O54+hivatal3!C54+hivatal3!F54+hivatal3!I54+hivatal3!L54+hivatal3!O54+hivatal4!C54+hivatal4!F54+hivatal4!I54+hivatal4!L54+hivatal4!O54+'hivatal5 '!C54+'hivatal5 '!F54+'hivatal5 '!I54+'hivatal5 '!L54+'hivatal5 '!O54+hivatal6!C54+hivatal6!F54+hivatal6!I54+hivatal6!L54+hivatal6!O54+hivatal7!C54</f>
        <v>0</v>
      </c>
      <c r="G54" s="321">
        <f>hivatal1!D54+hivatal1!G54+hivatal1!J54+hivatal1!M54+hivatal1!P54+hivatal2!D54+hivatal2!G54+hivatal2!J54+hivatal2!M54+hivatal2!P54+hivatal3!D54+hivatal3!G54+hivatal3!J54+hivatal3!M54+hivatal3!P54+hivatal4!D54+hivatal4!G54+hivatal4!J54+hivatal4!M54+hivatal4!P54+'hivatal5 '!D54+'hivatal5 '!G54+'hivatal5 '!J54+'hivatal5 '!M54+'hivatal5 '!P54+hivatal6!D54+hivatal6!G54+hivatal6!J54+hivatal6!M54+hivatal6!P54+hivatal7!D54</f>
        <v>0</v>
      </c>
      <c r="H54" s="324">
        <f>hivatal1!E54+hivatal1!H54+hivatal1!K54+hivatal1!N54+hivatal1!Q54+hivatal2!E54+hivatal2!H54+hivatal2!K54+hivatal2!N54+hivatal2!Q54+hivatal3!E54+hivatal3!H54+hivatal3!K54+hivatal3!N54+hivatal3!Q54+hivatal4!E54+hivatal4!H54+hivatal4!K54+hivatal4!N54+hivatal4!Q54+'hivatal5 '!E54+'hivatal5 '!H54+'hivatal5 '!K54+'hivatal5 '!N54+'hivatal5 '!Q54+hivatal6!E54+hivatal6!H54+hivatal6!K54+hivatal6!N54+hivatal6!Q54+hivatal7!E54</f>
        <v>0</v>
      </c>
      <c r="I54" s="157"/>
      <c r="J54" s="321"/>
      <c r="K54" s="324">
        <f t="shared" si="14"/>
        <v>0</v>
      </c>
      <c r="L54" s="1076"/>
      <c r="M54" s="321"/>
      <c r="N54" s="324"/>
      <c r="O54" s="88"/>
      <c r="P54" s="88"/>
      <c r="Q54" s="88"/>
    </row>
    <row r="55" spans="1:17" s="15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/>
      <c r="E55" s="320"/>
      <c r="F55" s="347">
        <f>hivatal1!C55+hivatal1!F55+hivatal1!I55+hivatal1!L55+hivatal1!O55+hivatal2!C55+hivatal2!F55+hivatal2!I55+hivatal2!L55+hivatal2!O55+hivatal3!C55+hivatal3!F55+hivatal3!I55+hivatal3!L55+hivatal3!O55+hivatal4!C55+hivatal4!F55+hivatal4!I55+hivatal4!L55+hivatal4!O55+'hivatal5 '!C55+'hivatal5 '!F55+'hivatal5 '!I55+'hivatal5 '!L55+'hivatal5 '!O55+hivatal6!C55+hivatal6!F55+hivatal6!I55+hivatal6!L55+hivatal6!O55+hivatal7!C55</f>
        <v>1340</v>
      </c>
      <c r="G55" s="314">
        <f>hivatal1!D55+hivatal1!G55+hivatal1!J55+hivatal1!M55+hivatal1!P55+hivatal2!D55+hivatal2!G55+hivatal2!J55+hivatal2!M55+hivatal2!P55+hivatal3!D55+hivatal3!G55+hivatal3!J55+hivatal3!M55+hivatal3!P55+hivatal4!D55+hivatal4!G55+hivatal4!J55+hivatal4!M55+hivatal4!P55+'hivatal5 '!D55+'hivatal5 '!G55+'hivatal5 '!J55+'hivatal5 '!M55+'hivatal5 '!P55+hivatal6!D55+hivatal6!G55+hivatal6!J55+hivatal6!M55+hivatal6!P55+hivatal7!D55</f>
        <v>616</v>
      </c>
      <c r="H55" s="320">
        <f>hivatal1!E55+hivatal1!H55+hivatal1!K55+hivatal1!N55+hivatal1!Q55+hivatal2!E55+hivatal2!H55+hivatal2!K55+hivatal2!N55+hivatal2!Q55+hivatal3!E55+hivatal3!H55+hivatal3!K55+hivatal3!N55+hivatal3!Q55+hivatal4!E55+hivatal4!H55+hivatal4!K55+hivatal4!N55+hivatal4!Q55+'hivatal5 '!E55+'hivatal5 '!H55+'hivatal5 '!K55+'hivatal5 '!N55+'hivatal5 '!Q55+hivatal6!E55+hivatal6!H55+hivatal6!K55+hivatal6!N55+hivatal6!Q55+hivatal7!E55</f>
        <v>1956</v>
      </c>
      <c r="I55" s="330">
        <f>SUM(I53:I54)</f>
        <v>1000</v>
      </c>
      <c r="J55" s="314">
        <f>SUM(J53:J54)</f>
        <v>0</v>
      </c>
      <c r="K55" s="320">
        <f t="shared" si="14"/>
        <v>1000</v>
      </c>
      <c r="L55" s="347"/>
      <c r="M55" s="314"/>
      <c r="N55" s="320"/>
      <c r="O55" s="152"/>
      <c r="P55" s="152"/>
      <c r="Q55" s="152"/>
    </row>
    <row r="56" spans="1:17" s="28" customFormat="1" ht="19.5" customHeight="1" thickBot="1">
      <c r="A56" s="716">
        <v>8</v>
      </c>
      <c r="B56" s="717" t="s">
        <v>46</v>
      </c>
      <c r="C56" s="1111">
        <f aca="true" t="shared" si="15" ref="C56:H56">C34-C40-C45-C46-C47-C51-C52-C55-C57-C58-C59</f>
        <v>661799</v>
      </c>
      <c r="D56" s="1112">
        <f t="shared" si="15"/>
        <v>-26539</v>
      </c>
      <c r="E56" s="1109">
        <f t="shared" si="15"/>
        <v>635260</v>
      </c>
      <c r="F56" s="1111">
        <f t="shared" si="15"/>
        <v>6009728</v>
      </c>
      <c r="G56" s="1112">
        <f t="shared" si="15"/>
        <v>125576</v>
      </c>
      <c r="H56" s="1109">
        <f t="shared" si="15"/>
        <v>6135304</v>
      </c>
      <c r="I56" s="1111"/>
      <c r="J56" s="1112"/>
      <c r="K56" s="1109"/>
      <c r="L56" s="1134">
        <f>I60*-1</f>
        <v>-11919175</v>
      </c>
      <c r="M56" s="1136">
        <f>J60*-1</f>
        <v>-96775</v>
      </c>
      <c r="N56" s="1124">
        <f>K60*-1</f>
        <v>-12015950</v>
      </c>
      <c r="O56" s="925"/>
      <c r="P56" s="925"/>
      <c r="Q56" s="925"/>
    </row>
    <row r="57" spans="1:17" s="15" customFormat="1" ht="15.75">
      <c r="A57" s="336" t="s">
        <v>398</v>
      </c>
      <c r="B57" s="337" t="s">
        <v>184</v>
      </c>
      <c r="C57" s="1081"/>
      <c r="D57" s="327"/>
      <c r="E57" s="1110"/>
      <c r="F57" s="1075">
        <f>hivatal1!C57+hivatal1!F57+hivatal1!I57+hivatal1!L57+hivatal1!O57+hivatal2!C57+hivatal2!F57+hivatal2!I57+hivatal2!L57+hivatal2!O57+hivatal3!C57+hivatal3!F57+hivatal3!I57+hivatal3!L57+hivatal3!O57+hivatal4!C57+hivatal4!F57+hivatal4!I57+hivatal4!L57+hivatal4!O57+'hivatal5 '!C57+'hivatal5 '!F57+'hivatal5 '!I57+'hivatal5 '!L57+'hivatal5 '!O57+hivatal6!C57+hivatal6!F57+hivatal6!I57+hivatal6!L57+hivatal6!O57+hivatal7!C57</f>
        <v>0</v>
      </c>
      <c r="G57" s="226">
        <f>hivatal1!D57+hivatal1!G57+hivatal1!J57+hivatal1!M57+hivatal1!P57+hivatal2!D57+hivatal2!G57+hivatal2!J57+hivatal2!M57+hivatal2!P57+hivatal3!D57+hivatal3!G57+hivatal3!J57+hivatal3!M57+hivatal3!P57+hivatal4!D57+hivatal4!G57+hivatal4!J57+hivatal4!M57+hivatal4!P57+'hivatal5 '!D57+'hivatal5 '!G57+'hivatal5 '!J57+'hivatal5 '!M57+'hivatal5 '!P57+hivatal6!D57+hivatal6!G57+hivatal6!J57+hivatal6!M57+hivatal6!P57+hivatal7!D57</f>
        <v>0</v>
      </c>
      <c r="H57" s="228">
        <f>hivatal1!E57+hivatal1!H57+hivatal1!K57+hivatal1!N57+hivatal1!Q57+hivatal2!E57+hivatal2!H57+hivatal2!K57+hivatal2!N57+hivatal2!Q57+hivatal3!E57+hivatal3!H57+hivatal3!K57+hivatal3!N57+hivatal3!Q57+hivatal4!E57+hivatal4!H57+hivatal4!K57+hivatal4!N57+hivatal4!Q57+'hivatal5 '!E57+'hivatal5 '!H57+'hivatal5 '!K57+'hivatal5 '!N57+'hivatal5 '!Q57+hivatal6!E57+hivatal6!H57+hivatal6!K57+hivatal6!N57+hivatal6!Q57+hivatal7!E57</f>
        <v>0</v>
      </c>
      <c r="I57" s="890">
        <v>3696607</v>
      </c>
      <c r="J57" s="327"/>
      <c r="K57" s="1110">
        <f>SUM(I57:J57)</f>
        <v>3696607</v>
      </c>
      <c r="L57" s="1081"/>
      <c r="M57" s="327"/>
      <c r="N57" s="1110"/>
      <c r="O57" s="152"/>
      <c r="P57" s="152"/>
      <c r="Q57" s="152"/>
    </row>
    <row r="58" spans="1:17" s="15" customFormat="1" ht="15.75">
      <c r="A58" s="336" t="s">
        <v>183</v>
      </c>
      <c r="B58" s="337" t="s">
        <v>397</v>
      </c>
      <c r="C58" s="1081"/>
      <c r="D58" s="327"/>
      <c r="E58" s="1110"/>
      <c r="F58" s="143">
        <f>hivatal1!C58+hivatal1!F58+hivatal1!I58+hivatal1!L58+hivatal1!O58+hivatal2!C58+hivatal2!F58+hivatal2!I58+hivatal2!L58+hivatal2!O58+hivatal3!C58+hivatal3!F58+hivatal3!I58+hivatal3!L58+hivatal3!O58+hivatal4!C58+hivatal4!F58+hivatal4!I58+hivatal4!L58+hivatal4!O58+'hivatal5 '!C58+'hivatal5 '!F58+'hivatal5 '!I58+'hivatal5 '!L58+'hivatal5 '!O58+hivatal6!C58+hivatal6!F58+hivatal6!I58+hivatal6!L58+hivatal6!O58+hivatal7!C58</f>
        <v>2000000</v>
      </c>
      <c r="G58" s="139">
        <f>hivatal1!D58+hivatal1!G58+hivatal1!J58+hivatal1!M58+hivatal1!P58+hivatal2!D58+hivatal2!G58+hivatal2!J58+hivatal2!M58+hivatal2!P58+hivatal3!D58+hivatal3!G58+hivatal3!J58+hivatal3!M58+hivatal3!P58+hivatal4!D58+hivatal4!G58+hivatal4!J58+hivatal4!M58+hivatal4!P58+'hivatal5 '!D58+'hivatal5 '!G58+'hivatal5 '!J58+'hivatal5 '!M58+'hivatal5 '!P58+hivatal6!D58+hivatal6!G58+hivatal6!J58+hivatal6!M58+hivatal6!P58+hivatal7!D58</f>
        <v>0</v>
      </c>
      <c r="H58" s="162">
        <f>hivatal1!E58+hivatal1!H58+hivatal1!K58+hivatal1!N58+hivatal1!Q58+hivatal2!E58+hivatal2!H58+hivatal2!K58+hivatal2!N58+hivatal2!Q58+hivatal3!E58+hivatal3!H58+hivatal3!K58+hivatal3!N58+hivatal3!Q58+hivatal4!E58+hivatal4!H58+hivatal4!K58+hivatal4!N58+hivatal4!Q58+'hivatal5 '!E58+'hivatal5 '!H58+'hivatal5 '!K58+'hivatal5 '!N58+'hivatal5 '!Q58+hivatal6!E58+hivatal6!H58+hivatal6!K58+hivatal6!N58+hivatal6!Q58+hivatal7!E58</f>
        <v>2000000</v>
      </c>
      <c r="I58" s="890"/>
      <c r="J58" s="327"/>
      <c r="K58" s="1110">
        <f>SUM(I58:J58)</f>
        <v>0</v>
      </c>
      <c r="L58" s="326"/>
      <c r="M58" s="327"/>
      <c r="N58" s="402"/>
      <c r="O58" s="152"/>
      <c r="P58" s="152"/>
      <c r="Q58" s="152"/>
    </row>
    <row r="59" spans="1:17" s="15" customFormat="1" ht="16.5" thickBot="1">
      <c r="A59" s="351">
        <v>10</v>
      </c>
      <c r="B59" s="352"/>
      <c r="C59" s="353"/>
      <c r="D59" s="354"/>
      <c r="E59" s="406"/>
      <c r="F59" s="926">
        <f>hivatal1!C59+hivatal1!F59+hivatal1!I59+hivatal1!L59+hivatal1!O59+hivatal2!C59+hivatal2!F59+hivatal2!I59+hivatal2!L59+hivatal2!O59+hivatal3!C59+hivatal3!F59+hivatal3!I59+hivatal3!L59+hivatal3!O59+hivatal4!C59+hivatal4!F59+hivatal4!I59+hivatal4!L59+hivatal4!O59+'hivatal5 '!C59+'hivatal5 '!F59+'hivatal5 '!I59+'hivatal5 '!L59+'hivatal5 '!O59+hivatal6!C59+hivatal6!F59+hivatal6!I59+hivatal6!L59+hivatal6!O59+hivatal7!C59</f>
        <v>0</v>
      </c>
      <c r="G59" s="927">
        <f>hivatal1!D59+hivatal1!G59+hivatal1!J59+hivatal1!M59+hivatal1!P59+hivatal2!D59+hivatal2!G59+hivatal2!J59+hivatal2!M59+hivatal2!P59+hivatal3!D59+hivatal3!G59+hivatal3!J59+hivatal3!M59+hivatal3!P59+hivatal4!D59+hivatal4!G59+hivatal4!J59+hivatal4!M59+hivatal4!P59+'hivatal5 '!D59+'hivatal5 '!G59+'hivatal5 '!J59+'hivatal5 '!M59+'hivatal5 '!P59+hivatal6!D59+hivatal6!G59+hivatal6!J59+hivatal6!M59+hivatal6!P59+hivatal7!D59</f>
        <v>0</v>
      </c>
      <c r="H59" s="928">
        <f>hivatal1!E59+hivatal1!H59+hivatal1!K59+hivatal1!N59+hivatal1!Q59+hivatal2!E59+hivatal2!H59+hivatal2!K59+hivatal2!N59+hivatal2!Q59+hivatal3!E59+hivatal3!H59+hivatal3!K59+hivatal3!N59+hivatal3!Q59+hivatal4!E59+hivatal4!H59+hivatal4!K59+hivatal4!N59+hivatal4!Q59+'hivatal5 '!E59+'hivatal5 '!H59+'hivatal5 '!K59+'hivatal5 '!N59+'hivatal5 '!Q59+hivatal6!E59+hivatal6!H59+hivatal6!K59+hivatal6!N59+hivatal6!Q59+hivatal7!E59</f>
        <v>0</v>
      </c>
      <c r="I59" s="356"/>
      <c r="J59" s="354"/>
      <c r="K59" s="407">
        <f>SUM(I59:J59)</f>
        <v>0</v>
      </c>
      <c r="L59" s="353"/>
      <c r="M59" s="354"/>
      <c r="N59" s="406"/>
      <c r="O59" s="152"/>
      <c r="P59" s="152"/>
      <c r="Q59" s="152"/>
    </row>
    <row r="60" spans="1:17" s="32" customFormat="1" ht="17.25" thickBot="1" thickTop="1">
      <c r="A60" s="343" t="s">
        <v>109</v>
      </c>
      <c r="B60" s="345" t="s">
        <v>182</v>
      </c>
      <c r="C60" s="779">
        <f>C40+C45+C46+C47+C51+C52+C55+C56+C57+C58+C59</f>
        <v>661799</v>
      </c>
      <c r="D60" s="780">
        <f aca="true" t="shared" si="16" ref="D60:N60">D40+D45+D46+D47+D51+D52+D55+D56+D57+D58+D59</f>
        <v>-26539</v>
      </c>
      <c r="E60" s="778">
        <f t="shared" si="16"/>
        <v>635260</v>
      </c>
      <c r="F60" s="364">
        <f t="shared" si="16"/>
        <v>10886910</v>
      </c>
      <c r="G60" s="344">
        <f t="shared" si="16"/>
        <v>1092294</v>
      </c>
      <c r="H60" s="778">
        <f t="shared" si="16"/>
        <v>11979204</v>
      </c>
      <c r="I60" s="779">
        <f>I40+I45+I46+I47+I51+I52+I55+I56+I57+I58+I59</f>
        <v>11919175</v>
      </c>
      <c r="J60" s="780">
        <f t="shared" si="16"/>
        <v>96775</v>
      </c>
      <c r="K60" s="778">
        <f>K40+K45+K46+K47+K51+K52+K55+K56+K57+K58+K59</f>
        <v>12015950</v>
      </c>
      <c r="L60" s="364">
        <f>L40+L45+L46+L47+L51+L52+L55+L56+L57+L58+L59</f>
        <v>-11919175</v>
      </c>
      <c r="M60" s="344">
        <f t="shared" si="16"/>
        <v>-96775</v>
      </c>
      <c r="N60" s="374">
        <f t="shared" si="16"/>
        <v>-12015950</v>
      </c>
      <c r="O60" s="152"/>
      <c r="P60" s="152"/>
      <c r="Q60" s="152"/>
    </row>
    <row r="61" spans="1:17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234"/>
      <c r="P61" s="234"/>
      <c r="Q61" s="234"/>
    </row>
    <row r="62" spans="1:17" ht="16.5" thickBot="1" thickTop="1">
      <c r="A62" s="167"/>
      <c r="B62" s="168" t="s">
        <v>579</v>
      </c>
      <c r="C62" s="196"/>
      <c r="D62" s="412"/>
      <c r="E62" s="413">
        <f>SUM(C62:D62)</f>
        <v>0</v>
      </c>
      <c r="F62" s="1148">
        <f>hivatal1!C62+hivatal1!F62+hivatal1!I62+hivatal1!L62+hivatal1!O62+hivatal2!C62+hivatal2!F62+hivatal2!I62+hivatal2!L62+hivatal2!O62+hivatal3!C62+hivatal3!F62+hivatal3!I62+hivatal3!L62+hivatal3!O62+hivatal4!C62+hivatal4!F62+hivatal4!I62+hivatal4!L62+hivatal4!O62+'hivatal5 '!C62+'hivatal5 '!F62+'hivatal5 '!I62+'hivatal5 '!L62+'hivatal5 '!O62+hivatal6!C62+hivatal6!F62+hivatal6!I62+hivatal6!L62+hivatal6!O62+hivatal7!C62</f>
        <v>33</v>
      </c>
      <c r="G62" s="197">
        <f>hivatal1!D62+hivatal1!G62+hivatal1!J62+hivatal1!M62+hivatal1!P62+hivatal2!D62+hivatal2!G62+hivatal2!J62+hivatal2!M62+hivatal2!P62+hivatal3!D62+hivatal3!G62+hivatal3!J62+hivatal3!M62+hivatal3!P62+hivatal4!D62+hivatal4!G62+hivatal4!J62+hivatal4!M62+hivatal4!P62+'hivatal5 '!D62+'hivatal5 '!G62+'hivatal5 '!J62+'hivatal5 '!M62+'hivatal5 '!P62+hivatal6!D62+hivatal6!G62+hivatal6!J62+hivatal6!M62+hivatal6!P62+hivatal7!D62</f>
        <v>0</v>
      </c>
      <c r="H62" s="1147">
        <f>hivatal1!E62+hivatal1!H62+hivatal1!K62+hivatal1!N62+hivatal1!Q62+hivatal2!E62+hivatal2!H62+hivatal2!K62+hivatal2!N62+hivatal2!Q62+hivatal3!E62+hivatal3!H62+hivatal3!K62+hivatal3!N62+hivatal3!Q62+hivatal4!E62+hivatal4!H62+hivatal4!K62+hivatal4!N62+hivatal4!Q62+'hivatal5 '!E62+'hivatal5 '!H62+'hivatal5 '!K62+'hivatal5 '!N62+'hivatal5 '!Q62+hivatal6!E62+hivatal6!H62+hivatal6!K62+hivatal6!N62+hivatal6!Q62+hivatal7!E62</f>
        <v>33</v>
      </c>
      <c r="I62" s="929"/>
      <c r="J62" s="910"/>
      <c r="K62" s="802"/>
      <c r="L62" s="926"/>
      <c r="M62" s="927"/>
      <c r="N62" s="911"/>
      <c r="O62" s="88"/>
      <c r="P62" s="88"/>
      <c r="Q62" s="88"/>
    </row>
    <row r="63" spans="1:17" ht="16.5" thickBot="1" thickTop="1">
      <c r="A63" s="167"/>
      <c r="B63" s="168" t="s">
        <v>580</v>
      </c>
      <c r="C63" s="196"/>
      <c r="D63" s="412"/>
      <c r="E63" s="413">
        <f>SUM(C63:D63)</f>
        <v>0</v>
      </c>
      <c r="F63" s="1148">
        <f>hivatal1!C63+hivatal1!F63+hivatal1!I63+hivatal1!L63+hivatal1!O63+hivatal2!C63+hivatal2!F63+hivatal2!I63+hivatal2!L63+hivatal2!O63+hivatal3!C63+hivatal3!F63+hivatal3!I63+hivatal3!L63+hivatal3!O63+hivatal4!C63+hivatal4!F63+hivatal4!I63+hivatal4!L63+hivatal4!O63+'hivatal5 '!C63+'hivatal5 '!F63+'hivatal5 '!I63+'hivatal5 '!L63+'hivatal5 '!O63+hivatal6!C63+hivatal6!F63+hivatal6!I63+hivatal6!L63+hivatal6!O63+hivatal7!C63</f>
        <v>15</v>
      </c>
      <c r="G63" s="197">
        <f>hivatal1!D63+hivatal1!G63+hivatal1!J63+hivatal1!M63+hivatal1!P63+hivatal2!D63+hivatal2!G63+hivatal2!J63+hivatal2!M63+hivatal2!P63+hivatal3!D63+hivatal3!G63+hivatal3!J63+hivatal3!M63+hivatal3!P63+hivatal4!D63+hivatal4!G63+hivatal4!J63+hivatal4!M63+hivatal4!P63+'hivatal5 '!D63+'hivatal5 '!G63+'hivatal5 '!J63+'hivatal5 '!M63+'hivatal5 '!P63+hivatal6!D63+hivatal6!G63+hivatal6!J63+hivatal6!M63+hivatal6!P63+hivatal7!D63</f>
        <v>0</v>
      </c>
      <c r="H63" s="938">
        <f>hivatal1!E63+hivatal1!H63+hivatal1!K63+hivatal1!N63+hivatal1!Q63+hivatal2!E63+hivatal2!H63+hivatal2!K63+hivatal2!N63+hivatal2!Q63+hivatal3!E63+hivatal3!H63+hivatal3!K63+hivatal3!N63+hivatal3!Q63+hivatal4!E63+hivatal4!H63+hivatal4!K63+hivatal4!N63+hivatal4!Q63+'hivatal5 '!E63+'hivatal5 '!H63+'hivatal5 '!K63+'hivatal5 '!N63+'hivatal5 '!Q63+hivatal6!E63+hivatal6!H63+hivatal6!K63+hivatal6!N63+hivatal6!Q63+hivatal7!E63</f>
        <v>15</v>
      </c>
      <c r="I63" s="929"/>
      <c r="J63" s="910"/>
      <c r="K63" s="802"/>
      <c r="L63" s="926"/>
      <c r="M63" s="927"/>
      <c r="N63" s="930"/>
      <c r="O63" s="88"/>
      <c r="P63" s="88"/>
      <c r="Q63" s="88"/>
    </row>
    <row r="64" spans="1:17" ht="16.5" thickTop="1">
      <c r="A64" s="418"/>
      <c r="H64" s="105"/>
      <c r="O64" s="88"/>
      <c r="P64" s="88"/>
      <c r="Q64" s="88"/>
    </row>
    <row r="65" ht="15.75">
      <c r="A65" s="418"/>
    </row>
  </sheetData>
  <sheetProtection/>
  <mergeCells count="3">
    <mergeCell ref="I7:K7"/>
    <mergeCell ref="A4:N4"/>
    <mergeCell ref="A5:N5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7"/>
  <sheetViews>
    <sheetView showGridLines="0" zoomScale="78" zoomScaleNormal="78" zoomScaleSheetLayoutView="50" zoomScalePageLayoutView="0" workbookViewId="0" topLeftCell="A1">
      <pane xSplit="2" ySplit="9" topLeftCell="C13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K1" sqref="K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3" width="16.625" style="88" customWidth="1"/>
    <col min="4" max="4" width="15.50390625" style="88" customWidth="1"/>
    <col min="5" max="5" width="19.00390625" style="88" customWidth="1"/>
    <col min="6" max="6" width="17.375" style="88" customWidth="1"/>
    <col min="7" max="7" width="17.00390625" style="88" customWidth="1"/>
    <col min="8" max="8" width="17.50390625" style="88" customWidth="1"/>
    <col min="9" max="11" width="16.625" style="357" customWidth="1"/>
    <col min="12" max="12" width="16.625" style="954" customWidth="1"/>
    <col min="13" max="13" width="15.00390625" style="954" customWidth="1"/>
    <col min="14" max="14" width="16.625" style="954" customWidth="1"/>
    <col min="15" max="15" width="13.125" style="357" customWidth="1"/>
    <col min="16" max="17" width="9.375" style="357" customWidth="1"/>
  </cols>
  <sheetData>
    <row r="1" spans="1:13" ht="10.5" customHeight="1">
      <c r="A1" s="303"/>
      <c r="B1" s="304"/>
      <c r="C1" s="304"/>
      <c r="D1" s="386"/>
      <c r="E1" s="386"/>
      <c r="F1" s="386"/>
      <c r="G1" s="386"/>
      <c r="H1" s="386"/>
      <c r="K1" s="892" t="s">
        <v>915</v>
      </c>
      <c r="L1" s="953"/>
      <c r="M1" s="953"/>
    </row>
    <row r="2" spans="1:13" ht="10.5" customHeight="1">
      <c r="A2" s="303"/>
      <c r="B2" s="304"/>
      <c r="C2" s="304"/>
      <c r="D2" s="386"/>
      <c r="E2" s="386"/>
      <c r="F2" s="386"/>
      <c r="G2" s="386"/>
      <c r="H2" s="386"/>
      <c r="K2" s="892" t="s">
        <v>93</v>
      </c>
      <c r="L2" s="953"/>
      <c r="M2" s="953"/>
    </row>
    <row r="3" spans="1:13" ht="15">
      <c r="A3" s="303"/>
      <c r="B3" s="304"/>
      <c r="C3" s="304"/>
      <c r="D3" s="386"/>
      <c r="E3" s="386"/>
      <c r="F3" s="386"/>
      <c r="G3" s="386"/>
      <c r="H3" s="386"/>
      <c r="K3" s="893" t="s">
        <v>148</v>
      </c>
      <c r="L3" s="953"/>
      <c r="M3" s="953"/>
    </row>
    <row r="4" spans="1:17" s="15" customFormat="1" ht="20.25">
      <c r="A4" s="1936" t="s">
        <v>648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955"/>
      <c r="M4" s="955"/>
      <c r="N4" s="955"/>
      <c r="O4" s="903"/>
      <c r="P4" s="903"/>
      <c r="Q4" s="903"/>
    </row>
    <row r="5" spans="1:17" s="15" customFormat="1" ht="18">
      <c r="A5" s="1937" t="s">
        <v>562</v>
      </c>
      <c r="B5" s="1937"/>
      <c r="C5" s="1937"/>
      <c r="D5" s="1937"/>
      <c r="E5" s="1937"/>
      <c r="F5" s="1937"/>
      <c r="G5" s="1937"/>
      <c r="H5" s="1937"/>
      <c r="I5" s="1937"/>
      <c r="J5" s="1937"/>
      <c r="K5" s="1937"/>
      <c r="L5" s="956"/>
      <c r="M5" s="956"/>
      <c r="N5" s="956"/>
      <c r="O5" s="718"/>
      <c r="P5" s="718"/>
      <c r="Q5" s="718"/>
    </row>
    <row r="6" spans="1:14" ht="33" customHeight="1" thickBot="1">
      <c r="A6" s="303"/>
      <c r="B6" s="304"/>
      <c r="C6" s="304"/>
      <c r="D6" s="386"/>
      <c r="E6" s="386"/>
      <c r="F6" s="386"/>
      <c r="G6" s="386"/>
      <c r="H6" s="386"/>
      <c r="K6" s="13" t="s">
        <v>134</v>
      </c>
      <c r="L6" s="953"/>
      <c r="M6" s="953"/>
      <c r="N6" s="957" t="s">
        <v>134</v>
      </c>
    </row>
    <row r="7" spans="1:14" ht="30.75" customHeight="1">
      <c r="A7" s="230" t="s">
        <v>124</v>
      </c>
      <c r="B7" s="87" t="s">
        <v>125</v>
      </c>
      <c r="C7" s="1925" t="s">
        <v>640</v>
      </c>
      <c r="D7" s="1949"/>
      <c r="E7" s="1948"/>
      <c r="F7" s="1925" t="s">
        <v>641</v>
      </c>
      <c r="G7" s="1949"/>
      <c r="H7" s="1948"/>
      <c r="I7" s="1958" t="s">
        <v>65</v>
      </c>
      <c r="J7" s="1959"/>
      <c r="K7" s="1960"/>
      <c r="L7" s="1957"/>
      <c r="M7" s="1957"/>
      <c r="N7" s="1957"/>
    </row>
    <row r="8" spans="1:19" s="29" customFormat="1" ht="24.75" customHeight="1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958" t="s">
        <v>89</v>
      </c>
      <c r="M8" s="958" t="s">
        <v>128</v>
      </c>
      <c r="N8" s="958" t="s">
        <v>434</v>
      </c>
      <c r="O8" s="357"/>
      <c r="P8" s="357"/>
      <c r="Q8" s="1956"/>
      <c r="R8" s="1956"/>
      <c r="S8" s="1956"/>
    </row>
    <row r="9" spans="1:17" s="29" customFormat="1" ht="13.5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2">
        <v>6</v>
      </c>
      <c r="G9" s="422">
        <v>7</v>
      </c>
      <c r="H9" s="424">
        <v>8</v>
      </c>
      <c r="I9" s="421">
        <v>9</v>
      </c>
      <c r="J9" s="422">
        <v>10</v>
      </c>
      <c r="K9" s="424">
        <v>11</v>
      </c>
      <c r="L9" s="1198"/>
      <c r="M9" s="1198"/>
      <c r="N9" s="1198"/>
      <c r="O9" s="357"/>
      <c r="P9" s="357"/>
      <c r="Q9" s="357"/>
    </row>
    <row r="10" spans="1:17" s="29" customFormat="1" ht="18.75" thickBot="1">
      <c r="A10" s="380"/>
      <c r="B10" s="425" t="s">
        <v>129</v>
      </c>
      <c r="C10" s="384"/>
      <c r="D10" s="385"/>
      <c r="E10" s="383"/>
      <c r="F10" s="384"/>
      <c r="G10" s="385"/>
      <c r="H10" s="383"/>
      <c r="I10" s="384"/>
      <c r="J10" s="385"/>
      <c r="K10" s="383"/>
      <c r="L10" s="1199"/>
      <c r="M10" s="1199"/>
      <c r="N10" s="1199"/>
      <c r="O10" s="234"/>
      <c r="P10" s="234"/>
      <c r="Q10" s="234"/>
    </row>
    <row r="11" spans="1:17" s="29" customFormat="1" ht="16.5" thickBot="1">
      <c r="A11" s="313">
        <v>1</v>
      </c>
      <c r="B11" s="305" t="s">
        <v>113</v>
      </c>
      <c r="C11" s="319"/>
      <c r="D11" s="314"/>
      <c r="E11" s="358">
        <f>SUM(C11:D11)</f>
        <v>0</v>
      </c>
      <c r="F11" s="314"/>
      <c r="G11" s="314"/>
      <c r="H11" s="358">
        <f>SUM(F11:G11)</f>
        <v>0</v>
      </c>
      <c r="I11" s="319"/>
      <c r="J11" s="314"/>
      <c r="K11" s="358">
        <f aca="true" t="shared" si="0" ref="K11:K16">SUM(I11:J11)</f>
        <v>0</v>
      </c>
      <c r="L11" s="961"/>
      <c r="M11" s="961"/>
      <c r="N11" s="961"/>
      <c r="O11" s="234"/>
      <c r="P11" s="234"/>
      <c r="Q11" s="234"/>
    </row>
    <row r="12" spans="1:17" s="28" customFormat="1" ht="16.5" thickBot="1">
      <c r="A12" s="317">
        <v>2</v>
      </c>
      <c r="B12" s="305" t="s">
        <v>202</v>
      </c>
      <c r="C12" s="316"/>
      <c r="D12" s="314"/>
      <c r="E12" s="358">
        <f>SUM(C12:D12)</f>
        <v>0</v>
      </c>
      <c r="F12" s="316"/>
      <c r="G12" s="314"/>
      <c r="H12" s="358">
        <f>SUM(F12:G12)</f>
        <v>0</v>
      </c>
      <c r="I12" s="319"/>
      <c r="J12" s="314"/>
      <c r="K12" s="358">
        <f t="shared" si="0"/>
        <v>0</v>
      </c>
      <c r="L12" s="959"/>
      <c r="M12" s="959"/>
      <c r="N12" s="959">
        <f>SUM(L12:M12)</f>
        <v>0</v>
      </c>
      <c r="O12" s="268"/>
      <c r="P12" s="268"/>
      <c r="Q12" s="268"/>
    </row>
    <row r="13" spans="1:17" s="15" customFormat="1" ht="16.5" thickBot="1">
      <c r="A13" s="317">
        <v>3</v>
      </c>
      <c r="B13" s="305" t="s">
        <v>116</v>
      </c>
      <c r="C13" s="316">
        <v>6000</v>
      </c>
      <c r="D13" s="314"/>
      <c r="E13" s="358">
        <f>SUM(C13:D13)</f>
        <v>6000</v>
      </c>
      <c r="F13" s="314"/>
      <c r="G13" s="314"/>
      <c r="H13" s="358">
        <f>SUM(F13:G13)</f>
        <v>0</v>
      </c>
      <c r="I13" s="319">
        <v>45000</v>
      </c>
      <c r="J13" s="314">
        <v>8100</v>
      </c>
      <c r="K13" s="358">
        <f t="shared" si="0"/>
        <v>53100</v>
      </c>
      <c r="L13" s="959"/>
      <c r="M13" s="959"/>
      <c r="N13" s="959">
        <f>SUM(L13:M13)</f>
        <v>0</v>
      </c>
      <c r="O13" s="200"/>
      <c r="P13" s="200"/>
      <c r="Q13" s="200"/>
    </row>
    <row r="14" spans="1:17" s="15" customFormat="1" ht="16.5" thickBot="1">
      <c r="A14" s="317">
        <v>4</v>
      </c>
      <c r="B14" s="305" t="s">
        <v>172</v>
      </c>
      <c r="C14" s="316"/>
      <c r="D14" s="316"/>
      <c r="E14" s="320">
        <f>SUM(C14:D14)</f>
        <v>0</v>
      </c>
      <c r="F14" s="316"/>
      <c r="G14" s="316"/>
      <c r="H14" s="320">
        <f>SUM(F14:G14)</f>
        <v>0</v>
      </c>
      <c r="I14" s="319"/>
      <c r="J14" s="316"/>
      <c r="K14" s="320">
        <f t="shared" si="0"/>
        <v>0</v>
      </c>
      <c r="L14" s="959"/>
      <c r="M14" s="959"/>
      <c r="N14" s="959">
        <f>SUM(L14:M14)</f>
        <v>0</v>
      </c>
      <c r="O14" s="200"/>
      <c r="P14" s="200"/>
      <c r="Q14" s="200"/>
    </row>
    <row r="15" spans="1:17" ht="15">
      <c r="A15" s="156" t="s">
        <v>98</v>
      </c>
      <c r="B15" s="145" t="s">
        <v>383</v>
      </c>
      <c r="C15" s="226"/>
      <c r="D15" s="226"/>
      <c r="E15" s="389">
        <f>C15+D15</f>
        <v>0</v>
      </c>
      <c r="F15" s="226"/>
      <c r="G15" s="226"/>
      <c r="H15" s="389">
        <f>F15+G15</f>
        <v>0</v>
      </c>
      <c r="I15" s="227"/>
      <c r="J15" s="226"/>
      <c r="K15" s="389">
        <f t="shared" si="0"/>
        <v>0</v>
      </c>
      <c r="L15" s="960"/>
      <c r="M15" s="960"/>
      <c r="N15" s="960">
        <f>SUM(L15:M15)</f>
        <v>0</v>
      </c>
      <c r="O15" s="88"/>
      <c r="P15" s="88"/>
      <c r="Q15" s="88"/>
    </row>
    <row r="16" spans="1:17" ht="15">
      <c r="A16" s="153" t="s">
        <v>99</v>
      </c>
      <c r="B16" s="149" t="s">
        <v>626</v>
      </c>
      <c r="C16" s="139"/>
      <c r="D16" s="139"/>
      <c r="E16" s="389">
        <f>C16+D16</f>
        <v>0</v>
      </c>
      <c r="F16" s="139"/>
      <c r="G16" s="139"/>
      <c r="H16" s="389">
        <f>F16+G16</f>
        <v>0</v>
      </c>
      <c r="I16" s="143"/>
      <c r="J16" s="139"/>
      <c r="K16" s="389">
        <f t="shared" si="0"/>
        <v>0</v>
      </c>
      <c r="L16" s="960"/>
      <c r="M16" s="960"/>
      <c r="N16" s="960">
        <f>SUM(L16:M16)</f>
        <v>0</v>
      </c>
      <c r="O16" s="88"/>
      <c r="P16" s="88"/>
      <c r="Q16" s="88"/>
    </row>
    <row r="17" spans="1:17" ht="15">
      <c r="A17" s="153" t="s">
        <v>100</v>
      </c>
      <c r="B17" s="149" t="s">
        <v>627</v>
      </c>
      <c r="C17" s="139"/>
      <c r="D17" s="139"/>
      <c r="E17" s="389">
        <f aca="true" t="shared" si="1" ref="E17:E22">C17+D17</f>
        <v>0</v>
      </c>
      <c r="F17" s="139"/>
      <c r="G17" s="139"/>
      <c r="H17" s="389">
        <f aca="true" t="shared" si="2" ref="H17:H22">F17+G17</f>
        <v>0</v>
      </c>
      <c r="I17" s="143"/>
      <c r="J17" s="139"/>
      <c r="K17" s="389">
        <f aca="true" t="shared" si="3" ref="K17:K22">SUM(I17:J17)</f>
        <v>0</v>
      </c>
      <c r="L17" s="960"/>
      <c r="M17" s="960"/>
      <c r="N17" s="960">
        <f aca="true" t="shared" si="4" ref="N17:N22">SUM(L17:M17)</f>
        <v>0</v>
      </c>
      <c r="O17" s="88"/>
      <c r="P17" s="88"/>
      <c r="Q17" s="88"/>
    </row>
    <row r="18" spans="1:17" ht="15">
      <c r="A18" s="153" t="s">
        <v>101</v>
      </c>
      <c r="B18" s="149" t="s">
        <v>384</v>
      </c>
      <c r="C18" s="143"/>
      <c r="D18" s="139"/>
      <c r="E18" s="389">
        <f t="shared" si="1"/>
        <v>0</v>
      </c>
      <c r="F18" s="139"/>
      <c r="G18" s="139"/>
      <c r="H18" s="389">
        <f t="shared" si="2"/>
        <v>0</v>
      </c>
      <c r="I18" s="143"/>
      <c r="J18" s="139"/>
      <c r="K18" s="389">
        <f t="shared" si="3"/>
        <v>0</v>
      </c>
      <c r="L18" s="960"/>
      <c r="M18" s="960"/>
      <c r="N18" s="960">
        <f t="shared" si="4"/>
        <v>0</v>
      </c>
      <c r="O18" s="88"/>
      <c r="P18" s="88"/>
      <c r="Q18" s="88"/>
    </row>
    <row r="19" spans="1:17" ht="15">
      <c r="A19" s="148" t="s">
        <v>192</v>
      </c>
      <c r="B19" s="149" t="s">
        <v>628</v>
      </c>
      <c r="C19" s="906"/>
      <c r="D19" s="139"/>
      <c r="E19" s="228">
        <f>C19+D19</f>
        <v>0</v>
      </c>
      <c r="F19" s="139"/>
      <c r="G19" s="139"/>
      <c r="H19" s="389">
        <f>F19+G19</f>
        <v>0</v>
      </c>
      <c r="I19" s="143"/>
      <c r="J19" s="139"/>
      <c r="K19" s="389">
        <f>SUM(I19:J19)</f>
        <v>0</v>
      </c>
      <c r="L19" s="960"/>
      <c r="M19" s="960"/>
      <c r="N19" s="960">
        <f>SUM(L19:M19)</f>
        <v>0</v>
      </c>
      <c r="O19" s="88"/>
      <c r="P19" s="88"/>
      <c r="Q19" s="88"/>
    </row>
    <row r="20" spans="1:17" ht="15">
      <c r="A20" s="148" t="s">
        <v>339</v>
      </c>
      <c r="B20" s="149" t="s">
        <v>629</v>
      </c>
      <c r="C20" s="906"/>
      <c r="D20" s="139"/>
      <c r="E20" s="228">
        <f t="shared" si="1"/>
        <v>0</v>
      </c>
      <c r="F20" s="307"/>
      <c r="G20" s="139"/>
      <c r="H20" s="228">
        <f t="shared" si="2"/>
        <v>0</v>
      </c>
      <c r="I20" s="143"/>
      <c r="J20" s="139"/>
      <c r="K20" s="389">
        <f t="shared" si="3"/>
        <v>0</v>
      </c>
      <c r="L20" s="960"/>
      <c r="M20" s="960"/>
      <c r="N20" s="960">
        <f t="shared" si="4"/>
        <v>0</v>
      </c>
      <c r="O20" s="88"/>
      <c r="P20" s="88"/>
      <c r="Q20" s="88"/>
    </row>
    <row r="21" spans="1:17" ht="15">
      <c r="A21" s="148" t="s">
        <v>340</v>
      </c>
      <c r="B21" s="149" t="s">
        <v>385</v>
      </c>
      <c r="C21" s="887">
        <v>185900</v>
      </c>
      <c r="D21" s="226"/>
      <c r="E21" s="228">
        <f t="shared" si="1"/>
        <v>185900</v>
      </c>
      <c r="F21" s="306">
        <v>310000</v>
      </c>
      <c r="G21" s="226"/>
      <c r="H21" s="228">
        <f t="shared" si="2"/>
        <v>310000</v>
      </c>
      <c r="I21" s="1075"/>
      <c r="J21" s="139"/>
      <c r="K21" s="228">
        <f t="shared" si="3"/>
        <v>0</v>
      </c>
      <c r="L21" s="960"/>
      <c r="M21" s="960"/>
      <c r="N21" s="960">
        <f t="shared" si="4"/>
        <v>0</v>
      </c>
      <c r="O21" s="88"/>
      <c r="P21" s="88"/>
      <c r="Q21" s="88"/>
    </row>
    <row r="22" spans="1:17" ht="15" customHeight="1" thickBot="1">
      <c r="A22" s="16" t="s">
        <v>69</v>
      </c>
      <c r="B22" s="334" t="s">
        <v>386</v>
      </c>
      <c r="C22" s="886"/>
      <c r="D22" s="151"/>
      <c r="E22" s="228">
        <f t="shared" si="1"/>
        <v>0</v>
      </c>
      <c r="F22" s="308"/>
      <c r="G22" s="151"/>
      <c r="H22" s="228">
        <f t="shared" si="2"/>
        <v>0</v>
      </c>
      <c r="I22" s="907"/>
      <c r="J22" s="151"/>
      <c r="K22" s="228">
        <f t="shared" si="3"/>
        <v>0</v>
      </c>
      <c r="L22" s="960"/>
      <c r="M22" s="960"/>
      <c r="N22" s="960">
        <f t="shared" si="4"/>
        <v>0</v>
      </c>
      <c r="O22" s="88"/>
      <c r="P22" s="88"/>
      <c r="Q22" s="88"/>
    </row>
    <row r="23" spans="1:17" s="15" customFormat="1" ht="16.5" thickBot="1">
      <c r="A23" s="317">
        <v>5</v>
      </c>
      <c r="B23" s="305" t="s">
        <v>171</v>
      </c>
      <c r="C23" s="347">
        <f aca="true" t="shared" si="5" ref="C23:N23">SUM(C15:C22)</f>
        <v>185900</v>
      </c>
      <c r="D23" s="314">
        <f t="shared" si="5"/>
        <v>0</v>
      </c>
      <c r="E23" s="320">
        <f t="shared" si="5"/>
        <v>185900</v>
      </c>
      <c r="F23" s="330">
        <f t="shared" si="5"/>
        <v>310000</v>
      </c>
      <c r="G23" s="314">
        <f t="shared" si="5"/>
        <v>0</v>
      </c>
      <c r="H23" s="330">
        <f t="shared" si="5"/>
        <v>310000</v>
      </c>
      <c r="I23" s="347">
        <f t="shared" si="5"/>
        <v>0</v>
      </c>
      <c r="J23" s="314">
        <f t="shared" si="5"/>
        <v>0</v>
      </c>
      <c r="K23" s="320">
        <f t="shared" si="5"/>
        <v>0</v>
      </c>
      <c r="L23" s="959">
        <f t="shared" si="5"/>
        <v>0</v>
      </c>
      <c r="M23" s="959">
        <f t="shared" si="5"/>
        <v>0</v>
      </c>
      <c r="N23" s="959">
        <f t="shared" si="5"/>
        <v>0</v>
      </c>
      <c r="O23" s="200"/>
      <c r="P23" s="200"/>
      <c r="Q23" s="200"/>
    </row>
    <row r="24" spans="1:17" ht="16.5" thickBot="1">
      <c r="A24" s="313">
        <v>6</v>
      </c>
      <c r="B24" s="305" t="s">
        <v>174</v>
      </c>
      <c r="C24" s="318"/>
      <c r="D24" s="314"/>
      <c r="E24" s="320">
        <f aca="true" t="shared" si="6" ref="E24:E30">SUM(C24:D24)</f>
        <v>0</v>
      </c>
      <c r="F24" s="318"/>
      <c r="G24" s="314"/>
      <c r="H24" s="320">
        <f aca="true" t="shared" si="7" ref="H24:H30">SUM(F24:G24)</f>
        <v>0</v>
      </c>
      <c r="I24" s="347"/>
      <c r="J24" s="314"/>
      <c r="K24" s="320">
        <f aca="true" t="shared" si="8" ref="K24:K30">SUM(I24:J24)</f>
        <v>0</v>
      </c>
      <c r="L24" s="959"/>
      <c r="M24" s="959"/>
      <c r="N24" s="959">
        <f aca="true" t="shared" si="9" ref="N24:N30">SUM(L24:M24)</f>
        <v>0</v>
      </c>
      <c r="O24" s="88"/>
      <c r="P24" s="88"/>
      <c r="Q24" s="88"/>
    </row>
    <row r="25" spans="1:17" s="15" customFormat="1" ht="16.5" thickBot="1">
      <c r="A25" s="313">
        <v>7</v>
      </c>
      <c r="B25" s="305" t="s">
        <v>435</v>
      </c>
      <c r="C25" s="318"/>
      <c r="D25" s="314"/>
      <c r="E25" s="320">
        <f t="shared" si="6"/>
        <v>0</v>
      </c>
      <c r="F25" s="318"/>
      <c r="G25" s="314"/>
      <c r="H25" s="320">
        <f t="shared" si="7"/>
        <v>0</v>
      </c>
      <c r="I25" s="347"/>
      <c r="J25" s="314"/>
      <c r="K25" s="320">
        <f t="shared" si="8"/>
        <v>0</v>
      </c>
      <c r="L25" s="959"/>
      <c r="M25" s="959"/>
      <c r="N25" s="959">
        <f t="shared" si="9"/>
        <v>0</v>
      </c>
      <c r="O25" s="200"/>
      <c r="P25" s="200"/>
      <c r="Q25" s="200"/>
    </row>
    <row r="26" spans="1:17" ht="15">
      <c r="A26" s="156" t="s">
        <v>98</v>
      </c>
      <c r="B26" s="149" t="s">
        <v>632</v>
      </c>
      <c r="C26" s="306"/>
      <c r="D26" s="226"/>
      <c r="E26" s="228">
        <f t="shared" si="6"/>
        <v>0</v>
      </c>
      <c r="F26" s="306"/>
      <c r="G26" s="226"/>
      <c r="H26" s="228">
        <f t="shared" si="7"/>
        <v>0</v>
      </c>
      <c r="I26" s="1075"/>
      <c r="J26" s="226"/>
      <c r="K26" s="228">
        <f t="shared" si="8"/>
        <v>0</v>
      </c>
      <c r="L26" s="960"/>
      <c r="M26" s="960"/>
      <c r="N26" s="960">
        <f t="shared" si="9"/>
        <v>0</v>
      </c>
      <c r="O26" s="88"/>
      <c r="P26" s="88"/>
      <c r="Q26" s="88"/>
    </row>
    <row r="27" spans="1:17" ht="15">
      <c r="A27" s="156" t="s">
        <v>99</v>
      </c>
      <c r="B27" s="149" t="s">
        <v>630</v>
      </c>
      <c r="C27" s="306"/>
      <c r="D27" s="226"/>
      <c r="E27" s="228">
        <f t="shared" si="6"/>
        <v>0</v>
      </c>
      <c r="F27" s="306"/>
      <c r="G27" s="226"/>
      <c r="H27" s="228">
        <f t="shared" si="7"/>
        <v>0</v>
      </c>
      <c r="I27" s="1075"/>
      <c r="J27" s="226"/>
      <c r="K27" s="228">
        <f t="shared" si="8"/>
        <v>0</v>
      </c>
      <c r="L27" s="960"/>
      <c r="M27" s="960"/>
      <c r="N27" s="960">
        <f t="shared" si="9"/>
        <v>0</v>
      </c>
      <c r="O27" s="88"/>
      <c r="P27" s="88"/>
      <c r="Q27" s="88"/>
    </row>
    <row r="28" spans="1:17" ht="15">
      <c r="A28" s="156" t="s">
        <v>100</v>
      </c>
      <c r="B28" s="149" t="s">
        <v>387</v>
      </c>
      <c r="C28" s="306"/>
      <c r="D28" s="226"/>
      <c r="E28" s="228">
        <f t="shared" si="6"/>
        <v>0</v>
      </c>
      <c r="F28" s="306"/>
      <c r="G28" s="226"/>
      <c r="H28" s="228">
        <f t="shared" si="7"/>
        <v>0</v>
      </c>
      <c r="I28" s="1075"/>
      <c r="J28" s="226"/>
      <c r="K28" s="228">
        <f t="shared" si="8"/>
        <v>0</v>
      </c>
      <c r="L28" s="960"/>
      <c r="M28" s="960"/>
      <c r="N28" s="960">
        <f t="shared" si="9"/>
        <v>0</v>
      </c>
      <c r="O28" s="88"/>
      <c r="P28" s="88"/>
      <c r="Q28" s="88"/>
    </row>
    <row r="29" spans="1:17" ht="15">
      <c r="A29" s="156" t="s">
        <v>101</v>
      </c>
      <c r="B29" s="149" t="s">
        <v>631</v>
      </c>
      <c r="C29" s="306"/>
      <c r="D29" s="226"/>
      <c r="E29" s="228">
        <f t="shared" si="6"/>
        <v>0</v>
      </c>
      <c r="F29" s="306"/>
      <c r="G29" s="226"/>
      <c r="H29" s="228">
        <f t="shared" si="7"/>
        <v>0</v>
      </c>
      <c r="I29" s="1075"/>
      <c r="J29" s="226"/>
      <c r="K29" s="228">
        <f t="shared" si="8"/>
        <v>0</v>
      </c>
      <c r="L29" s="960"/>
      <c r="M29" s="960"/>
      <c r="N29" s="960">
        <f t="shared" si="9"/>
        <v>0</v>
      </c>
      <c r="O29" s="88"/>
      <c r="P29" s="88"/>
      <c r="Q29" s="88"/>
    </row>
    <row r="30" spans="1:17" ht="15.75" thickBot="1">
      <c r="A30" s="335" t="s">
        <v>192</v>
      </c>
      <c r="B30" s="149" t="s">
        <v>388</v>
      </c>
      <c r="C30" s="329">
        <v>204667</v>
      </c>
      <c r="D30" s="321"/>
      <c r="E30" s="324">
        <f t="shared" si="6"/>
        <v>204667</v>
      </c>
      <c r="F30" s="329"/>
      <c r="G30" s="321"/>
      <c r="H30" s="324">
        <f t="shared" si="7"/>
        <v>0</v>
      </c>
      <c r="I30" s="1076"/>
      <c r="J30" s="321"/>
      <c r="K30" s="324">
        <f t="shared" si="8"/>
        <v>0</v>
      </c>
      <c r="L30" s="960"/>
      <c r="M30" s="960"/>
      <c r="N30" s="960">
        <f t="shared" si="9"/>
        <v>0</v>
      </c>
      <c r="O30" s="88"/>
      <c r="P30" s="88"/>
      <c r="Q30" s="88"/>
    </row>
    <row r="31" spans="1:17" s="15" customFormat="1" ht="16.5" thickBot="1">
      <c r="A31" s="313">
        <v>8</v>
      </c>
      <c r="B31" s="305" t="s">
        <v>173</v>
      </c>
      <c r="C31" s="318">
        <f aca="true" t="shared" si="10" ref="C31:N31">SUM(C26:C30)</f>
        <v>204667</v>
      </c>
      <c r="D31" s="314">
        <f t="shared" si="10"/>
        <v>0</v>
      </c>
      <c r="E31" s="330">
        <f t="shared" si="10"/>
        <v>204667</v>
      </c>
      <c r="F31" s="347">
        <f t="shared" si="10"/>
        <v>0</v>
      </c>
      <c r="G31" s="314">
        <f t="shared" si="10"/>
        <v>0</v>
      </c>
      <c r="H31" s="320">
        <f t="shared" si="10"/>
        <v>0</v>
      </c>
      <c r="I31" s="347">
        <f t="shared" si="10"/>
        <v>0</v>
      </c>
      <c r="J31" s="314">
        <f t="shared" si="10"/>
        <v>0</v>
      </c>
      <c r="K31" s="320">
        <f t="shared" si="10"/>
        <v>0</v>
      </c>
      <c r="L31" s="959">
        <f t="shared" si="10"/>
        <v>0</v>
      </c>
      <c r="M31" s="959">
        <f t="shared" si="10"/>
        <v>0</v>
      </c>
      <c r="N31" s="959">
        <f t="shared" si="10"/>
        <v>0</v>
      </c>
      <c r="O31" s="200"/>
      <c r="P31" s="200"/>
      <c r="Q31" s="200"/>
    </row>
    <row r="32" spans="1:17" ht="16.5" thickBot="1">
      <c r="A32" s="313">
        <v>9</v>
      </c>
      <c r="B32" s="305" t="s">
        <v>179</v>
      </c>
      <c r="C32" s="318"/>
      <c r="D32" s="314"/>
      <c r="E32" s="320">
        <f>SUM(C32:D32)</f>
        <v>0</v>
      </c>
      <c r="F32" s="318"/>
      <c r="G32" s="314"/>
      <c r="H32" s="320">
        <f>SUM(F32:G32)</f>
        <v>0</v>
      </c>
      <c r="I32" s="347"/>
      <c r="J32" s="314"/>
      <c r="K32" s="320">
        <f>SUM(I32:J32)</f>
        <v>0</v>
      </c>
      <c r="L32" s="959"/>
      <c r="M32" s="959"/>
      <c r="N32" s="959">
        <f>SUM(L32:M32)</f>
        <v>0</v>
      </c>
      <c r="O32" s="88"/>
      <c r="P32" s="88"/>
      <c r="Q32" s="88"/>
    </row>
    <row r="33" spans="1:17" s="32" customFormat="1" ht="16.5" thickBot="1">
      <c r="A33" s="367">
        <v>10</v>
      </c>
      <c r="B33" s="368"/>
      <c r="C33" s="158"/>
      <c r="D33" s="369"/>
      <c r="E33" s="1107">
        <f>SUM(C33:D33)</f>
        <v>0</v>
      </c>
      <c r="F33" s="158"/>
      <c r="G33" s="369"/>
      <c r="H33" s="1107">
        <f>SUM(F33:G33)</f>
        <v>0</v>
      </c>
      <c r="I33" s="158"/>
      <c r="J33" s="369"/>
      <c r="K33" s="1107">
        <f>SUM(I33:J33)</f>
        <v>0</v>
      </c>
      <c r="L33" s="961"/>
      <c r="M33" s="961"/>
      <c r="N33" s="961">
        <f>SUM(L33:M33)</f>
        <v>0</v>
      </c>
      <c r="O33" s="152"/>
      <c r="P33" s="152"/>
      <c r="Q33" s="152"/>
    </row>
    <row r="34" spans="1:17" s="35" customFormat="1" ht="16.5" customHeight="1" thickBot="1" thickTop="1">
      <c r="A34" s="343" t="s">
        <v>108</v>
      </c>
      <c r="B34" s="366" t="s">
        <v>180</v>
      </c>
      <c r="C34" s="365">
        <f aca="true" t="shared" si="11" ref="C34:K34">C11+C12+C13+C23+C14+C31+C25+C24+C32+C33</f>
        <v>396567</v>
      </c>
      <c r="D34" s="344">
        <f t="shared" si="11"/>
        <v>0</v>
      </c>
      <c r="E34" s="363">
        <f t="shared" si="11"/>
        <v>396567</v>
      </c>
      <c r="F34" s="365">
        <f t="shared" si="11"/>
        <v>310000</v>
      </c>
      <c r="G34" s="344">
        <f t="shared" si="11"/>
        <v>0</v>
      </c>
      <c r="H34" s="363">
        <f t="shared" si="11"/>
        <v>310000</v>
      </c>
      <c r="I34" s="365">
        <f t="shared" si="11"/>
        <v>45000</v>
      </c>
      <c r="J34" s="344">
        <f t="shared" si="11"/>
        <v>8100</v>
      </c>
      <c r="K34" s="374">
        <f t="shared" si="11"/>
        <v>53100</v>
      </c>
      <c r="L34" s="961"/>
      <c r="M34" s="961"/>
      <c r="N34" s="961"/>
      <c r="O34" s="160"/>
      <c r="P34" s="160"/>
      <c r="Q34" s="160"/>
    </row>
    <row r="35" spans="1:18" ht="17.25" thickBot="1" thickTop="1">
      <c r="A35" s="144"/>
      <c r="B35" s="346" t="s">
        <v>131</v>
      </c>
      <c r="C35" s="935"/>
      <c r="D35" s="302"/>
      <c r="E35" s="1108"/>
      <c r="F35" s="935"/>
      <c r="G35" s="302"/>
      <c r="H35" s="1108"/>
      <c r="I35" s="1077"/>
      <c r="J35" s="302"/>
      <c r="K35" s="1108"/>
      <c r="L35" s="1200"/>
      <c r="M35" s="1200"/>
      <c r="N35" s="1200"/>
      <c r="O35" s="234"/>
      <c r="P35" s="234"/>
      <c r="Q35" s="234"/>
      <c r="R35" s="29"/>
    </row>
    <row r="36" spans="1:17" s="762" customFormat="1" ht="15">
      <c r="A36" s="769" t="s">
        <v>98</v>
      </c>
      <c r="B36" s="770" t="s">
        <v>389</v>
      </c>
      <c r="C36" s="1085"/>
      <c r="D36" s="771"/>
      <c r="E36" s="776">
        <f aca="true" t="shared" si="12" ref="E36:E44">SUM(C36:D36)</f>
        <v>0</v>
      </c>
      <c r="F36" s="1368">
        <v>200000</v>
      </c>
      <c r="G36" s="771"/>
      <c r="H36" s="776">
        <f aca="true" t="shared" si="13" ref="H36:H44">SUM(F36:G36)</f>
        <v>200000</v>
      </c>
      <c r="I36" s="1085"/>
      <c r="J36" s="771"/>
      <c r="K36" s="776">
        <f aca="true" t="shared" si="14" ref="K36:K44">SUM(I36:J36)</f>
        <v>0</v>
      </c>
      <c r="L36" s="960"/>
      <c r="M36" s="960"/>
      <c r="N36" s="960">
        <f aca="true" t="shared" si="15" ref="N36:N44">SUM(L36:M36)</f>
        <v>0</v>
      </c>
      <c r="O36" s="760"/>
      <c r="P36" s="760"/>
      <c r="Q36" s="760"/>
    </row>
    <row r="37" spans="1:17" s="762" customFormat="1" ht="15">
      <c r="A37" s="153" t="s">
        <v>99</v>
      </c>
      <c r="B37" s="149" t="s">
        <v>245</v>
      </c>
      <c r="C37" s="906"/>
      <c r="D37" s="139"/>
      <c r="E37" s="162">
        <f t="shared" si="12"/>
        <v>0</v>
      </c>
      <c r="F37" s="885"/>
      <c r="G37" s="139"/>
      <c r="H37" s="162">
        <f t="shared" si="13"/>
        <v>0</v>
      </c>
      <c r="I37" s="906"/>
      <c r="J37" s="139"/>
      <c r="K37" s="162">
        <f t="shared" si="14"/>
        <v>0</v>
      </c>
      <c r="L37" s="960"/>
      <c r="M37" s="960"/>
      <c r="N37" s="960">
        <f t="shared" si="15"/>
        <v>0</v>
      </c>
      <c r="O37" s="760"/>
      <c r="P37" s="760"/>
      <c r="Q37" s="760"/>
    </row>
    <row r="38" spans="1:17" s="762" customFormat="1" ht="15">
      <c r="A38" s="335" t="s">
        <v>100</v>
      </c>
      <c r="B38" s="142" t="s">
        <v>390</v>
      </c>
      <c r="C38" s="1076"/>
      <c r="D38" s="321"/>
      <c r="E38" s="324">
        <f t="shared" si="12"/>
        <v>0</v>
      </c>
      <c r="F38" s="157"/>
      <c r="G38" s="321"/>
      <c r="H38" s="324">
        <f t="shared" si="13"/>
        <v>0</v>
      </c>
      <c r="I38" s="1076"/>
      <c r="J38" s="321"/>
      <c r="K38" s="324">
        <f t="shared" si="14"/>
        <v>0</v>
      </c>
      <c r="L38" s="960"/>
      <c r="M38" s="960"/>
      <c r="N38" s="960">
        <f t="shared" si="15"/>
        <v>0</v>
      </c>
      <c r="O38" s="760"/>
      <c r="P38" s="760"/>
      <c r="Q38" s="760"/>
    </row>
    <row r="39" spans="1:17" s="762" customFormat="1" ht="15.75" thickBot="1">
      <c r="A39" s="154" t="s">
        <v>101</v>
      </c>
      <c r="B39" s="155" t="s">
        <v>394</v>
      </c>
      <c r="C39" s="907"/>
      <c r="D39" s="151"/>
      <c r="E39" s="238">
        <f t="shared" si="12"/>
        <v>0</v>
      </c>
      <c r="F39" s="886"/>
      <c r="G39" s="151"/>
      <c r="H39" s="238">
        <f t="shared" si="13"/>
        <v>0</v>
      </c>
      <c r="I39" s="907"/>
      <c r="J39" s="151"/>
      <c r="K39" s="238">
        <f t="shared" si="14"/>
        <v>0</v>
      </c>
      <c r="L39" s="960"/>
      <c r="M39" s="960"/>
      <c r="N39" s="960">
        <f t="shared" si="15"/>
        <v>0</v>
      </c>
      <c r="O39" s="760"/>
      <c r="P39" s="760"/>
      <c r="Q39" s="760"/>
    </row>
    <row r="40" spans="1:17" s="15" customFormat="1" ht="16.5" thickBot="1">
      <c r="A40" s="313">
        <v>1</v>
      </c>
      <c r="B40" s="305" t="s">
        <v>177</v>
      </c>
      <c r="C40" s="347">
        <f aca="true" t="shared" si="16" ref="C40:N40">SUM(C36:C39)</f>
        <v>0</v>
      </c>
      <c r="D40" s="314">
        <f t="shared" si="16"/>
        <v>0</v>
      </c>
      <c r="E40" s="320">
        <f t="shared" si="16"/>
        <v>0</v>
      </c>
      <c r="F40" s="347">
        <f t="shared" si="16"/>
        <v>200000</v>
      </c>
      <c r="G40" s="314">
        <f t="shared" si="16"/>
        <v>0</v>
      </c>
      <c r="H40" s="320">
        <f t="shared" si="16"/>
        <v>200000</v>
      </c>
      <c r="I40" s="347">
        <f t="shared" si="16"/>
        <v>0</v>
      </c>
      <c r="J40" s="314">
        <f t="shared" si="16"/>
        <v>0</v>
      </c>
      <c r="K40" s="320">
        <f t="shared" si="16"/>
        <v>0</v>
      </c>
      <c r="L40" s="959">
        <f t="shared" si="16"/>
        <v>0</v>
      </c>
      <c r="M40" s="959">
        <f t="shared" si="16"/>
        <v>0</v>
      </c>
      <c r="N40" s="959">
        <f t="shared" si="16"/>
        <v>0</v>
      </c>
      <c r="O40" s="200"/>
      <c r="P40" s="200"/>
      <c r="Q40" s="200"/>
    </row>
    <row r="41" spans="1:17" ht="15">
      <c r="A41" s="156" t="s">
        <v>98</v>
      </c>
      <c r="B41" s="145" t="s">
        <v>416</v>
      </c>
      <c r="C41" s="1075"/>
      <c r="D41" s="226"/>
      <c r="E41" s="228">
        <f t="shared" si="12"/>
        <v>0</v>
      </c>
      <c r="F41" s="887"/>
      <c r="G41" s="226"/>
      <c r="H41" s="228">
        <f t="shared" si="13"/>
        <v>0</v>
      </c>
      <c r="I41" s="1075"/>
      <c r="J41" s="226"/>
      <c r="K41" s="228">
        <f t="shared" si="14"/>
        <v>0</v>
      </c>
      <c r="L41" s="960"/>
      <c r="M41" s="960"/>
      <c r="N41" s="960">
        <f t="shared" si="15"/>
        <v>0</v>
      </c>
      <c r="O41" s="88"/>
      <c r="P41" s="88"/>
      <c r="Q41" s="88"/>
    </row>
    <row r="42" spans="1:17" ht="15">
      <c r="A42" s="153" t="s">
        <v>99</v>
      </c>
      <c r="B42" s="149" t="s">
        <v>391</v>
      </c>
      <c r="C42" s="906"/>
      <c r="D42" s="139"/>
      <c r="E42" s="162">
        <f t="shared" si="12"/>
        <v>0</v>
      </c>
      <c r="F42" s="885"/>
      <c r="G42" s="139"/>
      <c r="H42" s="162">
        <f t="shared" si="13"/>
        <v>0</v>
      </c>
      <c r="I42" s="906"/>
      <c r="J42" s="139"/>
      <c r="K42" s="162">
        <f t="shared" si="14"/>
        <v>0</v>
      </c>
      <c r="L42" s="960"/>
      <c r="M42" s="960"/>
      <c r="N42" s="960">
        <f t="shared" si="15"/>
        <v>0</v>
      </c>
      <c r="O42" s="88"/>
      <c r="P42" s="88"/>
      <c r="Q42" s="88"/>
    </row>
    <row r="43" spans="1:17" ht="15">
      <c r="A43" s="153" t="s">
        <v>100</v>
      </c>
      <c r="B43" s="149" t="s">
        <v>392</v>
      </c>
      <c r="C43" s="906"/>
      <c r="D43" s="139"/>
      <c r="E43" s="162">
        <f t="shared" si="12"/>
        <v>0</v>
      </c>
      <c r="F43" s="885"/>
      <c r="G43" s="139"/>
      <c r="H43" s="162">
        <f t="shared" si="13"/>
        <v>0</v>
      </c>
      <c r="I43" s="906"/>
      <c r="J43" s="139"/>
      <c r="K43" s="162">
        <f t="shared" si="14"/>
        <v>0</v>
      </c>
      <c r="L43" s="960"/>
      <c r="M43" s="960"/>
      <c r="N43" s="960">
        <f t="shared" si="15"/>
        <v>0</v>
      </c>
      <c r="O43" s="88"/>
      <c r="P43" s="88"/>
      <c r="Q43" s="88"/>
    </row>
    <row r="44" spans="1:17" ht="15.75" thickBot="1">
      <c r="A44" s="154" t="s">
        <v>101</v>
      </c>
      <c r="B44" s="155" t="s">
        <v>175</v>
      </c>
      <c r="C44" s="907"/>
      <c r="D44" s="151"/>
      <c r="E44" s="238">
        <f t="shared" si="12"/>
        <v>0</v>
      </c>
      <c r="F44" s="886"/>
      <c r="G44" s="151"/>
      <c r="H44" s="238">
        <f t="shared" si="13"/>
        <v>0</v>
      </c>
      <c r="I44" s="907"/>
      <c r="J44" s="151"/>
      <c r="K44" s="238">
        <f t="shared" si="14"/>
        <v>0</v>
      </c>
      <c r="L44" s="960"/>
      <c r="M44" s="960"/>
      <c r="N44" s="960">
        <f t="shared" si="15"/>
        <v>0</v>
      </c>
      <c r="O44" s="88"/>
      <c r="P44" s="88"/>
      <c r="Q44" s="88"/>
    </row>
    <row r="45" spans="1:17" s="962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7" ref="D45:N45">SUM(D41:D44)</f>
        <v>0</v>
      </c>
      <c r="E45" s="330">
        <f t="shared" si="17"/>
        <v>0</v>
      </c>
      <c r="F45" s="347">
        <f t="shared" si="17"/>
        <v>0</v>
      </c>
      <c r="G45" s="314">
        <f t="shared" si="17"/>
        <v>0</v>
      </c>
      <c r="H45" s="330">
        <f t="shared" si="17"/>
        <v>0</v>
      </c>
      <c r="I45" s="347">
        <f t="shared" si="17"/>
        <v>0</v>
      </c>
      <c r="J45" s="314">
        <f t="shared" si="17"/>
        <v>0</v>
      </c>
      <c r="K45" s="320">
        <f t="shared" si="17"/>
        <v>0</v>
      </c>
      <c r="L45" s="959">
        <f t="shared" si="17"/>
        <v>0</v>
      </c>
      <c r="M45" s="959">
        <f t="shared" si="17"/>
        <v>0</v>
      </c>
      <c r="N45" s="959">
        <f t="shared" si="17"/>
        <v>0</v>
      </c>
      <c r="O45" s="278"/>
      <c r="P45" s="278"/>
      <c r="Q45" s="278"/>
    </row>
    <row r="46" spans="1:17" s="962" customFormat="1" ht="16.5" thickBot="1">
      <c r="A46" s="313">
        <v>3</v>
      </c>
      <c r="B46" s="305" t="s">
        <v>264</v>
      </c>
      <c r="C46" s="347"/>
      <c r="D46" s="314"/>
      <c r="E46" s="316">
        <f>SUM(C46:D46)</f>
        <v>0</v>
      </c>
      <c r="F46" s="347"/>
      <c r="G46" s="314"/>
      <c r="H46" s="316">
        <f>SUM(F46:G46)</f>
        <v>0</v>
      </c>
      <c r="I46" s="347"/>
      <c r="J46" s="314"/>
      <c r="K46" s="320">
        <f>SUM(I46:J46)</f>
        <v>0</v>
      </c>
      <c r="L46" s="959"/>
      <c r="M46" s="959"/>
      <c r="N46" s="959">
        <f>SUM(L46:M46)</f>
        <v>0</v>
      </c>
      <c r="O46" s="278"/>
      <c r="P46" s="278"/>
      <c r="Q46" s="278"/>
    </row>
    <row r="47" spans="1:17" s="963" customFormat="1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20">
        <f>SUM(I47:J47)</f>
        <v>0</v>
      </c>
      <c r="L47" s="959"/>
      <c r="M47" s="959"/>
      <c r="N47" s="959">
        <f>SUM(L47:M47)</f>
        <v>0</v>
      </c>
      <c r="O47" s="540"/>
      <c r="P47" s="540"/>
      <c r="Q47" s="540"/>
    </row>
    <row r="48" spans="1:17" s="762" customFormat="1" ht="15">
      <c r="A48" s="156" t="s">
        <v>98</v>
      </c>
      <c r="B48" s="142" t="s">
        <v>291</v>
      </c>
      <c r="C48" s="1075"/>
      <c r="D48" s="226"/>
      <c r="E48" s="228">
        <f>SUM(C48:D48)</f>
        <v>0</v>
      </c>
      <c r="F48" s="887"/>
      <c r="G48" s="226"/>
      <c r="H48" s="228">
        <f>SUM(F48:G48)</f>
        <v>0</v>
      </c>
      <c r="I48" s="1075"/>
      <c r="J48" s="226"/>
      <c r="K48" s="228">
        <f>SUM(I48:J48)</f>
        <v>0</v>
      </c>
      <c r="L48" s="960"/>
      <c r="M48" s="960"/>
      <c r="N48" s="960">
        <f>SUM(L48:M48)</f>
        <v>0</v>
      </c>
      <c r="O48" s="760"/>
      <c r="P48" s="760"/>
      <c r="Q48" s="760"/>
    </row>
    <row r="49" spans="1:17" ht="1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60"/>
      <c r="M49" s="960"/>
      <c r="N49" s="960">
        <f>SUM(L49:M49)</f>
        <v>0</v>
      </c>
      <c r="O49" s="88"/>
      <c r="P49" s="88"/>
      <c r="Q49" s="88"/>
    </row>
    <row r="50" spans="1:17" ht="15.75" thickBot="1">
      <c r="A50" s="154" t="s">
        <v>100</v>
      </c>
      <c r="B50" s="334" t="s">
        <v>426</v>
      </c>
      <c r="C50" s="906">
        <v>174667</v>
      </c>
      <c r="D50" s="139"/>
      <c r="E50" s="162">
        <f>SUM(C50:D50)</f>
        <v>174667</v>
      </c>
      <c r="F50" s="885"/>
      <c r="G50" s="139"/>
      <c r="H50" s="162">
        <f>SUM(F50:G50)</f>
        <v>0</v>
      </c>
      <c r="I50" s="906"/>
      <c r="J50" s="139"/>
      <c r="K50" s="162">
        <f>SUM(I50:J50)</f>
        <v>0</v>
      </c>
      <c r="L50" s="960"/>
      <c r="M50" s="960"/>
      <c r="N50" s="960">
        <f>SUM(L50:M50)</f>
        <v>0</v>
      </c>
      <c r="O50" s="88"/>
      <c r="P50" s="88"/>
      <c r="Q50" s="88"/>
    </row>
    <row r="51" spans="1:17" s="15" customFormat="1" ht="16.5" thickBot="1">
      <c r="A51" s="313">
        <v>5</v>
      </c>
      <c r="B51" s="436" t="s">
        <v>178</v>
      </c>
      <c r="C51" s="347">
        <f>SUM(C48:C50)</f>
        <v>174667</v>
      </c>
      <c r="D51" s="314">
        <f>SUM(D48:D50)</f>
        <v>0</v>
      </c>
      <c r="E51" s="316">
        <f aca="true" t="shared" si="18" ref="E51:N51">SUM(E48:E50)</f>
        <v>174667</v>
      </c>
      <c r="F51" s="347">
        <f t="shared" si="18"/>
        <v>0</v>
      </c>
      <c r="G51" s="314">
        <f t="shared" si="18"/>
        <v>0</v>
      </c>
      <c r="H51" s="316">
        <f t="shared" si="18"/>
        <v>0</v>
      </c>
      <c r="I51" s="347">
        <f t="shared" si="18"/>
        <v>0</v>
      </c>
      <c r="J51" s="314">
        <f t="shared" si="18"/>
        <v>0</v>
      </c>
      <c r="K51" s="320">
        <f t="shared" si="18"/>
        <v>0</v>
      </c>
      <c r="L51" s="959">
        <f t="shared" si="18"/>
        <v>0</v>
      </c>
      <c r="M51" s="959">
        <f t="shared" si="18"/>
        <v>0</v>
      </c>
      <c r="N51" s="959">
        <f t="shared" si="18"/>
        <v>0</v>
      </c>
      <c r="O51" s="200"/>
      <c r="P51" s="200"/>
      <c r="Q51" s="200"/>
    </row>
    <row r="52" spans="1:17" s="15" customFormat="1" ht="16.5" thickBot="1">
      <c r="A52" s="765">
        <v>6</v>
      </c>
      <c r="B52" s="767" t="s">
        <v>295</v>
      </c>
      <c r="C52" s="1078"/>
      <c r="D52" s="339"/>
      <c r="E52" s="332">
        <f>SUM(C52:D52)</f>
        <v>0</v>
      </c>
      <c r="F52" s="333"/>
      <c r="G52" s="339"/>
      <c r="H52" s="332">
        <f>SUM(F52:G52)</f>
        <v>0</v>
      </c>
      <c r="I52" s="1084"/>
      <c r="J52" s="339"/>
      <c r="K52" s="332">
        <f>SUM(I52:J52)</f>
        <v>0</v>
      </c>
      <c r="L52" s="959"/>
      <c r="M52" s="959"/>
      <c r="N52" s="959">
        <f>SUM(L52:M52)</f>
        <v>0</v>
      </c>
      <c r="O52" s="200"/>
      <c r="P52" s="200"/>
      <c r="Q52" s="200"/>
    </row>
    <row r="53" spans="1:17" ht="15">
      <c r="A53" s="137" t="s">
        <v>98</v>
      </c>
      <c r="B53" s="438" t="s">
        <v>395</v>
      </c>
      <c r="C53" s="1079"/>
      <c r="D53" s="140"/>
      <c r="E53" s="195">
        <f>SUM(C53:D53)</f>
        <v>0</v>
      </c>
      <c r="F53" s="889"/>
      <c r="G53" s="140"/>
      <c r="H53" s="195">
        <f>SUM(F53:G53)</f>
        <v>0</v>
      </c>
      <c r="I53" s="1079"/>
      <c r="J53" s="140"/>
      <c r="K53" s="195">
        <f>SUM(I53:J53)</f>
        <v>0</v>
      </c>
      <c r="L53" s="960"/>
      <c r="M53" s="960"/>
      <c r="N53" s="960">
        <f>SUM(L53:M53)</f>
        <v>0</v>
      </c>
      <c r="O53" s="88"/>
      <c r="P53" s="88"/>
      <c r="Q53" s="88"/>
    </row>
    <row r="54" spans="1:17" ht="15.75" thickBot="1">
      <c r="A54" s="335" t="s">
        <v>99</v>
      </c>
      <c r="B54" s="437" t="s">
        <v>396</v>
      </c>
      <c r="C54" s="1076"/>
      <c r="D54" s="321"/>
      <c r="E54" s="324">
        <f>SUM(C54:D54)</f>
        <v>0</v>
      </c>
      <c r="F54" s="157"/>
      <c r="G54" s="321"/>
      <c r="H54" s="324">
        <f>SUM(F54:G54)</f>
        <v>0</v>
      </c>
      <c r="I54" s="1076"/>
      <c r="J54" s="321"/>
      <c r="K54" s="324">
        <f>SUM(I54:J54)</f>
        <v>0</v>
      </c>
      <c r="L54" s="960"/>
      <c r="M54" s="960"/>
      <c r="N54" s="960">
        <f>SUM(L54:M54)</f>
        <v>0</v>
      </c>
      <c r="O54" s="88"/>
      <c r="P54" s="88"/>
      <c r="Q54" s="88"/>
    </row>
    <row r="55" spans="1:17" s="15" customFormat="1" ht="17.25" customHeight="1" thickBot="1">
      <c r="A55" s="313">
        <v>7</v>
      </c>
      <c r="B55" s="436" t="s">
        <v>181</v>
      </c>
      <c r="C55" s="347">
        <f>SUM(C53:C54)</f>
        <v>0</v>
      </c>
      <c r="D55" s="314">
        <f aca="true" t="shared" si="19" ref="D55:N55">SUM(D53:D54)</f>
        <v>0</v>
      </c>
      <c r="E55" s="316">
        <f t="shared" si="19"/>
        <v>0</v>
      </c>
      <c r="F55" s="347">
        <f t="shared" si="19"/>
        <v>0</v>
      </c>
      <c r="G55" s="314">
        <f t="shared" si="19"/>
        <v>0</v>
      </c>
      <c r="H55" s="316">
        <f t="shared" si="19"/>
        <v>0</v>
      </c>
      <c r="I55" s="347">
        <f t="shared" si="19"/>
        <v>0</v>
      </c>
      <c r="J55" s="314">
        <f t="shared" si="19"/>
        <v>0</v>
      </c>
      <c r="K55" s="320">
        <f t="shared" si="19"/>
        <v>0</v>
      </c>
      <c r="L55" s="959">
        <f t="shared" si="19"/>
        <v>0</v>
      </c>
      <c r="M55" s="959">
        <f t="shared" si="19"/>
        <v>0</v>
      </c>
      <c r="N55" s="959">
        <f t="shared" si="19"/>
        <v>0</v>
      </c>
      <c r="O55" s="200"/>
      <c r="P55" s="200"/>
      <c r="Q55" s="200"/>
    </row>
    <row r="56" spans="1:17" s="28" customFormat="1" ht="19.5" customHeight="1" thickBot="1">
      <c r="A56" s="716">
        <v>8</v>
      </c>
      <c r="B56" s="717" t="s">
        <v>46</v>
      </c>
      <c r="C56" s="1111">
        <f>C34-C40-C45-C46-C47-C51-C52-C55-C57-C58-C59</f>
        <v>221900</v>
      </c>
      <c r="D56" s="1112">
        <f>D34-D40-D45-D46-D47-D51-D52-D55-D57-D58-D59</f>
        <v>0</v>
      </c>
      <c r="E56" s="1109">
        <f aca="true" t="shared" si="20" ref="E56:N56">E34-E40-E45-E46-E47-E51-E52-E55-E57-E58-E59</f>
        <v>221900</v>
      </c>
      <c r="F56" s="1111">
        <f t="shared" si="20"/>
        <v>110000</v>
      </c>
      <c r="G56" s="1112">
        <f t="shared" si="20"/>
        <v>0</v>
      </c>
      <c r="H56" s="1109">
        <f t="shared" si="20"/>
        <v>110000</v>
      </c>
      <c r="I56" s="1111">
        <f t="shared" si="20"/>
        <v>45000</v>
      </c>
      <c r="J56" s="1112">
        <f t="shared" si="20"/>
        <v>8100</v>
      </c>
      <c r="K56" s="1149">
        <f t="shared" si="20"/>
        <v>53100</v>
      </c>
      <c r="L56" s="961">
        <f t="shared" si="20"/>
        <v>0</v>
      </c>
      <c r="M56" s="961">
        <f t="shared" si="20"/>
        <v>0</v>
      </c>
      <c r="N56" s="961">
        <f t="shared" si="20"/>
        <v>0</v>
      </c>
      <c r="O56" s="268"/>
      <c r="P56" s="268"/>
      <c r="Q56" s="268"/>
    </row>
    <row r="57" spans="1:17" s="15" customFormat="1" ht="15.75">
      <c r="A57" s="336" t="s">
        <v>398</v>
      </c>
      <c r="B57" s="337" t="s">
        <v>184</v>
      </c>
      <c r="C57" s="1081"/>
      <c r="D57" s="327"/>
      <c r="E57" s="1110">
        <f>SUM(C57:D57)</f>
        <v>0</v>
      </c>
      <c r="F57" s="890"/>
      <c r="G57" s="327"/>
      <c r="H57" s="1110">
        <f>SUM(F57:G57)</f>
        <v>0</v>
      </c>
      <c r="I57" s="1081"/>
      <c r="J57" s="327"/>
      <c r="K57" s="1110">
        <f>SUM(I57:J57)</f>
        <v>0</v>
      </c>
      <c r="L57" s="961"/>
      <c r="M57" s="961"/>
      <c r="N57" s="961">
        <f>SUM(L57:M57)</f>
        <v>0</v>
      </c>
      <c r="O57" s="200"/>
      <c r="P57" s="200"/>
      <c r="Q57" s="200"/>
    </row>
    <row r="58" spans="1:17" s="15" customFormat="1" ht="15.75">
      <c r="A58" s="336" t="s">
        <v>183</v>
      </c>
      <c r="B58" s="337" t="s">
        <v>397</v>
      </c>
      <c r="C58" s="1081"/>
      <c r="D58" s="327"/>
      <c r="E58" s="1110">
        <f>SUM(C58:D58)</f>
        <v>0</v>
      </c>
      <c r="F58" s="331"/>
      <c r="G58" s="327"/>
      <c r="H58" s="402">
        <f>SUM(F58:G58)</f>
        <v>0</v>
      </c>
      <c r="I58" s="326"/>
      <c r="J58" s="327"/>
      <c r="K58" s="402">
        <f>SUM(I58:J58)</f>
        <v>0</v>
      </c>
      <c r="L58" s="961"/>
      <c r="M58" s="961"/>
      <c r="N58" s="961">
        <f>SUM(L58:M58)</f>
        <v>0</v>
      </c>
      <c r="O58" s="200"/>
      <c r="P58" s="200"/>
      <c r="Q58" s="200"/>
    </row>
    <row r="59" spans="1:18" s="15" customFormat="1" ht="16.5" thickBot="1">
      <c r="A59" s="351">
        <v>10</v>
      </c>
      <c r="B59" s="352"/>
      <c r="C59" s="353"/>
      <c r="D59" s="354"/>
      <c r="E59" s="407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961"/>
      <c r="M59" s="961"/>
      <c r="N59" s="961">
        <f>SUM(L59:M59)</f>
        <v>0</v>
      </c>
      <c r="O59" s="152"/>
      <c r="P59" s="152"/>
      <c r="Q59" s="152"/>
      <c r="R59" s="32"/>
    </row>
    <row r="60" spans="1:17" s="32" customFormat="1" ht="17.25" thickBot="1" thickTop="1">
      <c r="A60" s="343" t="s">
        <v>109</v>
      </c>
      <c r="B60" s="345" t="s">
        <v>182</v>
      </c>
      <c r="C60" s="779">
        <f>C40+C45+C46+C47+C51+C52+C55+C56+C57+C58+C59</f>
        <v>396567</v>
      </c>
      <c r="D60" s="780">
        <f aca="true" t="shared" si="21" ref="D60:N60">D40+D45+D46+D47+D51+D52+D55+D56+D57+D58+D59</f>
        <v>0</v>
      </c>
      <c r="E60" s="778">
        <f t="shared" si="21"/>
        <v>396567</v>
      </c>
      <c r="F60" s="364">
        <f t="shared" si="21"/>
        <v>310000</v>
      </c>
      <c r="G60" s="344">
        <f t="shared" si="21"/>
        <v>0</v>
      </c>
      <c r="H60" s="778">
        <f t="shared" si="21"/>
        <v>310000</v>
      </c>
      <c r="I60" s="364">
        <f t="shared" si="21"/>
        <v>45000</v>
      </c>
      <c r="J60" s="344">
        <f t="shared" si="21"/>
        <v>8100</v>
      </c>
      <c r="K60" s="374">
        <f t="shared" si="21"/>
        <v>53100</v>
      </c>
      <c r="L60" s="961">
        <f t="shared" si="21"/>
        <v>0</v>
      </c>
      <c r="M60" s="961">
        <f t="shared" si="21"/>
        <v>0</v>
      </c>
      <c r="N60" s="961">
        <f t="shared" si="21"/>
        <v>0</v>
      </c>
      <c r="O60" s="152"/>
      <c r="P60" s="152"/>
      <c r="Q60" s="152"/>
    </row>
    <row r="61" spans="1:17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960"/>
      <c r="M61" s="960"/>
      <c r="N61" s="960"/>
      <c r="O61" s="88"/>
      <c r="P61" s="88"/>
      <c r="Q61" s="88"/>
    </row>
    <row r="62" spans="1:17" ht="16.5" thickBot="1" thickTop="1">
      <c r="A62" s="167"/>
      <c r="B62" s="168" t="s">
        <v>579</v>
      </c>
      <c r="C62" s="908"/>
      <c r="D62" s="909"/>
      <c r="E62" s="413">
        <f>SUM(C62:D62)</f>
        <v>0</v>
      </c>
      <c r="F62" s="908"/>
      <c r="G62" s="909"/>
      <c r="H62" s="413">
        <f>SUM(F62:G62)</f>
        <v>0</v>
      </c>
      <c r="I62" s="908"/>
      <c r="J62" s="801"/>
      <c r="K62" s="413">
        <f>SUM(I62:J62)</f>
        <v>0</v>
      </c>
      <c r="L62" s="960"/>
      <c r="M62" s="960"/>
      <c r="N62" s="960">
        <f>SUM(L62:M62)</f>
        <v>0</v>
      </c>
      <c r="O62" s="88"/>
      <c r="P62" s="88"/>
      <c r="Q62" s="88"/>
    </row>
    <row r="63" spans="1:17" ht="16.5" thickBot="1" thickTop="1">
      <c r="A63" s="167"/>
      <c r="B63" s="168" t="s">
        <v>580</v>
      </c>
      <c r="C63" s="908"/>
      <c r="D63" s="909"/>
      <c r="E63" s="413">
        <f>SUM(C63:D63)</f>
        <v>0</v>
      </c>
      <c r="F63" s="908"/>
      <c r="G63" s="909"/>
      <c r="H63" s="413">
        <f>SUM(F63:G63)</f>
        <v>0</v>
      </c>
      <c r="I63" s="908"/>
      <c r="J63" s="801"/>
      <c r="K63" s="413">
        <f>SUM(I63:J63)</f>
        <v>0</v>
      </c>
      <c r="L63" s="960"/>
      <c r="M63" s="960"/>
      <c r="N63" s="960">
        <f>SUM(L63:M63)</f>
        <v>0</v>
      </c>
      <c r="O63" s="88"/>
      <c r="P63" s="88"/>
      <c r="Q63" s="88"/>
    </row>
    <row r="64" spans="1:17" ht="16.5" thickTop="1">
      <c r="A64" s="418"/>
      <c r="O64" s="88"/>
      <c r="P64" s="88"/>
      <c r="Q64" s="88"/>
    </row>
    <row r="65" ht="15.75">
      <c r="A65" s="418"/>
    </row>
    <row r="67" ht="12.75">
      <c r="D67" s="88">
        <v>2413076</v>
      </c>
    </row>
  </sheetData>
  <sheetProtection/>
  <mergeCells count="7">
    <mergeCell ref="A4:K4"/>
    <mergeCell ref="A5:K5"/>
    <mergeCell ref="Q8:S8"/>
    <mergeCell ref="L7:N7"/>
    <mergeCell ref="F7:H7"/>
    <mergeCell ref="C7:E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J106"/>
  <sheetViews>
    <sheetView showGridLines="0" zoomScale="80" zoomScaleNormal="80" zoomScaleSheetLayoutView="50" zoomScalePageLayoutView="0" workbookViewId="0" topLeftCell="A1">
      <pane xSplit="2" ySplit="9" topLeftCell="C25" activePane="bottomRight" state="frozen"/>
      <selection pane="topLeft" activeCell="T34" sqref="T34"/>
      <selection pane="topRight" activeCell="T34" sqref="T34"/>
      <selection pane="bottomLeft" activeCell="T34" sqref="T34"/>
      <selection pane="bottomRight" activeCell="K1" sqref="K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3" width="19.375" style="88" customWidth="1"/>
    <col min="4" max="6" width="19.375" style="760" customWidth="1"/>
    <col min="7" max="7" width="17.875" style="760" customWidth="1"/>
    <col min="8" max="9" width="19.375" style="88" customWidth="1"/>
    <col min="10" max="10" width="18.00390625" style="88" customWidth="1"/>
    <col min="11" max="11" width="19.375" style="88" customWidth="1"/>
    <col min="12" max="12" width="15.50390625" style="357" customWidth="1"/>
    <col min="13" max="13" width="16.00390625" style="357" customWidth="1"/>
    <col min="14" max="17" width="9.375" style="357" customWidth="1"/>
    <col min="18" max="21" width="9.375" style="26" customWidth="1"/>
  </cols>
  <sheetData>
    <row r="1" spans="1:11" ht="15" customHeight="1">
      <c r="A1" s="303"/>
      <c r="B1" s="304"/>
      <c r="C1" s="304"/>
      <c r="D1" s="386"/>
      <c r="E1" s="386"/>
      <c r="F1" s="304"/>
      <c r="G1" s="386"/>
      <c r="H1" s="386"/>
      <c r="I1" s="386"/>
      <c r="J1" s="386"/>
      <c r="K1" s="892" t="s">
        <v>915</v>
      </c>
    </row>
    <row r="2" spans="1:11" ht="15" customHeight="1">
      <c r="A2" s="303"/>
      <c r="B2" s="304"/>
      <c r="C2" s="304"/>
      <c r="D2" s="386"/>
      <c r="E2" s="386"/>
      <c r="F2" s="304"/>
      <c r="G2" s="386"/>
      <c r="H2" s="386"/>
      <c r="I2" s="386"/>
      <c r="J2" s="386"/>
      <c r="K2" s="892" t="s">
        <v>93</v>
      </c>
    </row>
    <row r="3" spans="1:11" ht="15" customHeight="1">
      <c r="A3" s="303"/>
      <c r="B3" s="304"/>
      <c r="C3" s="304"/>
      <c r="D3" s="386"/>
      <c r="E3" s="386"/>
      <c r="F3" s="304"/>
      <c r="G3" s="386"/>
      <c r="H3" s="386"/>
      <c r="I3" s="386"/>
      <c r="J3" s="386"/>
      <c r="K3" s="893" t="s">
        <v>149</v>
      </c>
    </row>
    <row r="4" spans="1:21" s="15" customFormat="1" ht="20.25" customHeight="1">
      <c r="A4" s="894" t="s">
        <v>647</v>
      </c>
      <c r="B4" s="894"/>
      <c r="C4" s="894"/>
      <c r="D4" s="900"/>
      <c r="E4" s="900"/>
      <c r="F4" s="894"/>
      <c r="G4" s="900"/>
      <c r="H4" s="900"/>
      <c r="I4" s="900"/>
      <c r="J4" s="900"/>
      <c r="K4" s="900"/>
      <c r="L4" s="427"/>
      <c r="M4" s="427"/>
      <c r="N4" s="427"/>
      <c r="O4" s="427"/>
      <c r="P4" s="427"/>
      <c r="Q4" s="427"/>
      <c r="R4" s="372"/>
      <c r="S4" s="372"/>
      <c r="T4" s="372"/>
      <c r="U4" s="372"/>
    </row>
    <row r="5" spans="1:21" s="15" customFormat="1" ht="18" customHeight="1">
      <c r="A5" s="895" t="s">
        <v>561</v>
      </c>
      <c r="B5" s="895"/>
      <c r="C5" s="895"/>
      <c r="D5" s="901"/>
      <c r="E5" s="901"/>
      <c r="F5" s="895"/>
      <c r="G5" s="901"/>
      <c r="H5" s="901"/>
      <c r="I5" s="901"/>
      <c r="J5" s="901"/>
      <c r="K5" s="901"/>
      <c r="L5" s="427"/>
      <c r="M5" s="427"/>
      <c r="N5" s="427"/>
      <c r="O5" s="427"/>
      <c r="P5" s="427"/>
      <c r="Q5" s="427"/>
      <c r="R5" s="372"/>
      <c r="S5" s="372"/>
      <c r="T5" s="372"/>
      <c r="U5" s="372"/>
    </row>
    <row r="6" spans="1:11" ht="15.75" customHeight="1" thickBot="1">
      <c r="A6" s="303"/>
      <c r="B6" s="304"/>
      <c r="C6" s="304"/>
      <c r="D6" s="386"/>
      <c r="E6" s="386"/>
      <c r="F6" s="304"/>
      <c r="G6" s="386"/>
      <c r="H6" s="386"/>
      <c r="I6" s="386"/>
      <c r="J6" s="386"/>
      <c r="K6" s="386"/>
    </row>
    <row r="7" spans="1:12" s="88" customFormat="1" ht="33" customHeight="1">
      <c r="A7" s="230" t="s">
        <v>124</v>
      </c>
      <c r="B7" s="87" t="s">
        <v>125</v>
      </c>
      <c r="C7" s="244" t="s">
        <v>352</v>
      </c>
      <c r="D7" s="245"/>
      <c r="E7" s="246"/>
      <c r="F7" s="90" t="s">
        <v>133</v>
      </c>
      <c r="G7" s="91"/>
      <c r="H7" s="92"/>
      <c r="I7" s="90" t="s">
        <v>67</v>
      </c>
      <c r="J7" s="91"/>
      <c r="K7" s="92"/>
      <c r="L7" s="357"/>
    </row>
    <row r="8" spans="1:12" s="88" customFormat="1" ht="24.75" customHeight="1" thickBot="1">
      <c r="A8" s="241" t="s">
        <v>126</v>
      </c>
      <c r="B8" s="16" t="s">
        <v>127</v>
      </c>
      <c r="C8" s="24" t="s">
        <v>434</v>
      </c>
      <c r="D8" s="23" t="s">
        <v>794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357"/>
    </row>
    <row r="9" spans="1:12" s="234" customFormat="1" ht="14.25" customHeight="1" thickBot="1">
      <c r="A9" s="420">
        <v>1</v>
      </c>
      <c r="B9" s="420">
        <v>2</v>
      </c>
      <c r="C9" s="421">
        <v>3</v>
      </c>
      <c r="D9" s="422">
        <v>5</v>
      </c>
      <c r="E9" s="423">
        <v>5</v>
      </c>
      <c r="F9" s="421">
        <v>6</v>
      </c>
      <c r="G9" s="422">
        <v>7</v>
      </c>
      <c r="H9" s="424">
        <v>8</v>
      </c>
      <c r="I9" s="421">
        <v>9</v>
      </c>
      <c r="J9" s="422">
        <v>10</v>
      </c>
      <c r="K9" s="424">
        <v>11</v>
      </c>
      <c r="L9" s="357"/>
    </row>
    <row r="10" spans="1:12" s="88" customFormat="1" ht="18.75" customHeight="1" thickBot="1">
      <c r="A10" s="380"/>
      <c r="B10" s="425" t="s">
        <v>129</v>
      </c>
      <c r="C10" s="381"/>
      <c r="D10" s="1101"/>
      <c r="E10" s="1508"/>
      <c r="F10" s="1100"/>
      <c r="G10" s="1101"/>
      <c r="H10" s="426"/>
      <c r="I10" s="384"/>
      <c r="J10" s="385"/>
      <c r="K10" s="383"/>
      <c r="L10" s="357"/>
    </row>
    <row r="11" spans="1:12" s="88" customFormat="1" ht="15" customHeight="1" thickBot="1">
      <c r="A11" s="313">
        <v>1</v>
      </c>
      <c r="B11" s="305" t="s">
        <v>113</v>
      </c>
      <c r="C11" s="347">
        <f>SUM(hivatal7!F11+hivatal7!I11+hivatal7!L11+hivatal8!C11+hivatal8!F11+hivatal8!I11+hivatal8!L11)</f>
        <v>252213</v>
      </c>
      <c r="D11" s="314">
        <f>SUM(hivatal7!G11+hivatal7!J11+hivatal7!M11+hivatal8!D11+hivatal8!G11+hivatal8!J11+hivatal8!M11)</f>
        <v>6022</v>
      </c>
      <c r="E11" s="330">
        <f>SUM(C11:D11)</f>
        <v>258235</v>
      </c>
      <c r="F11" s="319">
        <f>'önállóan gazd.'!O11</f>
        <v>3272812</v>
      </c>
      <c r="G11" s="314">
        <f>'önállóan gazd.'!P11</f>
        <v>35343</v>
      </c>
      <c r="H11" s="358">
        <f>'önállóan gazd.'!Q11</f>
        <v>3308155</v>
      </c>
      <c r="I11" s="286">
        <f aca="true" t="shared" si="0" ref="I11:K14">SUM(C11+F11)</f>
        <v>3525025</v>
      </c>
      <c r="J11" s="290">
        <f t="shared" si="0"/>
        <v>41365</v>
      </c>
      <c r="K11" s="1256">
        <f t="shared" si="0"/>
        <v>3566390</v>
      </c>
      <c r="L11" s="357"/>
    </row>
    <row r="12" spans="1:12" s="268" customFormat="1" ht="15" customHeight="1" thickBot="1">
      <c r="A12" s="317">
        <v>2</v>
      </c>
      <c r="B12" s="305" t="s">
        <v>202</v>
      </c>
      <c r="C12" s="347">
        <f>SUM(hivatal7!F12+hivatal7!I12+hivatal7!L12+hivatal8!C12+hivatal8!F12+hivatal8!I12+hivatal8!L12)</f>
        <v>62960</v>
      </c>
      <c r="D12" s="314">
        <f>SUM(hivatal7!G12+hivatal7!J12+hivatal7!M12+hivatal8!D12+hivatal8!G12+hivatal8!J12+hivatal8!M12)</f>
        <v>1257</v>
      </c>
      <c r="E12" s="330">
        <f>SUM(C12:D12)</f>
        <v>64217</v>
      </c>
      <c r="F12" s="319">
        <f>'önállóan gazd.'!O12</f>
        <v>744774</v>
      </c>
      <c r="G12" s="314">
        <f>'önállóan gazd.'!P12</f>
        <v>6355</v>
      </c>
      <c r="H12" s="358">
        <f>'önállóan gazd.'!Q12</f>
        <v>751129</v>
      </c>
      <c r="I12" s="286">
        <f t="shared" si="0"/>
        <v>807734</v>
      </c>
      <c r="J12" s="290">
        <f t="shared" si="0"/>
        <v>7612</v>
      </c>
      <c r="K12" s="1256">
        <f t="shared" si="0"/>
        <v>815346</v>
      </c>
      <c r="L12" s="429"/>
    </row>
    <row r="13" spans="1:12" s="200" customFormat="1" ht="15" customHeight="1" thickBot="1">
      <c r="A13" s="317">
        <v>3</v>
      </c>
      <c r="B13" s="305" t="s">
        <v>116</v>
      </c>
      <c r="C13" s="318">
        <f>SUM(hivatal7!F13+hivatal7!I13+hivatal7!L13+hivatal8!C13+hivatal8!F13+hivatal8!I13+hivatal8!L13)</f>
        <v>3472549</v>
      </c>
      <c r="D13" s="314">
        <f>SUM(hivatal7!G13+hivatal7!J13+hivatal7!M13+hivatal8!D13+hivatal8!G13+hivatal8!J13+hivatal8!M13)</f>
        <v>295233</v>
      </c>
      <c r="E13" s="330">
        <f>SUM(C13:D13)</f>
        <v>3767782</v>
      </c>
      <c r="F13" s="319">
        <f>'önállóan gazd.'!O13</f>
        <v>1895829</v>
      </c>
      <c r="G13" s="314">
        <f>'önállóan gazd.'!P13</f>
        <v>-1215</v>
      </c>
      <c r="H13" s="358">
        <f>'önállóan gazd.'!Q13</f>
        <v>1894614</v>
      </c>
      <c r="I13" s="286">
        <f t="shared" si="0"/>
        <v>5368378</v>
      </c>
      <c r="J13" s="290">
        <f t="shared" si="0"/>
        <v>294018</v>
      </c>
      <c r="K13" s="1256">
        <f>SUM(E13+H13)</f>
        <v>5662396</v>
      </c>
      <c r="L13" s="427"/>
    </row>
    <row r="14" spans="1:12" s="200" customFormat="1" ht="15" customHeight="1" thickBot="1">
      <c r="A14" s="317">
        <v>4</v>
      </c>
      <c r="B14" s="305" t="s">
        <v>172</v>
      </c>
      <c r="C14" s="1095">
        <f>SUM(hivatal7!F14+hivatal7!I14+hivatal7!L14+hivatal8!C14+hivatal8!F14+hivatal8!I14+hivatal8!L14)</f>
        <v>122287</v>
      </c>
      <c r="D14" s="290">
        <f>SUM(hivatal7!G14+hivatal7!J14+hivatal7!M14+hivatal8!D14+hivatal8!G14+hivatal8!J14+hivatal8!M14)</f>
        <v>-600</v>
      </c>
      <c r="E14" s="288">
        <f aca="true" t="shared" si="1" ref="E14:E20">C14+D14</f>
        <v>121687</v>
      </c>
      <c r="F14" s="286">
        <f>'önállóan gazd.'!O14</f>
        <v>57</v>
      </c>
      <c r="G14" s="290">
        <f>'önállóan gazd.'!P14</f>
        <v>2679</v>
      </c>
      <c r="H14" s="315">
        <f>F14+G14</f>
        <v>2736</v>
      </c>
      <c r="I14" s="286">
        <f t="shared" si="0"/>
        <v>122344</v>
      </c>
      <c r="J14" s="290">
        <f t="shared" si="0"/>
        <v>2079</v>
      </c>
      <c r="K14" s="1256">
        <f t="shared" si="0"/>
        <v>124423</v>
      </c>
      <c r="L14" s="427"/>
    </row>
    <row r="15" spans="1:12" s="88" customFormat="1" ht="15" customHeight="1">
      <c r="A15" s="156" t="s">
        <v>98</v>
      </c>
      <c r="B15" s="145" t="s">
        <v>383</v>
      </c>
      <c r="C15" s="306">
        <f>SUM(hivatal7!F15+hivatal7!I15+hivatal7!L15+hivatal8!C15+hivatal8!F15+hivatal8!I15+hivatal8!L15)</f>
        <v>157855</v>
      </c>
      <c r="D15" s="226">
        <f>SUM(hivatal7!G15+hivatal7!J15+hivatal7!M15+hivatal8!D15+hivatal8!G15+hivatal8!J15+hivatal8!M15)</f>
        <v>0</v>
      </c>
      <c r="E15" s="887">
        <f t="shared" si="1"/>
        <v>157855</v>
      </c>
      <c r="F15" s="227">
        <f>'önállóan gazd.'!O15</f>
        <v>0</v>
      </c>
      <c r="G15" s="226">
        <f>'önállóan gazd.'!P15</f>
        <v>0</v>
      </c>
      <c r="H15" s="389">
        <f aca="true" t="shared" si="2" ref="H15:H21">F15+G15</f>
        <v>0</v>
      </c>
      <c r="I15" s="359">
        <f aca="true" t="shared" si="3" ref="I15:I21">SUM(C15+F15)</f>
        <v>157855</v>
      </c>
      <c r="J15" s="301">
        <f aca="true" t="shared" si="4" ref="J15:J21">SUM(D15+G15)</f>
        <v>0</v>
      </c>
      <c r="K15" s="1257">
        <f aca="true" t="shared" si="5" ref="K15:K22">SUM(E15+H15)</f>
        <v>157855</v>
      </c>
      <c r="L15" s="357"/>
    </row>
    <row r="16" spans="1:12" s="88" customFormat="1" ht="15" customHeight="1">
      <c r="A16" s="153" t="s">
        <v>99</v>
      </c>
      <c r="B16" s="149" t="s">
        <v>626</v>
      </c>
      <c r="C16" s="306">
        <f>SUM(hivatal7!F16+hivatal7!I16+hivatal7!L16+hivatal8!C16+hivatal8!F16+hivatal8!I16+hivatal8!L16)</f>
        <v>0</v>
      </c>
      <c r="D16" s="226">
        <f>SUM(hivatal7!G16+hivatal7!J16+hivatal7!M16+hivatal8!D16+hivatal8!G16+hivatal8!J16+hivatal8!M16)</f>
        <v>0</v>
      </c>
      <c r="E16" s="887">
        <f t="shared" si="1"/>
        <v>0</v>
      </c>
      <c r="F16" s="227">
        <f>'önállóan gazd.'!O15</f>
        <v>0</v>
      </c>
      <c r="G16" s="226">
        <f>'önállóan gazd.'!P15</f>
        <v>0</v>
      </c>
      <c r="H16" s="389">
        <f>F16+G16</f>
        <v>0</v>
      </c>
      <c r="I16" s="428">
        <f>SUM(C16+F16)</f>
        <v>0</v>
      </c>
      <c r="J16" s="299">
        <f>SUM(D16+G16)</f>
        <v>0</v>
      </c>
      <c r="K16" s="1257">
        <f>SUM(E16+H16)</f>
        <v>0</v>
      </c>
      <c r="L16" s="357"/>
    </row>
    <row r="17" spans="1:12" s="88" customFormat="1" ht="15" customHeight="1">
      <c r="A17" s="153" t="s">
        <v>100</v>
      </c>
      <c r="B17" s="149" t="s">
        <v>627</v>
      </c>
      <c r="C17" s="306">
        <f>SUM(hivatal7!F17+hivatal7!I17+hivatal7!L17+hivatal8!C17+hivatal8!F17+hivatal8!I17+hivatal8!L17)</f>
        <v>0</v>
      </c>
      <c r="D17" s="226">
        <f>SUM(hivatal7!G17+hivatal7!J17+hivatal7!M17+hivatal8!D17+hivatal8!G17+hivatal8!J17+hivatal8!M17)</f>
        <v>0</v>
      </c>
      <c r="E17" s="887">
        <f t="shared" si="1"/>
        <v>0</v>
      </c>
      <c r="F17" s="227">
        <f>'önállóan gazd.'!O17</f>
        <v>0</v>
      </c>
      <c r="G17" s="226">
        <f>'önállóan gazd.'!P17</f>
        <v>0</v>
      </c>
      <c r="H17" s="389">
        <f t="shared" si="2"/>
        <v>0</v>
      </c>
      <c r="I17" s="428">
        <f t="shared" si="3"/>
        <v>0</v>
      </c>
      <c r="J17" s="299">
        <f t="shared" si="4"/>
        <v>0</v>
      </c>
      <c r="K17" s="1257">
        <f t="shared" si="5"/>
        <v>0</v>
      </c>
      <c r="L17" s="357"/>
    </row>
    <row r="18" spans="1:12" s="88" customFormat="1" ht="15" customHeight="1">
      <c r="A18" s="153" t="s">
        <v>101</v>
      </c>
      <c r="B18" s="149" t="s">
        <v>384</v>
      </c>
      <c r="C18" s="306">
        <f>SUM(hivatal7!F18+hivatal7!I18+hivatal7!L18+hivatal8!C18+hivatal8!F18+hivatal8!I18+hivatal8!L18)</f>
        <v>37768</v>
      </c>
      <c r="D18" s="226">
        <f>SUM(hivatal7!G18+hivatal7!J18+hivatal7!M18+hivatal8!D18+hivatal8!G18+hivatal8!J18+hivatal8!M18)</f>
        <v>675</v>
      </c>
      <c r="E18" s="887">
        <f t="shared" si="1"/>
        <v>38443</v>
      </c>
      <c r="F18" s="227">
        <f>'önállóan gazd.'!O18</f>
        <v>78</v>
      </c>
      <c r="G18" s="226">
        <f>'önállóan gazd.'!P18</f>
        <v>0</v>
      </c>
      <c r="H18" s="389">
        <f t="shared" si="2"/>
        <v>78</v>
      </c>
      <c r="I18" s="428">
        <f t="shared" si="3"/>
        <v>37846</v>
      </c>
      <c r="J18" s="299">
        <f t="shared" si="4"/>
        <v>675</v>
      </c>
      <c r="K18" s="1257">
        <f t="shared" si="5"/>
        <v>38521</v>
      </c>
      <c r="L18" s="357"/>
    </row>
    <row r="19" spans="1:12" s="88" customFormat="1" ht="15" customHeight="1">
      <c r="A19" s="148" t="s">
        <v>192</v>
      </c>
      <c r="B19" s="149" t="s">
        <v>628</v>
      </c>
      <c r="C19" s="306">
        <f>SUM(hivatal7!F19+hivatal7!I19+hivatal7!L19+hivatal8!C19+hivatal8!F19+hivatal8!I19+hivatal8!L19)</f>
        <v>0</v>
      </c>
      <c r="D19" s="226">
        <f>SUM(hivatal7!G19+hivatal7!J19+hivatal7!M19+hivatal8!D19+hivatal8!G19+hivatal8!J19+hivatal8!M19)</f>
        <v>0</v>
      </c>
      <c r="E19" s="887">
        <f t="shared" si="1"/>
        <v>0</v>
      </c>
      <c r="F19" s="227">
        <f>'önállóan gazd.'!O19</f>
        <v>0</v>
      </c>
      <c r="G19" s="226">
        <f>'önállóan gazd.'!P19</f>
        <v>0</v>
      </c>
      <c r="H19" s="389">
        <f>F19+G19</f>
        <v>0</v>
      </c>
      <c r="I19" s="428">
        <f t="shared" si="3"/>
        <v>0</v>
      </c>
      <c r="J19" s="299">
        <f>SUM(D19+G19)</f>
        <v>0</v>
      </c>
      <c r="K19" s="1257">
        <f>SUM(E19+H19)</f>
        <v>0</v>
      </c>
      <c r="L19" s="357"/>
    </row>
    <row r="20" spans="1:12" s="88" customFormat="1" ht="15" customHeight="1">
      <c r="A20" s="148" t="s">
        <v>339</v>
      </c>
      <c r="B20" s="149" t="s">
        <v>629</v>
      </c>
      <c r="C20" s="306">
        <f>SUM(hivatal7!F20+hivatal7!I20+hivatal7!L20+hivatal8!C20+hivatal8!F20+hivatal8!I20+hivatal8!L20)</f>
        <v>0</v>
      </c>
      <c r="D20" s="226">
        <f>SUM(hivatal7!G20+hivatal7!J20+hivatal7!M20+hivatal8!D20+hivatal8!G20+hivatal8!J20+hivatal8!M20)</f>
        <v>0</v>
      </c>
      <c r="E20" s="887">
        <f t="shared" si="1"/>
        <v>0</v>
      </c>
      <c r="F20" s="227">
        <f>'önállóan gazd.'!O20</f>
        <v>0</v>
      </c>
      <c r="G20" s="226">
        <f>'önállóan gazd.'!P20</f>
        <v>0</v>
      </c>
      <c r="H20" s="389">
        <f t="shared" si="2"/>
        <v>0</v>
      </c>
      <c r="I20" s="428">
        <f t="shared" si="3"/>
        <v>0</v>
      </c>
      <c r="J20" s="299">
        <f>SUM(D20+G20)</f>
        <v>0</v>
      </c>
      <c r="K20" s="1257">
        <f t="shared" si="5"/>
        <v>0</v>
      </c>
      <c r="L20" s="357"/>
    </row>
    <row r="21" spans="1:12" s="88" customFormat="1" ht="15" customHeight="1">
      <c r="A21" s="148" t="s">
        <v>340</v>
      </c>
      <c r="B21" s="149" t="s">
        <v>385</v>
      </c>
      <c r="C21" s="306">
        <f>SUM(hivatal7!F21+hivatal7!I21+hivatal7!L21+hivatal8!C21+hivatal8!F21+hivatal8!I21+hivatal8!L21)</f>
        <v>688270</v>
      </c>
      <c r="D21" s="226">
        <f>SUM(hivatal7!G21+hivatal7!J21+hivatal7!M21+hivatal8!D21+hivatal8!G21+hivatal8!J21+hivatal8!M21)</f>
        <v>-8229</v>
      </c>
      <c r="E21" s="887">
        <f aca="true" t="shared" si="6" ref="E21:E30">C21+D21</f>
        <v>680041</v>
      </c>
      <c r="F21" s="227">
        <f>'önállóan gazd.'!O21</f>
        <v>336</v>
      </c>
      <c r="G21" s="226">
        <f>'önállóan gazd.'!P21</f>
        <v>0</v>
      </c>
      <c r="H21" s="389">
        <f t="shared" si="2"/>
        <v>336</v>
      </c>
      <c r="I21" s="1093">
        <f t="shared" si="3"/>
        <v>688606</v>
      </c>
      <c r="J21" s="299">
        <f t="shared" si="4"/>
        <v>-8229</v>
      </c>
      <c r="K21" s="1215">
        <f t="shared" si="5"/>
        <v>680377</v>
      </c>
      <c r="L21" s="357"/>
    </row>
    <row r="22" spans="1:12" s="88" customFormat="1" ht="15" customHeight="1" thickBot="1">
      <c r="A22" s="16" t="s">
        <v>69</v>
      </c>
      <c r="B22" s="334" t="s">
        <v>386</v>
      </c>
      <c r="C22" s="329">
        <f>SUM(hivatal7!F22+hivatal7!I22+hivatal7!L22+hivatal8!C22+hivatal8!F22+hivatal8!I22+hivatal8!L22)</f>
        <v>661799</v>
      </c>
      <c r="D22" s="321">
        <f>SUM(hivatal7!G22+hivatal7!J22+hivatal7!M22+hivatal8!D22+hivatal8!G22+hivatal8!J22+hivatal8!M22)</f>
        <v>-26539</v>
      </c>
      <c r="E22" s="157">
        <f t="shared" si="6"/>
        <v>635260</v>
      </c>
      <c r="F22" s="323">
        <f>'önállóan gazd.'!O22</f>
        <v>0</v>
      </c>
      <c r="G22" s="321">
        <f>'önállóan gazd.'!P22</f>
        <v>0</v>
      </c>
      <c r="H22" s="395">
        <f aca="true" t="shared" si="7" ref="H22:H33">F22+G22</f>
        <v>0</v>
      </c>
      <c r="I22" s="1093">
        <f>SUM(C22+F22)</f>
        <v>661799</v>
      </c>
      <c r="J22" s="301">
        <f>SUM(D22+G22)</f>
        <v>-26539</v>
      </c>
      <c r="K22" s="1215">
        <f t="shared" si="5"/>
        <v>635260</v>
      </c>
      <c r="L22" s="357"/>
    </row>
    <row r="23" spans="1:12" s="200" customFormat="1" ht="15" customHeight="1" thickBot="1">
      <c r="A23" s="317">
        <v>5</v>
      </c>
      <c r="B23" s="305" t="s">
        <v>171</v>
      </c>
      <c r="C23" s="1095">
        <f>SUM(C15:C22)</f>
        <v>1545692</v>
      </c>
      <c r="D23" s="290">
        <f>SUM(hivatal7!G23+hivatal7!J23+hivatal7!M23+hivatal8!D23+hivatal8!G23+hivatal8!J23+hivatal8!M23)</f>
        <v>-34093</v>
      </c>
      <c r="E23" s="288">
        <f t="shared" si="6"/>
        <v>1511599</v>
      </c>
      <c r="F23" s="286">
        <f>'önállóan gazd.'!O23</f>
        <v>414</v>
      </c>
      <c r="G23" s="290">
        <f>'önállóan gazd.'!P23</f>
        <v>0</v>
      </c>
      <c r="H23" s="315">
        <f t="shared" si="7"/>
        <v>414</v>
      </c>
      <c r="I23" s="347">
        <f>SUM(I15:I22)</f>
        <v>1546106</v>
      </c>
      <c r="J23" s="314">
        <f>SUM(J15:J22)</f>
        <v>-34093</v>
      </c>
      <c r="K23" s="1117">
        <f>SUM(K15:K22)</f>
        <v>1512013</v>
      </c>
      <c r="L23" s="427"/>
    </row>
    <row r="24" spans="1:12" s="88" customFormat="1" ht="15" customHeight="1" thickBot="1">
      <c r="A24" s="313">
        <v>6</v>
      </c>
      <c r="B24" s="305" t="s">
        <v>174</v>
      </c>
      <c r="C24" s="1095">
        <f>SUM(hivatal7!F24+hivatal7!I24+hivatal7!L24+hivatal8!C24+hivatal8!F24+hivatal8!I24+hivatal8!L24)</f>
        <v>3638996</v>
      </c>
      <c r="D24" s="290">
        <f>SUM(hivatal7!G24+hivatal7!J24+hivatal7!M24+hivatal8!D24+hivatal8!G24+hivatal8!J24+hivatal8!M24)</f>
        <v>1140236</v>
      </c>
      <c r="E24" s="288">
        <f>C24+D24</f>
        <v>4779232</v>
      </c>
      <c r="F24" s="286">
        <f>'önállóan gazd.'!O24</f>
        <v>127098</v>
      </c>
      <c r="G24" s="290">
        <f>'önállóan gazd.'!P24</f>
        <v>-5612</v>
      </c>
      <c r="H24" s="315">
        <f>F24+G24</f>
        <v>121486</v>
      </c>
      <c r="I24" s="1095">
        <f aca="true" t="shared" si="8" ref="I24:K26">SUM(C24+F24)</f>
        <v>3766094</v>
      </c>
      <c r="J24" s="290">
        <f t="shared" si="8"/>
        <v>1134624</v>
      </c>
      <c r="K24" s="1258">
        <f t="shared" si="8"/>
        <v>4900718</v>
      </c>
      <c r="L24" s="357"/>
    </row>
    <row r="25" spans="1:12" s="200" customFormat="1" ht="15" customHeight="1" thickBot="1">
      <c r="A25" s="313">
        <v>7</v>
      </c>
      <c r="B25" s="305" t="s">
        <v>435</v>
      </c>
      <c r="C25" s="1095">
        <f>SUM(hivatal7!F25+hivatal7!I25+hivatal7!L25+hivatal8!C25+hivatal8!F25+hivatal8!I25+hivatal8!L25)</f>
        <v>2078802</v>
      </c>
      <c r="D25" s="290">
        <f>SUM(hivatal7!G25+hivatal7!J25+hivatal7!M25+hivatal8!D25+hivatal8!G25+hivatal8!J25+hivatal8!M25)</f>
        <v>-308398</v>
      </c>
      <c r="E25" s="288">
        <f>C25+D25</f>
        <v>1770404</v>
      </c>
      <c r="F25" s="286">
        <f>'önállóan gazd.'!O25</f>
        <v>2540</v>
      </c>
      <c r="G25" s="290">
        <f>'önállóan gazd.'!P25</f>
        <v>0</v>
      </c>
      <c r="H25" s="315">
        <f>F25+G25</f>
        <v>2540</v>
      </c>
      <c r="I25" s="1095">
        <f t="shared" si="8"/>
        <v>2081342</v>
      </c>
      <c r="J25" s="290">
        <f t="shared" si="8"/>
        <v>-308398</v>
      </c>
      <c r="K25" s="1258">
        <f t="shared" si="8"/>
        <v>1772944</v>
      </c>
      <c r="L25" s="427"/>
    </row>
    <row r="26" spans="1:12" s="88" customFormat="1" ht="15" customHeight="1">
      <c r="A26" s="156" t="s">
        <v>98</v>
      </c>
      <c r="B26" s="149" t="s">
        <v>632</v>
      </c>
      <c r="C26" s="306">
        <f>SUM(hivatal7!F26+hivatal7!I26+hivatal7!L26+hivatal8!C26+hivatal8!F26+hivatal8!I26+hivatal8!L26)</f>
        <v>0</v>
      </c>
      <c r="D26" s="226">
        <f>SUM(hivatal7!G26+hivatal7!J26+hivatal7!M26+hivatal8!D26+hivatal8!G26+hivatal8!J26+hivatal8!M26)</f>
        <v>0</v>
      </c>
      <c r="E26" s="887">
        <f t="shared" si="6"/>
        <v>0</v>
      </c>
      <c r="F26" s="227">
        <f>'önállóan gazd.'!O26</f>
        <v>0</v>
      </c>
      <c r="G26" s="226">
        <f>'önállóan gazd.'!P26</f>
        <v>0</v>
      </c>
      <c r="H26" s="389">
        <f t="shared" si="7"/>
        <v>0</v>
      </c>
      <c r="I26" s="1093">
        <f t="shared" si="8"/>
        <v>0</v>
      </c>
      <c r="J26" s="301">
        <f t="shared" si="8"/>
        <v>0</v>
      </c>
      <c r="K26" s="1215">
        <f t="shared" si="8"/>
        <v>0</v>
      </c>
      <c r="L26" s="357"/>
    </row>
    <row r="27" spans="1:12" s="88" customFormat="1" ht="15" customHeight="1">
      <c r="A27" s="156" t="s">
        <v>99</v>
      </c>
      <c r="B27" s="149" t="s">
        <v>630</v>
      </c>
      <c r="C27" s="306">
        <f>SUM(hivatal7!F27+hivatal7!I27+hivatal7!L27+hivatal8!C27+hivatal8!F27+hivatal8!I27+hivatal8!L27)</f>
        <v>0</v>
      </c>
      <c r="D27" s="226">
        <f>SUM(hivatal7!G27+hivatal7!J27+hivatal7!M27+hivatal8!D27+hivatal8!G27+hivatal8!J27+hivatal8!M27)</f>
        <v>0</v>
      </c>
      <c r="E27" s="887">
        <f t="shared" si="6"/>
        <v>0</v>
      </c>
      <c r="F27" s="227">
        <f>'önállóan gazd.'!O27</f>
        <v>0</v>
      </c>
      <c r="G27" s="226">
        <f>'önállóan gazd.'!P27</f>
        <v>0</v>
      </c>
      <c r="H27" s="389">
        <f t="shared" si="7"/>
        <v>0</v>
      </c>
      <c r="I27" s="1093">
        <f aca="true" t="shared" si="9" ref="I27:K31">SUM(C27+F27)</f>
        <v>0</v>
      </c>
      <c r="J27" s="301">
        <f t="shared" si="9"/>
        <v>0</v>
      </c>
      <c r="K27" s="1215">
        <f t="shared" si="9"/>
        <v>0</v>
      </c>
      <c r="L27" s="357"/>
    </row>
    <row r="28" spans="1:12" s="88" customFormat="1" ht="15" customHeight="1">
      <c r="A28" s="156" t="s">
        <v>100</v>
      </c>
      <c r="B28" s="149" t="s">
        <v>387</v>
      </c>
      <c r="C28" s="306">
        <f>SUM(hivatal7!F28+hivatal7!I28+hivatal7!L28+hivatal8!C28+hivatal8!F28+hivatal8!I28+hivatal8!L28)</f>
        <v>0</v>
      </c>
      <c r="D28" s="226">
        <f>SUM(hivatal7!G28+hivatal7!J28+hivatal7!M28+hivatal8!D28+hivatal8!G28+hivatal8!J28+hivatal8!M28)</f>
        <v>0</v>
      </c>
      <c r="E28" s="887">
        <f t="shared" si="6"/>
        <v>0</v>
      </c>
      <c r="F28" s="1075">
        <f>'önállóan gazd.'!O28</f>
        <v>0</v>
      </c>
      <c r="G28" s="139">
        <f>'önállóan gazd.'!P28</f>
        <v>0</v>
      </c>
      <c r="H28" s="228">
        <f t="shared" si="7"/>
        <v>0</v>
      </c>
      <c r="I28" s="1093">
        <f t="shared" si="9"/>
        <v>0</v>
      </c>
      <c r="J28" s="301">
        <f t="shared" si="9"/>
        <v>0</v>
      </c>
      <c r="K28" s="1215">
        <f t="shared" si="9"/>
        <v>0</v>
      </c>
      <c r="L28" s="357"/>
    </row>
    <row r="29" spans="1:12" s="88" customFormat="1" ht="15" customHeight="1">
      <c r="A29" s="156" t="s">
        <v>101</v>
      </c>
      <c r="B29" s="149" t="s">
        <v>631</v>
      </c>
      <c r="C29" s="306">
        <f>SUM(hivatal7!F29+hivatal7!I29+hivatal7!L29+hivatal8!C29+hivatal8!F29+hivatal8!I29+hivatal8!L29)</f>
        <v>10512</v>
      </c>
      <c r="D29" s="226">
        <f>SUM(hivatal7!G29+hivatal7!J29+hivatal7!M29+hivatal8!D29+hivatal8!G29+hivatal8!J29+hivatal8!M29)</f>
        <v>442</v>
      </c>
      <c r="E29" s="887">
        <f t="shared" si="6"/>
        <v>10954</v>
      </c>
      <c r="F29" s="1075">
        <f>'önállóan gazd.'!O29</f>
        <v>0</v>
      </c>
      <c r="G29" s="226">
        <f>'önállóan gazd.'!P29</f>
        <v>0</v>
      </c>
      <c r="H29" s="228">
        <f t="shared" si="7"/>
        <v>0</v>
      </c>
      <c r="I29" s="1093">
        <f t="shared" si="9"/>
        <v>10512</v>
      </c>
      <c r="J29" s="301">
        <f t="shared" si="9"/>
        <v>442</v>
      </c>
      <c r="K29" s="1215">
        <f t="shared" si="9"/>
        <v>10954</v>
      </c>
      <c r="L29" s="357"/>
    </row>
    <row r="30" spans="1:12" s="88" customFormat="1" ht="15" customHeight="1" thickBot="1">
      <c r="A30" s="335" t="s">
        <v>192</v>
      </c>
      <c r="B30" s="149" t="s">
        <v>388</v>
      </c>
      <c r="C30" s="329">
        <f>SUM(hivatal7!F30+hivatal7!I30+hivatal7!L30+hivatal8!C30+hivatal8!F30+hivatal8!I30+hivatal8!L30)</f>
        <v>415881</v>
      </c>
      <c r="D30" s="321">
        <f>SUM(hivatal7!G30+hivatal7!J30+hivatal7!M30+hivatal8!D30+hivatal8!G30+hivatal8!J30+hivatal8!M30)</f>
        <v>295</v>
      </c>
      <c r="E30" s="157">
        <f t="shared" si="6"/>
        <v>416176</v>
      </c>
      <c r="F30" s="1076">
        <f>'önállóan gazd.'!O30</f>
        <v>0</v>
      </c>
      <c r="G30" s="321">
        <f>'önállóan gazd.'!P30</f>
        <v>0</v>
      </c>
      <c r="H30" s="324">
        <f t="shared" si="7"/>
        <v>0</v>
      </c>
      <c r="I30" s="1094">
        <f t="shared" si="9"/>
        <v>415881</v>
      </c>
      <c r="J30" s="328">
        <f t="shared" si="9"/>
        <v>295</v>
      </c>
      <c r="K30" s="1213">
        <f t="shared" si="9"/>
        <v>416176</v>
      </c>
      <c r="L30" s="357"/>
    </row>
    <row r="31" spans="1:12" s="200" customFormat="1" ht="15" customHeight="1" thickBot="1">
      <c r="A31" s="313">
        <v>8</v>
      </c>
      <c r="B31" s="305" t="s">
        <v>173</v>
      </c>
      <c r="C31" s="1154">
        <f>SUM(hivatal7!F31+hivatal7!I31+hivatal7!L31+hivatal8!C31+hivatal8!F31+hivatal8!I31+hivatal8!L31)</f>
        <v>426393</v>
      </c>
      <c r="D31" s="800">
        <f>SUM(hivatal7!G31+hivatal7!J31+hivatal7!M31+hivatal8!D31+hivatal8!G31+hivatal8!J31+hivatal8!M31)</f>
        <v>737</v>
      </c>
      <c r="E31" s="1150">
        <f>C31+D31</f>
        <v>427130</v>
      </c>
      <c r="F31" s="1095">
        <f>'önállóan gazd.'!O31</f>
        <v>0</v>
      </c>
      <c r="G31" s="290">
        <f>'önállóan gazd.'!P31</f>
        <v>0</v>
      </c>
      <c r="H31" s="288">
        <f>F31+G31</f>
        <v>0</v>
      </c>
      <c r="I31" s="1095">
        <f t="shared" si="9"/>
        <v>426393</v>
      </c>
      <c r="J31" s="290">
        <f t="shared" si="9"/>
        <v>737</v>
      </c>
      <c r="K31" s="288">
        <f t="shared" si="9"/>
        <v>427130</v>
      </c>
      <c r="L31" s="427"/>
    </row>
    <row r="32" spans="1:12" s="88" customFormat="1" ht="15" customHeight="1" thickBot="1">
      <c r="A32" s="313">
        <v>9</v>
      </c>
      <c r="B32" s="305" t="s">
        <v>179</v>
      </c>
      <c r="C32" s="1154">
        <f>SUM(hivatal7!F32+hivatal7!I32+hivatal7!L32+hivatal8!C32+hivatal8!F32+hivatal8!I32+hivatal8!L32)</f>
        <v>38585</v>
      </c>
      <c r="D32" s="800">
        <f>SUM(hivatal7!G32+hivatal7!J32+hivatal7!M32+hivatal8!D32+hivatal8!G32+hivatal8!J32+hivatal8!M32)</f>
        <v>0</v>
      </c>
      <c r="E32" s="1150">
        <f>C32+D32</f>
        <v>38585</v>
      </c>
      <c r="F32" s="1096">
        <f>'önállóan gazd.'!O32</f>
        <v>0</v>
      </c>
      <c r="G32" s="291">
        <f>'önállóan gazd.'!P32</f>
        <v>0</v>
      </c>
      <c r="H32" s="289">
        <f t="shared" si="7"/>
        <v>0</v>
      </c>
      <c r="I32" s="1095">
        <f aca="true" t="shared" si="10" ref="I32:K33">SUM(C32+F32)</f>
        <v>38585</v>
      </c>
      <c r="J32" s="290">
        <f t="shared" si="10"/>
        <v>0</v>
      </c>
      <c r="K32" s="288">
        <f t="shared" si="10"/>
        <v>38585</v>
      </c>
      <c r="L32" s="357"/>
    </row>
    <row r="33" spans="1:12" s="152" customFormat="1" ht="15.75" customHeight="1" thickBot="1">
      <c r="A33" s="367">
        <v>10</v>
      </c>
      <c r="B33" s="430"/>
      <c r="C33" s="1155">
        <f>SUM(hivatal7!F33+hivatal7!I33+hivatal7!L33+hivatal8!C33+hivatal8!F33+hivatal8!I33+hivatal8!L33)</f>
        <v>0</v>
      </c>
      <c r="D33" s="801">
        <f>SUM(hivatal7!G33+hivatal7!J33+hivatal7!M33+hivatal8!D33+hivatal8!G33+hivatal8!J33+hivatal8!M33)</f>
        <v>0</v>
      </c>
      <c r="E33" s="1151">
        <f>C33+D33</f>
        <v>0</v>
      </c>
      <c r="F33" s="1097">
        <f>'önállóan gazd.'!O33</f>
        <v>0</v>
      </c>
      <c r="G33" s="370">
        <f>'önállóan gazd.'!P33</f>
        <v>0</v>
      </c>
      <c r="H33" s="371">
        <f t="shared" si="7"/>
        <v>0</v>
      </c>
      <c r="I33" s="1091">
        <f t="shared" si="10"/>
        <v>0</v>
      </c>
      <c r="J33" s="375">
        <f t="shared" si="10"/>
        <v>0</v>
      </c>
      <c r="K33" s="376">
        <f t="shared" si="10"/>
        <v>0</v>
      </c>
      <c r="L33" s="427"/>
    </row>
    <row r="34" spans="1:88" s="160" customFormat="1" ht="17.25" thickBot="1" thickTop="1">
      <c r="A34" s="343" t="s">
        <v>108</v>
      </c>
      <c r="B34" s="366" t="s">
        <v>180</v>
      </c>
      <c r="C34" s="365">
        <f aca="true" t="shared" si="11" ref="C34:J34">C11+C12+C13+C23+C14+C31+C25+C24+C32+C33</f>
        <v>11638477</v>
      </c>
      <c r="D34" s="344">
        <f t="shared" si="11"/>
        <v>1100394</v>
      </c>
      <c r="E34" s="778">
        <f t="shared" si="11"/>
        <v>12738871</v>
      </c>
      <c r="F34" s="365">
        <f t="shared" si="11"/>
        <v>6043524</v>
      </c>
      <c r="G34" s="344">
        <f t="shared" si="11"/>
        <v>37550</v>
      </c>
      <c r="H34" s="778">
        <f t="shared" si="11"/>
        <v>6081074</v>
      </c>
      <c r="I34" s="365">
        <f t="shared" si="11"/>
        <v>17682001</v>
      </c>
      <c r="J34" s="344">
        <f t="shared" si="11"/>
        <v>1137944</v>
      </c>
      <c r="K34" s="374">
        <f>K11+K12+K13+K23+K14+K31+K25+K24+K32+K33</f>
        <v>18819945</v>
      </c>
      <c r="L34" s="964"/>
      <c r="M34" s="964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1"/>
      <c r="BD34" s="431"/>
      <c r="BE34" s="431"/>
      <c r="BF34" s="431"/>
      <c r="BG34" s="431"/>
      <c r="BH34" s="431"/>
      <c r="BI34" s="431"/>
      <c r="BJ34" s="431"/>
      <c r="BK34" s="431"/>
      <c r="BL34" s="431"/>
      <c r="BM34" s="431"/>
      <c r="BN34" s="431"/>
      <c r="BO34" s="431"/>
      <c r="BP34" s="431"/>
      <c r="BQ34" s="431"/>
      <c r="BR34" s="431"/>
      <c r="BS34" s="431"/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31"/>
      <c r="CI34" s="431"/>
      <c r="CJ34" s="431"/>
    </row>
    <row r="35" spans="1:12" s="88" customFormat="1" ht="17.25" thickBot="1" thickTop="1">
      <c r="A35" s="144"/>
      <c r="B35" s="346" t="s">
        <v>131</v>
      </c>
      <c r="C35" s="1092"/>
      <c r="D35" s="373"/>
      <c r="E35" s="1152"/>
      <c r="F35" s="1092"/>
      <c r="G35" s="373"/>
      <c r="H35" s="1152"/>
      <c r="I35" s="1092"/>
      <c r="J35" s="373"/>
      <c r="K35" s="920"/>
      <c r="L35" s="357"/>
    </row>
    <row r="36" spans="1:12" s="760" customFormat="1" ht="15">
      <c r="A36" s="769" t="s">
        <v>98</v>
      </c>
      <c r="B36" s="770" t="s">
        <v>389</v>
      </c>
      <c r="C36" s="772">
        <f>SUM(hivatal7!F36+hivatal7!I36+hivatal7!L36+hivatal8!C36+hivatal8!F36+hivatal8!I36+hivatal8!L36)</f>
        <v>1936353</v>
      </c>
      <c r="D36" s="771">
        <f>SUM(hivatal7!G36+hivatal7!J36+hivatal7!M36+hivatal8!D36+hivatal8!G36+hivatal8!J36+hivatal8!M36)</f>
        <v>100663</v>
      </c>
      <c r="E36" s="775">
        <f>SUM(hivatal7!H36+hivatal7!K36+hivatal7!N36+hivatal8!E36+hivatal8!H36+hivatal8!K36+hivatal8!N36)</f>
        <v>2037016</v>
      </c>
      <c r="F36" s="1085">
        <f>'önállóan gazd.'!O36</f>
        <v>0</v>
      </c>
      <c r="G36" s="771">
        <f>'önállóan gazd.'!P36</f>
        <v>0</v>
      </c>
      <c r="H36" s="775">
        <f>'önállóan gazd.'!Q36</f>
        <v>0</v>
      </c>
      <c r="I36" s="1158">
        <f aca="true" t="shared" si="12" ref="I36:K39">SUM(C36+F36)</f>
        <v>1936353</v>
      </c>
      <c r="J36" s="1164">
        <f t="shared" si="12"/>
        <v>100663</v>
      </c>
      <c r="K36" s="1259">
        <f t="shared" si="12"/>
        <v>2037016</v>
      </c>
      <c r="L36" s="761"/>
    </row>
    <row r="37" spans="1:12" s="760" customFormat="1" ht="15">
      <c r="A37" s="153" t="s">
        <v>99</v>
      </c>
      <c r="B37" s="149" t="s">
        <v>245</v>
      </c>
      <c r="C37" s="906">
        <f>SUM(hivatal7!F37+hivatal7!I37+hivatal7!L37+hivatal8!C37+hivatal8!F37+hivatal8!I37+hivatal8!L37)</f>
        <v>0</v>
      </c>
      <c r="D37" s="139">
        <f>SUM(hivatal7!G37+hivatal7!J37+hivatal7!M37+hivatal8!D37+hivatal8!G37+hivatal8!J37+hivatal8!M37)</f>
        <v>0</v>
      </c>
      <c r="E37" s="162">
        <f>SUM(hivatal7!H37+hivatal7!K37+hivatal7!N37+hivatal8!E37+hivatal8!H37+hivatal8!K37+hivatal8!N37)</f>
        <v>0</v>
      </c>
      <c r="F37" s="906">
        <f>'önállóan gazd.'!O37</f>
        <v>0</v>
      </c>
      <c r="G37" s="139">
        <f>'önállóan gazd.'!P37</f>
        <v>0</v>
      </c>
      <c r="H37" s="885">
        <f>'önállóan gazd.'!Q37</f>
        <v>0</v>
      </c>
      <c r="I37" s="1159">
        <f t="shared" si="12"/>
        <v>0</v>
      </c>
      <c r="J37" s="299">
        <f t="shared" si="12"/>
        <v>0</v>
      </c>
      <c r="K37" s="1212">
        <f t="shared" si="12"/>
        <v>0</v>
      </c>
      <c r="L37" s="761"/>
    </row>
    <row r="38" spans="1:12" s="760" customFormat="1" ht="15">
      <c r="A38" s="335" t="s">
        <v>100</v>
      </c>
      <c r="B38" s="142" t="s">
        <v>390</v>
      </c>
      <c r="C38" s="1076">
        <f>SUM(hivatal7!F38+hivatal7!I38+hivatal7!L38+hivatal8!C38+hivatal8!F38+hivatal8!I38+hivatal8!L38)</f>
        <v>0</v>
      </c>
      <c r="D38" s="321">
        <f>SUM(hivatal7!G38+hivatal7!J38+hivatal7!M38+hivatal8!D38+hivatal8!G38+hivatal8!J38+hivatal8!M38)</f>
        <v>0</v>
      </c>
      <c r="E38" s="324">
        <f>SUM(hivatal7!H38+hivatal7!K38+hivatal7!N38+hivatal8!E38+hivatal8!H38+hivatal8!K38+hivatal8!N38)</f>
        <v>0</v>
      </c>
      <c r="F38" s="1076">
        <f>'önállóan gazd.'!O38</f>
        <v>0</v>
      </c>
      <c r="G38" s="321">
        <f>'önállóan gazd.'!P38</f>
        <v>0</v>
      </c>
      <c r="H38" s="157">
        <f>'önállóan gazd.'!Q38</f>
        <v>0</v>
      </c>
      <c r="I38" s="1094">
        <f t="shared" si="12"/>
        <v>0</v>
      </c>
      <c r="J38" s="328">
        <f t="shared" si="12"/>
        <v>0</v>
      </c>
      <c r="K38" s="1213">
        <f t="shared" si="12"/>
        <v>0</v>
      </c>
      <c r="L38" s="761"/>
    </row>
    <row r="39" spans="1:12" s="760" customFormat="1" ht="15.75" thickBot="1">
      <c r="A39" s="154" t="s">
        <v>101</v>
      </c>
      <c r="B39" s="155" t="s">
        <v>394</v>
      </c>
      <c r="C39" s="907">
        <f>SUM(hivatal7!F39+hivatal7!I39+hivatal7!L39+hivatal8!C39+hivatal8!F39+hivatal8!I39+hivatal8!L39)</f>
        <v>197568</v>
      </c>
      <c r="D39" s="151">
        <f>SUM(hivatal7!G39+hivatal7!J39+hivatal7!M39+hivatal8!D39+hivatal8!G39+hivatal8!J39+hivatal8!M39)</f>
        <v>-3934</v>
      </c>
      <c r="E39" s="238">
        <f>SUM(hivatal7!H39+hivatal7!K39+hivatal7!N39+hivatal8!E39+hivatal8!H39+hivatal8!K39+hivatal8!N39)</f>
        <v>193634</v>
      </c>
      <c r="F39" s="907">
        <f>'önállóan gazd.'!O39</f>
        <v>9940</v>
      </c>
      <c r="G39" s="151">
        <f>'önállóan gazd.'!P39</f>
        <v>10134</v>
      </c>
      <c r="H39" s="886">
        <f>'önállóan gazd.'!Q39</f>
        <v>20074</v>
      </c>
      <c r="I39" s="1160">
        <f t="shared" si="12"/>
        <v>207508</v>
      </c>
      <c r="J39" s="300">
        <f t="shared" si="12"/>
        <v>6200</v>
      </c>
      <c r="K39" s="1214">
        <f t="shared" si="12"/>
        <v>213708</v>
      </c>
      <c r="L39" s="761"/>
    </row>
    <row r="40" spans="1:12" s="200" customFormat="1" ht="16.5" thickBot="1">
      <c r="A40" s="313">
        <v>1</v>
      </c>
      <c r="B40" s="305" t="s">
        <v>177</v>
      </c>
      <c r="C40" s="347">
        <f>SUM(C36:C39)</f>
        <v>2133921</v>
      </c>
      <c r="D40" s="314">
        <f aca="true" t="shared" si="13" ref="D40:K40">SUM(D36:D39)</f>
        <v>96729</v>
      </c>
      <c r="E40" s="320">
        <f t="shared" si="13"/>
        <v>2230650</v>
      </c>
      <c r="F40" s="347">
        <f t="shared" si="13"/>
        <v>9940</v>
      </c>
      <c r="G40" s="314">
        <f t="shared" si="13"/>
        <v>10134</v>
      </c>
      <c r="H40" s="320">
        <f t="shared" si="13"/>
        <v>20074</v>
      </c>
      <c r="I40" s="347">
        <f t="shared" si="13"/>
        <v>2143861</v>
      </c>
      <c r="J40" s="314">
        <f t="shared" si="13"/>
        <v>106863</v>
      </c>
      <c r="K40" s="1117">
        <f t="shared" si="13"/>
        <v>2250724</v>
      </c>
      <c r="L40" s="427"/>
    </row>
    <row r="41" spans="1:12" s="88" customFormat="1" ht="15">
      <c r="A41" s="156" t="s">
        <v>98</v>
      </c>
      <c r="B41" s="145" t="s">
        <v>416</v>
      </c>
      <c r="C41" s="1075">
        <f>SUM(hivatal7!F41+hivatal7!I41+hivatal7!L41+hivatal8!C41+hivatal8!F41+hivatal8!I41+hivatal8!L41)</f>
        <v>0</v>
      </c>
      <c r="D41" s="226">
        <f>SUM(hivatal7!G41+hivatal7!J41+hivatal7!M41+hivatal8!D41+hivatal8!G41+hivatal8!J41+hivatal8!M41)</f>
        <v>0</v>
      </c>
      <c r="E41" s="228">
        <f>SUM(hivatal7!H41+hivatal7!K41+hivatal7!N41+hivatal8!E41+hivatal8!H41+hivatal8!K41+hivatal8!N41)</f>
        <v>0</v>
      </c>
      <c r="F41" s="1075">
        <f>'önállóan gazd.'!O41</f>
        <v>0</v>
      </c>
      <c r="G41" s="226">
        <f>'önállóan gazd.'!P41</f>
        <v>0</v>
      </c>
      <c r="H41" s="887">
        <f>'önállóan gazd.'!Q41</f>
        <v>0</v>
      </c>
      <c r="I41" s="1093">
        <f>SUM(C41+F41)</f>
        <v>0</v>
      </c>
      <c r="J41" s="301">
        <f>SUM(D41+G41)</f>
        <v>0</v>
      </c>
      <c r="K41" s="1215">
        <f>SUM(E41+H41)</f>
        <v>0</v>
      </c>
      <c r="L41" s="357"/>
    </row>
    <row r="42" spans="1:12" s="88" customFormat="1" ht="15">
      <c r="A42" s="153" t="s">
        <v>99</v>
      </c>
      <c r="B42" s="149" t="s">
        <v>391</v>
      </c>
      <c r="C42" s="1075">
        <f>SUM(hivatal7!F42+hivatal7!I42+hivatal7!L42+hivatal8!C42+hivatal8!F42+hivatal8!I42+hivatal8!L42)</f>
        <v>1810000</v>
      </c>
      <c r="D42" s="226">
        <f>SUM(hivatal7!G42+hivatal7!J42+hivatal7!M42+hivatal8!D42+hivatal8!G42+hivatal8!J42+hivatal8!M42)</f>
        <v>0</v>
      </c>
      <c r="E42" s="228">
        <f>SUM(hivatal7!H42+hivatal7!K42+hivatal7!N42+hivatal8!E42+hivatal8!H42+hivatal8!K42+hivatal8!N42)</f>
        <v>1810000</v>
      </c>
      <c r="F42" s="906">
        <f>'önállóan gazd.'!O42</f>
        <v>0</v>
      </c>
      <c r="G42" s="139">
        <f>'önállóan gazd.'!P42</f>
        <v>0</v>
      </c>
      <c r="H42" s="885">
        <f>'önállóan gazd.'!Q42</f>
        <v>0</v>
      </c>
      <c r="I42" s="1159">
        <f aca="true" t="shared" si="14" ref="I42:K43">SUM(C42+F42)</f>
        <v>1810000</v>
      </c>
      <c r="J42" s="299">
        <f t="shared" si="14"/>
        <v>0</v>
      </c>
      <c r="K42" s="1212">
        <f t="shared" si="14"/>
        <v>1810000</v>
      </c>
      <c r="L42" s="357"/>
    </row>
    <row r="43" spans="1:12" s="268" customFormat="1" ht="15">
      <c r="A43" s="153" t="s">
        <v>100</v>
      </c>
      <c r="B43" s="149" t="s">
        <v>392</v>
      </c>
      <c r="C43" s="1075">
        <f>SUM(hivatal7!F43+hivatal7!I43+hivatal7!L43+hivatal8!C43+hivatal8!F43+hivatal8!I43+hivatal8!L43)</f>
        <v>4504921</v>
      </c>
      <c r="D43" s="226">
        <f>SUM(hivatal7!G43+hivatal7!J43+hivatal7!M43+hivatal8!D43+hivatal8!G43+hivatal8!J43+hivatal8!M43)</f>
        <v>46</v>
      </c>
      <c r="E43" s="228">
        <f>SUM(hivatal7!H43+hivatal7!K43+hivatal7!N43+hivatal8!E43+hivatal8!H43+hivatal8!K43+hivatal8!N43)</f>
        <v>4504967</v>
      </c>
      <c r="F43" s="906">
        <f>'önállóan gazd.'!O43</f>
        <v>0</v>
      </c>
      <c r="G43" s="139">
        <f>'önállóan gazd.'!P43</f>
        <v>0</v>
      </c>
      <c r="H43" s="885">
        <f>'önállóan gazd.'!Q43</f>
        <v>0</v>
      </c>
      <c r="I43" s="1159">
        <f t="shared" si="14"/>
        <v>4504921</v>
      </c>
      <c r="J43" s="299">
        <f t="shared" si="14"/>
        <v>46</v>
      </c>
      <c r="K43" s="1212">
        <f t="shared" si="14"/>
        <v>4504967</v>
      </c>
      <c r="L43" s="429"/>
    </row>
    <row r="44" spans="1:12" s="88" customFormat="1" ht="15.75" thickBot="1">
      <c r="A44" s="154" t="s">
        <v>101</v>
      </c>
      <c r="B44" s="155" t="s">
        <v>175</v>
      </c>
      <c r="C44" s="1156">
        <f>SUM(hivatal7!F44+hivatal7!I44+hivatal7!L44+hivatal8!C44+hivatal8!F44+hivatal8!I44+hivatal8!L44)</f>
        <v>24490</v>
      </c>
      <c r="D44" s="434">
        <f>SUM(hivatal7!G44+hivatal7!J44+hivatal7!M44+hivatal8!D44+hivatal8!G44+hivatal8!J44+hivatal8!M44)</f>
        <v>1212</v>
      </c>
      <c r="E44" s="1153">
        <f>SUM(hivatal7!H44+hivatal7!K44+hivatal7!N44+hivatal8!E44+hivatal8!H44+hivatal8!K44+hivatal8!N44)</f>
        <v>25702</v>
      </c>
      <c r="F44" s="907">
        <f>'önállóan gazd.'!O44</f>
        <v>45</v>
      </c>
      <c r="G44" s="151">
        <f>'önállóan gazd.'!P44</f>
        <v>20</v>
      </c>
      <c r="H44" s="886">
        <f>'önállóan gazd.'!Q44</f>
        <v>65</v>
      </c>
      <c r="I44" s="1160">
        <f>SUM(C44+F44)</f>
        <v>24535</v>
      </c>
      <c r="J44" s="300">
        <f>SUM(D44+G44)</f>
        <v>1232</v>
      </c>
      <c r="K44" s="1214">
        <f>SUM(E44+H44)</f>
        <v>25767</v>
      </c>
      <c r="L44" s="357"/>
    </row>
    <row r="45" spans="1:12" s="200" customFormat="1" ht="16.5" thickBot="1">
      <c r="A45" s="313">
        <v>2</v>
      </c>
      <c r="B45" s="305" t="s">
        <v>176</v>
      </c>
      <c r="C45" s="1095">
        <f>SUM(C41:C44)</f>
        <v>6339411</v>
      </c>
      <c r="D45" s="290">
        <f aca="true" t="shared" si="15" ref="D45:K45">SUM(D41:D44)</f>
        <v>1258</v>
      </c>
      <c r="E45" s="432">
        <f>SUM(E41:E44)</f>
        <v>6340669</v>
      </c>
      <c r="F45" s="1095">
        <f t="shared" si="15"/>
        <v>45</v>
      </c>
      <c r="G45" s="290">
        <f>SUM(G41:G44)</f>
        <v>20</v>
      </c>
      <c r="H45" s="432">
        <f t="shared" si="15"/>
        <v>65</v>
      </c>
      <c r="I45" s="1095">
        <f t="shared" si="15"/>
        <v>6339456</v>
      </c>
      <c r="J45" s="290">
        <f t="shared" si="15"/>
        <v>1278</v>
      </c>
      <c r="K45" s="1258">
        <f t="shared" si="15"/>
        <v>6340734</v>
      </c>
      <c r="L45" s="427"/>
    </row>
    <row r="46" spans="1:12" s="200" customFormat="1" ht="16.5" thickBot="1">
      <c r="A46" s="313">
        <v>3</v>
      </c>
      <c r="B46" s="305" t="s">
        <v>264</v>
      </c>
      <c r="C46" s="347">
        <f>SUM(hivatal7!F46+hivatal7!I46+hivatal7!L46+hivatal8!C46+hivatal8!F46+hivatal8!I46+hivatal8!L46)</f>
        <v>717103</v>
      </c>
      <c r="D46" s="314">
        <f>SUM(hivatal7!G46+hivatal7!J46+hivatal7!M46+hivatal8!D46+hivatal8!G46+hivatal8!J46+hivatal8!M46)</f>
        <v>73301</v>
      </c>
      <c r="E46" s="320">
        <f>SUM(hivatal7!H46+hivatal7!K46+hivatal7!N46+hivatal8!E46+hivatal8!H46+hivatal8!K46+hivatal8!N46)</f>
        <v>790404</v>
      </c>
      <c r="F46" s="1078">
        <f>'önállóan gazd.'!O46</f>
        <v>488933</v>
      </c>
      <c r="G46" s="768">
        <f>'önállóan gazd.'!P46</f>
        <v>64297</v>
      </c>
      <c r="H46" s="1157">
        <f>'önállóan gazd.'!Q46</f>
        <v>553230</v>
      </c>
      <c r="I46" s="1095">
        <f aca="true" t="shared" si="16" ref="I46:K50">SUM(C46+F46)</f>
        <v>1206036</v>
      </c>
      <c r="J46" s="290">
        <f t="shared" si="16"/>
        <v>137598</v>
      </c>
      <c r="K46" s="1258">
        <f t="shared" si="16"/>
        <v>1343634</v>
      </c>
      <c r="L46" s="427"/>
    </row>
    <row r="47" spans="1:12" s="200" customFormat="1" ht="16.5" thickBot="1">
      <c r="A47" s="313">
        <v>4</v>
      </c>
      <c r="B47" s="436" t="s">
        <v>285</v>
      </c>
      <c r="C47" s="1146">
        <f>SUM(hivatal7!F47+hivatal7!I47+hivatal7!L47+hivatal8!C47+hivatal8!F47+hivatal8!I47+hivatal8!L47)</f>
        <v>361</v>
      </c>
      <c r="D47" s="803">
        <f>SUM(hivatal7!G47+hivatal7!J47+hivatal7!M47+hivatal8!D47+hivatal8!G47+hivatal8!J47+hivatal8!M47)</f>
        <v>0</v>
      </c>
      <c r="E47" s="924">
        <f>SUM(hivatal7!H47+hivatal7!K47+hivatal7!N47+hivatal8!E47+hivatal8!H47+hivatal8!K47+hivatal8!N47)</f>
        <v>361</v>
      </c>
      <c r="F47" s="347">
        <f>'önállóan gazd.'!O47</f>
        <v>0</v>
      </c>
      <c r="G47" s="314">
        <f>'önállóan gazd.'!P47</f>
        <v>0</v>
      </c>
      <c r="H47" s="320">
        <f>'önállóan gazd.'!Q47</f>
        <v>0</v>
      </c>
      <c r="I47" s="1161">
        <f t="shared" si="16"/>
        <v>361</v>
      </c>
      <c r="J47" s="342">
        <f t="shared" si="16"/>
        <v>0</v>
      </c>
      <c r="K47" s="1216">
        <f t="shared" si="16"/>
        <v>361</v>
      </c>
      <c r="L47" s="427"/>
    </row>
    <row r="48" spans="1:12" s="760" customFormat="1" ht="15">
      <c r="A48" s="156" t="s">
        <v>98</v>
      </c>
      <c r="B48" s="437" t="s">
        <v>291</v>
      </c>
      <c r="C48" s="306">
        <f>SUM(hivatal7!F48+hivatal7!I48+hivatal7!L48+hivatal8!C48+hivatal8!F48+hivatal8!I48+hivatal8!L48)</f>
        <v>1136400</v>
      </c>
      <c r="D48" s="226">
        <f>SUM(hivatal7!G48+hivatal7!J48+hivatal7!M48+hivatal8!D48+hivatal8!G48+hivatal8!J48+hivatal8!M48)</f>
        <v>930200</v>
      </c>
      <c r="E48" s="239">
        <f>SUM(hivatal7!H48+hivatal7!K48+hivatal7!N48+hivatal8!E48+hivatal8!H48+hivatal8!K48+hivatal8!N48)</f>
        <v>2066600</v>
      </c>
      <c r="F48" s="1075">
        <f>'önállóan gazd.'!O48</f>
        <v>0</v>
      </c>
      <c r="G48" s="226">
        <f>'önállóan gazd.'!P48</f>
        <v>0</v>
      </c>
      <c r="H48" s="887">
        <f>'önállóan gazd.'!Q48</f>
        <v>0</v>
      </c>
      <c r="I48" s="1093">
        <f t="shared" si="16"/>
        <v>1136400</v>
      </c>
      <c r="J48" s="301">
        <f t="shared" si="16"/>
        <v>930200</v>
      </c>
      <c r="K48" s="1215">
        <f t="shared" si="16"/>
        <v>2066600</v>
      </c>
      <c r="L48" s="761"/>
    </row>
    <row r="49" spans="1:12" s="88" customFormat="1" ht="15">
      <c r="A49" s="154" t="s">
        <v>99</v>
      </c>
      <c r="B49" s="334" t="s">
        <v>393</v>
      </c>
      <c r="C49" s="306">
        <f>SUM(hivatal7!F49+hivatal7!I49+hivatal7!L49+hivatal8!C49+hivatal8!F49+hivatal8!I49+hivatal8!L49)</f>
        <v>0</v>
      </c>
      <c r="D49" s="226">
        <f>SUM(hivatal7!G49+hivatal7!J49+hivatal7!M49+hivatal8!D49+hivatal8!G49+hivatal8!J49+hivatal8!M49)</f>
        <v>0</v>
      </c>
      <c r="E49" s="239">
        <f>SUM(hivatal7!H49+hivatal7!K49+hivatal7!N49+hivatal8!E49+hivatal8!H49+hivatal8!K49+hivatal8!N49)</f>
        <v>0</v>
      </c>
      <c r="F49" s="906">
        <f>'önállóan gazd.'!O49</f>
        <v>0</v>
      </c>
      <c r="G49" s="139">
        <f>'önállóan gazd.'!P49</f>
        <v>0</v>
      </c>
      <c r="H49" s="885">
        <f>'önállóan gazd.'!Q49</f>
        <v>0</v>
      </c>
      <c r="I49" s="1159">
        <f t="shared" si="16"/>
        <v>0</v>
      </c>
      <c r="J49" s="299">
        <f t="shared" si="16"/>
        <v>0</v>
      </c>
      <c r="K49" s="1212">
        <f t="shared" si="16"/>
        <v>0</v>
      </c>
      <c r="L49" s="357"/>
    </row>
    <row r="50" spans="1:12" s="88" customFormat="1" ht="15.75" thickBot="1">
      <c r="A50" s="154" t="s">
        <v>100</v>
      </c>
      <c r="B50" s="334" t="s">
        <v>426</v>
      </c>
      <c r="C50" s="329">
        <f>SUM(hivatal7!F50+hivatal7!I50+hivatal7!L50+hivatal8!C50+hivatal8!F50+hivatal8!I50+hivatal8!L50)</f>
        <v>542279</v>
      </c>
      <c r="D50" s="321">
        <f>SUM(hivatal7!G50+hivatal7!J50+hivatal7!M50+hivatal8!D50+hivatal8!G50+hivatal8!J50+hivatal8!M50)</f>
        <v>0</v>
      </c>
      <c r="E50" s="322">
        <f>SUM(hivatal7!H50+hivatal7!K50+hivatal7!N50+hivatal8!E50+hivatal8!H50+hivatal8!K50+hivatal8!N50)</f>
        <v>542279</v>
      </c>
      <c r="F50" s="907">
        <f>'önállóan gazd.'!O50</f>
        <v>0</v>
      </c>
      <c r="G50" s="151">
        <f>'önállóan gazd.'!P50</f>
        <v>0</v>
      </c>
      <c r="H50" s="886">
        <f>'önállóan gazd.'!Q50</f>
        <v>0</v>
      </c>
      <c r="I50" s="1159">
        <f t="shared" si="16"/>
        <v>542279</v>
      </c>
      <c r="J50" s="299">
        <f t="shared" si="16"/>
        <v>0</v>
      </c>
      <c r="K50" s="1212">
        <f t="shared" si="16"/>
        <v>542279</v>
      </c>
      <c r="L50" s="357"/>
    </row>
    <row r="51" spans="1:12" s="200" customFormat="1" ht="16.5" thickBot="1">
      <c r="A51" s="313">
        <v>5</v>
      </c>
      <c r="B51" s="436" t="s">
        <v>178</v>
      </c>
      <c r="C51" s="347">
        <f>SUM(C48:C50)</f>
        <v>1678679</v>
      </c>
      <c r="D51" s="314">
        <f>SUM(D48:D50)</f>
        <v>930200</v>
      </c>
      <c r="E51" s="320">
        <f>SUM(hivatal7!H51+hivatal7!K51+hivatal7!N51+hivatal8!E51+hivatal8!H51+hivatal8!K51+hivatal8!N51)</f>
        <v>2608879</v>
      </c>
      <c r="F51" s="1095">
        <f>'önállóan gazd.'!O51</f>
        <v>0</v>
      </c>
      <c r="G51" s="290">
        <f>'önállóan gazd.'!P51</f>
        <v>0</v>
      </c>
      <c r="H51" s="288">
        <f>'önállóan gazd.'!Q51</f>
        <v>0</v>
      </c>
      <c r="I51" s="1095">
        <f aca="true" t="shared" si="17" ref="I51:K54">SUM(C51+F51)</f>
        <v>1678679</v>
      </c>
      <c r="J51" s="290">
        <f t="shared" si="17"/>
        <v>930200</v>
      </c>
      <c r="K51" s="1258">
        <f t="shared" si="17"/>
        <v>2608879</v>
      </c>
      <c r="L51" s="427"/>
    </row>
    <row r="52" spans="1:12" s="200" customFormat="1" ht="16.5" thickBot="1">
      <c r="A52" s="765">
        <v>6</v>
      </c>
      <c r="B52" s="767" t="s">
        <v>295</v>
      </c>
      <c r="C52" s="347">
        <f>SUM(hivatal7!F52+hivatal7!I52+hivatal7!L52+hivatal8!C52+hivatal8!F52+hivatal8!I52+hivatal8!L52)</f>
        <v>602602</v>
      </c>
      <c r="D52" s="314">
        <f>SUM(hivatal7!G52+hivatal7!J52+hivatal7!M52+hivatal8!D52+hivatal8!G52+hivatal8!J52+hivatal8!M52)</f>
        <v>-38611</v>
      </c>
      <c r="E52" s="320">
        <f>SUM(hivatal7!H52+hivatal7!K52+hivatal7!N52+hivatal8!E52+hivatal8!H52+hivatal8!K52+hivatal8!N52)</f>
        <v>563991</v>
      </c>
      <c r="F52" s="347">
        <f>'önállóan gazd.'!O52</f>
        <v>1194</v>
      </c>
      <c r="G52" s="314">
        <f>'önállóan gazd.'!P52</f>
        <v>0</v>
      </c>
      <c r="H52" s="320">
        <f>'önállóan gazd.'!Q52</f>
        <v>1194</v>
      </c>
      <c r="I52" s="1096">
        <f t="shared" si="17"/>
        <v>603796</v>
      </c>
      <c r="J52" s="291">
        <f t="shared" si="17"/>
        <v>-38611</v>
      </c>
      <c r="K52" s="1260">
        <f t="shared" si="17"/>
        <v>565185</v>
      </c>
      <c r="L52" s="427"/>
    </row>
    <row r="53" spans="1:12" s="88" customFormat="1" ht="15">
      <c r="A53" s="137" t="s">
        <v>98</v>
      </c>
      <c r="B53" s="438" t="s">
        <v>395</v>
      </c>
      <c r="C53" s="306">
        <f>SUM(hivatal7!F53+hivatal7!I53+hivatal7!L53+hivatal8!C53+hivatal8!F53+hivatal8!I53+hivatal8!L53)</f>
        <v>2340</v>
      </c>
      <c r="D53" s="226">
        <f>SUM(hivatal7!G53+hivatal7!J53+hivatal7!M53+hivatal8!D53+hivatal8!G53+hivatal8!J53+hivatal8!M53)</f>
        <v>616</v>
      </c>
      <c r="E53" s="239">
        <f>SUM(hivatal7!H53+hivatal7!K53+hivatal7!N53+hivatal8!E53+hivatal8!H53+hivatal8!K53+hivatal8!N53)</f>
        <v>2956</v>
      </c>
      <c r="F53" s="1075">
        <f>'önállóan gazd.'!O53</f>
        <v>0</v>
      </c>
      <c r="G53" s="226">
        <f>'önállóan gazd.'!P53</f>
        <v>0</v>
      </c>
      <c r="H53" s="887">
        <f>'önállóan gazd.'!Q53</f>
        <v>0</v>
      </c>
      <c r="I53" s="1098">
        <f t="shared" si="17"/>
        <v>2340</v>
      </c>
      <c r="J53" s="348">
        <f t="shared" si="17"/>
        <v>616</v>
      </c>
      <c r="K53" s="1217">
        <f t="shared" si="17"/>
        <v>2956</v>
      </c>
      <c r="L53" s="357"/>
    </row>
    <row r="54" spans="1:12" s="88" customFormat="1" ht="15.75" thickBot="1">
      <c r="A54" s="335" t="s">
        <v>99</v>
      </c>
      <c r="B54" s="437" t="s">
        <v>396</v>
      </c>
      <c r="C54" s="329">
        <f>SUM(hivatal7!F54+hivatal7!I54+hivatal7!L54+hivatal8!C54+hivatal8!F54+hivatal8!I54+hivatal8!L54)</f>
        <v>0</v>
      </c>
      <c r="D54" s="321">
        <f>SUM(hivatal7!G54+hivatal7!J54+hivatal7!M54+hivatal8!D54+hivatal8!G54+hivatal8!J54+hivatal8!M54)</f>
        <v>0</v>
      </c>
      <c r="E54" s="322">
        <f>SUM(hivatal7!H54+hivatal7!K54+hivatal7!N54+hivatal8!E54+hivatal8!H54+hivatal8!K54+hivatal8!N54)</f>
        <v>0</v>
      </c>
      <c r="F54" s="907">
        <f>'önállóan gazd.'!O54</f>
        <v>0</v>
      </c>
      <c r="G54" s="151">
        <f>'önállóan gazd.'!P54</f>
        <v>0</v>
      </c>
      <c r="H54" s="886">
        <f>'önállóan gazd.'!Q54</f>
        <v>0</v>
      </c>
      <c r="I54" s="1094">
        <f t="shared" si="17"/>
        <v>0</v>
      </c>
      <c r="J54" s="328">
        <f t="shared" si="17"/>
        <v>0</v>
      </c>
      <c r="K54" s="1213">
        <f t="shared" si="17"/>
        <v>0</v>
      </c>
      <c r="L54" s="357"/>
    </row>
    <row r="55" spans="1:12" s="200" customFormat="1" ht="17.25" customHeight="1" thickBot="1">
      <c r="A55" s="313">
        <v>7</v>
      </c>
      <c r="B55" s="436" t="s">
        <v>181</v>
      </c>
      <c r="C55" s="347">
        <f>SUM(C53:C54)</f>
        <v>2340</v>
      </c>
      <c r="D55" s="314">
        <f>SUM(hivatal7!G55+hivatal7!J55+hivatal7!M55+hivatal8!D55+hivatal8!G55+hivatal8!J55+hivatal8!M55)</f>
        <v>616</v>
      </c>
      <c r="E55" s="320">
        <f>SUM(hivatal7!H55+hivatal7!K55+hivatal7!N55+hivatal8!E55+hivatal8!H55+hivatal8!K55+hivatal8!N55)</f>
        <v>2956</v>
      </c>
      <c r="F55" s="1095">
        <f>'önállóan gazd.'!O55</f>
        <v>0</v>
      </c>
      <c r="G55" s="290">
        <f>'önállóan gazd.'!P55</f>
        <v>0</v>
      </c>
      <c r="H55" s="288">
        <f>'önállóan gazd.'!Q55</f>
        <v>0</v>
      </c>
      <c r="I55" s="1095">
        <f>SUM(C55+F55)</f>
        <v>2340</v>
      </c>
      <c r="J55" s="290">
        <f>SUM(D55+G55)</f>
        <v>616</v>
      </c>
      <c r="K55" s="1258">
        <f>SUM(E55+H55)</f>
        <v>2956</v>
      </c>
      <c r="L55" s="427"/>
    </row>
    <row r="56" spans="1:12" s="268" customFormat="1" ht="19.5" customHeight="1" thickBot="1">
      <c r="A56" s="716">
        <v>8</v>
      </c>
      <c r="B56" s="717" t="s">
        <v>427</v>
      </c>
      <c r="C56" s="1111">
        <f>C34-C40-C45-C46-C47-C51-C52-C55-C57-C58-C59</f>
        <v>-5532547</v>
      </c>
      <c r="D56" s="1112">
        <f>D34-D40-D45-D46-D47-D51-D52-D55-D57-D58-D59</f>
        <v>36901</v>
      </c>
      <c r="E56" s="1109">
        <f aca="true" t="shared" si="18" ref="E56:K56">E34-E40-E45-E46-E47-E51-E52-E55-E57-E58-E59</f>
        <v>-5495646</v>
      </c>
      <c r="F56" s="1111">
        <f t="shared" si="18"/>
        <v>5532547</v>
      </c>
      <c r="G56" s="1112">
        <f t="shared" si="18"/>
        <v>-36901</v>
      </c>
      <c r="H56" s="1109">
        <f t="shared" si="18"/>
        <v>5495646</v>
      </c>
      <c r="I56" s="1134">
        <f t="shared" si="18"/>
        <v>0</v>
      </c>
      <c r="J56" s="1136">
        <f t="shared" si="18"/>
        <v>0</v>
      </c>
      <c r="K56" s="1124">
        <f t="shared" si="18"/>
        <v>0</v>
      </c>
      <c r="L56" s="429"/>
    </row>
    <row r="57" spans="1:12" s="200" customFormat="1" ht="15.75">
      <c r="A57" s="336" t="s">
        <v>398</v>
      </c>
      <c r="B57" s="337" t="s">
        <v>184</v>
      </c>
      <c r="C57" s="306">
        <f>SUM(hivatal7!F57+hivatal7!I57+hivatal7!L57+hivatal8!C57+hivatal8!F57+hivatal8!I57+hivatal8!L57)</f>
        <v>3696607</v>
      </c>
      <c r="D57" s="226">
        <f>SUM(hivatal7!G57+hivatal7!J57+hivatal7!M57+hivatal8!D57+hivatal8!G57+hivatal8!J57+hivatal8!M57)</f>
        <v>0</v>
      </c>
      <c r="E57" s="239">
        <f>SUM(hivatal7!H57+hivatal7!K57+hivatal7!N57+hivatal8!E57+hivatal8!H57+hivatal8!K57+hivatal8!N57)</f>
        <v>3696607</v>
      </c>
      <c r="F57" s="906">
        <f>'önállóan gazd.'!O57</f>
        <v>10865</v>
      </c>
      <c r="G57" s="139">
        <f>'önállóan gazd.'!P57</f>
        <v>0</v>
      </c>
      <c r="H57" s="885">
        <f>'önállóan gazd.'!Q57</f>
        <v>10865</v>
      </c>
      <c r="I57" s="1162">
        <f aca="true" t="shared" si="19" ref="I57:K59">SUM(C57+F57)</f>
        <v>3707472</v>
      </c>
      <c r="J57" s="1165">
        <f t="shared" si="19"/>
        <v>0</v>
      </c>
      <c r="K57" s="805">
        <f t="shared" si="19"/>
        <v>3707472</v>
      </c>
      <c r="L57" s="427"/>
    </row>
    <row r="58" spans="1:12" s="200" customFormat="1" ht="15.75">
      <c r="A58" s="336" t="s">
        <v>183</v>
      </c>
      <c r="B58" s="337" t="s">
        <v>397</v>
      </c>
      <c r="C58" s="226">
        <f>SUM(hivatal7!F58+hivatal7!I58+hivatal7!L58+hivatal8!C58+hivatal8!F58+hivatal8!I58+hivatal8!L58)</f>
        <v>2000000</v>
      </c>
      <c r="D58" s="226">
        <f>SUM(hivatal7!G58+hivatal7!J58+hivatal7!M58+hivatal8!D58+hivatal8!G58+hivatal8!J58+hivatal8!M58)</f>
        <v>0</v>
      </c>
      <c r="E58" s="226">
        <f>SUM(hivatal7!H58+hivatal7!K58+hivatal7!N58+hivatal8!E58+hivatal8!H58+hivatal8!K58+hivatal8!N58)</f>
        <v>2000000</v>
      </c>
      <c r="F58" s="906">
        <f>'önállóan gazd.'!O58</f>
        <v>0</v>
      </c>
      <c r="G58" s="139">
        <f>'önállóan gazd.'!P58</f>
        <v>0</v>
      </c>
      <c r="H58" s="885">
        <f>'önállóan gazd.'!Q58</f>
        <v>0</v>
      </c>
      <c r="I58" s="1163">
        <f t="shared" si="19"/>
        <v>2000000</v>
      </c>
      <c r="J58" s="292">
        <f t="shared" si="19"/>
        <v>0</v>
      </c>
      <c r="K58" s="440">
        <f t="shared" si="19"/>
        <v>2000000</v>
      </c>
      <c r="L58" s="427"/>
    </row>
    <row r="59" spans="1:12" s="200" customFormat="1" ht="16.5" thickBot="1">
      <c r="A59" s="351">
        <v>10</v>
      </c>
      <c r="B59" s="352"/>
      <c r="C59" s="441">
        <f>SUM(hivatal7!F59+hivatal7!I59+hivatal7!L59+hivatal8!C59+hivatal8!F59+hivatal8!I59+hivatal8!L59)</f>
        <v>0</v>
      </c>
      <c r="D59" s="442">
        <f>SUM(hivatal7!G59+hivatal7!J59+hivatal7!M59+hivatal8!D59+hivatal8!G59+hivatal8!J59+hivatal8!M59)</f>
        <v>0</v>
      </c>
      <c r="E59" s="443">
        <f>SUM(hivatal7!H59+hivatal7!K59+hivatal7!N59+hivatal8!E59+hivatal8!H59+hivatal8!K59+hivatal8!N59)</f>
        <v>0</v>
      </c>
      <c r="F59" s="441">
        <f>'önállóan gazd.'!O59</f>
        <v>0</v>
      </c>
      <c r="G59" s="442">
        <f>'önállóan gazd.'!P59</f>
        <v>0</v>
      </c>
      <c r="H59" s="443">
        <f>'önállóan gazd.'!Q59</f>
        <v>0</v>
      </c>
      <c r="I59" s="444">
        <f t="shared" si="19"/>
        <v>0</v>
      </c>
      <c r="J59" s="445">
        <f t="shared" si="19"/>
        <v>0</v>
      </c>
      <c r="K59" s="446">
        <f t="shared" si="19"/>
        <v>0</v>
      </c>
      <c r="L59" s="427"/>
    </row>
    <row r="60" spans="1:12" s="152" customFormat="1" ht="17.25" thickBot="1" thickTop="1">
      <c r="A60" s="343" t="s">
        <v>109</v>
      </c>
      <c r="B60" s="345" t="s">
        <v>182</v>
      </c>
      <c r="C60" s="377">
        <f>C40+C45+C46+C47+C51+C52+C55+C56+C57+C58+C59</f>
        <v>11638477</v>
      </c>
      <c r="D60" s="378">
        <f aca="true" t="shared" si="20" ref="D60:I60">D40+D45+D46+D47+D51+D52+D55+D56+D57+D58+D59</f>
        <v>1100394</v>
      </c>
      <c r="E60" s="448">
        <f t="shared" si="20"/>
        <v>12738871</v>
      </c>
      <c r="F60" s="447">
        <f t="shared" si="20"/>
        <v>6043524</v>
      </c>
      <c r="G60" s="781">
        <f t="shared" si="20"/>
        <v>37550</v>
      </c>
      <c r="H60" s="448">
        <f t="shared" si="20"/>
        <v>6081074</v>
      </c>
      <c r="I60" s="377">
        <f t="shared" si="20"/>
        <v>17682001</v>
      </c>
      <c r="J60" s="378">
        <f>J40+J45+J46+J47+J51+J52+J55+J56+J57+J58+J59</f>
        <v>1137944</v>
      </c>
      <c r="K60" s="782">
        <f>K40+K45+K46+K47+K51+K52+K55+K56+K57+K58+K59</f>
        <v>18819945</v>
      </c>
      <c r="L60" s="427"/>
    </row>
    <row r="61" spans="1:12" s="88" customFormat="1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804"/>
      <c r="J61" s="804"/>
      <c r="K61" s="165"/>
      <c r="L61" s="357"/>
    </row>
    <row r="62" spans="1:12" s="88" customFormat="1" ht="17.25" thickBot="1" thickTop="1">
      <c r="A62" s="167"/>
      <c r="B62" s="168" t="s">
        <v>579</v>
      </c>
      <c r="C62" s="287">
        <f>SUM(hivatal7!F62+hivatal7!I62+hivatal7!L62+hivatal8!C62+hivatal8!F62+hivatal8!I62)</f>
        <v>33</v>
      </c>
      <c r="D62" s="287">
        <f>SUM(hivatal7!G62+hivatal7!J62+hivatal7!M62+hivatal8!D62+hivatal8!G62+hivatal8!J62)</f>
        <v>0</v>
      </c>
      <c r="E62" s="287">
        <f>SUM(hivatal7!H62+hivatal7!K62+hivatal7!N62+hivatal8!E62+hivatal8!H62+hivatal8!K62)</f>
        <v>33</v>
      </c>
      <c r="F62" s="449">
        <f>'önállóan gazd.'!O62</f>
        <v>814</v>
      </c>
      <c r="G62" s="450">
        <f>'önállóan gazd.'!P62</f>
        <v>0</v>
      </c>
      <c r="H62" s="451">
        <f>'önállóan gazd.'!Q62</f>
        <v>814</v>
      </c>
      <c r="I62" s="449">
        <f aca="true" t="shared" si="21" ref="I62:K63">SUM(C62+F62)</f>
        <v>847</v>
      </c>
      <c r="J62" s="452">
        <f t="shared" si="21"/>
        <v>0</v>
      </c>
      <c r="K62" s="453">
        <f t="shared" si="21"/>
        <v>847</v>
      </c>
      <c r="L62" s="357"/>
    </row>
    <row r="63" spans="1:12" s="88" customFormat="1" ht="17.25" thickBot="1" thickTop="1">
      <c r="A63" s="167"/>
      <c r="B63" s="168" t="s">
        <v>580</v>
      </c>
      <c r="C63" s="287">
        <f>SUM(hivatal7!F63+hivatal7!I63+hivatal7!L63+hivatal8!C63+hivatal8!F63+hivatal8!I63)</f>
        <v>15</v>
      </c>
      <c r="D63" s="287">
        <f>SUM(hivatal7!G63+hivatal7!J63+hivatal7!M63+hivatal8!D63+hivatal8!G63+hivatal8!J63)</f>
        <v>0</v>
      </c>
      <c r="E63" s="287">
        <f>SUM(hivatal7!H63+hivatal7!K63+hivatal7!N63+hivatal8!E63+hivatal8!H63+hivatal8!K63)</f>
        <v>15</v>
      </c>
      <c r="F63" s="449">
        <f>'önállóan gazd.'!O63</f>
        <v>0</v>
      </c>
      <c r="G63" s="450">
        <f>'önállóan gazd.'!P63</f>
        <v>0</v>
      </c>
      <c r="H63" s="451">
        <f>'önállóan gazd.'!Q63</f>
        <v>0</v>
      </c>
      <c r="I63" s="454">
        <f t="shared" si="21"/>
        <v>15</v>
      </c>
      <c r="J63" s="455">
        <f t="shared" si="21"/>
        <v>0</v>
      </c>
      <c r="K63" s="456">
        <f t="shared" si="21"/>
        <v>15</v>
      </c>
      <c r="L63" s="357"/>
    </row>
    <row r="64" spans="1:12" s="88" customFormat="1" ht="16.5" thickTop="1">
      <c r="A64" s="418"/>
      <c r="D64" s="1506"/>
      <c r="E64" s="760"/>
      <c r="F64" s="760"/>
      <c r="G64" s="760"/>
      <c r="L64" s="357"/>
    </row>
    <row r="65" spans="1:12" s="88" customFormat="1" ht="15.75">
      <c r="A65" s="418"/>
      <c r="C65" s="105">
        <f>SUM(C36:C59)</f>
        <v>21792828</v>
      </c>
      <c r="D65" s="760"/>
      <c r="E65" s="760"/>
      <c r="F65" s="760"/>
      <c r="G65" s="1506"/>
      <c r="J65" s="105">
        <f>SUM(J36:J55)+J58</f>
        <v>2176901</v>
      </c>
      <c r="L65" s="357"/>
    </row>
    <row r="66" spans="1:12" s="88" customFormat="1" ht="12.75">
      <c r="A66" s="419"/>
      <c r="D66" s="760"/>
      <c r="E66" s="760"/>
      <c r="F66" s="760"/>
      <c r="G66" s="760"/>
      <c r="L66" s="357"/>
    </row>
    <row r="67" spans="1:12" s="88" customFormat="1" ht="12.75">
      <c r="A67" s="419"/>
      <c r="D67" s="760"/>
      <c r="E67" s="760"/>
      <c r="F67" s="760"/>
      <c r="G67" s="760"/>
      <c r="L67" s="357"/>
    </row>
    <row r="68" spans="1:12" s="88" customFormat="1" ht="12.75">
      <c r="A68" s="419"/>
      <c r="D68" s="760"/>
      <c r="E68" s="760"/>
      <c r="F68" s="760"/>
      <c r="G68" s="760"/>
      <c r="L68" s="357"/>
    </row>
    <row r="69" spans="1:12" s="88" customFormat="1" ht="12.75">
      <c r="A69" s="419"/>
      <c r="D69" s="760"/>
      <c r="E69" s="760"/>
      <c r="F69" s="760"/>
      <c r="G69" s="760"/>
      <c r="L69" s="357"/>
    </row>
    <row r="70" spans="1:12" s="88" customFormat="1" ht="12.75">
      <c r="A70" s="419"/>
      <c r="D70" s="760"/>
      <c r="E70" s="760"/>
      <c r="F70" s="760"/>
      <c r="G70" s="760"/>
      <c r="L70" s="357"/>
    </row>
    <row r="71" spans="1:12" s="88" customFormat="1" ht="12.75">
      <c r="A71" s="419"/>
      <c r="D71" s="760"/>
      <c r="E71" s="760"/>
      <c r="F71" s="760"/>
      <c r="G71" s="760"/>
      <c r="L71" s="357"/>
    </row>
    <row r="72" spans="1:12" s="88" customFormat="1" ht="12.75">
      <c r="A72" s="419"/>
      <c r="D72" s="760"/>
      <c r="E72" s="760"/>
      <c r="F72" s="760"/>
      <c r="G72" s="760"/>
      <c r="L72" s="357"/>
    </row>
    <row r="73" spans="1:12" s="88" customFormat="1" ht="12.75">
      <c r="A73" s="419"/>
      <c r="D73" s="760"/>
      <c r="E73" s="760"/>
      <c r="F73" s="760"/>
      <c r="G73" s="760"/>
      <c r="L73" s="357"/>
    </row>
    <row r="74" spans="1:12" s="88" customFormat="1" ht="12.75">
      <c r="A74" s="419"/>
      <c r="D74" s="760"/>
      <c r="E74" s="760"/>
      <c r="F74" s="760"/>
      <c r="G74" s="760"/>
      <c r="L74" s="357"/>
    </row>
    <row r="75" spans="1:12" s="88" customFormat="1" ht="12.75">
      <c r="A75" s="419"/>
      <c r="D75" s="760"/>
      <c r="E75" s="760"/>
      <c r="F75" s="760"/>
      <c r="G75" s="760"/>
      <c r="L75" s="357"/>
    </row>
    <row r="76" spans="1:12" s="88" customFormat="1" ht="12.75">
      <c r="A76" s="419"/>
      <c r="D76" s="760"/>
      <c r="E76" s="760"/>
      <c r="F76" s="760"/>
      <c r="G76" s="760"/>
      <c r="L76" s="357"/>
    </row>
    <row r="77" spans="1:12" s="88" customFormat="1" ht="12.75">
      <c r="A77" s="419"/>
      <c r="D77" s="760"/>
      <c r="E77" s="760"/>
      <c r="F77" s="760"/>
      <c r="G77" s="760"/>
      <c r="L77" s="357"/>
    </row>
    <row r="78" spans="1:12" s="88" customFormat="1" ht="12.75">
      <c r="A78" s="419"/>
      <c r="D78" s="760"/>
      <c r="E78" s="760"/>
      <c r="F78" s="760"/>
      <c r="G78" s="760"/>
      <c r="L78" s="357"/>
    </row>
    <row r="79" spans="1:12" s="88" customFormat="1" ht="12.75">
      <c r="A79" s="419"/>
      <c r="D79" s="760"/>
      <c r="E79" s="760"/>
      <c r="F79" s="760"/>
      <c r="G79" s="760"/>
      <c r="L79" s="357"/>
    </row>
    <row r="80" spans="1:12" s="88" customFormat="1" ht="12.75">
      <c r="A80" s="419"/>
      <c r="D80" s="760"/>
      <c r="E80" s="760"/>
      <c r="F80" s="760"/>
      <c r="G80" s="760"/>
      <c r="L80" s="357"/>
    </row>
    <row r="81" spans="1:12" s="88" customFormat="1" ht="12.75">
      <c r="A81" s="419"/>
      <c r="D81" s="760"/>
      <c r="E81" s="760"/>
      <c r="F81" s="760"/>
      <c r="G81" s="760"/>
      <c r="L81" s="357"/>
    </row>
    <row r="82" spans="1:12" s="88" customFormat="1" ht="12.75">
      <c r="A82" s="419"/>
      <c r="D82" s="760"/>
      <c r="E82" s="760"/>
      <c r="F82" s="760"/>
      <c r="G82" s="760"/>
      <c r="L82" s="357"/>
    </row>
    <row r="83" spans="1:12" s="88" customFormat="1" ht="12.75">
      <c r="A83" s="419"/>
      <c r="D83" s="760"/>
      <c r="E83" s="760"/>
      <c r="F83" s="760"/>
      <c r="G83" s="760"/>
      <c r="L83" s="357"/>
    </row>
    <row r="84" spans="1:12" s="88" customFormat="1" ht="12.75">
      <c r="A84" s="419"/>
      <c r="D84" s="760"/>
      <c r="E84" s="760"/>
      <c r="F84" s="760"/>
      <c r="G84" s="760"/>
      <c r="L84" s="357"/>
    </row>
    <row r="85" spans="1:12" s="88" customFormat="1" ht="12.75">
      <c r="A85" s="419"/>
      <c r="D85" s="760"/>
      <c r="E85" s="760"/>
      <c r="F85" s="760"/>
      <c r="G85" s="760"/>
      <c r="L85" s="357"/>
    </row>
    <row r="86" spans="1:12" s="88" customFormat="1" ht="12.75">
      <c r="A86" s="419"/>
      <c r="D86" s="760"/>
      <c r="E86" s="760"/>
      <c r="F86" s="760"/>
      <c r="G86" s="760"/>
      <c r="L86" s="357"/>
    </row>
    <row r="87" spans="1:12" s="88" customFormat="1" ht="12.75">
      <c r="A87" s="419"/>
      <c r="D87" s="760"/>
      <c r="E87" s="760"/>
      <c r="F87" s="760"/>
      <c r="G87" s="760"/>
      <c r="L87" s="357"/>
    </row>
    <row r="88" spans="1:12" s="88" customFormat="1" ht="12.75">
      <c r="A88" s="419"/>
      <c r="D88" s="760"/>
      <c r="E88" s="760"/>
      <c r="F88" s="760"/>
      <c r="G88" s="760"/>
      <c r="L88" s="357"/>
    </row>
    <row r="89" spans="1:12" s="88" customFormat="1" ht="12.75">
      <c r="A89" s="419"/>
      <c r="D89" s="760"/>
      <c r="E89" s="760"/>
      <c r="F89" s="760"/>
      <c r="G89" s="760"/>
      <c r="L89" s="357"/>
    </row>
    <row r="90" spans="1:12" s="88" customFormat="1" ht="12.75">
      <c r="A90" s="419"/>
      <c r="D90" s="760"/>
      <c r="E90" s="760"/>
      <c r="F90" s="760"/>
      <c r="G90" s="760"/>
      <c r="L90" s="357"/>
    </row>
    <row r="91" spans="1:21" s="88" customFormat="1" ht="12.75">
      <c r="A91" s="419"/>
      <c r="D91" s="760"/>
      <c r="E91" s="760"/>
      <c r="F91" s="760"/>
      <c r="G91" s="760"/>
      <c r="L91" s="357"/>
      <c r="M91" s="357"/>
      <c r="N91" s="357"/>
      <c r="O91" s="357"/>
      <c r="P91" s="357"/>
      <c r="Q91" s="357"/>
      <c r="R91" s="357"/>
      <c r="S91" s="357"/>
      <c r="T91" s="357"/>
      <c r="U91" s="357"/>
    </row>
    <row r="92" spans="1:21" s="88" customFormat="1" ht="12.75">
      <c r="A92" s="419"/>
      <c r="D92" s="760"/>
      <c r="E92" s="760"/>
      <c r="F92" s="760"/>
      <c r="G92" s="760"/>
      <c r="L92" s="357"/>
      <c r="M92" s="357"/>
      <c r="N92" s="357"/>
      <c r="O92" s="357"/>
      <c r="P92" s="357"/>
      <c r="Q92" s="357"/>
      <c r="R92" s="357"/>
      <c r="S92" s="357"/>
      <c r="T92" s="357"/>
      <c r="U92" s="357"/>
    </row>
    <row r="93" spans="1:21" s="88" customFormat="1" ht="12.75">
      <c r="A93" s="419"/>
      <c r="D93" s="760"/>
      <c r="E93" s="760"/>
      <c r="F93" s="760"/>
      <c r="G93" s="760"/>
      <c r="L93" s="357"/>
      <c r="M93" s="357"/>
      <c r="N93" s="357"/>
      <c r="O93" s="357"/>
      <c r="P93" s="357"/>
      <c r="Q93" s="357"/>
      <c r="R93" s="357"/>
      <c r="S93" s="357"/>
      <c r="T93" s="357"/>
      <c r="U93" s="357"/>
    </row>
    <row r="94" spans="1:21" s="88" customFormat="1" ht="12.75">
      <c r="A94" s="419"/>
      <c r="D94" s="760"/>
      <c r="E94" s="760"/>
      <c r="F94" s="760"/>
      <c r="G94" s="760"/>
      <c r="L94" s="357"/>
      <c r="M94" s="357"/>
      <c r="N94" s="357"/>
      <c r="O94" s="357"/>
      <c r="P94" s="357"/>
      <c r="Q94" s="357"/>
      <c r="R94" s="357"/>
      <c r="S94" s="357"/>
      <c r="T94" s="357"/>
      <c r="U94" s="357"/>
    </row>
    <row r="95" spans="1:21" s="88" customFormat="1" ht="12.75">
      <c r="A95" s="419"/>
      <c r="D95" s="760"/>
      <c r="E95" s="760"/>
      <c r="F95" s="760"/>
      <c r="G95" s="760"/>
      <c r="L95" s="357"/>
      <c r="M95" s="357"/>
      <c r="N95" s="357"/>
      <c r="O95" s="357"/>
      <c r="P95" s="357"/>
      <c r="Q95" s="357"/>
      <c r="R95" s="357"/>
      <c r="S95" s="357"/>
      <c r="T95" s="357"/>
      <c r="U95" s="357"/>
    </row>
    <row r="96" spans="1:21" s="88" customFormat="1" ht="12.75">
      <c r="A96" s="419"/>
      <c r="D96" s="760"/>
      <c r="E96" s="760"/>
      <c r="F96" s="760"/>
      <c r="G96" s="760"/>
      <c r="L96" s="357"/>
      <c r="M96" s="357"/>
      <c r="N96" s="357"/>
      <c r="O96" s="357"/>
      <c r="P96" s="357"/>
      <c r="Q96" s="357"/>
      <c r="R96" s="357"/>
      <c r="S96" s="357"/>
      <c r="T96" s="357"/>
      <c r="U96" s="357"/>
    </row>
    <row r="97" spans="1:21" s="88" customFormat="1" ht="12.75">
      <c r="A97" s="419"/>
      <c r="D97" s="760"/>
      <c r="E97" s="760"/>
      <c r="F97" s="760"/>
      <c r="G97" s="760"/>
      <c r="L97" s="357"/>
      <c r="M97" s="357"/>
      <c r="N97" s="357"/>
      <c r="O97" s="357"/>
      <c r="P97" s="357"/>
      <c r="Q97" s="357"/>
      <c r="R97" s="357"/>
      <c r="S97" s="357"/>
      <c r="T97" s="357"/>
      <c r="U97" s="357"/>
    </row>
    <row r="98" spans="1:21" s="88" customFormat="1" ht="12.75">
      <c r="A98" s="419"/>
      <c r="D98" s="760"/>
      <c r="E98" s="760"/>
      <c r="F98" s="760"/>
      <c r="G98" s="760"/>
      <c r="L98" s="357"/>
      <c r="M98" s="357"/>
      <c r="N98" s="357"/>
      <c r="O98" s="357"/>
      <c r="P98" s="357"/>
      <c r="Q98" s="357"/>
      <c r="R98" s="357"/>
      <c r="S98" s="357"/>
      <c r="T98" s="357"/>
      <c r="U98" s="357"/>
    </row>
    <row r="99" spans="1:21" s="88" customFormat="1" ht="12.75">
      <c r="A99" s="419"/>
      <c r="D99" s="760"/>
      <c r="E99" s="760"/>
      <c r="F99" s="760"/>
      <c r="G99" s="760"/>
      <c r="L99" s="357"/>
      <c r="M99" s="357"/>
      <c r="N99" s="357"/>
      <c r="O99" s="357"/>
      <c r="P99" s="357"/>
      <c r="Q99" s="357"/>
      <c r="R99" s="357"/>
      <c r="S99" s="357"/>
      <c r="T99" s="357"/>
      <c r="U99" s="357"/>
    </row>
    <row r="100" spans="1:21" s="88" customFormat="1" ht="12.75">
      <c r="A100" s="419"/>
      <c r="D100" s="760"/>
      <c r="E100" s="760"/>
      <c r="F100" s="760"/>
      <c r="G100" s="760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</row>
    <row r="101" spans="1:21" s="88" customFormat="1" ht="12.75">
      <c r="A101" s="419"/>
      <c r="D101" s="760"/>
      <c r="E101" s="760"/>
      <c r="F101" s="760"/>
      <c r="G101" s="760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</row>
    <row r="102" spans="1:21" s="88" customFormat="1" ht="12.75">
      <c r="A102" s="419"/>
      <c r="D102" s="760"/>
      <c r="E102" s="760"/>
      <c r="F102" s="760"/>
      <c r="G102" s="760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</row>
    <row r="103" spans="1:21" s="88" customFormat="1" ht="12.75">
      <c r="A103" s="419"/>
      <c r="D103" s="760"/>
      <c r="E103" s="760"/>
      <c r="F103" s="760"/>
      <c r="G103" s="760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</row>
    <row r="104" spans="1:21" s="88" customFormat="1" ht="12.75">
      <c r="A104" s="419"/>
      <c r="D104" s="760"/>
      <c r="E104" s="760"/>
      <c r="F104" s="760"/>
      <c r="G104" s="760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</row>
    <row r="105" spans="1:21" s="88" customFormat="1" ht="12.75">
      <c r="A105" s="419"/>
      <c r="D105" s="760"/>
      <c r="E105" s="760"/>
      <c r="F105" s="760"/>
      <c r="G105" s="760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</row>
    <row r="106" spans="1:21" s="88" customFormat="1" ht="12.75">
      <c r="A106" s="419"/>
      <c r="D106" s="760"/>
      <c r="E106" s="760"/>
      <c r="F106" s="760"/>
      <c r="G106" s="760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</row>
  </sheetData>
  <sheetProtection/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7"/>
  <sheetViews>
    <sheetView showGridLines="0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" sqref="F1"/>
    </sheetView>
  </sheetViews>
  <sheetFormatPr defaultColWidth="9.00390625" defaultRowHeight="12.75"/>
  <cols>
    <col min="1" max="1" width="2.50390625" style="0" customWidth="1"/>
    <col min="2" max="2" width="3.50390625" style="22" customWidth="1"/>
    <col min="3" max="3" width="68.00390625" style="22" customWidth="1"/>
    <col min="4" max="6" width="13.875" style="22" customWidth="1"/>
  </cols>
  <sheetData>
    <row r="1" spans="2:6" ht="10.5" customHeight="1">
      <c r="B1" s="36"/>
      <c r="F1" s="103" t="s">
        <v>916</v>
      </c>
    </row>
    <row r="2" spans="2:6" ht="12" customHeight="1">
      <c r="B2" s="36"/>
      <c r="F2" s="103" t="s">
        <v>93</v>
      </c>
    </row>
    <row r="3" ht="23.25" customHeight="1">
      <c r="B3" s="36"/>
    </row>
    <row r="4" spans="1:6" s="88" customFormat="1" ht="33" customHeight="1">
      <c r="A4" s="124"/>
      <c r="B4" s="1961" t="s">
        <v>655</v>
      </c>
      <c r="C4" s="1961"/>
      <c r="D4" s="1961"/>
      <c r="E4" s="1961"/>
      <c r="F4" s="1961"/>
    </row>
    <row r="5" spans="1:6" s="594" customFormat="1" ht="19.5" customHeight="1">
      <c r="A5" s="704"/>
      <c r="B5" s="1962" t="s">
        <v>563</v>
      </c>
      <c r="C5" s="1962"/>
      <c r="D5" s="1962"/>
      <c r="E5" s="1962"/>
      <c r="F5" s="1962"/>
    </row>
    <row r="6" spans="3:6" ht="21" customHeight="1" thickBot="1">
      <c r="C6" s="37"/>
      <c r="D6" s="38"/>
      <c r="E6" s="38"/>
      <c r="F6" s="279" t="s">
        <v>134</v>
      </c>
    </row>
    <row r="7" spans="2:6" ht="24.75" thickBot="1">
      <c r="B7" s="81" t="s">
        <v>151</v>
      </c>
      <c r="C7" s="82"/>
      <c r="D7" s="1477" t="s">
        <v>795</v>
      </c>
      <c r="E7" s="125" t="s">
        <v>130</v>
      </c>
      <c r="F7" s="126" t="s">
        <v>658</v>
      </c>
    </row>
    <row r="8" spans="2:6" ht="13.5" thickBot="1">
      <c r="B8" s="78"/>
      <c r="C8" s="79">
        <v>1</v>
      </c>
      <c r="D8" s="80">
        <v>2</v>
      </c>
      <c r="E8" s="80">
        <v>3</v>
      </c>
      <c r="F8" s="80">
        <v>4</v>
      </c>
    </row>
    <row r="9" spans="2:6" ht="12.75">
      <c r="B9" s="74"/>
      <c r="C9" s="109" t="s">
        <v>642</v>
      </c>
      <c r="D9" s="70">
        <v>204667</v>
      </c>
      <c r="E9" s="70"/>
      <c r="F9" s="130">
        <f aca="true" t="shared" si="0" ref="F9:F16">SUM(D9:E9)</f>
        <v>204667</v>
      </c>
    </row>
    <row r="10" spans="2:6" ht="12.75">
      <c r="B10" s="74"/>
      <c r="C10" s="109" t="s">
        <v>193</v>
      </c>
      <c r="D10" s="70">
        <v>15000</v>
      </c>
      <c r="E10" s="70"/>
      <c r="F10" s="130">
        <f t="shared" si="0"/>
        <v>15000</v>
      </c>
    </row>
    <row r="11" spans="2:6" ht="12.75">
      <c r="B11" s="74"/>
      <c r="C11" s="109" t="s">
        <v>620</v>
      </c>
      <c r="D11" s="70">
        <v>141256</v>
      </c>
      <c r="E11" s="70"/>
      <c r="F11" s="130">
        <f t="shared" si="0"/>
        <v>141256</v>
      </c>
    </row>
    <row r="12" spans="2:6" ht="25.5">
      <c r="B12" s="74"/>
      <c r="C12" s="1362" t="s">
        <v>623</v>
      </c>
      <c r="D12" s="70">
        <v>30485</v>
      </c>
      <c r="E12" s="70"/>
      <c r="F12" s="130">
        <f t="shared" si="0"/>
        <v>30485</v>
      </c>
    </row>
    <row r="13" spans="2:6" ht="12.75">
      <c r="B13" s="74"/>
      <c r="C13" s="109" t="s">
        <v>525</v>
      </c>
      <c r="D13" s="70">
        <v>19173</v>
      </c>
      <c r="E13" s="70">
        <v>-6132</v>
      </c>
      <c r="F13" s="130">
        <f t="shared" si="0"/>
        <v>13041</v>
      </c>
    </row>
    <row r="14" spans="2:6" ht="12.75">
      <c r="B14" s="74"/>
      <c r="C14" s="109" t="s">
        <v>849</v>
      </c>
      <c r="D14" s="70">
        <v>300</v>
      </c>
      <c r="E14" s="70"/>
      <c r="F14" s="130">
        <f t="shared" si="0"/>
        <v>300</v>
      </c>
    </row>
    <row r="15" spans="2:6" ht="12.75">
      <c r="B15" s="74"/>
      <c r="C15" s="109" t="s">
        <v>141</v>
      </c>
      <c r="D15" s="70">
        <v>5000</v>
      </c>
      <c r="E15" s="70"/>
      <c r="F15" s="69">
        <f t="shared" si="0"/>
        <v>5000</v>
      </c>
    </row>
    <row r="16" spans="2:6" ht="13.5" thickBot="1">
      <c r="B16" s="1509"/>
      <c r="C16" s="1510" t="s">
        <v>899</v>
      </c>
      <c r="D16" s="1511"/>
      <c r="E16" s="1511">
        <v>6427</v>
      </c>
      <c r="F16" s="69">
        <f t="shared" si="0"/>
        <v>6427</v>
      </c>
    </row>
    <row r="17" spans="2:9" ht="13.5" thickBot="1">
      <c r="B17" s="111">
        <v>1</v>
      </c>
      <c r="C17" s="112" t="s">
        <v>523</v>
      </c>
      <c r="D17" s="104">
        <f>SUM(D9:D16)</f>
        <v>415881</v>
      </c>
      <c r="E17" s="104">
        <f>SUM(E9:E16)</f>
        <v>295</v>
      </c>
      <c r="F17" s="104">
        <f>SUM(F9:F16)</f>
        <v>416176</v>
      </c>
      <c r="G17" s="18">
        <f>SUM(D17:E17)</f>
        <v>416176</v>
      </c>
      <c r="H17" s="18">
        <f>hivatal9!K30</f>
        <v>416176</v>
      </c>
      <c r="I17" s="18"/>
    </row>
    <row r="18" spans="2:8" ht="13.5" thickBot="1">
      <c r="B18" s="116" t="s">
        <v>108</v>
      </c>
      <c r="C18" s="119" t="s">
        <v>436</v>
      </c>
      <c r="D18" s="106">
        <f>D17</f>
        <v>415881</v>
      </c>
      <c r="E18" s="106">
        <f>E17</f>
        <v>295</v>
      </c>
      <c r="F18" s="106">
        <f>F17</f>
        <v>416176</v>
      </c>
      <c r="G18" s="18">
        <f>SUM(D18:E18)</f>
        <v>416176</v>
      </c>
      <c r="H18" s="18"/>
    </row>
    <row r="19" spans="2:6" ht="12.75">
      <c r="B19" s="74"/>
      <c r="C19" s="97" t="s">
        <v>640</v>
      </c>
      <c r="D19" s="1363">
        <v>185900</v>
      </c>
      <c r="E19" s="70"/>
      <c r="F19" s="66">
        <f aca="true" t="shared" si="1" ref="F19:F24">SUM(D19:E19)</f>
        <v>185900</v>
      </c>
    </row>
    <row r="20" spans="2:6" ht="13.5" customHeight="1">
      <c r="B20" s="74"/>
      <c r="C20" s="97" t="s">
        <v>641</v>
      </c>
      <c r="D20" s="1363">
        <v>310000</v>
      </c>
      <c r="E20" s="70"/>
      <c r="F20" s="66">
        <f t="shared" si="1"/>
        <v>310000</v>
      </c>
    </row>
    <row r="21" spans="2:6" ht="12.75">
      <c r="B21" s="96"/>
      <c r="C21" s="97" t="s">
        <v>165</v>
      </c>
      <c r="D21" s="1363"/>
      <c r="E21" s="66"/>
      <c r="F21" s="66">
        <f>SUM(D21:E21)</f>
        <v>0</v>
      </c>
    </row>
    <row r="22" spans="2:6" ht="12.75">
      <c r="B22" s="96"/>
      <c r="C22" s="39" t="s">
        <v>453</v>
      </c>
      <c r="D22" s="1364">
        <v>7650</v>
      </c>
      <c r="E22" s="70"/>
      <c r="F22" s="70">
        <f>SUM(D22:E22)</f>
        <v>7650</v>
      </c>
    </row>
    <row r="23" spans="2:6" ht="12.75">
      <c r="B23" s="96"/>
      <c r="C23" s="39" t="s">
        <v>166</v>
      </c>
      <c r="D23" s="1364">
        <v>2144</v>
      </c>
      <c r="E23" s="70"/>
      <c r="F23" s="70">
        <f t="shared" si="1"/>
        <v>2144</v>
      </c>
    </row>
    <row r="24" spans="2:6" ht="12.75">
      <c r="B24" s="96"/>
      <c r="C24" s="39" t="s">
        <v>167</v>
      </c>
      <c r="D24" s="1364">
        <v>1600</v>
      </c>
      <c r="E24" s="70"/>
      <c r="F24" s="70">
        <f t="shared" si="1"/>
        <v>1600</v>
      </c>
    </row>
    <row r="25" spans="2:6" ht="12.75">
      <c r="B25" s="96"/>
      <c r="C25" s="39" t="s">
        <v>168</v>
      </c>
      <c r="D25" s="1364">
        <v>9055</v>
      </c>
      <c r="E25" s="70"/>
      <c r="F25" s="70">
        <f aca="true" t="shared" si="2" ref="F25:F31">SUM(D25:E25)</f>
        <v>9055</v>
      </c>
    </row>
    <row r="26" spans="2:6" ht="12.75">
      <c r="B26" s="96"/>
      <c r="C26" s="39" t="s">
        <v>564</v>
      </c>
      <c r="D26" s="1364">
        <v>7495</v>
      </c>
      <c r="E26" s="70"/>
      <c r="F26" s="70">
        <f t="shared" si="2"/>
        <v>7495</v>
      </c>
    </row>
    <row r="27" spans="2:6" ht="12.75">
      <c r="B27" s="96"/>
      <c r="C27" s="39" t="s">
        <v>170</v>
      </c>
      <c r="D27" s="1364">
        <v>3929</v>
      </c>
      <c r="E27" s="70"/>
      <c r="F27" s="70">
        <f t="shared" si="2"/>
        <v>3929</v>
      </c>
    </row>
    <row r="28" spans="2:6" ht="12.75">
      <c r="B28" s="96"/>
      <c r="C28" s="39" t="s">
        <v>169</v>
      </c>
      <c r="D28" s="1364">
        <v>3807</v>
      </c>
      <c r="E28" s="70"/>
      <c r="F28" s="70">
        <f t="shared" si="2"/>
        <v>3807</v>
      </c>
    </row>
    <row r="29" spans="2:6" ht="12.75">
      <c r="B29" s="96"/>
      <c r="C29" s="39" t="s">
        <v>91</v>
      </c>
      <c r="D29" s="1364">
        <v>1000</v>
      </c>
      <c r="E29" s="70"/>
      <c r="F29" s="70">
        <f t="shared" si="2"/>
        <v>1000</v>
      </c>
    </row>
    <row r="30" spans="2:6" ht="12.75">
      <c r="B30" s="96"/>
      <c r="C30" s="39" t="s">
        <v>77</v>
      </c>
      <c r="D30" s="1364">
        <v>1200</v>
      </c>
      <c r="E30" s="70">
        <v>-200</v>
      </c>
      <c r="F30" s="70">
        <f t="shared" si="2"/>
        <v>1000</v>
      </c>
    </row>
    <row r="31" spans="2:6" ht="12.75">
      <c r="B31" s="96"/>
      <c r="C31" s="39" t="s">
        <v>900</v>
      </c>
      <c r="D31" s="1364"/>
      <c r="E31" s="70">
        <v>1650</v>
      </c>
      <c r="F31" s="70">
        <f t="shared" si="2"/>
        <v>1650</v>
      </c>
    </row>
    <row r="32" spans="2:6" ht="12.75">
      <c r="B32" s="74"/>
      <c r="C32" s="97" t="s">
        <v>195</v>
      </c>
      <c r="D32" s="1363">
        <f>SUM(D22:D31)</f>
        <v>37880</v>
      </c>
      <c r="E32" s="1363">
        <f>SUM(E22:E31)</f>
        <v>1450</v>
      </c>
      <c r="F32" s="1363">
        <f>SUM(F22:F31)</f>
        <v>39330</v>
      </c>
    </row>
    <row r="33" spans="2:6" ht="12.75">
      <c r="B33" s="74"/>
      <c r="C33" s="97" t="s">
        <v>452</v>
      </c>
      <c r="D33" s="1363">
        <v>2000</v>
      </c>
      <c r="E33" s="69"/>
      <c r="F33" s="66">
        <f aca="true" t="shared" si="3" ref="F33:F49">SUM(D33:E33)</f>
        <v>2000</v>
      </c>
    </row>
    <row r="34" spans="2:6" ht="12.75">
      <c r="B34" s="75"/>
      <c r="C34" s="40" t="s">
        <v>152</v>
      </c>
      <c r="D34" s="1224">
        <v>31394</v>
      </c>
      <c r="E34" s="71">
        <v>-6427</v>
      </c>
      <c r="F34" s="70">
        <f t="shared" si="3"/>
        <v>24967</v>
      </c>
    </row>
    <row r="35" spans="2:6" ht="12.75">
      <c r="B35" s="75"/>
      <c r="C35" s="40" t="s">
        <v>153</v>
      </c>
      <c r="D35" s="1224">
        <v>5150</v>
      </c>
      <c r="E35" s="71"/>
      <c r="F35" s="70">
        <f t="shared" si="3"/>
        <v>5150</v>
      </c>
    </row>
    <row r="36" spans="2:6" ht="12.75">
      <c r="B36" s="75"/>
      <c r="C36" s="40" t="s">
        <v>154</v>
      </c>
      <c r="D36" s="1224">
        <v>7000</v>
      </c>
      <c r="E36" s="71">
        <v>928</v>
      </c>
      <c r="F36" s="70">
        <f t="shared" si="3"/>
        <v>7928</v>
      </c>
    </row>
    <row r="37" spans="2:6" ht="12.75">
      <c r="B37" s="75"/>
      <c r="C37" s="40" t="s">
        <v>155</v>
      </c>
      <c r="D37" s="1224">
        <v>9000</v>
      </c>
      <c r="E37" s="71"/>
      <c r="F37" s="70">
        <f t="shared" si="3"/>
        <v>9000</v>
      </c>
    </row>
    <row r="38" spans="2:6" ht="12.75">
      <c r="B38" s="75"/>
      <c r="C38" s="40" t="s">
        <v>565</v>
      </c>
      <c r="D38" s="1224">
        <v>2000</v>
      </c>
      <c r="E38" s="71"/>
      <c r="F38" s="70">
        <f t="shared" si="3"/>
        <v>2000</v>
      </c>
    </row>
    <row r="39" spans="2:6" ht="12.75">
      <c r="B39" s="75"/>
      <c r="C39" s="40" t="s">
        <v>156</v>
      </c>
      <c r="D39" s="1224">
        <v>11000</v>
      </c>
      <c r="E39" s="71"/>
      <c r="F39" s="70">
        <f t="shared" si="3"/>
        <v>11000</v>
      </c>
    </row>
    <row r="40" spans="2:6" ht="12.75">
      <c r="B40" s="94"/>
      <c r="C40" s="95" t="s">
        <v>157</v>
      </c>
      <c r="D40" s="1365">
        <f>SUM(D34:D39)</f>
        <v>65544</v>
      </c>
      <c r="E40" s="67">
        <f>SUM(E34:E39)</f>
        <v>-5499</v>
      </c>
      <c r="F40" s="67">
        <f>SUM(F34:F39)</f>
        <v>60045</v>
      </c>
    </row>
    <row r="41" spans="2:6" s="61" customFormat="1" ht="12.75">
      <c r="B41" s="77"/>
      <c r="C41" s="99" t="s">
        <v>158</v>
      </c>
      <c r="D41" s="1365">
        <v>5120</v>
      </c>
      <c r="E41" s="101"/>
      <c r="F41" s="68">
        <f t="shared" si="3"/>
        <v>5120</v>
      </c>
    </row>
    <row r="42" spans="2:6" s="61" customFormat="1" ht="12.75">
      <c r="B42" s="77"/>
      <c r="C42" s="99" t="s">
        <v>526</v>
      </c>
      <c r="D42" s="1365">
        <v>3000</v>
      </c>
      <c r="E42" s="101"/>
      <c r="F42" s="68">
        <f t="shared" si="3"/>
        <v>3000</v>
      </c>
    </row>
    <row r="43" spans="2:6" s="61" customFormat="1" ht="12.75">
      <c r="B43" s="77"/>
      <c r="C43" s="193" t="s">
        <v>643</v>
      </c>
      <c r="D43" s="1365">
        <v>2500</v>
      </c>
      <c r="E43" s="101"/>
      <c r="F43" s="68">
        <f t="shared" si="3"/>
        <v>2500</v>
      </c>
    </row>
    <row r="44" spans="2:6" s="15" customFormat="1" ht="14.25" customHeight="1">
      <c r="B44" s="457"/>
      <c r="C44" s="1393" t="s">
        <v>850</v>
      </c>
      <c r="D44" s="1365">
        <v>1000</v>
      </c>
      <c r="E44" s="101"/>
      <c r="F44" s="68">
        <f t="shared" si="3"/>
        <v>1000</v>
      </c>
    </row>
    <row r="45" spans="2:6" s="15" customFormat="1" ht="14.25" customHeight="1">
      <c r="B45" s="457"/>
      <c r="C45" s="1393" t="s">
        <v>140</v>
      </c>
      <c r="D45" s="1365">
        <v>430</v>
      </c>
      <c r="E45" s="101"/>
      <c r="F45" s="68">
        <f t="shared" si="3"/>
        <v>430</v>
      </c>
    </row>
    <row r="46" spans="2:6" s="15" customFormat="1" ht="14.25" customHeight="1">
      <c r="B46" s="457"/>
      <c r="C46" s="99" t="s">
        <v>141</v>
      </c>
      <c r="D46" s="1365">
        <v>9522</v>
      </c>
      <c r="E46" s="101">
        <v>2750</v>
      </c>
      <c r="F46" s="68">
        <f t="shared" si="3"/>
        <v>12272</v>
      </c>
    </row>
    <row r="47" spans="2:6" s="15" customFormat="1" ht="27" customHeight="1">
      <c r="B47" s="457"/>
      <c r="C47" s="1512" t="s">
        <v>851</v>
      </c>
      <c r="D47" s="1365">
        <v>5000</v>
      </c>
      <c r="E47" s="101"/>
      <c r="F47" s="68">
        <f t="shared" si="3"/>
        <v>5000</v>
      </c>
    </row>
    <row r="48" spans="2:6" s="61" customFormat="1" ht="12.75">
      <c r="B48" s="77"/>
      <c r="C48" s="100" t="s">
        <v>196</v>
      </c>
      <c r="D48" s="71">
        <v>700</v>
      </c>
      <c r="E48" s="73"/>
      <c r="F48" s="73">
        <f t="shared" si="3"/>
        <v>700</v>
      </c>
    </row>
    <row r="49" spans="2:6" s="61" customFormat="1" ht="12.75">
      <c r="B49" s="77"/>
      <c r="C49" s="100" t="s">
        <v>566</v>
      </c>
      <c r="D49" s="1224">
        <v>4000</v>
      </c>
      <c r="E49" s="73"/>
      <c r="F49" s="73">
        <f t="shared" si="3"/>
        <v>4000</v>
      </c>
    </row>
    <row r="50" spans="2:8" s="61" customFormat="1" ht="12.75">
      <c r="B50" s="76"/>
      <c r="C50" s="102" t="s">
        <v>454</v>
      </c>
      <c r="D50" s="70">
        <v>1500</v>
      </c>
      <c r="E50" s="72"/>
      <c r="F50" s="72">
        <f>SUM(D50:E50)</f>
        <v>1500</v>
      </c>
      <c r="H50" s="15"/>
    </row>
    <row r="51" spans="2:8" s="61" customFormat="1" ht="12.75">
      <c r="B51" s="77"/>
      <c r="C51" s="99" t="s">
        <v>197</v>
      </c>
      <c r="D51" s="67">
        <f>SUM(D48:D50)</f>
        <v>6200</v>
      </c>
      <c r="E51" s="67">
        <f>SUM(E48:E50)</f>
        <v>0</v>
      </c>
      <c r="F51" s="68">
        <f>SUM(D51:E51)</f>
        <v>6200</v>
      </c>
      <c r="H51" s="89"/>
    </row>
    <row r="52" spans="2:9" s="61" customFormat="1" ht="12.75">
      <c r="B52" s="77"/>
      <c r="C52" s="62" t="s">
        <v>228</v>
      </c>
      <c r="D52" s="71">
        <v>6607</v>
      </c>
      <c r="E52" s="73"/>
      <c r="F52" s="201">
        <f>SUM(D52:E52)</f>
        <v>6607</v>
      </c>
      <c r="I52" s="127"/>
    </row>
    <row r="53" spans="2:6" s="61" customFormat="1" ht="12.75">
      <c r="B53" s="76"/>
      <c r="C53" s="41" t="s">
        <v>92</v>
      </c>
      <c r="D53" s="70">
        <v>45510</v>
      </c>
      <c r="E53" s="72">
        <v>-6930</v>
      </c>
      <c r="F53" s="201">
        <f>SUM(D53:E53)</f>
        <v>38580</v>
      </c>
    </row>
    <row r="54" spans="2:7" ht="12.75">
      <c r="B54" s="98"/>
      <c r="C54" s="193" t="s">
        <v>567</v>
      </c>
      <c r="D54" s="1363">
        <f>SUM(D52:D53)</f>
        <v>52117</v>
      </c>
      <c r="E54" s="194">
        <f>SUM(E52:E53)</f>
        <v>-6930</v>
      </c>
      <c r="F54" s="194">
        <f>SUM(F52:F53)</f>
        <v>45187</v>
      </c>
      <c r="G54" s="18"/>
    </row>
    <row r="55" spans="2:7" ht="12.75">
      <c r="B55" s="98"/>
      <c r="C55" s="1513" t="s">
        <v>659</v>
      </c>
      <c r="D55" s="1363">
        <v>1970</v>
      </c>
      <c r="E55" s="194"/>
      <c r="F55" s="101">
        <f>SUM(D55:E55)</f>
        <v>1970</v>
      </c>
      <c r="G55" s="18"/>
    </row>
    <row r="56" spans="2:7" ht="12.75">
      <c r="B56" s="98"/>
      <c r="C56" s="1514" t="s">
        <v>671</v>
      </c>
      <c r="D56" s="1363">
        <v>87</v>
      </c>
      <c r="E56" s="194"/>
      <c r="F56" s="194">
        <f>SUM(D56:E56)</f>
        <v>87</v>
      </c>
      <c r="G56" s="18"/>
    </row>
    <row r="57" spans="2:7" ht="13.5" thickBot="1">
      <c r="B57" s="1416"/>
      <c r="C57" s="1515" t="s">
        <v>852</v>
      </c>
      <c r="D57" s="1417">
        <v>336</v>
      </c>
      <c r="E57" s="1418"/>
      <c r="F57" s="194">
        <f>SUM(D57:E57)</f>
        <v>336</v>
      </c>
      <c r="G57" s="18"/>
    </row>
    <row r="58" spans="2:9" ht="13.5" thickBot="1">
      <c r="B58" s="113">
        <v>3</v>
      </c>
      <c r="C58" s="114" t="s">
        <v>400</v>
      </c>
      <c r="D58" s="104">
        <f>D19+D20+D32+D33+D40+D41+D51+D54+D21+D42+D43+D44+D45+D46+D47+D55+D56+D57</f>
        <v>688606</v>
      </c>
      <c r="E58" s="104">
        <f>E19+E20+E32+E33+E40+E41+E51+E54+E21+E42+E43+E44+E45+E46+E47+E55+E56+E57</f>
        <v>-8229</v>
      </c>
      <c r="F58" s="104">
        <f>F19+F20+F32+F33+F40+F41+F51+F54+F21+F42+F43+F44+F45+F46+F47+F55+F56+F57</f>
        <v>680377</v>
      </c>
      <c r="G58" s="18">
        <f>SUM(D58:E58)</f>
        <v>680377</v>
      </c>
      <c r="H58" s="18">
        <f>hivatal9!K21</f>
        <v>680377</v>
      </c>
      <c r="I58" s="18">
        <f>H58-F58</f>
        <v>0</v>
      </c>
    </row>
    <row r="59" spans="2:7" s="15" customFormat="1" ht="12.75">
      <c r="B59" s="98"/>
      <c r="C59" s="99" t="s">
        <v>354</v>
      </c>
      <c r="D59" s="67">
        <v>5270</v>
      </c>
      <c r="E59" s="130"/>
      <c r="F59" s="66">
        <f>SUM(D59:E59)</f>
        <v>5270</v>
      </c>
      <c r="G59" s="89"/>
    </row>
    <row r="60" spans="2:7" s="15" customFormat="1" ht="12.75">
      <c r="B60" s="98"/>
      <c r="C60" s="99" t="s">
        <v>333</v>
      </c>
      <c r="D60" s="67">
        <v>17642</v>
      </c>
      <c r="E60" s="130"/>
      <c r="F60" s="66">
        <f>SUM(D60:E60)</f>
        <v>17642</v>
      </c>
      <c r="G60" s="89"/>
    </row>
    <row r="61" spans="2:7" s="15" customFormat="1" ht="12.75">
      <c r="B61" s="98"/>
      <c r="C61" s="62" t="s">
        <v>858</v>
      </c>
      <c r="D61" s="110">
        <v>300</v>
      </c>
      <c r="E61" s="110"/>
      <c r="F61" s="1517">
        <f>SUM(D61:E61)</f>
        <v>300</v>
      </c>
      <c r="G61" s="89"/>
    </row>
    <row r="62" spans="2:7" s="15" customFormat="1" ht="12.75">
      <c r="B62" s="98"/>
      <c r="C62" s="62" t="s">
        <v>859</v>
      </c>
      <c r="D62" s="110">
        <v>350</v>
      </c>
      <c r="E62" s="110"/>
      <c r="F62" s="1517">
        <f>SUM(D62:E62)</f>
        <v>350</v>
      </c>
      <c r="G62" s="89"/>
    </row>
    <row r="63" spans="2:7" s="15" customFormat="1" ht="12.75">
      <c r="B63" s="98"/>
      <c r="C63" s="99" t="s">
        <v>195</v>
      </c>
      <c r="D63" s="67">
        <f>SUM(D61:D62)</f>
        <v>650</v>
      </c>
      <c r="E63" s="67">
        <f>SUM(E61:E62)</f>
        <v>0</v>
      </c>
      <c r="F63" s="67">
        <f>SUM(F61:F62)</f>
        <v>650</v>
      </c>
      <c r="G63" s="89"/>
    </row>
    <row r="64" spans="2:7" s="15" customFormat="1" ht="12.75">
      <c r="B64" s="98"/>
      <c r="C64" s="99" t="s">
        <v>557</v>
      </c>
      <c r="D64" s="67">
        <v>8215</v>
      </c>
      <c r="E64" s="130"/>
      <c r="F64" s="66">
        <f aca="true" t="shared" si="4" ref="F64:F69">SUM(D64:E64)</f>
        <v>8215</v>
      </c>
      <c r="G64" s="89"/>
    </row>
    <row r="65" spans="2:7" ht="12.75">
      <c r="B65" s="98"/>
      <c r="C65" s="62" t="s">
        <v>853</v>
      </c>
      <c r="D65" s="70">
        <v>1370</v>
      </c>
      <c r="E65" s="1517"/>
      <c r="F65" s="1517">
        <f t="shared" si="4"/>
        <v>1370</v>
      </c>
      <c r="G65" s="18"/>
    </row>
    <row r="66" spans="2:7" ht="12.75">
      <c r="B66" s="98"/>
      <c r="C66" s="62" t="s">
        <v>854</v>
      </c>
      <c r="D66" s="70">
        <v>500</v>
      </c>
      <c r="E66" s="1517"/>
      <c r="F66" s="1517">
        <f t="shared" si="4"/>
        <v>500</v>
      </c>
      <c r="G66" s="18"/>
    </row>
    <row r="67" spans="2:7" ht="12.75">
      <c r="B67" s="98"/>
      <c r="C67" s="62" t="s">
        <v>855</v>
      </c>
      <c r="D67" s="70">
        <v>1130</v>
      </c>
      <c r="E67" s="1517"/>
      <c r="F67" s="1517">
        <f t="shared" si="4"/>
        <v>1130</v>
      </c>
      <c r="G67" s="18"/>
    </row>
    <row r="68" spans="2:7" ht="12.75">
      <c r="B68" s="98"/>
      <c r="C68" s="62" t="s">
        <v>856</v>
      </c>
      <c r="D68" s="70">
        <v>1030</v>
      </c>
      <c r="E68" s="1517"/>
      <c r="F68" s="1517">
        <f t="shared" si="4"/>
        <v>1030</v>
      </c>
      <c r="G68" s="18"/>
    </row>
    <row r="69" spans="2:7" ht="12.75">
      <c r="B69" s="98"/>
      <c r="C69" s="62" t="s">
        <v>857</v>
      </c>
      <c r="D69" s="70">
        <v>1961</v>
      </c>
      <c r="E69" s="1517"/>
      <c r="F69" s="1517">
        <f t="shared" si="4"/>
        <v>1961</v>
      </c>
      <c r="G69" s="18"/>
    </row>
    <row r="70" spans="2:7" s="15" customFormat="1" ht="12.75">
      <c r="B70" s="98"/>
      <c r="C70" s="1518" t="s">
        <v>637</v>
      </c>
      <c r="D70" s="66">
        <f>SUM(D65:D69)</f>
        <v>5991</v>
      </c>
      <c r="E70" s="66">
        <f>SUM(E65:E69)</f>
        <v>0</v>
      </c>
      <c r="F70" s="66">
        <f>SUM(F65:F69)</f>
        <v>5991</v>
      </c>
      <c r="G70" s="89"/>
    </row>
    <row r="71" spans="2:7" s="15" customFormat="1" ht="12.75">
      <c r="B71" s="98"/>
      <c r="C71" s="1762" t="s">
        <v>901</v>
      </c>
      <c r="D71" s="66"/>
      <c r="E71" s="66">
        <v>675</v>
      </c>
      <c r="F71" s="66">
        <f>SUM(D71:E71)</f>
        <v>675</v>
      </c>
      <c r="G71" s="89"/>
    </row>
    <row r="72" spans="2:7" ht="13.5" thickBot="1">
      <c r="B72" s="1416"/>
      <c r="C72" s="1515" t="s">
        <v>852</v>
      </c>
      <c r="D72" s="1511">
        <v>78</v>
      </c>
      <c r="E72" s="1516"/>
      <c r="F72" s="67">
        <f>SUM(D72:E72)</f>
        <v>78</v>
      </c>
      <c r="G72" s="18"/>
    </row>
    <row r="73" spans="2:8" ht="13.5" thickBot="1">
      <c r="B73" s="113">
        <v>4</v>
      </c>
      <c r="C73" s="114" t="s">
        <v>401</v>
      </c>
      <c r="D73" s="115">
        <f>D59+D60+D63+D64+D70+D72+D71</f>
        <v>37846</v>
      </c>
      <c r="E73" s="115">
        <f>E59+E60+E63+E64+E70+E72+E71</f>
        <v>675</v>
      </c>
      <c r="F73" s="115">
        <f>F59+F60+F63+F64+F70+F72+F71</f>
        <v>38521</v>
      </c>
      <c r="G73" s="18">
        <f>SUM(D73:E73)</f>
        <v>38521</v>
      </c>
      <c r="H73" s="18">
        <f>hivatal9!K18</f>
        <v>38521</v>
      </c>
    </row>
    <row r="74" spans="2:9" ht="13.5" thickBot="1">
      <c r="B74" s="116" t="s">
        <v>109</v>
      </c>
      <c r="C74" s="117" t="s">
        <v>399</v>
      </c>
      <c r="D74" s="118">
        <f>D58+D73</f>
        <v>726452</v>
      </c>
      <c r="E74" s="118">
        <f>E58+E73</f>
        <v>-7554</v>
      </c>
      <c r="F74" s="118">
        <f>SUM(D74:E74)</f>
        <v>718898</v>
      </c>
      <c r="G74" s="18">
        <f>F58+F73</f>
        <v>718898</v>
      </c>
      <c r="H74" s="18">
        <f>hivatal9!K18+hivatal9!K21</f>
        <v>718898</v>
      </c>
      <c r="I74" s="18">
        <f>H74-G74</f>
        <v>0</v>
      </c>
    </row>
    <row r="77" ht="12.75">
      <c r="D77" s="225"/>
    </row>
    <row r="85" ht="11.25" customHeight="1"/>
  </sheetData>
  <sheetProtection/>
  <mergeCells count="2">
    <mergeCell ref="B4:F4"/>
    <mergeCell ref="B5:F5"/>
  </mergeCells>
  <printOptions horizontalCentered="1"/>
  <pageMargins left="0.7874015748031497" right="0.7874015748031497" top="0.67" bottom="0.984251968503937" header="0.5118110236220472" footer="0.5118110236220472"/>
  <pageSetup fitToHeight="1" fitToWidth="1" horizontalDpi="600" verticalDpi="600" orientation="portrait" paperSize="9" scale="69" r:id="rId1"/>
  <headerFooter alignWithMargins="0">
    <oddFooter>&amp;L&amp;F&amp;C&amp;D, &amp;T&amp;R&amp;A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5"/>
  <sheetViews>
    <sheetView showGridLines="0" zoomScalePageLayoutView="0" workbookViewId="0" topLeftCell="A1">
      <pane xSplit="5" ySplit="8" topLeftCell="F1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00390625" defaultRowHeight="12.75"/>
  <cols>
    <col min="1" max="1" width="2.50390625" style="0" customWidth="1"/>
    <col min="2" max="2" width="4.875" style="22" customWidth="1"/>
    <col min="3" max="3" width="9.50390625" style="279" customWidth="1"/>
    <col min="4" max="4" width="69.375" style="22" customWidth="1"/>
    <col min="5" max="5" width="8.125" style="22" customWidth="1"/>
    <col min="6" max="8" width="14.50390625" style="22" customWidth="1"/>
    <col min="9" max="9" width="12.125" style="0" customWidth="1"/>
    <col min="10" max="10" width="10.875" style="0" bestFit="1" customWidth="1"/>
    <col min="11" max="11" width="12.125" style="0" customWidth="1"/>
  </cols>
  <sheetData>
    <row r="1" spans="2:8" ht="10.5" customHeight="1">
      <c r="B1" s="36"/>
      <c r="H1" s="103" t="s">
        <v>917</v>
      </c>
    </row>
    <row r="2" spans="2:8" ht="12" customHeight="1">
      <c r="B2" s="36"/>
      <c r="H2" s="103" t="s">
        <v>93</v>
      </c>
    </row>
    <row r="3" ht="23.25" customHeight="1">
      <c r="B3" s="36"/>
    </row>
    <row r="4" spans="1:8" s="88" customFormat="1" ht="40.5" customHeight="1">
      <c r="A4" s="124"/>
      <c r="B4" s="1963" t="s">
        <v>655</v>
      </c>
      <c r="C4" s="1963"/>
      <c r="D4" s="1963"/>
      <c r="E4" s="1963"/>
      <c r="F4" s="1963"/>
      <c r="G4" s="1963"/>
      <c r="H4" s="1963"/>
    </row>
    <row r="5" spans="1:8" s="594" customFormat="1" ht="34.5" customHeight="1">
      <c r="A5" s="704"/>
      <c r="B5" s="1969" t="s">
        <v>568</v>
      </c>
      <c r="C5" s="1969"/>
      <c r="D5" s="1969"/>
      <c r="E5" s="1969"/>
      <c r="F5" s="1969"/>
      <c r="G5" s="1969"/>
      <c r="H5" s="1969"/>
    </row>
    <row r="6" spans="4:8" ht="31.5" customHeight="1" thickBot="1">
      <c r="D6" s="37"/>
      <c r="E6" s="37"/>
      <c r="F6" s="38"/>
      <c r="G6" s="38"/>
      <c r="H6" s="280" t="s">
        <v>134</v>
      </c>
    </row>
    <row r="7" spans="2:8" ht="35.25" customHeight="1" thickBot="1">
      <c r="B7" s="806"/>
      <c r="C7" s="1967" t="s">
        <v>151</v>
      </c>
      <c r="D7" s="1968"/>
      <c r="E7" s="815" t="s">
        <v>403</v>
      </c>
      <c r="F7" s="1477" t="s">
        <v>795</v>
      </c>
      <c r="G7" s="125" t="s">
        <v>130</v>
      </c>
      <c r="H7" s="126" t="s">
        <v>658</v>
      </c>
    </row>
    <row r="8" spans="2:8" ht="13.5" thickBot="1">
      <c r="B8" s="811">
        <v>1</v>
      </c>
      <c r="C8" s="1970">
        <v>2</v>
      </c>
      <c r="D8" s="1971"/>
      <c r="E8" s="816">
        <v>3</v>
      </c>
      <c r="F8" s="820">
        <v>4</v>
      </c>
      <c r="G8" s="269">
        <v>5</v>
      </c>
      <c r="H8" s="270">
        <v>6</v>
      </c>
    </row>
    <row r="9" spans="2:8" s="589" customFormat="1" ht="20.25" customHeight="1">
      <c r="B9" s="830" t="s">
        <v>112</v>
      </c>
      <c r="C9" s="1972" t="s">
        <v>408</v>
      </c>
      <c r="D9" s="1973"/>
      <c r="E9" s="831" t="s">
        <v>404</v>
      </c>
      <c r="F9" s="832">
        <f>SUM(F10:F11)</f>
        <v>57</v>
      </c>
      <c r="G9" s="1765">
        <f>SUM(G10:G11)</f>
        <v>2679</v>
      </c>
      <c r="H9" s="1765">
        <f>SUM(H10:H11)</f>
        <v>2736</v>
      </c>
    </row>
    <row r="10" spans="2:8" s="807" customFormat="1" ht="32.25" customHeight="1">
      <c r="B10" s="1978"/>
      <c r="C10" s="808" t="s">
        <v>253</v>
      </c>
      <c r="D10" s="812" t="s">
        <v>503</v>
      </c>
      <c r="E10" s="817" t="s">
        <v>404</v>
      </c>
      <c r="F10" s="842">
        <v>57</v>
      </c>
      <c r="G10" s="822">
        <v>27</v>
      </c>
      <c r="H10" s="1767">
        <f>SUM(F10:G10)</f>
        <v>84</v>
      </c>
    </row>
    <row r="11" spans="2:8" s="807" customFormat="1" ht="32.25" customHeight="1" thickBot="1">
      <c r="B11" s="1979"/>
      <c r="C11" s="808" t="s">
        <v>253</v>
      </c>
      <c r="D11" s="812" t="s">
        <v>902</v>
      </c>
      <c r="E11" s="1763"/>
      <c r="F11" s="1764"/>
      <c r="G11" s="1766">
        <v>2652</v>
      </c>
      <c r="H11" s="1766">
        <f>SUM(F11:G11)</f>
        <v>2652</v>
      </c>
    </row>
    <row r="12" spans="2:11" s="589" customFormat="1" ht="20.25" customHeight="1" thickBot="1">
      <c r="B12" s="833" t="s">
        <v>114</v>
      </c>
      <c r="C12" s="1974" t="s">
        <v>409</v>
      </c>
      <c r="D12" s="1975"/>
      <c r="E12" s="834" t="s">
        <v>405</v>
      </c>
      <c r="F12" s="835">
        <f>SUM(F13:F13)</f>
        <v>0</v>
      </c>
      <c r="G12" s="835">
        <f>SUM(G13:G13)</f>
        <v>0</v>
      </c>
      <c r="H12" s="835">
        <f>SUM(H13:H13)</f>
        <v>0</v>
      </c>
      <c r="I12" s="599"/>
      <c r="J12" s="599"/>
      <c r="K12" s="599"/>
    </row>
    <row r="13" spans="2:11" s="807" customFormat="1" ht="30.75" customHeight="1" thickBot="1">
      <c r="B13" s="824"/>
      <c r="C13" s="827" t="s">
        <v>253</v>
      </c>
      <c r="D13" s="828" t="s">
        <v>415</v>
      </c>
      <c r="E13" s="829" t="s">
        <v>405</v>
      </c>
      <c r="F13" s="843"/>
      <c r="G13" s="826"/>
      <c r="H13" s="837">
        <f>SUM(F13:G13)</f>
        <v>0</v>
      </c>
      <c r="I13" s="809"/>
      <c r="J13" s="809"/>
      <c r="K13" s="809"/>
    </row>
    <row r="14" spans="2:11" s="589" customFormat="1" ht="20.25" customHeight="1" thickBot="1">
      <c r="B14" s="833" t="s">
        <v>115</v>
      </c>
      <c r="C14" s="1976" t="s">
        <v>410</v>
      </c>
      <c r="D14" s="1977"/>
      <c r="E14" s="834" t="s">
        <v>406</v>
      </c>
      <c r="F14" s="836">
        <f>SUM(F15:F26)+F27</f>
        <v>122287</v>
      </c>
      <c r="G14" s="836">
        <f>SUM(G15:G26)+G27</f>
        <v>-600</v>
      </c>
      <c r="H14" s="836">
        <f>SUM(H15:H26)+H27</f>
        <v>121687</v>
      </c>
      <c r="I14" s="599"/>
      <c r="J14" s="599"/>
      <c r="K14" s="599"/>
    </row>
    <row r="15" spans="2:14" s="807" customFormat="1" ht="29.25" customHeight="1">
      <c r="B15" s="824"/>
      <c r="C15" s="808" t="s">
        <v>253</v>
      </c>
      <c r="D15" s="812" t="s">
        <v>455</v>
      </c>
      <c r="E15" s="817" t="s">
        <v>406</v>
      </c>
      <c r="F15" s="842">
        <v>22024</v>
      </c>
      <c r="G15" s="1419"/>
      <c r="H15" s="837">
        <f aca="true" t="shared" si="0" ref="H15:H22">SUM(F15:G15)</f>
        <v>22024</v>
      </c>
      <c r="I15" s="809"/>
      <c r="J15" s="809"/>
      <c r="K15" s="809"/>
      <c r="N15" s="832">
        <f>SUM(N16:N16)</f>
        <v>0</v>
      </c>
    </row>
    <row r="16" spans="2:11" s="807" customFormat="1" ht="29.25" customHeight="1">
      <c r="B16" s="824"/>
      <c r="C16" s="808" t="s">
        <v>253</v>
      </c>
      <c r="D16" s="812" t="s">
        <v>619</v>
      </c>
      <c r="E16" s="1394" t="s">
        <v>406</v>
      </c>
      <c r="F16" s="842">
        <v>3000</v>
      </c>
      <c r="G16" s="1419"/>
      <c r="H16" s="837">
        <f t="shared" si="0"/>
        <v>3000</v>
      </c>
      <c r="I16" s="809"/>
      <c r="J16" s="809"/>
      <c r="K16" s="809"/>
    </row>
    <row r="17" spans="2:11" s="807" customFormat="1" ht="29.25" customHeight="1">
      <c r="B17" s="824"/>
      <c r="C17" s="808" t="s">
        <v>253</v>
      </c>
      <c r="D17" s="812" t="s">
        <v>456</v>
      </c>
      <c r="E17" s="817" t="s">
        <v>406</v>
      </c>
      <c r="F17" s="842">
        <v>29096</v>
      </c>
      <c r="G17" s="1419">
        <f>-600-500</f>
        <v>-1100</v>
      </c>
      <c r="H17" s="837">
        <f t="shared" si="0"/>
        <v>27996</v>
      </c>
      <c r="I17" s="809"/>
      <c r="J17" s="809"/>
      <c r="K17" s="809"/>
    </row>
    <row r="18" spans="2:11" s="807" customFormat="1" ht="29.25" customHeight="1">
      <c r="B18" s="824"/>
      <c r="C18" s="808" t="s">
        <v>253</v>
      </c>
      <c r="D18" s="812" t="s">
        <v>457</v>
      </c>
      <c r="E18" s="817" t="s">
        <v>406</v>
      </c>
      <c r="F18" s="842">
        <v>6000</v>
      </c>
      <c r="G18" s="1419"/>
      <c r="H18" s="837">
        <f t="shared" si="0"/>
        <v>6000</v>
      </c>
      <c r="I18" s="809"/>
      <c r="J18" s="809"/>
      <c r="K18" s="809"/>
    </row>
    <row r="19" spans="2:11" s="807" customFormat="1" ht="29.25" customHeight="1">
      <c r="B19" s="824"/>
      <c r="C19" s="808" t="s">
        <v>253</v>
      </c>
      <c r="D19" s="812" t="s">
        <v>458</v>
      </c>
      <c r="E19" s="817" t="s">
        <v>406</v>
      </c>
      <c r="F19" s="842">
        <v>18536</v>
      </c>
      <c r="G19" s="1419"/>
      <c r="H19" s="837">
        <f t="shared" si="0"/>
        <v>18536</v>
      </c>
      <c r="I19" s="809"/>
      <c r="J19" s="809"/>
      <c r="K19" s="809"/>
    </row>
    <row r="20" spans="2:11" s="807" customFormat="1" ht="29.25" customHeight="1">
      <c r="B20" s="824"/>
      <c r="C20" s="808" t="s">
        <v>253</v>
      </c>
      <c r="D20" s="812" t="s">
        <v>459</v>
      </c>
      <c r="E20" s="817" t="s">
        <v>406</v>
      </c>
      <c r="F20" s="842">
        <v>3869</v>
      </c>
      <c r="G20" s="1419"/>
      <c r="H20" s="837">
        <f t="shared" si="0"/>
        <v>3869</v>
      </c>
      <c r="I20" s="809"/>
      <c r="J20" s="809"/>
      <c r="K20" s="809"/>
    </row>
    <row r="21" spans="2:11" s="807" customFormat="1" ht="29.25" customHeight="1">
      <c r="B21" s="824"/>
      <c r="C21" s="808" t="s">
        <v>253</v>
      </c>
      <c r="D21" s="812" t="s">
        <v>460</v>
      </c>
      <c r="E21" s="817" t="s">
        <v>406</v>
      </c>
      <c r="F21" s="842">
        <v>26226</v>
      </c>
      <c r="G21" s="1419"/>
      <c r="H21" s="837">
        <f t="shared" si="0"/>
        <v>26226</v>
      </c>
      <c r="I21" s="809"/>
      <c r="J21" s="809"/>
      <c r="K21" s="809"/>
    </row>
    <row r="22" spans="2:11" s="807" customFormat="1" ht="29.25" customHeight="1">
      <c r="B22" s="824"/>
      <c r="C22" s="808" t="s">
        <v>253</v>
      </c>
      <c r="D22" s="812" t="s">
        <v>462</v>
      </c>
      <c r="E22" s="817" t="s">
        <v>406</v>
      </c>
      <c r="F22" s="842">
        <v>7020</v>
      </c>
      <c r="G22" s="1419"/>
      <c r="H22" s="837">
        <f t="shared" si="0"/>
        <v>7020</v>
      </c>
      <c r="I22" s="809"/>
      <c r="J22" s="809"/>
      <c r="K22" s="809"/>
    </row>
    <row r="23" spans="2:11" s="807" customFormat="1" ht="19.5" customHeight="1">
      <c r="B23" s="824"/>
      <c r="C23" s="808" t="s">
        <v>253</v>
      </c>
      <c r="D23" s="841" t="s">
        <v>529</v>
      </c>
      <c r="E23" s="818" t="str">
        <f>E26</f>
        <v>K48</v>
      </c>
      <c r="F23" s="844">
        <v>3000</v>
      </c>
      <c r="G23" s="1420"/>
      <c r="H23" s="837">
        <f>SUM(F23:G23)</f>
        <v>3000</v>
      </c>
      <c r="I23" s="809"/>
      <c r="J23" s="809"/>
      <c r="K23" s="809"/>
    </row>
    <row r="24" spans="2:11" s="807" customFormat="1" ht="21" customHeight="1">
      <c r="B24" s="824"/>
      <c r="C24" s="847" t="s">
        <v>253</v>
      </c>
      <c r="D24" s="841" t="s">
        <v>530</v>
      </c>
      <c r="E24" s="818" t="str">
        <f>E25</f>
        <v>K48</v>
      </c>
      <c r="F24" s="844">
        <v>0</v>
      </c>
      <c r="G24" s="1421">
        <v>500</v>
      </c>
      <c r="H24" s="837">
        <f>SUM(F24:G24)</f>
        <v>500</v>
      </c>
      <c r="I24" s="809"/>
      <c r="J24" s="809"/>
      <c r="K24" s="809"/>
    </row>
    <row r="25" spans="2:11" s="807" customFormat="1" ht="20.25" customHeight="1">
      <c r="B25" s="824"/>
      <c r="C25" s="808" t="s">
        <v>253</v>
      </c>
      <c r="D25" s="812" t="s">
        <v>411</v>
      </c>
      <c r="E25" s="817" t="s">
        <v>406</v>
      </c>
      <c r="F25" s="842">
        <v>3516</v>
      </c>
      <c r="G25" s="1419"/>
      <c r="H25" s="848">
        <f>SUM(F25:G25)</f>
        <v>3516</v>
      </c>
      <c r="I25" s="809"/>
      <c r="J25" s="809"/>
      <c r="K25" s="809"/>
    </row>
    <row r="26" spans="2:11" s="807" customFormat="1" ht="30.75" customHeight="1">
      <c r="B26" s="824"/>
      <c r="C26" s="847" t="s">
        <v>253</v>
      </c>
      <c r="D26" s="812" t="s">
        <v>412</v>
      </c>
      <c r="E26" s="817" t="s">
        <v>406</v>
      </c>
      <c r="F26" s="849">
        <v>0</v>
      </c>
      <c r="G26" s="849"/>
      <c r="H26" s="848">
        <f>SUM(F26:G26)</f>
        <v>0</v>
      </c>
      <c r="I26" s="809"/>
      <c r="J26" s="809"/>
      <c r="K26" s="809"/>
    </row>
    <row r="27" spans="2:11" s="807" customFormat="1" ht="29.25" customHeight="1" thickBot="1">
      <c r="B27" s="823"/>
      <c r="C27" s="808" t="s">
        <v>253</v>
      </c>
      <c r="D27" s="813" t="s">
        <v>413</v>
      </c>
      <c r="E27" s="818" t="s">
        <v>406</v>
      </c>
      <c r="F27" s="844">
        <v>0</v>
      </c>
      <c r="G27" s="1421"/>
      <c r="H27" s="837">
        <f>SUM(F27:G27)</f>
        <v>0</v>
      </c>
      <c r="I27" s="809"/>
      <c r="J27" s="809"/>
      <c r="K27" s="809"/>
    </row>
    <row r="28" spans="2:11" s="589" customFormat="1" ht="23.25" customHeight="1" thickBot="1">
      <c r="B28" s="1964" t="s">
        <v>407</v>
      </c>
      <c r="C28" s="1965"/>
      <c r="D28" s="1966"/>
      <c r="E28" s="839" t="s">
        <v>359</v>
      </c>
      <c r="F28" s="821">
        <f>F9+F12+F14</f>
        <v>122344</v>
      </c>
      <c r="G28" s="810">
        <f>G9+G12+G14</f>
        <v>2079</v>
      </c>
      <c r="H28" s="810">
        <f>H9+H12+H14</f>
        <v>124423</v>
      </c>
      <c r="I28" s="599">
        <f>hivatal9!K14</f>
        <v>124423</v>
      </c>
      <c r="J28" s="599">
        <f>SUM(F28:G28)</f>
        <v>124423</v>
      </c>
      <c r="K28" s="599">
        <f>'kiadfő '!H12</f>
        <v>124423</v>
      </c>
    </row>
    <row r="29" spans="2:11" s="807" customFormat="1" ht="30.75" customHeight="1" thickBot="1">
      <c r="B29" s="825"/>
      <c r="C29" s="840" t="s">
        <v>253</v>
      </c>
      <c r="D29" s="814" t="s">
        <v>414</v>
      </c>
      <c r="E29" s="819"/>
      <c r="F29" s="845">
        <f>F10+F11</f>
        <v>57</v>
      </c>
      <c r="G29" s="1166">
        <f>G10+G11</f>
        <v>2679</v>
      </c>
      <c r="H29" s="838">
        <f>SUM(F29:G29)</f>
        <v>2736</v>
      </c>
      <c r="I29" s="809"/>
      <c r="J29" s="809"/>
      <c r="K29" s="809"/>
    </row>
    <row r="30" spans="2:11" s="807" customFormat="1" ht="30.75" customHeight="1" thickBot="1">
      <c r="B30" s="825"/>
      <c r="C30" s="840" t="s">
        <v>253</v>
      </c>
      <c r="D30" s="814" t="s">
        <v>461</v>
      </c>
      <c r="E30" s="819"/>
      <c r="F30" s="845">
        <f>F15+F17+F18+F19+F20+F21+F22+F23+F24+F16</f>
        <v>118771</v>
      </c>
      <c r="G30" s="1034">
        <f>G15+G17+G18+G19+G20+G21+G22+G23+G24+G16</f>
        <v>-600</v>
      </c>
      <c r="H30" s="838">
        <f>H15+H17+H18+H19+H20+H21+H22+H23+H24+H16</f>
        <v>118171</v>
      </c>
      <c r="I30" s="809"/>
      <c r="J30" s="809"/>
      <c r="K30" s="809"/>
    </row>
    <row r="31" spans="2:11" s="807" customFormat="1" ht="30.75" customHeight="1" thickBot="1">
      <c r="B31" s="825"/>
      <c r="C31" s="840" t="s">
        <v>253</v>
      </c>
      <c r="D31" s="814" t="s">
        <v>463</v>
      </c>
      <c r="E31" s="819"/>
      <c r="F31" s="1768">
        <f>F25</f>
        <v>3516</v>
      </c>
      <c r="G31" s="1166">
        <f>G25</f>
        <v>0</v>
      </c>
      <c r="H31" s="1769">
        <f>H25</f>
        <v>3516</v>
      </c>
      <c r="I31" s="809"/>
      <c r="J31" s="809"/>
      <c r="K31" s="809"/>
    </row>
    <row r="32" spans="6:8" ht="12.75">
      <c r="F32" s="846">
        <f>SUM(F29:F31)</f>
        <v>122344</v>
      </c>
      <c r="G32" s="846">
        <f>SUM(G29:G31)</f>
        <v>2079</v>
      </c>
      <c r="H32" s="846">
        <f>SUM(H29:H31)</f>
        <v>124423</v>
      </c>
    </row>
    <row r="33" ht="12.75">
      <c r="F33" s="225"/>
    </row>
    <row r="34" ht="12.75">
      <c r="H34" s="225"/>
    </row>
    <row r="35" ht="12.75">
      <c r="H35" s="225"/>
    </row>
    <row r="39" ht="11.25" customHeight="1"/>
  </sheetData>
  <sheetProtection/>
  <mergeCells count="9">
    <mergeCell ref="B4:H4"/>
    <mergeCell ref="B28:D28"/>
    <mergeCell ref="C7:D7"/>
    <mergeCell ref="B5:H5"/>
    <mergeCell ref="C8:D8"/>
    <mergeCell ref="C9:D9"/>
    <mergeCell ref="C12:D12"/>
    <mergeCell ref="C14:D14"/>
    <mergeCell ref="B10:B11"/>
  </mergeCells>
  <printOptions horizontalCentered="1" verticalCentered="1"/>
  <pageMargins left="0.7874015748031497" right="0.7874015748031497" top="0.6692913385826772" bottom="0.984251968503937" header="0.5118110236220472" footer="0.5118110236220472"/>
  <pageSetup fitToHeight="1" fitToWidth="1" horizontalDpi="600" verticalDpi="600" orientation="portrait" paperSize="9" scale="69" r:id="rId1"/>
  <headerFooter alignWithMargins="0">
    <oddFooter>&amp;L&amp;F&amp;C&amp;D, &amp;T&amp;R&amp;A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5"/>
  <sheetViews>
    <sheetView showGridLines="0" view="pageLayout" zoomScaleNormal="90" workbookViewId="0" topLeftCell="F69">
      <selection activeCell="T69" sqref="T69"/>
    </sheetView>
  </sheetViews>
  <sheetFormatPr defaultColWidth="9.00390625" defaultRowHeight="12.75"/>
  <cols>
    <col min="1" max="1" width="5.50390625" style="254" customWidth="1"/>
    <col min="2" max="2" width="107.375" style="1559" bestFit="1" customWidth="1"/>
    <col min="3" max="3" width="14.625" style="254" customWidth="1"/>
    <col min="4" max="4" width="15.00390625" style="254" customWidth="1"/>
    <col min="5" max="5" width="14.125" style="255" customWidth="1"/>
    <col min="6" max="6" width="13.125" style="726" customWidth="1"/>
    <col min="7" max="7" width="11.375" style="726" customWidth="1"/>
    <col min="8" max="8" width="11.375" style="1530" customWidth="1"/>
    <col min="9" max="9" width="12.125" style="1478" customWidth="1"/>
    <col min="10" max="10" width="9.375" style="88" customWidth="1"/>
    <col min="11" max="11" width="12.125" style="88" customWidth="1"/>
    <col min="12" max="16384" width="9.375" style="88" customWidth="1"/>
  </cols>
  <sheetData>
    <row r="1" ht="12.75">
      <c r="E1" s="892"/>
    </row>
    <row r="2" ht="12.75">
      <c r="E2" s="892"/>
    </row>
    <row r="3" spans="1:5" ht="15.75">
      <c r="A3" s="1963" t="s">
        <v>647</v>
      </c>
      <c r="B3" s="1963"/>
      <c r="C3" s="1963"/>
      <c r="D3" s="1963"/>
      <c r="E3" s="1963"/>
    </row>
    <row r="4" spans="1:5" ht="12.75" customHeight="1">
      <c r="A4" s="991"/>
      <c r="B4" s="1560" t="s">
        <v>569</v>
      </c>
      <c r="C4" s="990"/>
      <c r="D4" s="990"/>
      <c r="E4" s="992"/>
    </row>
    <row r="5" spans="2:5" ht="26.25" customHeight="1" thickBot="1">
      <c r="B5" s="1561"/>
      <c r="C5" s="993"/>
      <c r="D5" s="993"/>
      <c r="E5" s="1436" t="s">
        <v>134</v>
      </c>
    </row>
    <row r="6" spans="1:9" ht="27.75" customHeight="1" thickBot="1">
      <c r="A6" s="271" t="s">
        <v>163</v>
      </c>
      <c r="B6" s="1562" t="s">
        <v>151</v>
      </c>
      <c r="C6" s="1477" t="s">
        <v>795</v>
      </c>
      <c r="D6" s="125" t="s">
        <v>130</v>
      </c>
      <c r="E6" s="126" t="s">
        <v>658</v>
      </c>
      <c r="H6" s="1531" t="s">
        <v>861</v>
      </c>
      <c r="I6" s="1481" t="s">
        <v>796</v>
      </c>
    </row>
    <row r="7" spans="1:5" ht="13.5" thickBot="1">
      <c r="A7" s="988">
        <v>1</v>
      </c>
      <c r="B7" s="1563">
        <v>2</v>
      </c>
      <c r="C7" s="80">
        <v>3</v>
      </c>
      <c r="D7" s="80">
        <v>4</v>
      </c>
      <c r="E7" s="1398">
        <v>5</v>
      </c>
    </row>
    <row r="8" spans="1:11" s="257" customFormat="1" ht="15" customHeight="1">
      <c r="A8" s="986"/>
      <c r="B8" s="1564" t="s">
        <v>595</v>
      </c>
      <c r="C8" s="1218">
        <v>1125</v>
      </c>
      <c r="D8" s="1064"/>
      <c r="E8" s="987">
        <f aca="true" t="shared" si="0" ref="E8:E15">SUM(C8:D8)</f>
        <v>1125</v>
      </c>
      <c r="F8" s="1033"/>
      <c r="G8" s="726"/>
      <c r="H8" s="1530">
        <v>1125</v>
      </c>
      <c r="I8" s="1478">
        <v>1125</v>
      </c>
      <c r="K8" s="1503"/>
    </row>
    <row r="9" spans="1:11" s="257" customFormat="1" ht="15" customHeight="1">
      <c r="A9" s="986"/>
      <c r="B9" s="1565" t="s">
        <v>539</v>
      </c>
      <c r="C9" s="1218">
        <v>150</v>
      </c>
      <c r="D9" s="1064"/>
      <c r="E9" s="987">
        <f t="shared" si="0"/>
        <v>150</v>
      </c>
      <c r="F9" s="1033"/>
      <c r="G9" s="726"/>
      <c r="H9" s="1530"/>
      <c r="I9" s="1478"/>
      <c r="K9" s="1503"/>
    </row>
    <row r="10" spans="1:11" s="257" customFormat="1" ht="15" customHeight="1">
      <c r="A10" s="986"/>
      <c r="B10" s="1566" t="s">
        <v>622</v>
      </c>
      <c r="C10" s="1218"/>
      <c r="D10" s="1064">
        <v>4915</v>
      </c>
      <c r="E10" s="987">
        <f t="shared" si="0"/>
        <v>4915</v>
      </c>
      <c r="F10" s="1033"/>
      <c r="G10" s="726"/>
      <c r="H10" s="1530"/>
      <c r="I10" s="1478"/>
      <c r="K10" s="1503"/>
    </row>
    <row r="11" spans="1:11" s="257" customFormat="1" ht="15" customHeight="1">
      <c r="A11" s="986"/>
      <c r="B11" s="1566" t="s">
        <v>869</v>
      </c>
      <c r="C11" s="1261"/>
      <c r="D11" s="1064">
        <v>6928</v>
      </c>
      <c r="E11" s="256">
        <f t="shared" si="0"/>
        <v>6928</v>
      </c>
      <c r="F11" s="1033"/>
      <c r="G11" s="726"/>
      <c r="H11" s="1530"/>
      <c r="I11" s="1478"/>
      <c r="K11" s="1503"/>
    </row>
    <row r="12" spans="1:11" s="257" customFormat="1" ht="15" customHeight="1">
      <c r="A12" s="986"/>
      <c r="B12" s="1567" t="s">
        <v>789</v>
      </c>
      <c r="C12" s="1261">
        <v>27000</v>
      </c>
      <c r="D12" s="1064"/>
      <c r="E12" s="256">
        <f t="shared" si="0"/>
        <v>27000</v>
      </c>
      <c r="F12" s="1033"/>
      <c r="G12" s="726"/>
      <c r="H12" s="1530">
        <v>13098</v>
      </c>
      <c r="I12" s="1478"/>
      <c r="K12" s="1503"/>
    </row>
    <row r="13" spans="1:11" s="257" customFormat="1" ht="15" customHeight="1">
      <c r="A13" s="986"/>
      <c r="B13" s="1566" t="s">
        <v>681</v>
      </c>
      <c r="C13" s="1261">
        <v>222998</v>
      </c>
      <c r="D13" s="1064">
        <v>-67611</v>
      </c>
      <c r="E13" s="256">
        <f t="shared" si="0"/>
        <v>155387</v>
      </c>
      <c r="F13" s="1033"/>
      <c r="G13" s="726"/>
      <c r="H13" s="1530">
        <v>108191</v>
      </c>
      <c r="I13" s="1478">
        <v>5804</v>
      </c>
      <c r="K13" s="1503"/>
    </row>
    <row r="14" spans="1:11" s="257" customFormat="1" ht="15" customHeight="1">
      <c r="A14" s="986"/>
      <c r="B14" s="1566" t="s">
        <v>718</v>
      </c>
      <c r="C14" s="1261">
        <v>713</v>
      </c>
      <c r="D14" s="1064"/>
      <c r="E14" s="256">
        <f t="shared" si="0"/>
        <v>713</v>
      </c>
      <c r="F14" s="1033"/>
      <c r="G14" s="726"/>
      <c r="H14" s="1530"/>
      <c r="I14" s="1478"/>
      <c r="K14" s="1503"/>
    </row>
    <row r="15" spans="1:11" s="257" customFormat="1" ht="15" customHeight="1" thickBot="1">
      <c r="A15" s="986"/>
      <c r="B15" s="1568" t="s">
        <v>792</v>
      </c>
      <c r="C15" s="1036">
        <v>12635</v>
      </c>
      <c r="D15" s="1433"/>
      <c r="E15" s="256">
        <f t="shared" si="0"/>
        <v>12635</v>
      </c>
      <c r="F15" s="1033"/>
      <c r="G15" s="726"/>
      <c r="H15" s="1530"/>
      <c r="I15" s="1478"/>
      <c r="K15" s="1503"/>
    </row>
    <row r="16" spans="1:11" s="257" customFormat="1" ht="15" customHeight="1" thickBot="1">
      <c r="A16" s="1063" t="s">
        <v>112</v>
      </c>
      <c r="B16" s="1569" t="s">
        <v>672</v>
      </c>
      <c r="C16" s="1065">
        <f>SUM(C8:C15)</f>
        <v>264621</v>
      </c>
      <c r="D16" s="1065">
        <f>SUM(D8:D15)</f>
        <v>-55768</v>
      </c>
      <c r="E16" s="1065">
        <f>SUM(E8:E15)</f>
        <v>208853</v>
      </c>
      <c r="F16" s="1033">
        <f>SUM(C16:D16)</f>
        <v>208853</v>
      </c>
      <c r="G16" s="726"/>
      <c r="H16" s="1530"/>
      <c r="I16" s="1478"/>
      <c r="K16" s="1503"/>
    </row>
    <row r="17" spans="1:11" s="257" customFormat="1" ht="15" customHeight="1">
      <c r="A17" s="1005"/>
      <c r="B17" s="1570" t="s">
        <v>881</v>
      </c>
      <c r="C17" s="1035">
        <v>167466</v>
      </c>
      <c r="D17" s="1434"/>
      <c r="E17" s="256">
        <f>SUM(C17:D17)</f>
        <v>167466</v>
      </c>
      <c r="F17" s="1033"/>
      <c r="G17" s="726"/>
      <c r="H17" s="1530"/>
      <c r="I17" s="1478"/>
      <c r="K17" s="1503"/>
    </row>
    <row r="18" spans="1:11" s="1548" customFormat="1" ht="15" customHeight="1">
      <c r="A18" s="1556"/>
      <c r="B18" s="1571" t="s">
        <v>883</v>
      </c>
      <c r="C18" s="1557"/>
      <c r="D18" s="1502"/>
      <c r="E18" s="1523">
        <v>33878</v>
      </c>
      <c r="F18" s="1547"/>
      <c r="H18" s="1558"/>
      <c r="I18" s="1495"/>
      <c r="K18" s="1547"/>
    </row>
    <row r="19" spans="1:11" s="1548" customFormat="1" ht="15" customHeight="1">
      <c r="A19" s="1556"/>
      <c r="B19" s="1571" t="s">
        <v>884</v>
      </c>
      <c r="C19" s="1557"/>
      <c r="D19" s="1502"/>
      <c r="E19" s="1523">
        <v>17721</v>
      </c>
      <c r="F19" s="1547"/>
      <c r="H19" s="1558"/>
      <c r="I19" s="1495"/>
      <c r="K19" s="1547"/>
    </row>
    <row r="20" spans="1:11" s="1548" customFormat="1" ht="15" customHeight="1">
      <c r="A20" s="1556"/>
      <c r="B20" s="1571" t="s">
        <v>882</v>
      </c>
      <c r="C20" s="1557"/>
      <c r="D20" s="1502"/>
      <c r="E20" s="1523">
        <v>11879</v>
      </c>
      <c r="F20" s="1547"/>
      <c r="H20" s="1558"/>
      <c r="I20" s="1495"/>
      <c r="K20" s="1547"/>
    </row>
    <row r="21" spans="1:11" s="1548" customFormat="1" ht="15" customHeight="1">
      <c r="A21" s="1556"/>
      <c r="B21" s="1571" t="s">
        <v>885</v>
      </c>
      <c r="C21" s="1557"/>
      <c r="D21" s="1502"/>
      <c r="E21" s="1523">
        <v>5580</v>
      </c>
      <c r="F21" s="1547"/>
      <c r="H21" s="1558"/>
      <c r="I21" s="1495"/>
      <c r="K21" s="1547"/>
    </row>
    <row r="22" spans="1:11" s="1548" customFormat="1" ht="15" customHeight="1">
      <c r="A22" s="1556"/>
      <c r="B22" s="1571" t="s">
        <v>886</v>
      </c>
      <c r="C22" s="1557"/>
      <c r="D22" s="1502"/>
      <c r="E22" s="1523">
        <v>54495</v>
      </c>
      <c r="F22" s="1547"/>
      <c r="H22" s="1558"/>
      <c r="I22" s="1495"/>
      <c r="K22" s="1547"/>
    </row>
    <row r="23" spans="1:11" s="1548" customFormat="1" ht="15" customHeight="1" thickBot="1">
      <c r="A23" s="1556"/>
      <c r="B23" s="1571" t="s">
        <v>887</v>
      </c>
      <c r="C23" s="1557"/>
      <c r="D23" s="1502"/>
      <c r="E23" s="1523">
        <v>43812</v>
      </c>
      <c r="F23" s="1547"/>
      <c r="H23" s="1558"/>
      <c r="I23" s="1495"/>
      <c r="K23" s="1547"/>
    </row>
    <row r="24" spans="1:11" s="257" customFormat="1" ht="15" customHeight="1" thickBot="1">
      <c r="A24" s="236" t="s">
        <v>114</v>
      </c>
      <c r="B24" s="1572" t="s">
        <v>468</v>
      </c>
      <c r="C24" s="214">
        <f>SUM(C17:C17)</f>
        <v>167466</v>
      </c>
      <c r="D24" s="214">
        <f>SUM(D17:D17)</f>
        <v>0</v>
      </c>
      <c r="E24" s="1316">
        <f>SUM(E17:E17)</f>
        <v>167466</v>
      </c>
      <c r="F24" s="1033">
        <f>SUM(C24:D24)</f>
        <v>167466</v>
      </c>
      <c r="G24" s="726"/>
      <c r="H24" s="1530"/>
      <c r="I24" s="1478"/>
      <c r="K24" s="1503"/>
    </row>
    <row r="25" spans="1:11" s="257" customFormat="1" ht="15" customHeight="1">
      <c r="A25" s="1005"/>
      <c r="B25" s="1573" t="s">
        <v>505</v>
      </c>
      <c r="C25" s="1035">
        <v>11901</v>
      </c>
      <c r="D25" s="1434"/>
      <c r="E25" s="987">
        <f aca="true" t="shared" si="1" ref="E25:E30">SUM(C25:D25)</f>
        <v>11901</v>
      </c>
      <c r="F25" s="1033"/>
      <c r="G25" s="726"/>
      <c r="H25" s="1530">
        <v>9824</v>
      </c>
      <c r="I25" s="1478">
        <v>6058</v>
      </c>
      <c r="K25" s="1503"/>
    </row>
    <row r="26" spans="1:11" s="257" customFormat="1" ht="15" customHeight="1">
      <c r="A26" s="1005"/>
      <c r="B26" s="1574" t="s">
        <v>466</v>
      </c>
      <c r="C26" s="1035">
        <v>406</v>
      </c>
      <c r="D26" s="1434"/>
      <c r="E26" s="256">
        <f t="shared" si="1"/>
        <v>406</v>
      </c>
      <c r="F26" s="1033"/>
      <c r="G26" s="726"/>
      <c r="H26" s="1530"/>
      <c r="I26" s="1478"/>
      <c r="K26" s="1503"/>
    </row>
    <row r="27" spans="1:11" s="257" customFormat="1" ht="15" customHeight="1">
      <c r="A27" s="1005"/>
      <c r="B27" s="1575" t="s">
        <v>582</v>
      </c>
      <c r="C27" s="1035">
        <v>11445</v>
      </c>
      <c r="D27" s="1434"/>
      <c r="E27" s="256">
        <f t="shared" si="1"/>
        <v>11445</v>
      </c>
      <c r="F27" s="1033"/>
      <c r="G27" s="726"/>
      <c r="H27" s="1530"/>
      <c r="I27" s="1478"/>
      <c r="K27" s="1503"/>
    </row>
    <row r="28" spans="1:11" s="257" customFormat="1" ht="15" customHeight="1">
      <c r="A28" s="1005"/>
      <c r="B28" s="1576" t="s">
        <v>683</v>
      </c>
      <c r="C28" s="1035">
        <v>1996</v>
      </c>
      <c r="D28" s="1434"/>
      <c r="E28" s="256">
        <f t="shared" si="1"/>
        <v>1996</v>
      </c>
      <c r="F28" s="1033"/>
      <c r="G28" s="726"/>
      <c r="H28" s="1530">
        <v>1901</v>
      </c>
      <c r="I28" s="1478">
        <v>1901</v>
      </c>
      <c r="K28" s="1503"/>
    </row>
    <row r="29" spans="1:11" s="257" customFormat="1" ht="15" customHeight="1">
      <c r="A29" s="1005"/>
      <c r="B29" s="1575" t="s">
        <v>541</v>
      </c>
      <c r="C29" s="1261">
        <v>1000</v>
      </c>
      <c r="D29" s="258"/>
      <c r="E29" s="256">
        <f t="shared" si="1"/>
        <v>1000</v>
      </c>
      <c r="F29" s="1033"/>
      <c r="G29" s="726"/>
      <c r="H29" s="1530"/>
      <c r="I29" s="1478"/>
      <c r="K29" s="1503"/>
    </row>
    <row r="30" spans="1:11" s="257" customFormat="1" ht="15" customHeight="1" thickBot="1">
      <c r="A30" s="1005"/>
      <c r="B30" s="1577" t="s">
        <v>682</v>
      </c>
      <c r="C30" s="1036">
        <v>5532</v>
      </c>
      <c r="D30" s="1435"/>
      <c r="E30" s="256">
        <f t="shared" si="1"/>
        <v>5532</v>
      </c>
      <c r="F30" s="1033"/>
      <c r="G30" s="726"/>
      <c r="H30" s="1530"/>
      <c r="I30" s="1478"/>
      <c r="K30" s="1503"/>
    </row>
    <row r="31" spans="1:12" s="257" customFormat="1" ht="15" customHeight="1" thickBot="1">
      <c r="A31" s="294" t="s">
        <v>115</v>
      </c>
      <c r="B31" s="1572" t="s">
        <v>469</v>
      </c>
      <c r="C31" s="214">
        <f>SUM(C25:C30)</f>
        <v>32280</v>
      </c>
      <c r="D31" s="214">
        <f>SUM(D25:D30)</f>
        <v>0</v>
      </c>
      <c r="E31" s="214">
        <f>SUM(E25:E30)</f>
        <v>32280</v>
      </c>
      <c r="F31" s="1033">
        <f>SUM(C31:D31)</f>
        <v>32280</v>
      </c>
      <c r="G31" s="726"/>
      <c r="H31" s="1530"/>
      <c r="I31" s="1478"/>
      <c r="K31" s="1503"/>
      <c r="L31" s="257" t="s">
        <v>230</v>
      </c>
    </row>
    <row r="32" spans="1:11" s="257" customFormat="1" ht="15" customHeight="1">
      <c r="A32" s="259"/>
      <c r="B32" s="1483" t="s">
        <v>724</v>
      </c>
      <c r="C32" s="1520"/>
      <c r="D32" s="1521"/>
      <c r="E32" s="1521"/>
      <c r="F32" s="1033"/>
      <c r="G32" s="726"/>
      <c r="H32" s="1530"/>
      <c r="I32" s="1478"/>
      <c r="K32" s="1503"/>
    </row>
    <row r="33" spans="1:11" s="257" customFormat="1" ht="15" customHeight="1">
      <c r="A33" s="259"/>
      <c r="B33" s="1483" t="s">
        <v>844</v>
      </c>
      <c r="C33" s="211">
        <v>7469</v>
      </c>
      <c r="D33" s="211"/>
      <c r="E33" s="1534">
        <f>SUM(C33:D33)</f>
        <v>7469</v>
      </c>
      <c r="F33" s="1033"/>
      <c r="G33" s="726"/>
      <c r="H33" s="1530">
        <v>7186</v>
      </c>
      <c r="I33" s="1478"/>
      <c r="K33" s="1503"/>
    </row>
    <row r="34" spans="1:11" s="257" customFormat="1" ht="15" customHeight="1" thickBot="1">
      <c r="A34" s="259"/>
      <c r="B34" s="1535" t="s">
        <v>870</v>
      </c>
      <c r="C34" s="1422"/>
      <c r="D34" s="1422">
        <v>3243</v>
      </c>
      <c r="E34" s="1504">
        <f>SUM(C34:D34)</f>
        <v>3243</v>
      </c>
      <c r="F34" s="1033"/>
      <c r="G34" s="726"/>
      <c r="H34" s="1530"/>
      <c r="I34" s="1478"/>
      <c r="K34" s="1503"/>
    </row>
    <row r="35" spans="1:11" s="257" customFormat="1" ht="15" customHeight="1" thickBot="1">
      <c r="A35" s="294" t="s">
        <v>117</v>
      </c>
      <c r="B35" s="1572" t="s">
        <v>506</v>
      </c>
      <c r="C35" s="1262">
        <f>SUM(C32:C34)</f>
        <v>7469</v>
      </c>
      <c r="D35" s="1262">
        <f>SUM(D32:D34)</f>
        <v>3243</v>
      </c>
      <c r="E35" s="1262">
        <f>SUM(E32:E34)</f>
        <v>10712</v>
      </c>
      <c r="F35" s="1033">
        <f>SUM(C35:D35)</f>
        <v>10712</v>
      </c>
      <c r="G35" s="726"/>
      <c r="H35" s="1530"/>
      <c r="I35" s="1478"/>
      <c r="K35" s="1503"/>
    </row>
    <row r="36" spans="1:11" s="257" customFormat="1" ht="15" customHeight="1">
      <c r="A36" s="1983"/>
      <c r="B36" s="1578" t="s">
        <v>613</v>
      </c>
      <c r="C36" s="211">
        <v>30498</v>
      </c>
      <c r="D36" s="1023"/>
      <c r="E36" s="217">
        <f>SUM(C36:D36)</f>
        <v>30498</v>
      </c>
      <c r="F36" s="1033"/>
      <c r="G36" s="726"/>
      <c r="H36" s="1538">
        <v>30498</v>
      </c>
      <c r="I36" s="1478"/>
      <c r="K36" s="1503"/>
    </row>
    <row r="37" spans="1:11" s="257" customFormat="1" ht="15" customHeight="1">
      <c r="A37" s="1983"/>
      <c r="B37" s="1579" t="s">
        <v>614</v>
      </c>
      <c r="C37" s="211">
        <v>3936</v>
      </c>
      <c r="D37" s="1023"/>
      <c r="E37" s="217">
        <f>SUM(C37:D37)</f>
        <v>3936</v>
      </c>
      <c r="F37" s="1033"/>
      <c r="G37" s="726"/>
      <c r="H37" s="1538">
        <v>3936</v>
      </c>
      <c r="I37" s="1478"/>
      <c r="K37" s="1503"/>
    </row>
    <row r="38" spans="1:11" s="257" customFormat="1" ht="15" customHeight="1">
      <c r="A38" s="1983"/>
      <c r="B38" s="1580" t="s">
        <v>684</v>
      </c>
      <c r="C38" s="215">
        <v>400</v>
      </c>
      <c r="D38" s="215"/>
      <c r="E38" s="213">
        <f aca="true" t="shared" si="2" ref="E38:E43">SUM(C38:D38)</f>
        <v>400</v>
      </c>
      <c r="F38" s="1033"/>
      <c r="G38" s="726"/>
      <c r="H38" s="1530"/>
      <c r="I38" s="1478"/>
      <c r="K38" s="1503"/>
    </row>
    <row r="39" spans="1:11" s="257" customFormat="1" ht="23.25" customHeight="1">
      <c r="A39" s="1983"/>
      <c r="B39" s="1581" t="s">
        <v>729</v>
      </c>
      <c r="C39" s="215"/>
      <c r="D39" s="215">
        <v>814</v>
      </c>
      <c r="E39" s="213">
        <f t="shared" si="2"/>
        <v>814</v>
      </c>
      <c r="F39" s="1033"/>
      <c r="G39" s="726"/>
      <c r="H39" s="1530">
        <v>814</v>
      </c>
      <c r="I39" s="1478"/>
      <c r="K39" s="1503"/>
    </row>
    <row r="40" spans="1:11" s="257" customFormat="1" ht="15" customHeight="1">
      <c r="A40" s="1983"/>
      <c r="B40" s="1580" t="s">
        <v>685</v>
      </c>
      <c r="C40" s="215">
        <v>1000</v>
      </c>
      <c r="D40" s="215"/>
      <c r="E40" s="217">
        <f t="shared" si="2"/>
        <v>1000</v>
      </c>
      <c r="F40" s="1033"/>
      <c r="G40" s="726"/>
      <c r="H40" s="1530"/>
      <c r="I40" s="1478"/>
      <c r="K40" s="1503"/>
    </row>
    <row r="41" spans="1:11" s="257" customFormat="1" ht="15" customHeight="1">
      <c r="A41" s="1983"/>
      <c r="B41" s="1582" t="s">
        <v>612</v>
      </c>
      <c r="C41" s="211">
        <v>38000</v>
      </c>
      <c r="D41" s="1023"/>
      <c r="E41" s="217">
        <f>SUM(C41:D41)</f>
        <v>38000</v>
      </c>
      <c r="F41" s="1033"/>
      <c r="G41" s="726"/>
      <c r="H41" s="1530"/>
      <c r="I41" s="1478"/>
      <c r="K41" s="1503"/>
    </row>
    <row r="42" spans="1:11" s="257" customFormat="1" ht="15" customHeight="1">
      <c r="A42" s="1983"/>
      <c r="B42" s="1583" t="s">
        <v>644</v>
      </c>
      <c r="C42" s="211">
        <v>20000</v>
      </c>
      <c r="D42" s="1023"/>
      <c r="E42" s="217">
        <f>SUM(C42:D42)</f>
        <v>20000</v>
      </c>
      <c r="F42" s="1033"/>
      <c r="G42" s="726"/>
      <c r="H42" s="1530">
        <v>18353</v>
      </c>
      <c r="I42" s="1478"/>
      <c r="K42" s="1503"/>
    </row>
    <row r="43" spans="1:11" s="257" customFormat="1" ht="15" customHeight="1" thickBot="1">
      <c r="A43" s="1982"/>
      <c r="B43" s="1584" t="s">
        <v>686</v>
      </c>
      <c r="C43" s="1375">
        <v>30</v>
      </c>
      <c r="D43" s="1375"/>
      <c r="E43" s="1314">
        <f t="shared" si="2"/>
        <v>30</v>
      </c>
      <c r="F43" s="1033"/>
      <c r="G43" s="726"/>
      <c r="H43" s="1530"/>
      <c r="I43" s="1478"/>
      <c r="K43" s="1503"/>
    </row>
    <row r="44" spans="1:11" s="257" customFormat="1" ht="15" customHeight="1" thickBot="1">
      <c r="A44" s="272" t="s">
        <v>98</v>
      </c>
      <c r="B44" s="1585" t="s">
        <v>509</v>
      </c>
      <c r="C44" s="262">
        <f>SUM(C36:C43)</f>
        <v>93864</v>
      </c>
      <c r="D44" s="262">
        <f>SUM(D36:D43)</f>
        <v>814</v>
      </c>
      <c r="E44" s="262">
        <f>SUM(E36:E43)</f>
        <v>94678</v>
      </c>
      <c r="F44" s="1033"/>
      <c r="G44" s="726"/>
      <c r="H44" s="1530"/>
      <c r="I44" s="1478"/>
      <c r="K44" s="1503"/>
    </row>
    <row r="45" spans="1:11" s="1201" customFormat="1" ht="15" customHeight="1" thickBot="1">
      <c r="A45" s="989"/>
      <c r="B45" s="1586" t="s">
        <v>687</v>
      </c>
      <c r="C45" s="1371">
        <v>5000</v>
      </c>
      <c r="D45" s="1370"/>
      <c r="E45" s="256">
        <f>SUM(C45:D45)</f>
        <v>5000</v>
      </c>
      <c r="F45" s="725"/>
      <c r="G45" s="724"/>
      <c r="H45" s="1537"/>
      <c r="I45" s="1480"/>
      <c r="K45" s="1503"/>
    </row>
    <row r="46" spans="1:11" s="257" customFormat="1" ht="15" customHeight="1" thickBot="1">
      <c r="A46" s="235" t="s">
        <v>99</v>
      </c>
      <c r="B46" s="1587" t="s">
        <v>508</v>
      </c>
      <c r="C46" s="262">
        <f>SUM(C45:C45)</f>
        <v>5000</v>
      </c>
      <c r="D46" s="262">
        <f>SUM(D45:D45)</f>
        <v>0</v>
      </c>
      <c r="E46" s="1320">
        <f>SUM(E45:E45)</f>
        <v>5000</v>
      </c>
      <c r="F46" s="1033"/>
      <c r="G46" s="726"/>
      <c r="H46" s="1530"/>
      <c r="I46" s="1478"/>
      <c r="K46" s="1503"/>
    </row>
    <row r="47" spans="1:11" s="257" customFormat="1" ht="15" customHeight="1">
      <c r="A47" s="259"/>
      <c r="B47" s="1588" t="s">
        <v>688</v>
      </c>
      <c r="C47" s="1374">
        <v>22000</v>
      </c>
      <c r="D47" s="215"/>
      <c r="E47" s="213">
        <f aca="true" t="shared" si="3" ref="E47:E54">SUM(C47:D47)</f>
        <v>22000</v>
      </c>
      <c r="F47" s="1033"/>
      <c r="G47" s="726"/>
      <c r="H47" s="1530">
        <v>21888</v>
      </c>
      <c r="I47" s="1478"/>
      <c r="K47" s="1503"/>
    </row>
    <row r="48" spans="1:11" s="257" customFormat="1" ht="25.5" customHeight="1">
      <c r="A48" s="259"/>
      <c r="B48" s="1588" t="s">
        <v>689</v>
      </c>
      <c r="C48" s="1373">
        <v>1500</v>
      </c>
      <c r="D48" s="211"/>
      <c r="E48" s="213">
        <f t="shared" si="3"/>
        <v>1500</v>
      </c>
      <c r="F48" s="1033"/>
      <c r="G48" s="726"/>
      <c r="H48" s="1530"/>
      <c r="I48" s="1478"/>
      <c r="K48" s="1503"/>
    </row>
    <row r="49" spans="1:11" s="257" customFormat="1" ht="15" customHeight="1">
      <c r="A49" s="259"/>
      <c r="B49" s="1567" t="s">
        <v>690</v>
      </c>
      <c r="C49" s="1373">
        <v>3300</v>
      </c>
      <c r="D49" s="211"/>
      <c r="E49" s="213">
        <f>SUM(C49:D49)</f>
        <v>3300</v>
      </c>
      <c r="F49" s="1033"/>
      <c r="G49" s="726"/>
      <c r="H49" s="1530">
        <v>3298</v>
      </c>
      <c r="I49" s="1478"/>
      <c r="K49" s="1503"/>
    </row>
    <row r="50" spans="1:11" s="257" customFormat="1" ht="15" customHeight="1">
      <c r="A50" s="259"/>
      <c r="B50" s="1589" t="s">
        <v>691</v>
      </c>
      <c r="C50" s="1373">
        <v>2000</v>
      </c>
      <c r="D50" s="211"/>
      <c r="E50" s="213">
        <f>SUM(C50:D50)</f>
        <v>2000</v>
      </c>
      <c r="F50" s="1033"/>
      <c r="G50" s="726"/>
      <c r="H50" s="1530"/>
      <c r="I50" s="1478"/>
      <c r="K50" s="1503"/>
    </row>
    <row r="51" spans="1:11" s="257" customFormat="1" ht="15" customHeight="1">
      <c r="A51" s="259"/>
      <c r="B51" s="1589" t="s">
        <v>692</v>
      </c>
      <c r="C51" s="1373">
        <v>3970</v>
      </c>
      <c r="D51" s="211"/>
      <c r="E51" s="213">
        <f t="shared" si="3"/>
        <v>3970</v>
      </c>
      <c r="F51" s="1033"/>
      <c r="G51" s="726"/>
      <c r="H51" s="1530"/>
      <c r="I51" s="1478"/>
      <c r="K51" s="1503"/>
    </row>
    <row r="52" spans="1:11" s="257" customFormat="1" ht="15" customHeight="1">
      <c r="A52" s="259"/>
      <c r="B52" s="1589" t="s">
        <v>693</v>
      </c>
      <c r="C52" s="1373">
        <v>100</v>
      </c>
      <c r="D52" s="211"/>
      <c r="E52" s="213">
        <f t="shared" si="3"/>
        <v>100</v>
      </c>
      <c r="F52" s="1033"/>
      <c r="G52" s="726"/>
      <c r="H52" s="1530"/>
      <c r="I52" s="1478"/>
      <c r="K52" s="1503"/>
    </row>
    <row r="53" spans="1:11" s="257" customFormat="1" ht="15" customHeight="1">
      <c r="A53" s="259"/>
      <c r="B53" s="1567" t="s">
        <v>694</v>
      </c>
      <c r="C53" s="1373">
        <v>11500</v>
      </c>
      <c r="D53" s="211"/>
      <c r="E53" s="213">
        <f>SUM(C53:D53)</f>
        <v>11500</v>
      </c>
      <c r="F53" s="1033"/>
      <c r="G53" s="726"/>
      <c r="H53" s="1530">
        <v>11500</v>
      </c>
      <c r="I53" s="1478"/>
      <c r="K53" s="1503"/>
    </row>
    <row r="54" spans="1:11" s="257" customFormat="1" ht="15" customHeight="1">
      <c r="A54" s="259"/>
      <c r="B54" s="1589" t="s">
        <v>695</v>
      </c>
      <c r="C54" s="1373">
        <v>100</v>
      </c>
      <c r="D54" s="211"/>
      <c r="E54" s="213">
        <f t="shared" si="3"/>
        <v>100</v>
      </c>
      <c r="F54" s="1033"/>
      <c r="G54" s="726"/>
      <c r="H54" s="1530"/>
      <c r="I54" s="1478"/>
      <c r="K54" s="1503"/>
    </row>
    <row r="55" spans="1:11" s="257" customFormat="1" ht="15" customHeight="1">
      <c r="A55" s="259"/>
      <c r="B55" s="1590" t="s">
        <v>696</v>
      </c>
      <c r="C55" s="1374">
        <v>1975</v>
      </c>
      <c r="D55" s="215"/>
      <c r="E55" s="219">
        <f>SUM(C55:D55)</f>
        <v>1975</v>
      </c>
      <c r="F55" s="1033"/>
      <c r="G55" s="726"/>
      <c r="H55" s="1530">
        <v>1975</v>
      </c>
      <c r="I55" s="1478"/>
      <c r="K55" s="1503"/>
    </row>
    <row r="56" spans="1:11" s="257" customFormat="1" ht="15" customHeight="1" thickBot="1">
      <c r="A56" s="259"/>
      <c r="B56" s="1582" t="s">
        <v>697</v>
      </c>
      <c r="C56" s="1438">
        <v>5151</v>
      </c>
      <c r="D56" s="1375"/>
      <c r="E56" s="1314">
        <f>SUM(C56:D56)</f>
        <v>5151</v>
      </c>
      <c r="F56" s="1033"/>
      <c r="G56" s="726"/>
      <c r="H56" s="1530">
        <v>5135</v>
      </c>
      <c r="I56" s="1478"/>
      <c r="K56" s="1503"/>
    </row>
    <row r="57" spans="1:11" s="257" customFormat="1" ht="15" customHeight="1" thickBot="1">
      <c r="A57" s="235" t="s">
        <v>100</v>
      </c>
      <c r="B57" s="1587" t="s">
        <v>510</v>
      </c>
      <c r="C57" s="262">
        <f>SUM(C47:C56)</f>
        <v>51596</v>
      </c>
      <c r="D57" s="262">
        <f>SUM(D47:D56)</f>
        <v>0</v>
      </c>
      <c r="E57" s="262">
        <f>SUM(E47:E56)</f>
        <v>51596</v>
      </c>
      <c r="F57" s="1033"/>
      <c r="G57" s="726"/>
      <c r="H57" s="1530"/>
      <c r="I57" s="1478"/>
      <c r="K57" s="1503"/>
    </row>
    <row r="58" spans="1:11" s="257" customFormat="1" ht="15" customHeight="1">
      <c r="A58" s="259"/>
      <c r="B58" s="1591" t="s">
        <v>593</v>
      </c>
      <c r="C58" s="1376">
        <v>13000</v>
      </c>
      <c r="D58" s="1404"/>
      <c r="E58" s="1399">
        <f aca="true" t="shared" si="4" ref="E58:E63">SUM(C58:D58)</f>
        <v>13000</v>
      </c>
      <c r="F58" s="1033"/>
      <c r="G58" s="726"/>
      <c r="H58" s="1538">
        <v>57</v>
      </c>
      <c r="I58" s="1478"/>
      <c r="K58" s="1503"/>
    </row>
    <row r="59" spans="1:11" s="257" customFormat="1" ht="15" customHeight="1">
      <c r="A59" s="259"/>
      <c r="B59" s="1589" t="s">
        <v>698</v>
      </c>
      <c r="C59" s="261">
        <v>2500</v>
      </c>
      <c r="D59" s="1379"/>
      <c r="E59" s="256">
        <f t="shared" si="4"/>
        <v>2500</v>
      </c>
      <c r="F59" s="1033"/>
      <c r="G59" s="726"/>
      <c r="H59" s="1530"/>
      <c r="I59" s="1478"/>
      <c r="K59" s="1503"/>
    </row>
    <row r="60" spans="1:11" s="257" customFormat="1" ht="15" customHeight="1">
      <c r="A60" s="259"/>
      <c r="B60" s="1582" t="s">
        <v>610</v>
      </c>
      <c r="C60" s="261">
        <v>5000</v>
      </c>
      <c r="D60" s="1379"/>
      <c r="E60" s="256">
        <f t="shared" si="4"/>
        <v>5000</v>
      </c>
      <c r="F60" s="1033"/>
      <c r="G60" s="726"/>
      <c r="H60" s="1530"/>
      <c r="I60" s="1478"/>
      <c r="K60" s="1503"/>
    </row>
    <row r="61" spans="1:11" s="257" customFormat="1" ht="15" customHeight="1">
      <c r="A61" s="259"/>
      <c r="B61" s="1592" t="s">
        <v>699</v>
      </c>
      <c r="C61" s="261">
        <v>30000</v>
      </c>
      <c r="D61" s="1379"/>
      <c r="E61" s="256">
        <f t="shared" si="4"/>
        <v>30000</v>
      </c>
      <c r="F61" s="1033"/>
      <c r="G61" s="726"/>
      <c r="H61" s="1530">
        <v>24058</v>
      </c>
      <c r="I61" s="1478"/>
      <c r="K61" s="1503"/>
    </row>
    <row r="62" spans="1:11" s="257" customFormat="1" ht="15" customHeight="1">
      <c r="A62" s="259"/>
      <c r="B62" s="1592" t="s">
        <v>700</v>
      </c>
      <c r="C62" s="261">
        <v>1000</v>
      </c>
      <c r="D62" s="1379"/>
      <c r="E62" s="256">
        <f t="shared" si="4"/>
        <v>1000</v>
      </c>
      <c r="F62" s="1033"/>
      <c r="G62" s="726"/>
      <c r="H62" s="1530"/>
      <c r="I62" s="1478"/>
      <c r="K62" s="1503"/>
    </row>
    <row r="63" spans="1:11" s="257" customFormat="1" ht="15" customHeight="1" thickBot="1">
      <c r="A63" s="259"/>
      <c r="B63" s="1593" t="s">
        <v>611</v>
      </c>
      <c r="C63" s="1366">
        <v>2000</v>
      </c>
      <c r="D63" s="1378"/>
      <c r="E63" s="256">
        <f t="shared" si="4"/>
        <v>2000</v>
      </c>
      <c r="F63" s="1033"/>
      <c r="G63" s="726"/>
      <c r="H63" s="1530"/>
      <c r="I63" s="1478"/>
      <c r="K63" s="1503"/>
    </row>
    <row r="64" spans="1:11" s="257" customFormat="1" ht="15" customHeight="1" thickBot="1">
      <c r="A64" s="235" t="s">
        <v>101</v>
      </c>
      <c r="B64" s="1587" t="s">
        <v>511</v>
      </c>
      <c r="C64" s="262">
        <f>SUM(C58:C63)</f>
        <v>53500</v>
      </c>
      <c r="D64" s="262">
        <f>SUM(D58:D63)</f>
        <v>0</v>
      </c>
      <c r="E64" s="1320">
        <f>SUM(E58:E63)</f>
        <v>53500</v>
      </c>
      <c r="F64" s="1033"/>
      <c r="G64" s="726"/>
      <c r="H64" s="1530"/>
      <c r="I64" s="1478"/>
      <c r="K64" s="1503"/>
    </row>
    <row r="65" spans="1:11" s="257" customFormat="1" ht="15.75" customHeight="1">
      <c r="A65" s="259"/>
      <c r="B65" s="1591" t="s">
        <v>742</v>
      </c>
      <c r="C65" s="1376"/>
      <c r="D65" s="1439">
        <v>2275</v>
      </c>
      <c r="E65" s="987">
        <f>SUM(C65:D65)</f>
        <v>2275</v>
      </c>
      <c r="F65" s="1033"/>
      <c r="G65" s="726"/>
      <c r="H65" s="1530"/>
      <c r="I65" s="1478"/>
      <c r="K65" s="1503"/>
    </row>
    <row r="66" spans="1:11" s="257" customFormat="1" ht="24.75" customHeight="1">
      <c r="A66" s="259"/>
      <c r="B66" s="1594" t="s">
        <v>609</v>
      </c>
      <c r="C66" s="249">
        <v>2000</v>
      </c>
      <c r="D66" s="260">
        <v>860</v>
      </c>
      <c r="E66" s="987">
        <f>SUM(C66:D66)</f>
        <v>2860</v>
      </c>
      <c r="F66" s="1033"/>
      <c r="G66" s="726"/>
      <c r="H66" s="1530"/>
      <c r="I66" s="1478"/>
      <c r="K66" s="1503"/>
    </row>
    <row r="67" spans="1:11" s="257" customFormat="1" ht="15" customHeight="1" thickBot="1">
      <c r="A67" s="259"/>
      <c r="B67" s="1595" t="s">
        <v>701</v>
      </c>
      <c r="C67" s="249">
        <v>2000</v>
      </c>
      <c r="D67" s="260">
        <v>706</v>
      </c>
      <c r="E67" s="987">
        <f>SUM(C67:D67)</f>
        <v>2706</v>
      </c>
      <c r="F67" s="1033"/>
      <c r="G67" s="726"/>
      <c r="H67" s="1530"/>
      <c r="I67" s="1478"/>
      <c r="K67" s="1503"/>
    </row>
    <row r="68" spans="1:11" s="257" customFormat="1" ht="15" customHeight="1" thickBot="1">
      <c r="A68" s="235" t="s">
        <v>192</v>
      </c>
      <c r="B68" s="1587" t="s">
        <v>512</v>
      </c>
      <c r="C68" s="262">
        <f>SUM(C65:C67)</f>
        <v>4000</v>
      </c>
      <c r="D68" s="262">
        <f>SUM(D65:D67)</f>
        <v>3841</v>
      </c>
      <c r="E68" s="262">
        <f>SUM(E65:E67)</f>
        <v>7841</v>
      </c>
      <c r="F68" s="1033"/>
      <c r="G68" s="726"/>
      <c r="H68" s="1530"/>
      <c r="I68" s="1478"/>
      <c r="K68" s="1503"/>
    </row>
    <row r="69" spans="1:11" s="257" customFormat="1" ht="15" customHeight="1" thickBot="1">
      <c r="A69" s="309"/>
      <c r="B69" s="1596"/>
      <c r="C69" s="249"/>
      <c r="D69" s="260"/>
      <c r="E69" s="256">
        <f>SUM(C69:D69)</f>
        <v>0</v>
      </c>
      <c r="F69" s="1033"/>
      <c r="G69" s="726"/>
      <c r="H69" s="1530"/>
      <c r="I69" s="1478"/>
      <c r="K69" s="1503"/>
    </row>
    <row r="70" spans="1:11" s="257" customFormat="1" ht="15" customHeight="1" thickBot="1">
      <c r="A70" s="235" t="s">
        <v>339</v>
      </c>
      <c r="B70" s="1587" t="s">
        <v>513</v>
      </c>
      <c r="C70" s="262">
        <f>SUM(C69)</f>
        <v>0</v>
      </c>
      <c r="D70" s="262">
        <f>SUM(D69)</f>
        <v>0</v>
      </c>
      <c r="E70" s="1320">
        <f>SUM(E69)</f>
        <v>0</v>
      </c>
      <c r="F70" s="1033"/>
      <c r="G70" s="726"/>
      <c r="H70" s="1530"/>
      <c r="I70" s="1478"/>
      <c r="K70" s="1503"/>
    </row>
    <row r="71" spans="1:11" s="257" customFormat="1" ht="15" customHeight="1">
      <c r="A71" s="309"/>
      <c r="B71" s="1597" t="s">
        <v>594</v>
      </c>
      <c r="C71" s="249">
        <v>175000</v>
      </c>
      <c r="D71" s="260"/>
      <c r="E71" s="256">
        <f>SUM(C71:D71)</f>
        <v>175000</v>
      </c>
      <c r="F71" s="1033"/>
      <c r="G71" s="726"/>
      <c r="H71" s="1530">
        <v>113501</v>
      </c>
      <c r="I71" s="1478"/>
      <c r="K71" s="1503"/>
    </row>
    <row r="72" spans="1:11" s="257" customFormat="1" ht="15" customHeight="1" thickBot="1">
      <c r="A72" s="309"/>
      <c r="B72" s="1597" t="s">
        <v>715</v>
      </c>
      <c r="C72" s="1366">
        <v>89607</v>
      </c>
      <c r="D72" s="1367"/>
      <c r="E72" s="256">
        <f>SUM(C72:D72)</f>
        <v>89607</v>
      </c>
      <c r="F72" s="1033"/>
      <c r="G72" s="726"/>
      <c r="H72" s="1530">
        <v>55904</v>
      </c>
      <c r="I72" s="1478"/>
      <c r="K72" s="1503"/>
    </row>
    <row r="73" spans="1:11" s="257" customFormat="1" ht="15" customHeight="1" thickBot="1">
      <c r="A73" s="272" t="s">
        <v>340</v>
      </c>
      <c r="B73" s="1587" t="s">
        <v>514</v>
      </c>
      <c r="C73" s="262">
        <f>SUM(C71:C72)</f>
        <v>264607</v>
      </c>
      <c r="D73" s="262">
        <f>SUM(D71:D72)</f>
        <v>0</v>
      </c>
      <c r="E73" s="262">
        <f>SUM(E71:E72)</f>
        <v>264607</v>
      </c>
      <c r="F73" s="1033"/>
      <c r="G73" s="726"/>
      <c r="H73" s="1530"/>
      <c r="I73" s="1478"/>
      <c r="K73" s="1503"/>
    </row>
    <row r="74" spans="1:11" s="257" customFormat="1" ht="15" customHeight="1" thickBot="1">
      <c r="A74" s="309"/>
      <c r="B74" s="1598"/>
      <c r="C74" s="249"/>
      <c r="D74" s="260"/>
      <c r="E74" s="256">
        <f>SUM(C74:D74)</f>
        <v>0</v>
      </c>
      <c r="F74" s="1033"/>
      <c r="G74" s="726"/>
      <c r="H74" s="1530"/>
      <c r="I74" s="1478"/>
      <c r="K74" s="1503"/>
    </row>
    <row r="75" spans="1:11" s="257" customFormat="1" ht="15" customHeight="1" thickBot="1">
      <c r="A75" s="272" t="s">
        <v>69</v>
      </c>
      <c r="B75" s="1587" t="s">
        <v>673</v>
      </c>
      <c r="C75" s="262">
        <f>SUM(C74)</f>
        <v>0</v>
      </c>
      <c r="D75" s="262">
        <f>SUM(D74)</f>
        <v>0</v>
      </c>
      <c r="E75" s="1320">
        <f>SUM(E74)</f>
        <v>0</v>
      </c>
      <c r="F75" s="1033"/>
      <c r="G75" s="726"/>
      <c r="H75" s="1530"/>
      <c r="I75" s="1478"/>
      <c r="K75" s="1503"/>
    </row>
    <row r="76" spans="1:11" s="257" customFormat="1" ht="15" customHeight="1" thickBot="1">
      <c r="A76" s="309"/>
      <c r="B76" s="1598"/>
      <c r="C76" s="249"/>
      <c r="D76" s="260"/>
      <c r="E76" s="256">
        <f>SUM(C76:D76)</f>
        <v>0</v>
      </c>
      <c r="F76" s="1033"/>
      <c r="G76" s="726"/>
      <c r="H76" s="1530"/>
      <c r="I76" s="1478"/>
      <c r="K76" s="1503"/>
    </row>
    <row r="77" spans="1:11" s="257" customFormat="1" ht="15" customHeight="1" thickBot="1">
      <c r="A77" s="111" t="s">
        <v>517</v>
      </c>
      <c r="B77" s="1587" t="s">
        <v>515</v>
      </c>
      <c r="C77" s="262">
        <f>SUM(C76)</f>
        <v>0</v>
      </c>
      <c r="D77" s="262">
        <f>SUM(D76)</f>
        <v>0</v>
      </c>
      <c r="E77" s="1320">
        <f>SUM(E76)</f>
        <v>0</v>
      </c>
      <c r="F77" s="1033"/>
      <c r="G77" s="726"/>
      <c r="H77" s="1530"/>
      <c r="I77" s="1478"/>
      <c r="K77" s="1503"/>
    </row>
    <row r="78" spans="1:11" s="257" customFormat="1" ht="15" customHeight="1">
      <c r="A78" s="267"/>
      <c r="B78" s="1599" t="s">
        <v>702</v>
      </c>
      <c r="C78" s="1037">
        <v>2500</v>
      </c>
      <c r="D78" s="260"/>
      <c r="E78" s="256">
        <f aca="true" t="shared" si="5" ref="E78:E94">SUM(C78:D78)</f>
        <v>2500</v>
      </c>
      <c r="F78" s="1033"/>
      <c r="G78" s="726"/>
      <c r="H78" s="1530">
        <v>2490</v>
      </c>
      <c r="I78" s="1478"/>
      <c r="K78" s="1503"/>
    </row>
    <row r="79" spans="1:11" s="257" customFormat="1" ht="15" customHeight="1">
      <c r="A79" s="267"/>
      <c r="B79" s="1600" t="s">
        <v>703</v>
      </c>
      <c r="C79" s="994">
        <v>2000</v>
      </c>
      <c r="D79" s="260"/>
      <c r="E79" s="256">
        <f t="shared" si="5"/>
        <v>2000</v>
      </c>
      <c r="F79" s="1033"/>
      <c r="G79" s="726"/>
      <c r="H79" s="1530"/>
      <c r="I79" s="1478"/>
      <c r="K79" s="1503"/>
    </row>
    <row r="80" spans="1:11" s="257" customFormat="1" ht="15" customHeight="1">
      <c r="A80" s="267"/>
      <c r="B80" s="1593" t="s">
        <v>704</v>
      </c>
      <c r="C80" s="994">
        <v>0</v>
      </c>
      <c r="D80" s="260"/>
      <c r="E80" s="256">
        <f t="shared" si="5"/>
        <v>0</v>
      </c>
      <c r="F80" s="1033"/>
      <c r="G80" s="726"/>
      <c r="H80" s="1530"/>
      <c r="I80" s="1478"/>
      <c r="K80" s="1503"/>
    </row>
    <row r="81" spans="1:11" s="257" customFormat="1" ht="15" customHeight="1">
      <c r="A81" s="267"/>
      <c r="B81" s="1593" t="s">
        <v>752</v>
      </c>
      <c r="C81" s="1037"/>
      <c r="D81" s="260">
        <v>100</v>
      </c>
      <c r="E81" s="256">
        <f t="shared" si="5"/>
        <v>100</v>
      </c>
      <c r="F81" s="1033"/>
      <c r="G81" s="726"/>
      <c r="H81" s="1530"/>
      <c r="I81" s="1478"/>
      <c r="K81" s="1503"/>
    </row>
    <row r="82" spans="1:11" s="257" customFormat="1" ht="15" customHeight="1">
      <c r="A82" s="267"/>
      <c r="B82" s="1600" t="s">
        <v>705</v>
      </c>
      <c r="C82" s="1037">
        <v>990</v>
      </c>
      <c r="D82" s="260"/>
      <c r="E82" s="256">
        <f t="shared" si="5"/>
        <v>990</v>
      </c>
      <c r="F82" s="1033"/>
      <c r="G82" s="726"/>
      <c r="H82" s="1530"/>
      <c r="I82" s="1478"/>
      <c r="K82" s="1503"/>
    </row>
    <row r="83" spans="1:11" s="257" customFormat="1" ht="15" customHeight="1">
      <c r="A83" s="267"/>
      <c r="B83" s="1600" t="s">
        <v>706</v>
      </c>
      <c r="C83" s="1037">
        <v>0</v>
      </c>
      <c r="D83" s="260"/>
      <c r="E83" s="256">
        <f t="shared" si="5"/>
        <v>0</v>
      </c>
      <c r="F83" s="1033"/>
      <c r="G83" s="726"/>
      <c r="H83" s="1530"/>
      <c r="I83" s="1478"/>
      <c r="K83" s="1503"/>
    </row>
    <row r="84" spans="1:11" s="257" customFormat="1" ht="15" customHeight="1">
      <c r="A84" s="267"/>
      <c r="B84" s="1601" t="s">
        <v>707</v>
      </c>
      <c r="C84" s="994">
        <v>100</v>
      </c>
      <c r="D84" s="260"/>
      <c r="E84" s="256">
        <f t="shared" si="5"/>
        <v>100</v>
      </c>
      <c r="F84" s="1033"/>
      <c r="G84" s="726"/>
      <c r="H84" s="1530"/>
      <c r="I84" s="1478"/>
      <c r="K84" s="1503"/>
    </row>
    <row r="85" spans="1:11" s="257" customFormat="1" ht="15" customHeight="1">
      <c r="A85" s="267"/>
      <c r="B85" s="1602" t="s">
        <v>708</v>
      </c>
      <c r="C85" s="1373">
        <v>6000</v>
      </c>
      <c r="D85" s="260"/>
      <c r="E85" s="256">
        <f t="shared" si="5"/>
        <v>6000</v>
      </c>
      <c r="F85" s="1033"/>
      <c r="G85" s="726"/>
      <c r="H85" s="1530">
        <v>1902</v>
      </c>
      <c r="I85" s="1478"/>
      <c r="K85" s="1503"/>
    </row>
    <row r="86" spans="1:11" s="257" customFormat="1" ht="15" customHeight="1">
      <c r="A86" s="267"/>
      <c r="B86" s="1593" t="s">
        <v>645</v>
      </c>
      <c r="C86" s="1377">
        <v>2000</v>
      </c>
      <c r="D86" s="260"/>
      <c r="E86" s="256">
        <f t="shared" si="5"/>
        <v>2000</v>
      </c>
      <c r="F86" s="1033"/>
      <c r="G86" s="726"/>
      <c r="H86" s="1530"/>
      <c r="I86" s="1478"/>
      <c r="K86" s="1503"/>
    </row>
    <row r="87" spans="1:11" s="257" customFormat="1" ht="15" customHeight="1">
      <c r="A87" s="267"/>
      <c r="B87" s="1602" t="s">
        <v>709</v>
      </c>
      <c r="C87" s="249">
        <v>0</v>
      </c>
      <c r="D87" s="260"/>
      <c r="E87" s="256">
        <f t="shared" si="5"/>
        <v>0</v>
      </c>
      <c r="F87" s="1033"/>
      <c r="G87" s="726"/>
      <c r="H87" s="1530"/>
      <c r="I87" s="1478"/>
      <c r="K87" s="1503"/>
    </row>
    <row r="88" spans="1:11" s="257" customFormat="1" ht="15" customHeight="1">
      <c r="A88" s="267"/>
      <c r="B88" s="1602" t="s">
        <v>710</v>
      </c>
      <c r="C88" s="261">
        <v>0</v>
      </c>
      <c r="D88" s="1440"/>
      <c r="E88" s="256">
        <f t="shared" si="5"/>
        <v>0</v>
      </c>
      <c r="F88" s="1033"/>
      <c r="G88" s="726"/>
      <c r="H88" s="1530"/>
      <c r="I88" s="1478"/>
      <c r="K88" s="1503"/>
    </row>
    <row r="89" spans="1:11" s="257" customFormat="1" ht="15" customHeight="1">
      <c r="A89" s="267"/>
      <c r="B89" s="1602" t="s">
        <v>711</v>
      </c>
      <c r="C89" s="249">
        <v>1500</v>
      </c>
      <c r="D89" s="260"/>
      <c r="E89" s="256">
        <f t="shared" si="5"/>
        <v>1500</v>
      </c>
      <c r="F89" s="1033"/>
      <c r="G89" s="726"/>
      <c r="H89" s="1530"/>
      <c r="I89" s="1478"/>
      <c r="K89" s="1503"/>
    </row>
    <row r="90" spans="1:11" s="257" customFormat="1" ht="15" customHeight="1">
      <c r="A90" s="267"/>
      <c r="B90" s="1603" t="s">
        <v>607</v>
      </c>
      <c r="C90" s="1377">
        <v>550</v>
      </c>
      <c r="D90" s="260"/>
      <c r="E90" s="256">
        <f t="shared" si="5"/>
        <v>550</v>
      </c>
      <c r="F90" s="1033"/>
      <c r="G90" s="726"/>
      <c r="H90" s="1530"/>
      <c r="I90" s="1478"/>
      <c r="K90" s="1503"/>
    </row>
    <row r="91" spans="1:11" s="257" customFormat="1" ht="15" customHeight="1">
      <c r="A91" s="267"/>
      <c r="B91" s="1602" t="s">
        <v>712</v>
      </c>
      <c r="C91" s="261">
        <v>15000</v>
      </c>
      <c r="D91" s="260"/>
      <c r="E91" s="256">
        <f t="shared" si="5"/>
        <v>15000</v>
      </c>
      <c r="F91" s="1033"/>
      <c r="G91" s="726"/>
      <c r="H91" s="1530"/>
      <c r="I91" s="1478"/>
      <c r="K91" s="1503"/>
    </row>
    <row r="92" spans="1:11" s="257" customFormat="1" ht="15" customHeight="1">
      <c r="A92" s="267"/>
      <c r="B92" s="1602" t="s">
        <v>713</v>
      </c>
      <c r="C92" s="1437">
        <v>0</v>
      </c>
      <c r="D92" s="260"/>
      <c r="E92" s="256">
        <f t="shared" si="5"/>
        <v>0</v>
      </c>
      <c r="F92" s="1033"/>
      <c r="G92" s="726"/>
      <c r="H92" s="1530"/>
      <c r="I92" s="1478"/>
      <c r="K92" s="1503"/>
    </row>
    <row r="93" spans="1:11" s="257" customFormat="1" ht="15" customHeight="1">
      <c r="A93" s="267"/>
      <c r="B93" s="1604" t="s">
        <v>714</v>
      </c>
      <c r="C93" s="249">
        <v>345</v>
      </c>
      <c r="D93" s="260"/>
      <c r="E93" s="987">
        <f t="shared" si="5"/>
        <v>345</v>
      </c>
      <c r="F93" s="1033"/>
      <c r="G93" s="726"/>
      <c r="H93" s="1530"/>
      <c r="I93" s="1478"/>
      <c r="K93" s="1503"/>
    </row>
    <row r="94" spans="1:11" s="257" customFormat="1" ht="15" customHeight="1" thickBot="1">
      <c r="A94" s="267"/>
      <c r="B94" s="1605" t="s">
        <v>716</v>
      </c>
      <c r="C94" s="1366">
        <v>50099</v>
      </c>
      <c r="D94" s="1367"/>
      <c r="E94" s="987">
        <f t="shared" si="5"/>
        <v>50099</v>
      </c>
      <c r="F94" s="1033"/>
      <c r="G94" s="726"/>
      <c r="H94" s="1530"/>
      <c r="I94" s="1478"/>
      <c r="K94" s="1503"/>
    </row>
    <row r="95" spans="1:11" s="264" customFormat="1" ht="15" customHeight="1" thickBot="1">
      <c r="A95" s="250" t="s">
        <v>432</v>
      </c>
      <c r="B95" s="1587" t="s">
        <v>516</v>
      </c>
      <c r="C95" s="262">
        <f>SUM(C78:C94)</f>
        <v>81084</v>
      </c>
      <c r="D95" s="262">
        <f>SUM(D78:D94)</f>
        <v>100</v>
      </c>
      <c r="E95" s="262">
        <f>SUM(E78:E94)</f>
        <v>81184</v>
      </c>
      <c r="F95" s="263"/>
      <c r="H95" s="1530"/>
      <c r="I95" s="1478"/>
      <c r="K95" s="1503"/>
    </row>
    <row r="96" spans="1:11" s="264" customFormat="1" ht="15" customHeight="1" thickBot="1">
      <c r="A96" s="235" t="s">
        <v>490</v>
      </c>
      <c r="B96" s="1587" t="s">
        <v>674</v>
      </c>
      <c r="C96" s="262">
        <v>20408</v>
      </c>
      <c r="D96" s="262">
        <v>-304</v>
      </c>
      <c r="E96" s="1062">
        <f>SUM(C96:D96)</f>
        <v>20104</v>
      </c>
      <c r="F96" s="263"/>
      <c r="H96" s="1530">
        <v>5186</v>
      </c>
      <c r="I96" s="1478">
        <v>5186</v>
      </c>
      <c r="K96" s="1503"/>
    </row>
    <row r="97" spans="1:11" s="264" customFormat="1" ht="15" customHeight="1">
      <c r="A97" s="1980"/>
      <c r="B97" s="1606" t="s">
        <v>845</v>
      </c>
      <c r="C97" s="1458">
        <v>10000</v>
      </c>
      <c r="D97" s="216"/>
      <c r="E97" s="987">
        <f aca="true" t="shared" si="6" ref="E97:E103">SUM(C97:D97)</f>
        <v>10000</v>
      </c>
      <c r="F97" s="263"/>
      <c r="H97" s="1530"/>
      <c r="I97" s="1478"/>
      <c r="K97" s="1503"/>
    </row>
    <row r="98" spans="1:11" s="264" customFormat="1" ht="15" customHeight="1">
      <c r="A98" s="1980"/>
      <c r="B98" s="1606" t="s">
        <v>583</v>
      </c>
      <c r="C98" s="1458">
        <v>7000</v>
      </c>
      <c r="D98" s="216"/>
      <c r="E98" s="987">
        <f t="shared" si="6"/>
        <v>7000</v>
      </c>
      <c r="F98" s="263"/>
      <c r="H98" s="1530"/>
      <c r="I98" s="1478"/>
      <c r="K98" s="1503"/>
    </row>
    <row r="99" spans="1:11" s="264" customFormat="1" ht="15" customHeight="1">
      <c r="A99" s="1980"/>
      <c r="B99" s="1606" t="s">
        <v>584</v>
      </c>
      <c r="C99" s="1458">
        <v>5000</v>
      </c>
      <c r="D99" s="216"/>
      <c r="E99" s="987">
        <f t="shared" si="6"/>
        <v>5000</v>
      </c>
      <c r="F99" s="263"/>
      <c r="H99" s="1530"/>
      <c r="I99" s="1478"/>
      <c r="K99" s="1503"/>
    </row>
    <row r="100" spans="1:11" s="264" customFormat="1" ht="15" customHeight="1">
      <c r="A100" s="1980"/>
      <c r="B100" s="1606" t="s">
        <v>585</v>
      </c>
      <c r="C100" s="1458">
        <v>8000</v>
      </c>
      <c r="D100" s="216"/>
      <c r="E100" s="987">
        <f t="shared" si="6"/>
        <v>8000</v>
      </c>
      <c r="F100" s="263"/>
      <c r="H100" s="1530"/>
      <c r="I100" s="1478"/>
      <c r="K100" s="1503"/>
    </row>
    <row r="101" spans="1:11" s="264" customFormat="1" ht="15" customHeight="1">
      <c r="A101" s="1980"/>
      <c r="B101" s="1606" t="s">
        <v>586</v>
      </c>
      <c r="C101" s="217">
        <v>5000</v>
      </c>
      <c r="D101" s="217"/>
      <c r="E101" s="987">
        <f t="shared" si="6"/>
        <v>5000</v>
      </c>
      <c r="F101" s="263"/>
      <c r="H101" s="1530"/>
      <c r="I101" s="1478"/>
      <c r="K101" s="1503"/>
    </row>
    <row r="102" spans="1:11" s="264" customFormat="1" ht="15" customHeight="1">
      <c r="A102" s="1980"/>
      <c r="B102" s="1606" t="s">
        <v>587</v>
      </c>
      <c r="C102" s="1219">
        <v>5000</v>
      </c>
      <c r="D102" s="1219">
        <v>-3426</v>
      </c>
      <c r="E102" s="987">
        <f t="shared" si="6"/>
        <v>1574</v>
      </c>
      <c r="F102" s="263"/>
      <c r="H102" s="1530"/>
      <c r="I102" s="1478"/>
      <c r="K102" s="1503"/>
    </row>
    <row r="103" spans="1:11" s="264" customFormat="1" ht="15" customHeight="1">
      <c r="A103" s="1980"/>
      <c r="B103" s="1606" t="s">
        <v>588</v>
      </c>
      <c r="C103" s="217">
        <v>5000</v>
      </c>
      <c r="D103" s="217">
        <v>785</v>
      </c>
      <c r="E103" s="256">
        <f t="shared" si="6"/>
        <v>5785</v>
      </c>
      <c r="F103" s="263"/>
      <c r="H103" s="1530"/>
      <c r="I103" s="1478"/>
      <c r="K103" s="1503"/>
    </row>
    <row r="104" spans="1:11" s="264" customFormat="1" ht="15" customHeight="1">
      <c r="A104" s="259"/>
      <c r="B104" s="1522" t="s">
        <v>864</v>
      </c>
      <c r="C104" s="217"/>
      <c r="D104" s="217"/>
      <c r="E104" s="1523">
        <v>5785</v>
      </c>
      <c r="F104" s="263"/>
      <c r="H104" s="1530">
        <v>5785</v>
      </c>
      <c r="I104" s="1478"/>
      <c r="K104" s="1503"/>
    </row>
    <row r="105" spans="1:11" s="264" customFormat="1" ht="15" customHeight="1">
      <c r="A105" s="259"/>
      <c r="B105" s="1607" t="s">
        <v>717</v>
      </c>
      <c r="C105" s="217">
        <v>13128</v>
      </c>
      <c r="D105" s="217"/>
      <c r="E105" s="217">
        <f aca="true" t="shared" si="7" ref="E105:E112">SUM(C105:D105)</f>
        <v>13128</v>
      </c>
      <c r="F105" s="263"/>
      <c r="H105" s="1530"/>
      <c r="I105" s="1478"/>
      <c r="K105" s="1503"/>
    </row>
    <row r="106" spans="1:11" s="1452" customFormat="1" ht="15" customHeight="1">
      <c r="A106" s="1450"/>
      <c r="B106" s="1522" t="s">
        <v>773</v>
      </c>
      <c r="C106" s="1502">
        <v>13128</v>
      </c>
      <c r="D106" s="1502"/>
      <c r="E106" s="1523">
        <f t="shared" si="7"/>
        <v>13128</v>
      </c>
      <c r="F106" s="1451"/>
      <c r="H106" s="1536">
        <v>13128</v>
      </c>
      <c r="I106" s="1479"/>
      <c r="K106" s="1503"/>
    </row>
    <row r="107" spans="1:11" s="1452" customFormat="1" ht="15" customHeight="1">
      <c r="A107" s="1450"/>
      <c r="B107" s="1457" t="s">
        <v>769</v>
      </c>
      <c r="C107" s="217">
        <v>178</v>
      </c>
      <c r="D107" s="217">
        <v>8104</v>
      </c>
      <c r="E107" s="217">
        <f t="shared" si="7"/>
        <v>8282</v>
      </c>
      <c r="F107" s="1451"/>
      <c r="H107" s="1536"/>
      <c r="I107" s="1479"/>
      <c r="K107" s="1503"/>
    </row>
    <row r="108" spans="1:11" s="1452" customFormat="1" ht="15" customHeight="1">
      <c r="A108" s="1450"/>
      <c r="B108" s="1491" t="s">
        <v>846</v>
      </c>
      <c r="C108" s="1502">
        <v>178</v>
      </c>
      <c r="D108" s="1502">
        <v>-178</v>
      </c>
      <c r="E108" s="1523">
        <f t="shared" si="7"/>
        <v>0</v>
      </c>
      <c r="F108" s="1451"/>
      <c r="H108" s="1536"/>
      <c r="I108" s="1479"/>
      <c r="K108" s="1503"/>
    </row>
    <row r="109" spans="1:11" s="1452" customFormat="1" ht="15" customHeight="1">
      <c r="A109" s="1450"/>
      <c r="B109" s="1491" t="s">
        <v>871</v>
      </c>
      <c r="C109" s="1502"/>
      <c r="D109" s="1502">
        <v>1220</v>
      </c>
      <c r="E109" s="1523">
        <f t="shared" si="7"/>
        <v>1220</v>
      </c>
      <c r="F109" s="1451"/>
      <c r="H109" s="1536"/>
      <c r="I109" s="1479"/>
      <c r="K109" s="1503"/>
    </row>
    <row r="110" spans="1:11" s="1452" customFormat="1" ht="15" customHeight="1">
      <c r="A110" s="1450"/>
      <c r="B110" s="1491" t="s">
        <v>872</v>
      </c>
      <c r="C110" s="1502"/>
      <c r="D110" s="1502">
        <v>7062</v>
      </c>
      <c r="E110" s="1523">
        <f t="shared" si="7"/>
        <v>7062</v>
      </c>
      <c r="F110" s="1451"/>
      <c r="H110" s="1536"/>
      <c r="I110" s="1479"/>
      <c r="K110" s="1503"/>
    </row>
    <row r="111" spans="1:11" s="1452" customFormat="1" ht="15" customHeight="1">
      <c r="A111" s="1450"/>
      <c r="B111" s="1607" t="s">
        <v>601</v>
      </c>
      <c r="C111" s="217">
        <v>2925</v>
      </c>
      <c r="D111" s="217"/>
      <c r="E111" s="217">
        <f t="shared" si="7"/>
        <v>2925</v>
      </c>
      <c r="F111" s="1451"/>
      <c r="H111" s="1536"/>
      <c r="I111" s="1479"/>
      <c r="K111" s="1503"/>
    </row>
    <row r="112" spans="1:11" s="1452" customFormat="1" ht="15" customHeight="1" thickBot="1">
      <c r="A112" s="1450"/>
      <c r="B112" s="1524" t="s">
        <v>847</v>
      </c>
      <c r="C112" s="1502">
        <v>2925</v>
      </c>
      <c r="D112" s="1502"/>
      <c r="E112" s="1523">
        <f t="shared" si="7"/>
        <v>2925</v>
      </c>
      <c r="F112" s="1451"/>
      <c r="H112" s="1536"/>
      <c r="I112" s="1479"/>
      <c r="K112" s="1503"/>
    </row>
    <row r="113" spans="1:11" s="264" customFormat="1" ht="15" customHeight="1" thickBot="1">
      <c r="A113" s="1264" t="s">
        <v>328</v>
      </c>
      <c r="B113" s="1608" t="s">
        <v>570</v>
      </c>
      <c r="C113" s="1265">
        <f>SUM(C97:C103)+C105+C107+C111</f>
        <v>61231</v>
      </c>
      <c r="D113" s="1265">
        <f>SUM(D97:D103)+D105+D107+D111</f>
        <v>5463</v>
      </c>
      <c r="E113" s="1265">
        <f>SUM(E97:E103)+E105+E107+E111</f>
        <v>66694</v>
      </c>
      <c r="F113" s="263"/>
      <c r="H113" s="1530"/>
      <c r="I113" s="1478"/>
      <c r="K113" s="1503"/>
    </row>
    <row r="114" spans="1:11" s="257" customFormat="1" ht="15" customHeight="1" thickBot="1">
      <c r="A114" s="236" t="s">
        <v>53</v>
      </c>
      <c r="B114" s="1572" t="s">
        <v>558</v>
      </c>
      <c r="C114" s="214">
        <f>C44+C46+C57+C64+C68+C70+C73+C75+C77+C95+C96+C113</f>
        <v>635290</v>
      </c>
      <c r="D114" s="214">
        <f>D44+D46+D57+D64+D68+D70+D73+D75+D77+D95+D96+D113</f>
        <v>9914</v>
      </c>
      <c r="E114" s="1316">
        <f>E44+E46+E57+E64+E68+E70+E73+E75+E77+E95+E96+E113</f>
        <v>645204</v>
      </c>
      <c r="F114" s="1033">
        <f>SUM(C114:D114)</f>
        <v>645204</v>
      </c>
      <c r="G114" s="726"/>
      <c r="H114" s="1530"/>
      <c r="I114" s="1478"/>
      <c r="K114" s="1503"/>
    </row>
    <row r="115" spans="1:11" s="1201" customFormat="1" ht="15" customHeight="1">
      <c r="A115" s="1981"/>
      <c r="B115" s="1609" t="s">
        <v>678</v>
      </c>
      <c r="C115" s="1427">
        <v>12011</v>
      </c>
      <c r="D115" s="1427"/>
      <c r="E115" s="1067">
        <f>SUM(C115:D115)</f>
        <v>12011</v>
      </c>
      <c r="F115" s="725"/>
      <c r="G115" s="724"/>
      <c r="H115" s="1537"/>
      <c r="I115" s="1480"/>
      <c r="K115" s="1503"/>
    </row>
    <row r="116" spans="1:11" s="1201" customFormat="1" ht="15" customHeight="1" thickBot="1">
      <c r="A116" s="1982"/>
      <c r="B116" s="1610" t="s">
        <v>679</v>
      </c>
      <c r="C116" s="1263">
        <v>266673</v>
      </c>
      <c r="D116" s="1263"/>
      <c r="E116" s="1428">
        <f>SUM(C116:D116)</f>
        <v>266673</v>
      </c>
      <c r="F116" s="725"/>
      <c r="G116" s="724"/>
      <c r="H116" s="1537">
        <v>264637</v>
      </c>
      <c r="I116" s="1480">
        <v>264637</v>
      </c>
      <c r="K116" s="1503"/>
    </row>
    <row r="117" spans="1:11" s="1201" customFormat="1" ht="15" customHeight="1" thickBot="1">
      <c r="A117" s="1202" t="s">
        <v>54</v>
      </c>
      <c r="B117" s="1611" t="s">
        <v>532</v>
      </c>
      <c r="C117" s="1203">
        <f>SUM(C115:C116)</f>
        <v>278684</v>
      </c>
      <c r="D117" s="1203">
        <f>SUM(D115:D116)</f>
        <v>0</v>
      </c>
      <c r="E117" s="1203">
        <f>SUM(E115:E116)</f>
        <v>278684</v>
      </c>
      <c r="F117" s="725">
        <f>SUM(C117:D117)</f>
        <v>278684</v>
      </c>
      <c r="G117" s="724"/>
      <c r="H117" s="1537"/>
      <c r="I117" s="1480"/>
      <c r="K117" s="1503"/>
    </row>
    <row r="118" spans="1:11" s="257" customFormat="1" ht="15" customHeight="1" thickBot="1" thickTop="1">
      <c r="A118" s="265" t="s">
        <v>95</v>
      </c>
      <c r="B118" s="1612" t="s">
        <v>533</v>
      </c>
      <c r="C118" s="221">
        <f>C16+C24+C31+C35+C114+C117</f>
        <v>1385810</v>
      </c>
      <c r="D118" s="221">
        <f>D16+D24+D31+D35+D114+D117</f>
        <v>-42611</v>
      </c>
      <c r="E118" s="1400">
        <f>E16+E24+E31+E35+E114+E117</f>
        <v>1343199</v>
      </c>
      <c r="F118" s="1033">
        <f>SUM(C118:D118)</f>
        <v>1343199</v>
      </c>
      <c r="G118" s="1033">
        <f>'hivatal5 '!E25</f>
        <v>1343199</v>
      </c>
      <c r="H118" s="1530"/>
      <c r="I118" s="1478"/>
      <c r="K118" s="1503"/>
    </row>
    <row r="119" spans="1:11" s="257" customFormat="1" ht="15" customHeight="1" thickTop="1">
      <c r="A119" s="1484"/>
      <c r="B119" s="1613" t="s">
        <v>332</v>
      </c>
      <c r="C119" s="249">
        <v>130264</v>
      </c>
      <c r="D119" s="260">
        <v>-3911</v>
      </c>
      <c r="E119" s="987">
        <f>SUM(C119:D119)</f>
        <v>126353</v>
      </c>
      <c r="F119" s="1033"/>
      <c r="G119" s="726"/>
      <c r="H119" s="1530">
        <v>11626</v>
      </c>
      <c r="I119" s="1478">
        <v>1353</v>
      </c>
      <c r="K119" s="1503"/>
    </row>
    <row r="120" spans="1:11" s="257" customFormat="1" ht="15" customHeight="1">
      <c r="A120" s="309"/>
      <c r="B120" s="1614" t="s">
        <v>589</v>
      </c>
      <c r="C120" s="261">
        <v>12855</v>
      </c>
      <c r="D120" s="1440"/>
      <c r="E120" s="256">
        <f>SUM(C120:D120)</f>
        <v>12855</v>
      </c>
      <c r="F120" s="1033"/>
      <c r="G120" s="726"/>
      <c r="H120" s="1530">
        <v>8414</v>
      </c>
      <c r="I120" s="1478">
        <v>2333</v>
      </c>
      <c r="K120" s="1503"/>
    </row>
    <row r="121" spans="1:11" s="257" customFormat="1" ht="15" customHeight="1" thickBot="1">
      <c r="A121" s="1485"/>
      <c r="B121" s="1615" t="s">
        <v>802</v>
      </c>
      <c r="C121" s="1366">
        <v>733</v>
      </c>
      <c r="D121" s="1367">
        <v>2647</v>
      </c>
      <c r="E121" s="256">
        <f>SUM(C121:D121)</f>
        <v>3380</v>
      </c>
      <c r="F121" s="1033"/>
      <c r="G121" s="726"/>
      <c r="H121" s="1530">
        <v>537</v>
      </c>
      <c r="I121" s="1478">
        <v>537</v>
      </c>
      <c r="K121" s="1503"/>
    </row>
    <row r="122" spans="1:11" s="266" customFormat="1" ht="15" customHeight="1" thickBot="1">
      <c r="A122" s="235" t="s">
        <v>98</v>
      </c>
      <c r="B122" s="1587" t="s">
        <v>657</v>
      </c>
      <c r="C122" s="262">
        <f>SUM(C119:C121)</f>
        <v>143852</v>
      </c>
      <c r="D122" s="262">
        <f>SUM(D119:D121)</f>
        <v>-1264</v>
      </c>
      <c r="E122" s="262">
        <f>SUM(E119:E121)</f>
        <v>142588</v>
      </c>
      <c r="F122" s="725">
        <f>SUM(C122:D122)</f>
        <v>142588</v>
      </c>
      <c r="H122" s="1537"/>
      <c r="I122" s="1480"/>
      <c r="K122" s="1503"/>
    </row>
    <row r="123" spans="1:11" s="257" customFormat="1" ht="15" customHeight="1">
      <c r="A123" s="267"/>
      <c r="B123" s="1613" t="s">
        <v>200</v>
      </c>
      <c r="C123" s="261">
        <v>143899</v>
      </c>
      <c r="D123" s="260">
        <f>-10378-3476</f>
        <v>-13854</v>
      </c>
      <c r="E123" s="987">
        <f>SUM(C123:D123)</f>
        <v>130045</v>
      </c>
      <c r="F123" s="1033"/>
      <c r="G123" s="726"/>
      <c r="H123" s="1530">
        <v>72481</v>
      </c>
      <c r="I123" s="1478">
        <v>68190</v>
      </c>
      <c r="K123" s="1503"/>
    </row>
    <row r="124" spans="1:11" s="257" customFormat="1" ht="15" customHeight="1">
      <c r="A124" s="267"/>
      <c r="B124" s="1613" t="s">
        <v>590</v>
      </c>
      <c r="C124" s="261">
        <v>50000</v>
      </c>
      <c r="D124" s="260"/>
      <c r="E124" s="987">
        <f>SUM(C124:D124)</f>
        <v>50000</v>
      </c>
      <c r="F124" s="1033"/>
      <c r="G124" s="726"/>
      <c r="H124" s="1530">
        <v>13558</v>
      </c>
      <c r="I124" s="1478">
        <v>13558</v>
      </c>
      <c r="K124" s="1503"/>
    </row>
    <row r="125" spans="1:11" s="257" customFormat="1" ht="15" customHeight="1">
      <c r="A125" s="267"/>
      <c r="B125" s="1616" t="s">
        <v>803</v>
      </c>
      <c r="C125" s="261">
        <v>7541</v>
      </c>
      <c r="D125" s="260">
        <v>373</v>
      </c>
      <c r="E125" s="987">
        <f>SUM(C125:D125)</f>
        <v>7914</v>
      </c>
      <c r="F125" s="1033"/>
      <c r="G125" s="726"/>
      <c r="H125" s="1530">
        <v>7540</v>
      </c>
      <c r="I125" s="1478">
        <v>7286</v>
      </c>
      <c r="K125" s="1503"/>
    </row>
    <row r="126" spans="1:11" s="257" customFormat="1" ht="15" customHeight="1" thickBot="1">
      <c r="A126" s="267"/>
      <c r="B126" s="1613" t="s">
        <v>201</v>
      </c>
      <c r="C126" s="261">
        <v>17988</v>
      </c>
      <c r="D126" s="260"/>
      <c r="E126" s="987">
        <f>SUM(C126:D126)</f>
        <v>17988</v>
      </c>
      <c r="F126" s="1033"/>
      <c r="G126" s="726"/>
      <c r="H126" s="1530">
        <v>11951</v>
      </c>
      <c r="I126" s="1478">
        <v>9518</v>
      </c>
      <c r="K126" s="1503"/>
    </row>
    <row r="127" spans="1:11" s="268" customFormat="1" ht="15" customHeight="1" thickBot="1">
      <c r="A127" s="250" t="s">
        <v>99</v>
      </c>
      <c r="B127" s="1587" t="s">
        <v>656</v>
      </c>
      <c r="C127" s="1059">
        <f>SUM(C123:C126)</f>
        <v>219428</v>
      </c>
      <c r="D127" s="1059">
        <f>SUM(D123:D126)</f>
        <v>-13481</v>
      </c>
      <c r="E127" s="1061">
        <f>SUM(E123:E126)</f>
        <v>205947</v>
      </c>
      <c r="F127" s="1033">
        <f>SUM(C127:D127)</f>
        <v>205947</v>
      </c>
      <c r="G127" s="726"/>
      <c r="H127" s="1530"/>
      <c r="I127" s="1478"/>
      <c r="K127" s="1503"/>
    </row>
    <row r="128" spans="1:11" s="268" customFormat="1" ht="15" customHeight="1" thickBot="1">
      <c r="A128" s="1189" t="s">
        <v>100</v>
      </c>
      <c r="B128" s="1587" t="s">
        <v>591</v>
      </c>
      <c r="C128" s="1423">
        <v>56232</v>
      </c>
      <c r="D128" s="251">
        <v>10378</v>
      </c>
      <c r="E128" s="1062">
        <f>SUM(C128:D128)</f>
        <v>66610</v>
      </c>
      <c r="F128" s="1033"/>
      <c r="G128" s="726"/>
      <c r="H128" s="1530">
        <v>31194</v>
      </c>
      <c r="I128" s="1478">
        <v>31194</v>
      </c>
      <c r="K128" s="1503"/>
    </row>
    <row r="129" spans="1:11" s="268" customFormat="1" ht="15" customHeight="1" thickBot="1">
      <c r="A129" s="1429" t="s">
        <v>101</v>
      </c>
      <c r="B129" s="1617" t="s">
        <v>592</v>
      </c>
      <c r="C129" s="1430">
        <v>1000</v>
      </c>
      <c r="D129" s="1431"/>
      <c r="E129" s="1432">
        <f>SUM(C129:D129)</f>
        <v>1000</v>
      </c>
      <c r="F129" s="1033"/>
      <c r="G129" s="726"/>
      <c r="H129" s="1530"/>
      <c r="I129" s="1478"/>
      <c r="K129" s="1503"/>
    </row>
    <row r="130" spans="1:11" ht="15" customHeight="1" thickBot="1" thickTop="1">
      <c r="A130" s="1188" t="s">
        <v>102</v>
      </c>
      <c r="B130" s="1618" t="s">
        <v>680</v>
      </c>
      <c r="C130" s="1060">
        <f>+C122+C127+C128+C129</f>
        <v>420512</v>
      </c>
      <c r="D130" s="1060">
        <f>+D122+D127+D128+D129</f>
        <v>-4367</v>
      </c>
      <c r="E130" s="1401">
        <f>+E122+E127+E128+E129</f>
        <v>416145</v>
      </c>
      <c r="F130" s="1033">
        <f>SUM(C130:D130)</f>
        <v>416145</v>
      </c>
      <c r="G130" s="1033">
        <f>hivatal4!N25</f>
        <v>416145</v>
      </c>
      <c r="K130" s="1503"/>
    </row>
    <row r="131" spans="1:11" ht="15" customHeight="1" thickBot="1" thickTop="1">
      <c r="A131" s="1188" t="s">
        <v>105</v>
      </c>
      <c r="B131" s="1619" t="s">
        <v>675</v>
      </c>
      <c r="C131" s="1425">
        <f>hivatal1!I25</f>
        <v>10675</v>
      </c>
      <c r="D131" s="1425">
        <f>hivatal1!J25</f>
        <v>385</v>
      </c>
      <c r="E131" s="1426">
        <f>SUM(C131:D131)</f>
        <v>11060</v>
      </c>
      <c r="F131" s="1033"/>
      <c r="G131" s="1033"/>
      <c r="H131" s="1530">
        <v>385</v>
      </c>
      <c r="K131" s="1503"/>
    </row>
    <row r="132" spans="1:11" ht="15" customHeight="1" thickBot="1" thickTop="1">
      <c r="A132" s="1188" t="s">
        <v>106</v>
      </c>
      <c r="B132" s="1619" t="s">
        <v>676</v>
      </c>
      <c r="C132" s="1424">
        <f>hivatal6!O25</f>
        <v>261805</v>
      </c>
      <c r="D132" s="1424">
        <f>hivatal6!P25</f>
        <v>-261805</v>
      </c>
      <c r="E132" s="1426">
        <f>SUM(C132:D132)</f>
        <v>0</v>
      </c>
      <c r="F132" s="1033"/>
      <c r="G132" s="1033"/>
      <c r="K132" s="1503"/>
    </row>
    <row r="133" spans="1:11" ht="15" customHeight="1" thickBot="1" thickTop="1">
      <c r="A133" s="252" t="s">
        <v>120</v>
      </c>
      <c r="B133" s="1620" t="s">
        <v>677</v>
      </c>
      <c r="C133" s="253">
        <f>C118+C130+C131+C132</f>
        <v>2078802</v>
      </c>
      <c r="D133" s="253">
        <f>D118+D130+D131+D132</f>
        <v>-308398</v>
      </c>
      <c r="E133" s="253">
        <f>E118+E130+E131+E132</f>
        <v>1770404</v>
      </c>
      <c r="F133" s="1033">
        <f>SUM(C133:D133)</f>
        <v>1770404</v>
      </c>
      <c r="G133" s="1033"/>
      <c r="K133" s="1503"/>
    </row>
    <row r="134" spans="1:11" ht="15" customHeight="1" thickBot="1" thickTop="1">
      <c r="A134" s="247" t="s">
        <v>121</v>
      </c>
      <c r="B134" s="1621" t="s">
        <v>90</v>
      </c>
      <c r="C134" s="248">
        <f>'önállóan gazd.'!O25</f>
        <v>2540</v>
      </c>
      <c r="D134" s="248">
        <f>'önállóan gazd.'!P25</f>
        <v>0</v>
      </c>
      <c r="E134" s="1402">
        <f>'önállóan gazd.'!Q25</f>
        <v>2540</v>
      </c>
      <c r="K134" s="1503"/>
    </row>
    <row r="135" spans="1:11" ht="15" customHeight="1" thickBot="1" thickTop="1">
      <c r="A135" s="128"/>
      <c r="B135" s="1622" t="s">
        <v>229</v>
      </c>
      <c r="C135" s="107">
        <f>SUM(C133:C134)</f>
        <v>2081342</v>
      </c>
      <c r="D135" s="107">
        <f>SUM(D133:D134)</f>
        <v>-308398</v>
      </c>
      <c r="E135" s="1403">
        <f>SUM(E133:E134)</f>
        <v>1772944</v>
      </c>
      <c r="F135" s="1033">
        <f>SUM(C135:D135)</f>
        <v>1772944</v>
      </c>
      <c r="G135" s="1033">
        <f>hivatal9!K25</f>
        <v>1772944</v>
      </c>
      <c r="H135" s="1530">
        <f>SUM(H8:H134)</f>
        <v>883056</v>
      </c>
      <c r="I135" s="1478">
        <f>SUM(I8:I134)</f>
        <v>418680</v>
      </c>
      <c r="K135" s="1503"/>
    </row>
    <row r="136" ht="13.5" thickTop="1"/>
  </sheetData>
  <sheetProtection/>
  <mergeCells count="4">
    <mergeCell ref="A3:E3"/>
    <mergeCell ref="A97:A103"/>
    <mergeCell ref="A115:A116"/>
    <mergeCell ref="A36:A43"/>
  </mergeCells>
  <printOptions horizontalCentered="1" verticalCentered="1"/>
  <pageMargins left="0.35" right="0.28" top="0.4724409448818898" bottom="0.35433070866141736" header="0.1968503937007874" footer="0.15748031496062992"/>
  <pageSetup fitToHeight="2" horizontalDpi="600" verticalDpi="600" orientation="portrait" paperSize="9" scale="65" r:id="rId1"/>
  <headerFooter>
    <oddHeader xml:space="preserve">&amp;R7. melléklet a 21/2019.(XII.03.) számú 
Önkormányzati rendelethez
&amp;P. oldal </oddHeader>
    <oddFooter>&amp;L&amp;F&amp;C&amp;D, &amp;T&amp;R&amp;A</oddFooter>
  </headerFooter>
  <rowBreaks count="1" manualBreakCount="1">
    <brk id="6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5"/>
  <sheetViews>
    <sheetView showGridLines="0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89" sqref="L189"/>
    </sheetView>
  </sheetViews>
  <sheetFormatPr defaultColWidth="9.00390625" defaultRowHeight="12.75"/>
  <cols>
    <col min="1" max="1" width="5.00390625" style="724" customWidth="1"/>
    <col min="2" max="2" width="108.50390625" style="1681" customWidth="1"/>
    <col min="3" max="3" width="12.375" style="724" customWidth="1"/>
    <col min="4" max="4" width="12.375" style="1682" customWidth="1"/>
    <col min="5" max="5" width="12.375" style="266" customWidth="1"/>
    <col min="6" max="6" width="12.625" style="726" customWidth="1"/>
    <col min="7" max="7" width="11.375" style="726" bestFit="1" customWidth="1"/>
    <col min="8" max="8" width="11.375" style="1530" customWidth="1"/>
    <col min="9" max="9" width="12.375" style="1478" customWidth="1"/>
    <col min="10" max="10" width="7.50390625" style="726" customWidth="1"/>
    <col min="11" max="11" width="9.375" style="726" customWidth="1"/>
    <col min="12" max="12" width="12.375" style="726" customWidth="1"/>
    <col min="13" max="16384" width="9.375" style="726" customWidth="1"/>
  </cols>
  <sheetData>
    <row r="1" ht="12.75">
      <c r="E1" s="1683"/>
    </row>
    <row r="2" ht="12.75">
      <c r="E2" s="1683"/>
    </row>
    <row r="3" spans="1:5" ht="17.25" customHeight="1">
      <c r="A3" s="1984" t="s">
        <v>647</v>
      </c>
      <c r="B3" s="1984"/>
      <c r="C3" s="1984"/>
      <c r="D3" s="1984"/>
      <c r="E3" s="1984"/>
    </row>
    <row r="4" spans="1:5" ht="15.75" customHeight="1">
      <c r="A4" s="1985" t="s">
        <v>571</v>
      </c>
      <c r="B4" s="1985"/>
      <c r="C4" s="1985"/>
      <c r="D4" s="1985"/>
      <c r="E4" s="1985"/>
    </row>
    <row r="5" spans="1:5" ht="22.5" customHeight="1" thickBot="1">
      <c r="A5" s="1684"/>
      <c r="B5" s="1685"/>
      <c r="C5" s="1686"/>
      <c r="D5" s="1687"/>
      <c r="E5" s="1688" t="s">
        <v>134</v>
      </c>
    </row>
    <row r="6" spans="1:9" ht="30" customHeight="1" thickBot="1">
      <c r="A6" s="1689" t="s">
        <v>151</v>
      </c>
      <c r="B6" s="1690"/>
      <c r="C6" s="1691" t="s">
        <v>795</v>
      </c>
      <c r="D6" s="1692" t="s">
        <v>130</v>
      </c>
      <c r="E6" s="1693" t="s">
        <v>658</v>
      </c>
      <c r="H6" s="1694" t="s">
        <v>861</v>
      </c>
      <c r="I6" s="1481" t="s">
        <v>796</v>
      </c>
    </row>
    <row r="7" spans="1:5" ht="10.5" customHeight="1" thickBot="1" thickTop="1">
      <c r="A7" s="1695"/>
      <c r="B7" s="1696">
        <v>1</v>
      </c>
      <c r="C7" s="1697">
        <v>2</v>
      </c>
      <c r="D7" s="1698">
        <v>3</v>
      </c>
      <c r="E7" s="1699">
        <v>4</v>
      </c>
    </row>
    <row r="8" spans="1:12" ht="15" customHeight="1">
      <c r="A8" s="986"/>
      <c r="B8" s="1564" t="s">
        <v>595</v>
      </c>
      <c r="C8" s="1325">
        <v>22084</v>
      </c>
      <c r="D8" s="1444"/>
      <c r="E8" s="216">
        <f aca="true" t="shared" si="0" ref="E8:E17">SUM(C8:D8)</f>
        <v>22084</v>
      </c>
      <c r="F8" s="1033"/>
      <c r="H8" s="1530">
        <v>872</v>
      </c>
      <c r="I8" s="1478">
        <v>821</v>
      </c>
      <c r="L8" s="1033"/>
    </row>
    <row r="9" spans="1:12" ht="15" customHeight="1">
      <c r="A9" s="986"/>
      <c r="B9" s="1564" t="s">
        <v>554</v>
      </c>
      <c r="C9" s="1325">
        <v>2080</v>
      </c>
      <c r="D9" s="1444">
        <v>-1000</v>
      </c>
      <c r="E9" s="217">
        <f t="shared" si="0"/>
        <v>1080</v>
      </c>
      <c r="F9" s="1033"/>
      <c r="H9" s="1530">
        <v>1080</v>
      </c>
      <c r="I9" s="1478">
        <v>1080</v>
      </c>
      <c r="L9" s="1033"/>
    </row>
    <row r="10" spans="1:12" ht="15" customHeight="1">
      <c r="A10" s="986"/>
      <c r="B10" s="1623" t="s">
        <v>596</v>
      </c>
      <c r="C10" s="1325">
        <v>26346</v>
      </c>
      <c r="D10" s="1444">
        <v>-1380</v>
      </c>
      <c r="E10" s="217">
        <f t="shared" si="0"/>
        <v>24966</v>
      </c>
      <c r="F10" s="1033"/>
      <c r="H10" s="1530">
        <v>12420</v>
      </c>
      <c r="I10" s="1478">
        <v>12420</v>
      </c>
      <c r="L10" s="1033"/>
    </row>
    <row r="11" spans="1:12" ht="15" customHeight="1">
      <c r="A11" s="986"/>
      <c r="B11" s="1624" t="s">
        <v>622</v>
      </c>
      <c r="C11" s="1540">
        <v>7413</v>
      </c>
      <c r="D11" s="1441">
        <v>-4915</v>
      </c>
      <c r="E11" s="217">
        <f t="shared" si="0"/>
        <v>2498</v>
      </c>
      <c r="F11" s="1033"/>
      <c r="H11" s="1530">
        <v>2268</v>
      </c>
      <c r="L11" s="1033"/>
    </row>
    <row r="12" spans="1:12" ht="15" customHeight="1">
      <c r="A12" s="986"/>
      <c r="B12" s="1566" t="s">
        <v>621</v>
      </c>
      <c r="C12" s="1540">
        <v>22500</v>
      </c>
      <c r="D12" s="1441">
        <v>-1073</v>
      </c>
      <c r="E12" s="217">
        <f t="shared" si="0"/>
        <v>21427</v>
      </c>
      <c r="F12" s="1033"/>
      <c r="H12" s="1530">
        <v>21427</v>
      </c>
      <c r="L12" s="1033"/>
    </row>
    <row r="13" spans="1:12" ht="15" customHeight="1">
      <c r="A13" s="986"/>
      <c r="B13" s="1625" t="s">
        <v>540</v>
      </c>
      <c r="C13" s="1700">
        <v>272</v>
      </c>
      <c r="D13" s="1442"/>
      <c r="E13" s="217">
        <f t="shared" si="0"/>
        <v>272</v>
      </c>
      <c r="F13" s="1033"/>
      <c r="L13" s="1033"/>
    </row>
    <row r="14" spans="1:12" ht="15" customHeight="1">
      <c r="A14" s="986"/>
      <c r="B14" s="1626" t="s">
        <v>597</v>
      </c>
      <c r="C14" s="1700">
        <v>3000</v>
      </c>
      <c r="D14" s="1442">
        <v>-2405</v>
      </c>
      <c r="E14" s="217">
        <f t="shared" si="0"/>
        <v>595</v>
      </c>
      <c r="F14" s="1033"/>
      <c r="H14" s="1530">
        <v>580</v>
      </c>
      <c r="L14" s="1033"/>
    </row>
    <row r="15" spans="1:12" ht="15" customHeight="1">
      <c r="A15" s="986"/>
      <c r="B15" s="1566" t="s">
        <v>598</v>
      </c>
      <c r="C15" s="1540">
        <v>31713</v>
      </c>
      <c r="D15" s="1441"/>
      <c r="E15" s="217">
        <f t="shared" si="0"/>
        <v>31713</v>
      </c>
      <c r="F15" s="1033"/>
      <c r="H15" s="1530">
        <v>28614</v>
      </c>
      <c r="L15" s="1033"/>
    </row>
    <row r="16" spans="1:12" ht="15" customHeight="1">
      <c r="A16" s="986"/>
      <c r="B16" s="1566" t="s">
        <v>581</v>
      </c>
      <c r="C16" s="1325">
        <v>30000</v>
      </c>
      <c r="D16" s="1444"/>
      <c r="E16" s="217">
        <f t="shared" si="0"/>
        <v>30000</v>
      </c>
      <c r="F16" s="1033"/>
      <c r="H16" s="1530">
        <v>914</v>
      </c>
      <c r="L16" s="1033"/>
    </row>
    <row r="17" spans="1:12" ht="15" customHeight="1" thickBot="1">
      <c r="A17" s="986"/>
      <c r="B17" s="1627" t="s">
        <v>797</v>
      </c>
      <c r="C17" s="1701">
        <v>32</v>
      </c>
      <c r="D17" s="1468">
        <v>593</v>
      </c>
      <c r="E17" s="1220">
        <f t="shared" si="0"/>
        <v>625</v>
      </c>
      <c r="F17" s="1033"/>
      <c r="H17" s="1530">
        <v>66</v>
      </c>
      <c r="I17" s="1478">
        <v>32</v>
      </c>
      <c r="L17" s="1033"/>
    </row>
    <row r="18" spans="1:12" ht="15" customHeight="1" thickBot="1">
      <c r="A18" s="294">
        <v>1</v>
      </c>
      <c r="B18" s="1628" t="s">
        <v>198</v>
      </c>
      <c r="C18" s="1262">
        <f>SUM(C8:C17)</f>
        <v>145440</v>
      </c>
      <c r="D18" s="1262">
        <f>SUM(D8:D17)</f>
        <v>-10180</v>
      </c>
      <c r="E18" s="1262">
        <f>SUM(E8:E17)</f>
        <v>135260</v>
      </c>
      <c r="F18" s="1033">
        <f>SUM(C18:D18)</f>
        <v>135260</v>
      </c>
      <c r="L18" s="1033"/>
    </row>
    <row r="19" spans="1:12" s="724" customFormat="1" ht="15" customHeight="1">
      <c r="A19" s="989"/>
      <c r="B19" s="1629" t="s">
        <v>543</v>
      </c>
      <c r="C19" s="1702">
        <v>2030</v>
      </c>
      <c r="D19" s="1317">
        <v>15020</v>
      </c>
      <c r="E19" s="1219">
        <f>SUM(C19:D19)</f>
        <v>17050</v>
      </c>
      <c r="F19" s="725"/>
      <c r="H19" s="1537"/>
      <c r="I19" s="1480"/>
      <c r="L19" s="1033"/>
    </row>
    <row r="20" spans="1:12" s="724" customFormat="1" ht="15" customHeight="1" thickBot="1">
      <c r="A20" s="989"/>
      <c r="B20" s="1630" t="s">
        <v>615</v>
      </c>
      <c r="C20" s="1375">
        <v>18039</v>
      </c>
      <c r="D20" s="1318"/>
      <c r="E20" s="1219">
        <f>SUM(C20:D20)</f>
        <v>18039</v>
      </c>
      <c r="F20" s="725"/>
      <c r="H20" s="1537"/>
      <c r="I20" s="1480"/>
      <c r="L20" s="1033"/>
    </row>
    <row r="21" spans="1:12" ht="15" customHeight="1" thickBot="1">
      <c r="A21" s="1703">
        <v>2</v>
      </c>
      <c r="B21" s="1631" t="s">
        <v>542</v>
      </c>
      <c r="C21" s="1704">
        <f>SUM(C19:C20)</f>
        <v>20069</v>
      </c>
      <c r="D21" s="1704">
        <f>SUM(D19:D20)</f>
        <v>15020</v>
      </c>
      <c r="E21" s="1704">
        <f>SUM(E19:E20)</f>
        <v>35089</v>
      </c>
      <c r="F21" s="1033"/>
      <c r="L21" s="1033"/>
    </row>
    <row r="22" spans="1:12" s="724" customFormat="1" ht="15" customHeight="1">
      <c r="A22" s="989"/>
      <c r="B22" s="1632" t="s">
        <v>527</v>
      </c>
      <c r="C22" s="1325">
        <v>633</v>
      </c>
      <c r="D22" s="1319"/>
      <c r="E22" s="219">
        <f>SUM(C22:D22)</f>
        <v>633</v>
      </c>
      <c r="F22" s="725"/>
      <c r="H22" s="1537"/>
      <c r="I22" s="1480"/>
      <c r="L22" s="1033"/>
    </row>
    <row r="23" spans="1:12" s="724" customFormat="1" ht="15" customHeight="1" thickBot="1">
      <c r="A23" s="989"/>
      <c r="B23" s="1633" t="s">
        <v>616</v>
      </c>
      <c r="C23" s="1389">
        <v>12836</v>
      </c>
      <c r="D23" s="1318"/>
      <c r="E23" s="219">
        <f>SUM(C23:D23)</f>
        <v>12836</v>
      </c>
      <c r="F23" s="725"/>
      <c r="H23" s="1537"/>
      <c r="I23" s="1480"/>
      <c r="L23" s="1033"/>
    </row>
    <row r="24" spans="1:12" ht="15" customHeight="1" thickBot="1">
      <c r="A24" s="294">
        <v>3</v>
      </c>
      <c r="B24" s="1634" t="s">
        <v>531</v>
      </c>
      <c r="C24" s="214">
        <f>SUM(C22:C23)</f>
        <v>13469</v>
      </c>
      <c r="D24" s="1316">
        <f>SUM(D22:D22)</f>
        <v>0</v>
      </c>
      <c r="E24" s="214">
        <f>SUM(E22:E23)</f>
        <v>13469</v>
      </c>
      <c r="F24" s="1033">
        <f>SUM(C24:D24)</f>
        <v>13469</v>
      </c>
      <c r="L24" s="1033"/>
    </row>
    <row r="25" spans="1:12" ht="15" customHeight="1">
      <c r="A25" s="986"/>
      <c r="B25" s="1635" t="s">
        <v>544</v>
      </c>
      <c r="C25" s="1702">
        <v>1771</v>
      </c>
      <c r="D25" s="1317"/>
      <c r="E25" s="1219">
        <f>SUM(C25:D25)</f>
        <v>1771</v>
      </c>
      <c r="F25" s="1033"/>
      <c r="L25" s="1033"/>
    </row>
    <row r="26" spans="1:12" ht="15" customHeight="1">
      <c r="A26" s="986"/>
      <c r="B26" s="1633" t="s">
        <v>893</v>
      </c>
      <c r="C26" s="1540">
        <v>4994</v>
      </c>
      <c r="D26" s="1023">
        <v>-1008</v>
      </c>
      <c r="E26" s="217">
        <f>SUM(C26:D26)</f>
        <v>3986</v>
      </c>
      <c r="F26" s="1033"/>
      <c r="L26" s="1033"/>
    </row>
    <row r="27" spans="1:12" s="1548" customFormat="1" ht="15" customHeight="1" thickBot="1">
      <c r="A27" s="1545"/>
      <c r="B27" s="1680" t="s">
        <v>892</v>
      </c>
      <c r="C27" s="1705"/>
      <c r="D27" s="1553"/>
      <c r="E27" s="1533">
        <v>3732</v>
      </c>
      <c r="F27" s="1547"/>
      <c r="H27" s="1558">
        <v>3729</v>
      </c>
      <c r="I27" s="1495"/>
      <c r="L27" s="1547"/>
    </row>
    <row r="28" spans="1:12" ht="15" customHeight="1" thickBot="1">
      <c r="A28" s="294">
        <v>4</v>
      </c>
      <c r="B28" s="1636" t="s">
        <v>160</v>
      </c>
      <c r="C28" s="214">
        <f>SUM(C25:C26)</f>
        <v>6765</v>
      </c>
      <c r="D28" s="1316">
        <f>SUM(D25:D26)</f>
        <v>-1008</v>
      </c>
      <c r="E28" s="214">
        <f>SUM(E25:E26)</f>
        <v>5757</v>
      </c>
      <c r="F28" s="1033"/>
      <c r="L28" s="1033"/>
    </row>
    <row r="29" spans="1:12" ht="15" customHeight="1">
      <c r="A29" s="1986"/>
      <c r="B29" s="1637" t="s">
        <v>465</v>
      </c>
      <c r="C29" s="1702">
        <v>6134</v>
      </c>
      <c r="D29" s="1317">
        <v>8800</v>
      </c>
      <c r="E29" s="1067">
        <f>SUM(C29:D29)</f>
        <v>14934</v>
      </c>
      <c r="F29" s="1033"/>
      <c r="H29" s="1530">
        <v>241</v>
      </c>
      <c r="L29" s="1033"/>
    </row>
    <row r="30" spans="1:12" ht="15" customHeight="1" thickBot="1">
      <c r="A30" s="1987"/>
      <c r="B30" s="1576" t="s">
        <v>719</v>
      </c>
      <c r="C30" s="1389">
        <v>9094</v>
      </c>
      <c r="D30" s="1318"/>
      <c r="E30" s="219">
        <f>SUM(C30:D30)</f>
        <v>9094</v>
      </c>
      <c r="F30" s="1033"/>
      <c r="H30" s="1530">
        <v>9094</v>
      </c>
      <c r="I30" s="1478">
        <v>9094</v>
      </c>
      <c r="L30" s="1033"/>
    </row>
    <row r="31" spans="1:12" ht="15" customHeight="1" thickBot="1">
      <c r="A31" s="294">
        <v>5</v>
      </c>
      <c r="B31" s="1636" t="s">
        <v>336</v>
      </c>
      <c r="C31" s="214">
        <f>SUM(C29:C30)</f>
        <v>15228</v>
      </c>
      <c r="D31" s="214">
        <f>SUM(D29:D30)</f>
        <v>8800</v>
      </c>
      <c r="E31" s="214">
        <f>SUM(E29:E30)</f>
        <v>24028</v>
      </c>
      <c r="F31" s="1033">
        <f>SUM(C31:D31)</f>
        <v>24028</v>
      </c>
      <c r="J31" s="1706"/>
      <c r="L31" s="1033"/>
    </row>
    <row r="32" spans="1:12" ht="15" customHeight="1">
      <c r="A32" s="989"/>
      <c r="B32" s="1638" t="s">
        <v>466</v>
      </c>
      <c r="C32" s="1445">
        <v>15774</v>
      </c>
      <c r="D32" s="1066">
        <v>1710</v>
      </c>
      <c r="E32" s="219">
        <f aca="true" t="shared" si="1" ref="E32:E37">SUM(C32:D32)</f>
        <v>17484</v>
      </c>
      <c r="F32" s="1033"/>
      <c r="H32" s="1530">
        <v>6915</v>
      </c>
      <c r="I32" s="1478">
        <v>6165</v>
      </c>
      <c r="J32" s="1706"/>
      <c r="L32" s="1033"/>
    </row>
    <row r="33" spans="1:12" ht="15" customHeight="1">
      <c r="A33" s="989"/>
      <c r="B33" s="1633" t="s">
        <v>720</v>
      </c>
      <c r="C33" s="1540">
        <v>63621</v>
      </c>
      <c r="D33" s="1446"/>
      <c r="E33" s="213">
        <f t="shared" si="1"/>
        <v>63621</v>
      </c>
      <c r="F33" s="1033"/>
      <c r="H33" s="1530">
        <v>59314</v>
      </c>
      <c r="I33" s="1478">
        <v>59314</v>
      </c>
      <c r="L33" s="1033"/>
    </row>
    <row r="34" spans="1:12" ht="15" customHeight="1">
      <c r="A34" s="989"/>
      <c r="B34" s="1633" t="s">
        <v>721</v>
      </c>
      <c r="C34" s="1540">
        <v>68461</v>
      </c>
      <c r="D34" s="1446"/>
      <c r="E34" s="213">
        <f t="shared" si="1"/>
        <v>68461</v>
      </c>
      <c r="F34" s="1033"/>
      <c r="H34" s="1530">
        <v>66990</v>
      </c>
      <c r="I34" s="1478">
        <v>66990</v>
      </c>
      <c r="L34" s="1033"/>
    </row>
    <row r="35" spans="1:12" ht="15" customHeight="1">
      <c r="A35" s="989"/>
      <c r="B35" s="1633" t="s">
        <v>722</v>
      </c>
      <c r="C35" s="1540">
        <v>67783</v>
      </c>
      <c r="D35" s="1446"/>
      <c r="E35" s="213">
        <f t="shared" si="1"/>
        <v>67783</v>
      </c>
      <c r="F35" s="1033"/>
      <c r="H35" s="1530">
        <v>67750</v>
      </c>
      <c r="I35" s="1478">
        <v>67750</v>
      </c>
      <c r="L35" s="1033"/>
    </row>
    <row r="36" spans="1:12" ht="30" customHeight="1">
      <c r="A36" s="989"/>
      <c r="B36" s="1567" t="s">
        <v>843</v>
      </c>
      <c r="C36" s="1540">
        <v>1344496</v>
      </c>
      <c r="D36" s="1446">
        <v>-21527</v>
      </c>
      <c r="E36" s="213">
        <f t="shared" si="1"/>
        <v>1322969</v>
      </c>
      <c r="F36" s="1033"/>
      <c r="L36" s="1033"/>
    </row>
    <row r="37" spans="1:12" s="1543" customFormat="1" ht="15" customHeight="1">
      <c r="A37" s="1541"/>
      <c r="B37" s="1486" t="s">
        <v>804</v>
      </c>
      <c r="C37" s="1546">
        <v>43809</v>
      </c>
      <c r="D37" s="1532">
        <v>-1436</v>
      </c>
      <c r="E37" s="1546">
        <f t="shared" si="1"/>
        <v>42373</v>
      </c>
      <c r="F37" s="1542"/>
      <c r="H37" s="1707">
        <v>42373</v>
      </c>
      <c r="I37" s="1488"/>
      <c r="L37" s="1033"/>
    </row>
    <row r="38" spans="1:12" s="1543" customFormat="1" ht="15" customHeight="1">
      <c r="A38" s="1541"/>
      <c r="B38" s="1486" t="s">
        <v>805</v>
      </c>
      <c r="C38" s="1546">
        <v>18118</v>
      </c>
      <c r="D38" s="1532"/>
      <c r="E38" s="1546">
        <f aca="true" t="shared" si="2" ref="E38:E75">SUM(C38:D38)</f>
        <v>18118</v>
      </c>
      <c r="F38" s="1542"/>
      <c r="H38" s="1707">
        <v>18117</v>
      </c>
      <c r="I38" s="1488"/>
      <c r="L38" s="1033"/>
    </row>
    <row r="39" spans="1:12" s="1543" customFormat="1" ht="15" customHeight="1">
      <c r="A39" s="1541"/>
      <c r="B39" s="1486" t="s">
        <v>806</v>
      </c>
      <c r="C39" s="1546">
        <v>34148</v>
      </c>
      <c r="D39" s="1532"/>
      <c r="E39" s="1546">
        <f t="shared" si="2"/>
        <v>34148</v>
      </c>
      <c r="F39" s="1542"/>
      <c r="H39" s="1707">
        <v>34148</v>
      </c>
      <c r="I39" s="1488"/>
      <c r="L39" s="1033"/>
    </row>
    <row r="40" spans="1:12" s="1543" customFormat="1" ht="15" customHeight="1">
      <c r="A40" s="1541"/>
      <c r="B40" s="1486" t="s">
        <v>807</v>
      </c>
      <c r="C40" s="1546">
        <v>29323</v>
      </c>
      <c r="D40" s="1532"/>
      <c r="E40" s="1546">
        <f t="shared" si="2"/>
        <v>29323</v>
      </c>
      <c r="F40" s="1542"/>
      <c r="H40" s="1707">
        <v>29323</v>
      </c>
      <c r="I40" s="1488"/>
      <c r="L40" s="1033"/>
    </row>
    <row r="41" spans="1:12" s="1543" customFormat="1" ht="15" customHeight="1">
      <c r="A41" s="1541"/>
      <c r="B41" s="1486" t="s">
        <v>808</v>
      </c>
      <c r="C41" s="1546">
        <v>39730</v>
      </c>
      <c r="D41" s="1532">
        <v>-1892</v>
      </c>
      <c r="E41" s="1546">
        <f t="shared" si="2"/>
        <v>37838</v>
      </c>
      <c r="F41" s="1542"/>
      <c r="H41" s="1707">
        <v>37838</v>
      </c>
      <c r="I41" s="1488"/>
      <c r="L41" s="1033"/>
    </row>
    <row r="42" spans="1:12" s="1543" customFormat="1" ht="15" customHeight="1">
      <c r="A42" s="1541"/>
      <c r="B42" s="1486" t="s">
        <v>809</v>
      </c>
      <c r="C42" s="1546">
        <v>25998</v>
      </c>
      <c r="D42" s="1532">
        <v>-1238</v>
      </c>
      <c r="E42" s="1546">
        <f t="shared" si="2"/>
        <v>24760</v>
      </c>
      <c r="F42" s="1542"/>
      <c r="H42" s="1707">
        <v>24760</v>
      </c>
      <c r="I42" s="1488"/>
      <c r="L42" s="1033"/>
    </row>
    <row r="43" spans="1:12" s="1543" customFormat="1" ht="15" customHeight="1">
      <c r="A43" s="1541"/>
      <c r="B43" s="1486" t="s">
        <v>810</v>
      </c>
      <c r="C43" s="1546">
        <v>57848</v>
      </c>
      <c r="D43" s="1532">
        <v>-2755</v>
      </c>
      <c r="E43" s="1546">
        <f t="shared" si="2"/>
        <v>55093</v>
      </c>
      <c r="F43" s="1542"/>
      <c r="H43" s="1707">
        <v>55093</v>
      </c>
      <c r="I43" s="1488"/>
      <c r="L43" s="1033"/>
    </row>
    <row r="44" spans="1:12" s="1543" customFormat="1" ht="15" customHeight="1">
      <c r="A44" s="1541"/>
      <c r="B44" s="1486" t="s">
        <v>811</v>
      </c>
      <c r="C44" s="1546">
        <v>15662</v>
      </c>
      <c r="D44" s="1532">
        <v>-746</v>
      </c>
      <c r="E44" s="1546">
        <f t="shared" si="2"/>
        <v>14916</v>
      </c>
      <c r="F44" s="1542"/>
      <c r="H44" s="1707">
        <v>14916</v>
      </c>
      <c r="I44" s="1488"/>
      <c r="L44" s="1033"/>
    </row>
    <row r="45" spans="1:12" s="1543" customFormat="1" ht="15" customHeight="1">
      <c r="A45" s="1541"/>
      <c r="B45" s="1486" t="s">
        <v>812</v>
      </c>
      <c r="C45" s="1546">
        <v>27947</v>
      </c>
      <c r="D45" s="1532">
        <v>-258</v>
      </c>
      <c r="E45" s="1546">
        <f t="shared" si="2"/>
        <v>27689</v>
      </c>
      <c r="F45" s="1542"/>
      <c r="H45" s="1707">
        <v>27689</v>
      </c>
      <c r="I45" s="1488"/>
      <c r="L45" s="1033"/>
    </row>
    <row r="46" spans="1:12" s="1543" customFormat="1" ht="15" customHeight="1">
      <c r="A46" s="1541"/>
      <c r="B46" s="1486" t="s">
        <v>813</v>
      </c>
      <c r="C46" s="1546">
        <v>28615</v>
      </c>
      <c r="D46" s="1532">
        <v>-1362</v>
      </c>
      <c r="E46" s="1546">
        <f t="shared" si="2"/>
        <v>27253</v>
      </c>
      <c r="F46" s="1542"/>
      <c r="H46" s="1707">
        <v>27253</v>
      </c>
      <c r="I46" s="1488"/>
      <c r="L46" s="1033"/>
    </row>
    <row r="47" spans="1:12" s="1543" customFormat="1" ht="15" customHeight="1">
      <c r="A47" s="1541"/>
      <c r="B47" s="1486" t="s">
        <v>814</v>
      </c>
      <c r="C47" s="1546">
        <v>29198</v>
      </c>
      <c r="D47" s="1532"/>
      <c r="E47" s="1546">
        <f t="shared" si="2"/>
        <v>29198</v>
      </c>
      <c r="F47" s="1542"/>
      <c r="H47" s="1707"/>
      <c r="I47" s="1488"/>
      <c r="L47" s="1033"/>
    </row>
    <row r="48" spans="1:12" s="1543" customFormat="1" ht="15" customHeight="1">
      <c r="A48" s="1541"/>
      <c r="B48" s="1486" t="s">
        <v>815</v>
      </c>
      <c r="C48" s="1546">
        <v>29069</v>
      </c>
      <c r="D48" s="1532"/>
      <c r="E48" s="1546">
        <f t="shared" si="2"/>
        <v>29069</v>
      </c>
      <c r="F48" s="1542"/>
      <c r="H48" s="1707"/>
      <c r="I48" s="1488"/>
      <c r="L48" s="1033"/>
    </row>
    <row r="49" spans="1:12" s="1543" customFormat="1" ht="15" customHeight="1">
      <c r="A49" s="1541"/>
      <c r="B49" s="1486" t="s">
        <v>816</v>
      </c>
      <c r="C49" s="1546">
        <v>40217</v>
      </c>
      <c r="D49" s="1532"/>
      <c r="E49" s="1546">
        <f t="shared" si="2"/>
        <v>40217</v>
      </c>
      <c r="F49" s="1542"/>
      <c r="H49" s="1707">
        <v>38302</v>
      </c>
      <c r="I49" s="1488"/>
      <c r="L49" s="1033"/>
    </row>
    <row r="50" spans="1:12" s="1543" customFormat="1" ht="15" customHeight="1">
      <c r="A50" s="1541"/>
      <c r="B50" s="1486" t="s">
        <v>817</v>
      </c>
      <c r="C50" s="1546">
        <v>21999</v>
      </c>
      <c r="D50" s="1532"/>
      <c r="E50" s="1546">
        <f t="shared" si="2"/>
        <v>21999</v>
      </c>
      <c r="F50" s="1542"/>
      <c r="H50" s="1707">
        <v>21997</v>
      </c>
      <c r="I50" s="1488"/>
      <c r="L50" s="1033"/>
    </row>
    <row r="51" spans="1:12" s="1543" customFormat="1" ht="15" customHeight="1">
      <c r="A51" s="1541"/>
      <c r="B51" s="1486" t="s">
        <v>818</v>
      </c>
      <c r="C51" s="1546">
        <v>19722</v>
      </c>
      <c r="D51" s="1532">
        <v>-939</v>
      </c>
      <c r="E51" s="1546">
        <f t="shared" si="2"/>
        <v>18783</v>
      </c>
      <c r="F51" s="1542"/>
      <c r="H51" s="1707">
        <v>18783</v>
      </c>
      <c r="I51" s="1488"/>
      <c r="L51" s="1033"/>
    </row>
    <row r="52" spans="1:12" s="1543" customFormat="1" ht="15" customHeight="1">
      <c r="A52" s="1541"/>
      <c r="B52" s="1486" t="s">
        <v>819</v>
      </c>
      <c r="C52" s="1546">
        <v>13580</v>
      </c>
      <c r="D52" s="1532">
        <v>-646</v>
      </c>
      <c r="E52" s="1546">
        <f t="shared" si="2"/>
        <v>12934</v>
      </c>
      <c r="F52" s="1542"/>
      <c r="H52" s="1707">
        <v>12287</v>
      </c>
      <c r="I52" s="1488"/>
      <c r="L52" s="1033"/>
    </row>
    <row r="53" spans="1:12" s="1543" customFormat="1" ht="15" customHeight="1">
      <c r="A53" s="1541"/>
      <c r="B53" s="1486" t="s">
        <v>820</v>
      </c>
      <c r="C53" s="1546">
        <v>35383</v>
      </c>
      <c r="D53" s="1532">
        <v>-1685</v>
      </c>
      <c r="E53" s="1546">
        <f t="shared" si="2"/>
        <v>33698</v>
      </c>
      <c r="F53" s="1542"/>
      <c r="H53" s="1707">
        <v>32013</v>
      </c>
      <c r="I53" s="1488"/>
      <c r="L53" s="1033"/>
    </row>
    <row r="54" spans="1:12" s="1543" customFormat="1" ht="15" customHeight="1">
      <c r="A54" s="1541"/>
      <c r="B54" s="1486" t="s">
        <v>821</v>
      </c>
      <c r="C54" s="1546">
        <v>51823</v>
      </c>
      <c r="D54" s="1532">
        <v>-2468</v>
      </c>
      <c r="E54" s="1546">
        <f t="shared" si="2"/>
        <v>49355</v>
      </c>
      <c r="F54" s="1542"/>
      <c r="H54" s="1707">
        <v>46888</v>
      </c>
      <c r="I54" s="1488"/>
      <c r="L54" s="1033"/>
    </row>
    <row r="55" spans="1:12" s="1543" customFormat="1" ht="15" customHeight="1">
      <c r="A55" s="1541"/>
      <c r="B55" s="1486" t="s">
        <v>822</v>
      </c>
      <c r="C55" s="1546">
        <v>20738</v>
      </c>
      <c r="D55" s="1532"/>
      <c r="E55" s="1546">
        <f t="shared" si="2"/>
        <v>20738</v>
      </c>
      <c r="F55" s="1542"/>
      <c r="H55" s="1707"/>
      <c r="I55" s="1488"/>
      <c r="L55" s="1033"/>
    </row>
    <row r="56" spans="1:12" s="1543" customFormat="1" ht="15" customHeight="1">
      <c r="A56" s="1541"/>
      <c r="B56" s="1486" t="s">
        <v>823</v>
      </c>
      <c r="C56" s="1546">
        <v>9272</v>
      </c>
      <c r="D56" s="1532"/>
      <c r="E56" s="1546">
        <f t="shared" si="2"/>
        <v>9272</v>
      </c>
      <c r="F56" s="1542"/>
      <c r="H56" s="1707"/>
      <c r="I56" s="1488"/>
      <c r="L56" s="1033"/>
    </row>
    <row r="57" spans="1:12" s="1543" customFormat="1" ht="15" customHeight="1">
      <c r="A57" s="1541"/>
      <c r="B57" s="1486" t="s">
        <v>824</v>
      </c>
      <c r="C57" s="1546">
        <v>35561</v>
      </c>
      <c r="D57" s="1532"/>
      <c r="E57" s="1546">
        <f t="shared" si="2"/>
        <v>35561</v>
      </c>
      <c r="F57" s="1542"/>
      <c r="H57" s="1707"/>
      <c r="I57" s="1488"/>
      <c r="L57" s="1033"/>
    </row>
    <row r="58" spans="1:12" s="1543" customFormat="1" ht="15" customHeight="1">
      <c r="A58" s="1541"/>
      <c r="B58" s="1486" t="s">
        <v>825</v>
      </c>
      <c r="C58" s="1546">
        <v>27182</v>
      </c>
      <c r="D58" s="1532">
        <v>-1294</v>
      </c>
      <c r="E58" s="1546">
        <f t="shared" si="2"/>
        <v>25888</v>
      </c>
      <c r="F58" s="1542"/>
      <c r="H58" s="1707">
        <v>24593</v>
      </c>
      <c r="I58" s="1488"/>
      <c r="L58" s="1033"/>
    </row>
    <row r="59" spans="1:12" s="1543" customFormat="1" ht="15" customHeight="1">
      <c r="A59" s="1541"/>
      <c r="B59" s="1486" t="s">
        <v>826</v>
      </c>
      <c r="C59" s="1546">
        <v>19164</v>
      </c>
      <c r="D59" s="1532">
        <v>-912</v>
      </c>
      <c r="E59" s="1546">
        <f t="shared" si="2"/>
        <v>18252</v>
      </c>
      <c r="F59" s="1542"/>
      <c r="H59" s="1707">
        <v>17340</v>
      </c>
      <c r="I59" s="1488"/>
      <c r="L59" s="1033"/>
    </row>
    <row r="60" spans="1:12" s="1543" customFormat="1" ht="15" customHeight="1">
      <c r="A60" s="1541"/>
      <c r="B60" s="1486" t="s">
        <v>827</v>
      </c>
      <c r="C60" s="1546">
        <v>30920</v>
      </c>
      <c r="D60" s="1532"/>
      <c r="E60" s="1546">
        <f t="shared" si="2"/>
        <v>30920</v>
      </c>
      <c r="F60" s="1542"/>
      <c r="H60" s="1707"/>
      <c r="I60" s="1488"/>
      <c r="L60" s="1033"/>
    </row>
    <row r="61" spans="1:12" s="1543" customFormat="1" ht="15" customHeight="1">
      <c r="A61" s="1541"/>
      <c r="B61" s="1486" t="s">
        <v>828</v>
      </c>
      <c r="C61" s="1546">
        <v>30008</v>
      </c>
      <c r="D61" s="1532">
        <v>-1429</v>
      </c>
      <c r="E61" s="1546">
        <f t="shared" si="2"/>
        <v>28579</v>
      </c>
      <c r="F61" s="1542"/>
      <c r="H61" s="1707">
        <v>27151</v>
      </c>
      <c r="I61" s="1488"/>
      <c r="L61" s="1033"/>
    </row>
    <row r="62" spans="1:12" s="1543" customFormat="1" ht="15" customHeight="1">
      <c r="A62" s="1541"/>
      <c r="B62" s="1486" t="s">
        <v>829</v>
      </c>
      <c r="C62" s="1546">
        <v>11972</v>
      </c>
      <c r="D62" s="1532">
        <v>-570</v>
      </c>
      <c r="E62" s="1546">
        <f t="shared" si="2"/>
        <v>11402</v>
      </c>
      <c r="F62" s="1542"/>
      <c r="H62" s="1707">
        <v>11402</v>
      </c>
      <c r="I62" s="1488"/>
      <c r="L62" s="1033"/>
    </row>
    <row r="63" spans="1:12" s="1543" customFormat="1" ht="15" customHeight="1">
      <c r="A63" s="1541"/>
      <c r="B63" s="1486" t="s">
        <v>830</v>
      </c>
      <c r="C63" s="1546">
        <v>9354</v>
      </c>
      <c r="D63" s="1532">
        <v>-446</v>
      </c>
      <c r="E63" s="1546">
        <f t="shared" si="2"/>
        <v>8908</v>
      </c>
      <c r="F63" s="1542"/>
      <c r="H63" s="1707">
        <v>8908</v>
      </c>
      <c r="I63" s="1488"/>
      <c r="L63" s="1033"/>
    </row>
    <row r="64" spans="1:12" s="1543" customFormat="1" ht="15" customHeight="1">
      <c r="A64" s="1541"/>
      <c r="B64" s="1486" t="s">
        <v>831</v>
      </c>
      <c r="C64" s="1546">
        <v>10268</v>
      </c>
      <c r="D64" s="1532">
        <v>-489</v>
      </c>
      <c r="E64" s="1546">
        <f t="shared" si="2"/>
        <v>9779</v>
      </c>
      <c r="F64" s="1542"/>
      <c r="H64" s="1707">
        <v>9290</v>
      </c>
      <c r="I64" s="1488"/>
      <c r="L64" s="1033"/>
    </row>
    <row r="65" spans="1:12" s="1543" customFormat="1" ht="15" customHeight="1">
      <c r="A65" s="1541"/>
      <c r="B65" s="1486" t="s">
        <v>832</v>
      </c>
      <c r="C65" s="1546">
        <v>53385</v>
      </c>
      <c r="D65" s="1532"/>
      <c r="E65" s="1546">
        <f t="shared" si="2"/>
        <v>53385</v>
      </c>
      <c r="F65" s="1542"/>
      <c r="H65" s="1707">
        <v>44661</v>
      </c>
      <c r="I65" s="1488"/>
      <c r="L65" s="1033"/>
    </row>
    <row r="66" spans="1:12" s="1543" customFormat="1" ht="15" customHeight="1">
      <c r="A66" s="1541"/>
      <c r="B66" s="1486" t="s">
        <v>833</v>
      </c>
      <c r="C66" s="1546">
        <v>20201</v>
      </c>
      <c r="D66" s="1532">
        <v>-962</v>
      </c>
      <c r="E66" s="1546">
        <f t="shared" si="2"/>
        <v>19239</v>
      </c>
      <c r="F66" s="1542"/>
      <c r="H66" s="1707">
        <v>18277</v>
      </c>
      <c r="I66" s="1488"/>
      <c r="L66" s="1033"/>
    </row>
    <row r="67" spans="1:12" s="1543" customFormat="1" ht="15" customHeight="1">
      <c r="A67" s="1541"/>
      <c r="B67" s="1486" t="s">
        <v>834</v>
      </c>
      <c r="C67" s="1546">
        <v>45471</v>
      </c>
      <c r="D67" s="1487"/>
      <c r="E67" s="1546">
        <f t="shared" si="2"/>
        <v>45471</v>
      </c>
      <c r="F67" s="1542"/>
      <c r="H67" s="1707"/>
      <c r="I67" s="1488"/>
      <c r="L67" s="1033"/>
    </row>
    <row r="68" spans="1:12" s="1543" customFormat="1" ht="15" customHeight="1">
      <c r="A68" s="1541"/>
      <c r="B68" s="1486" t="s">
        <v>835</v>
      </c>
      <c r="C68" s="1546">
        <v>63128</v>
      </c>
      <c r="D68" s="1487"/>
      <c r="E68" s="1546">
        <f t="shared" si="2"/>
        <v>63128</v>
      </c>
      <c r="F68" s="1542"/>
      <c r="H68" s="1707"/>
      <c r="I68" s="1488"/>
      <c r="L68" s="1033"/>
    </row>
    <row r="69" spans="1:12" s="1543" customFormat="1" ht="15" customHeight="1">
      <c r="A69" s="1541"/>
      <c r="B69" s="1676" t="s">
        <v>836</v>
      </c>
      <c r="C69" s="1710">
        <v>35131</v>
      </c>
      <c r="D69" s="1677"/>
      <c r="E69" s="1710">
        <f t="shared" si="2"/>
        <v>35131</v>
      </c>
      <c r="F69" s="1542"/>
      <c r="H69" s="1707"/>
      <c r="I69" s="1488"/>
      <c r="L69" s="1033"/>
    </row>
    <row r="70" spans="1:12" s="1543" customFormat="1" ht="15" customHeight="1">
      <c r="A70" s="1541"/>
      <c r="B70" s="1486" t="s">
        <v>837</v>
      </c>
      <c r="C70" s="1546">
        <v>54207</v>
      </c>
      <c r="D70" s="1487"/>
      <c r="E70" s="1546">
        <f t="shared" si="2"/>
        <v>54207</v>
      </c>
      <c r="F70" s="1542"/>
      <c r="H70" s="1707"/>
      <c r="I70" s="1488"/>
      <c r="L70" s="1033"/>
    </row>
    <row r="71" spans="1:12" s="1543" customFormat="1" ht="15" customHeight="1" thickBot="1">
      <c r="A71" s="1708"/>
      <c r="B71" s="1678" t="s">
        <v>838</v>
      </c>
      <c r="C71" s="1709">
        <v>45532</v>
      </c>
      <c r="D71" s="1679"/>
      <c r="E71" s="1709">
        <f t="shared" si="2"/>
        <v>45532</v>
      </c>
      <c r="F71" s="1542"/>
      <c r="H71" s="1707"/>
      <c r="I71" s="1488"/>
      <c r="L71" s="1033"/>
    </row>
    <row r="72" spans="1:12" s="1543" customFormat="1" ht="15" customHeight="1">
      <c r="A72" s="1541"/>
      <c r="B72" s="1676" t="s">
        <v>839</v>
      </c>
      <c r="C72" s="1710">
        <v>62357</v>
      </c>
      <c r="D72" s="1677"/>
      <c r="E72" s="1710">
        <f t="shared" si="2"/>
        <v>62357</v>
      </c>
      <c r="F72" s="1542"/>
      <c r="H72" s="1707"/>
      <c r="I72" s="1488"/>
      <c r="L72" s="1033"/>
    </row>
    <row r="73" spans="1:12" s="1543" customFormat="1" ht="15" customHeight="1">
      <c r="A73" s="1541"/>
      <c r="B73" s="1489" t="s">
        <v>840</v>
      </c>
      <c r="C73" s="1546">
        <v>23499</v>
      </c>
      <c r="D73" s="1487"/>
      <c r="E73" s="1546">
        <f t="shared" si="2"/>
        <v>23499</v>
      </c>
      <c r="F73" s="1542"/>
      <c r="H73" s="1707">
        <v>23495</v>
      </c>
      <c r="I73" s="1488"/>
      <c r="L73" s="1033"/>
    </row>
    <row r="74" spans="1:12" s="1543" customFormat="1" ht="15" customHeight="1">
      <c r="A74" s="1541"/>
      <c r="B74" s="1489" t="s">
        <v>841</v>
      </c>
      <c r="C74" s="1546">
        <v>143350</v>
      </c>
      <c r="D74" s="1487"/>
      <c r="E74" s="1546">
        <f t="shared" si="2"/>
        <v>143350</v>
      </c>
      <c r="F74" s="1542"/>
      <c r="H74" s="1544"/>
      <c r="I74" s="1488"/>
      <c r="L74" s="1033"/>
    </row>
    <row r="75" spans="1:12" s="1543" customFormat="1" ht="15" customHeight="1">
      <c r="A75" s="1541"/>
      <c r="B75" s="1486" t="s">
        <v>842</v>
      </c>
      <c r="C75" s="1546">
        <v>31607</v>
      </c>
      <c r="D75" s="1487"/>
      <c r="E75" s="1546">
        <f t="shared" si="2"/>
        <v>31607</v>
      </c>
      <c r="F75" s="1542">
        <f>SUM(E37:E75)</f>
        <v>1322969</v>
      </c>
      <c r="H75" s="1544"/>
      <c r="I75" s="1488"/>
      <c r="L75" s="1033"/>
    </row>
    <row r="76" spans="1:12" ht="27.75" customHeight="1">
      <c r="A76" s="989"/>
      <c r="B76" s="1567" t="s">
        <v>894</v>
      </c>
      <c r="C76" s="1540">
        <v>469452</v>
      </c>
      <c r="D76" s="1446">
        <v>732441</v>
      </c>
      <c r="E76" s="213">
        <f>SUM(C76:D76)</f>
        <v>1201893</v>
      </c>
      <c r="F76" s="1033"/>
      <c r="L76" s="1033"/>
    </row>
    <row r="77" spans="1:12" s="1548" customFormat="1" ht="15" customHeight="1">
      <c r="A77" s="1545"/>
      <c r="B77" s="1486" t="s">
        <v>873</v>
      </c>
      <c r="C77" s="1546"/>
      <c r="D77" s="1532"/>
      <c r="E77" s="1546">
        <v>40052</v>
      </c>
      <c r="F77" s="1547"/>
      <c r="H77" s="1549"/>
      <c r="I77" s="1550"/>
      <c r="L77" s="1547"/>
    </row>
    <row r="78" spans="1:12" s="1548" customFormat="1" ht="15" customHeight="1">
      <c r="A78" s="1545"/>
      <c r="B78" s="1486" t="s">
        <v>874</v>
      </c>
      <c r="C78" s="1546"/>
      <c r="D78" s="1532"/>
      <c r="E78" s="1546">
        <v>54403</v>
      </c>
      <c r="F78" s="1547"/>
      <c r="H78" s="1549"/>
      <c r="I78" s="1550"/>
      <c r="L78" s="1547"/>
    </row>
    <row r="79" spans="1:12" s="1548" customFormat="1" ht="15" customHeight="1">
      <c r="A79" s="1545"/>
      <c r="B79" s="1486" t="s">
        <v>875</v>
      </c>
      <c r="C79" s="1546"/>
      <c r="D79" s="1532"/>
      <c r="E79" s="1546">
        <v>81509</v>
      </c>
      <c r="F79" s="1547"/>
      <c r="H79" s="1549"/>
      <c r="I79" s="1550"/>
      <c r="L79" s="1547"/>
    </row>
    <row r="80" spans="1:12" s="1548" customFormat="1" ht="15" customHeight="1">
      <c r="A80" s="1545"/>
      <c r="B80" s="1486" t="s">
        <v>876</v>
      </c>
      <c r="C80" s="1546"/>
      <c r="D80" s="1532"/>
      <c r="E80" s="1546">
        <v>42178</v>
      </c>
      <c r="F80" s="1547"/>
      <c r="H80" s="1549"/>
      <c r="I80" s="1550"/>
      <c r="L80" s="1547"/>
    </row>
    <row r="81" spans="1:12" s="1548" customFormat="1" ht="15" customHeight="1">
      <c r="A81" s="1545"/>
      <c r="B81" s="1486" t="s">
        <v>877</v>
      </c>
      <c r="C81" s="1546"/>
      <c r="D81" s="1532"/>
      <c r="E81" s="1546">
        <v>19196</v>
      </c>
      <c r="F81" s="1547"/>
      <c r="H81" s="1549"/>
      <c r="I81" s="1550"/>
      <c r="L81" s="1547"/>
    </row>
    <row r="82" spans="1:12" s="1548" customFormat="1" ht="15" customHeight="1">
      <c r="A82" s="1545"/>
      <c r="B82" s="1486" t="s">
        <v>878</v>
      </c>
      <c r="C82" s="1546"/>
      <c r="D82" s="1532"/>
      <c r="E82" s="1546">
        <v>41849</v>
      </c>
      <c r="F82" s="1547"/>
      <c r="H82" s="1549"/>
      <c r="I82" s="1550"/>
      <c r="L82" s="1547"/>
    </row>
    <row r="83" spans="1:12" s="1548" customFormat="1" ht="15" customHeight="1">
      <c r="A83" s="1545"/>
      <c r="B83" s="1486" t="s">
        <v>879</v>
      </c>
      <c r="C83" s="1546"/>
      <c r="D83" s="1532"/>
      <c r="E83" s="1546">
        <v>88945</v>
      </c>
      <c r="F83" s="1547"/>
      <c r="H83" s="1549"/>
      <c r="I83" s="1550"/>
      <c r="L83" s="1547"/>
    </row>
    <row r="84" spans="1:12" s="1548" customFormat="1" ht="15" customHeight="1" thickBot="1">
      <c r="A84" s="1545"/>
      <c r="B84" s="1554" t="s">
        <v>880</v>
      </c>
      <c r="C84" s="1551"/>
      <c r="D84" s="1552"/>
      <c r="E84" s="1546">
        <v>77110</v>
      </c>
      <c r="F84" s="1547"/>
      <c r="H84" s="1549"/>
      <c r="I84" s="1550"/>
      <c r="L84" s="1547"/>
    </row>
    <row r="85" spans="1:12" ht="15" customHeight="1" thickBot="1">
      <c r="A85" s="294">
        <v>6</v>
      </c>
      <c r="B85" s="1639" t="s">
        <v>191</v>
      </c>
      <c r="C85" s="214">
        <f>SUM(C32:C36)+C76</f>
        <v>2029587</v>
      </c>
      <c r="D85" s="214">
        <f>SUM(D32:D36)+D76</f>
        <v>712624</v>
      </c>
      <c r="E85" s="214">
        <f>SUM(E32:E36)+E76</f>
        <v>2742211</v>
      </c>
      <c r="F85" s="1033">
        <f>SUM(C85:D85)</f>
        <v>2742211</v>
      </c>
      <c r="J85" s="1706"/>
      <c r="L85" s="1033"/>
    </row>
    <row r="86" spans="1:12" ht="15" customHeight="1">
      <c r="A86" s="1981"/>
      <c r="B86" s="1640" t="s">
        <v>888</v>
      </c>
      <c r="C86" s="1702">
        <v>57802</v>
      </c>
      <c r="D86" s="1443"/>
      <c r="E86" s="1067">
        <f>SUM(C86:D86)</f>
        <v>57802</v>
      </c>
      <c r="F86" s="1033"/>
      <c r="L86" s="1033"/>
    </row>
    <row r="87" spans="1:12" s="1548" customFormat="1" ht="15" customHeight="1">
      <c r="A87" s="1983"/>
      <c r="B87" s="1673" t="s">
        <v>889</v>
      </c>
      <c r="C87" s="1546"/>
      <c r="D87" s="1674"/>
      <c r="E87" s="1675">
        <v>3474</v>
      </c>
      <c r="F87" s="1547"/>
      <c r="H87" s="1530">
        <v>3472</v>
      </c>
      <c r="I87" s="1495"/>
      <c r="L87" s="1547"/>
    </row>
    <row r="88" spans="1:12" s="1548" customFormat="1" ht="15" customHeight="1">
      <c r="A88" s="1983"/>
      <c r="B88" s="1673" t="s">
        <v>890</v>
      </c>
      <c r="C88" s="1546"/>
      <c r="D88" s="1674"/>
      <c r="E88" s="1675">
        <v>1472</v>
      </c>
      <c r="F88" s="1547"/>
      <c r="H88" s="1558"/>
      <c r="I88" s="1495"/>
      <c r="L88" s="1547"/>
    </row>
    <row r="89" spans="1:12" s="1548" customFormat="1" ht="15" customHeight="1">
      <c r="A89" s="1983"/>
      <c r="B89" s="1673" t="s">
        <v>891</v>
      </c>
      <c r="C89" s="1546"/>
      <c r="D89" s="1674"/>
      <c r="E89" s="1675">
        <v>21127</v>
      </c>
      <c r="F89" s="1547"/>
      <c r="H89" s="1558"/>
      <c r="I89" s="1495"/>
      <c r="L89" s="1547"/>
    </row>
    <row r="90" spans="1:12" s="1548" customFormat="1" ht="15" customHeight="1">
      <c r="A90" s="1983"/>
      <c r="B90" s="1673" t="s">
        <v>819</v>
      </c>
      <c r="C90" s="1546"/>
      <c r="D90" s="1674"/>
      <c r="E90" s="1675">
        <v>31729</v>
      </c>
      <c r="F90" s="1547"/>
      <c r="H90" s="1558"/>
      <c r="I90" s="1495"/>
      <c r="L90" s="1547"/>
    </row>
    <row r="91" spans="1:12" ht="15" customHeight="1">
      <c r="A91" s="1983"/>
      <c r="B91" s="1641" t="s">
        <v>723</v>
      </c>
      <c r="C91" s="1540">
        <v>16942</v>
      </c>
      <c r="D91" s="1441">
        <v>3468</v>
      </c>
      <c r="E91" s="219">
        <f>SUM(C91:D91)</f>
        <v>20410</v>
      </c>
      <c r="F91" s="1033"/>
      <c r="L91" s="1033"/>
    </row>
    <row r="92" spans="1:12" s="1548" customFormat="1" ht="15" customHeight="1">
      <c r="A92" s="1983"/>
      <c r="B92" s="1758" t="s">
        <v>895</v>
      </c>
      <c r="C92" s="1710"/>
      <c r="D92" s="1759"/>
      <c r="E92" s="1675">
        <v>1242</v>
      </c>
      <c r="F92" s="1547"/>
      <c r="H92" s="1558"/>
      <c r="I92" s="1495"/>
      <c r="L92" s="1547"/>
    </row>
    <row r="93" spans="1:12" s="1548" customFormat="1" ht="15" customHeight="1">
      <c r="A93" s="1983"/>
      <c r="B93" s="1758" t="s">
        <v>896</v>
      </c>
      <c r="C93" s="1710"/>
      <c r="D93" s="1759"/>
      <c r="E93" s="1675">
        <v>11653</v>
      </c>
      <c r="F93" s="1547"/>
      <c r="H93" s="1558"/>
      <c r="I93" s="1495"/>
      <c r="L93" s="1547"/>
    </row>
    <row r="94" spans="1:12" s="1548" customFormat="1" ht="15" customHeight="1" thickBot="1">
      <c r="A94" s="1982"/>
      <c r="B94" s="1758" t="s">
        <v>897</v>
      </c>
      <c r="C94" s="1710"/>
      <c r="D94" s="1759"/>
      <c r="E94" s="1675">
        <v>7515</v>
      </c>
      <c r="F94" s="1547"/>
      <c r="H94" s="1558"/>
      <c r="I94" s="1495"/>
      <c r="L94" s="1547"/>
    </row>
    <row r="95" spans="1:12" ht="15" customHeight="1" thickBot="1">
      <c r="A95" s="294">
        <v>7</v>
      </c>
      <c r="B95" s="1636" t="s">
        <v>467</v>
      </c>
      <c r="C95" s="214">
        <f>C86+C91</f>
        <v>74744</v>
      </c>
      <c r="D95" s="214">
        <f>D86+D91</f>
        <v>3468</v>
      </c>
      <c r="E95" s="214">
        <f>E86+E91</f>
        <v>78212</v>
      </c>
      <c r="F95" s="1033">
        <f>SUM(C95:D95)</f>
        <v>78212</v>
      </c>
      <c r="J95" s="1706"/>
      <c r="L95" s="1033"/>
    </row>
    <row r="96" spans="1:12" ht="15" customHeight="1" thickBot="1">
      <c r="A96" s="989"/>
      <c r="B96" s="1642" t="s">
        <v>646</v>
      </c>
      <c r="C96" s="1711">
        <v>38865</v>
      </c>
      <c r="D96" s="1447"/>
      <c r="E96" s="218">
        <f>SUM(C96:D96)</f>
        <v>38865</v>
      </c>
      <c r="F96" s="1033"/>
      <c r="H96" s="1530">
        <v>32844</v>
      </c>
      <c r="L96" s="1033"/>
    </row>
    <row r="97" spans="1:12" ht="15" customHeight="1" thickBot="1">
      <c r="A97" s="1712">
        <v>8</v>
      </c>
      <c r="B97" s="1636" t="s">
        <v>545</v>
      </c>
      <c r="C97" s="214">
        <f>SUM(C96:C96)</f>
        <v>38865</v>
      </c>
      <c r="D97" s="1316">
        <f>SUM(D96:D96)</f>
        <v>0</v>
      </c>
      <c r="E97" s="214">
        <f>SUM(E96:E96)</f>
        <v>38865</v>
      </c>
      <c r="F97" s="1033">
        <f>SUM(C97:D97)</f>
        <v>38865</v>
      </c>
      <c r="J97" s="1706"/>
      <c r="L97" s="1033"/>
    </row>
    <row r="98" spans="1:12" ht="15" customHeight="1">
      <c r="A98" s="1981"/>
      <c r="B98" s="1643" t="s">
        <v>599</v>
      </c>
      <c r="C98" s="1066">
        <v>20677</v>
      </c>
      <c r="D98" s="1317"/>
      <c r="E98" s="1067">
        <f>SUM(C98:D98)</f>
        <v>20677</v>
      </c>
      <c r="F98" s="1033"/>
      <c r="H98" s="1530">
        <v>7647</v>
      </c>
      <c r="I98" s="1478">
        <v>7647</v>
      </c>
      <c r="J98" s="1706"/>
      <c r="L98" s="1033"/>
    </row>
    <row r="99" spans="1:12" ht="15" customHeight="1">
      <c r="A99" s="1983"/>
      <c r="B99" s="1483" t="s">
        <v>727</v>
      </c>
      <c r="C99" s="211">
        <v>9147</v>
      </c>
      <c r="D99" s="1023">
        <v>533</v>
      </c>
      <c r="E99" s="219">
        <f>SUM(C99:D99)</f>
        <v>9680</v>
      </c>
      <c r="F99" s="1033"/>
      <c r="H99" s="1530">
        <v>6582</v>
      </c>
      <c r="I99" s="1478">
        <v>3177</v>
      </c>
      <c r="J99" s="1706"/>
      <c r="L99" s="1033"/>
    </row>
    <row r="100" spans="1:12" ht="15" customHeight="1">
      <c r="A100" s="1983"/>
      <c r="B100" s="1483" t="s">
        <v>724</v>
      </c>
      <c r="C100" s="1448"/>
      <c r="D100" s="1448"/>
      <c r="E100" s="1449"/>
      <c r="F100" s="1033"/>
      <c r="J100" s="1706"/>
      <c r="L100" s="1033"/>
    </row>
    <row r="101" spans="1:12" ht="15" customHeight="1">
      <c r="A101" s="1983"/>
      <c r="B101" s="1483" t="s">
        <v>725</v>
      </c>
      <c r="C101" s="211">
        <v>12000</v>
      </c>
      <c r="D101" s="211"/>
      <c r="E101" s="219">
        <f aca="true" t="shared" si="3" ref="E101:E106">SUM(C101:D101)</f>
        <v>12000</v>
      </c>
      <c r="F101" s="1033"/>
      <c r="J101" s="1706"/>
      <c r="L101" s="1033"/>
    </row>
    <row r="102" spans="1:12" ht="15" customHeight="1">
      <c r="A102" s="1983"/>
      <c r="B102" s="1483" t="s">
        <v>726</v>
      </c>
      <c r="C102" s="211">
        <v>3964</v>
      </c>
      <c r="D102" s="211"/>
      <c r="E102" s="219">
        <f t="shared" si="3"/>
        <v>3964</v>
      </c>
      <c r="F102" s="1033"/>
      <c r="H102" s="1530">
        <v>3964</v>
      </c>
      <c r="I102" s="1478">
        <v>3964</v>
      </c>
      <c r="J102" s="1706"/>
      <c r="L102" s="1033"/>
    </row>
    <row r="103" spans="1:12" ht="15" customHeight="1">
      <c r="A103" s="989"/>
      <c r="B103" s="1483" t="s">
        <v>798</v>
      </c>
      <c r="C103" s="211">
        <v>249</v>
      </c>
      <c r="D103" s="211"/>
      <c r="E103" s="219">
        <f t="shared" si="3"/>
        <v>249</v>
      </c>
      <c r="F103" s="1033"/>
      <c r="H103" s="1530">
        <v>249</v>
      </c>
      <c r="I103" s="1478">
        <v>249</v>
      </c>
      <c r="J103" s="1706"/>
      <c r="L103" s="1033"/>
    </row>
    <row r="104" spans="1:12" ht="15" customHeight="1">
      <c r="A104" s="989"/>
      <c r="B104" s="1483" t="s">
        <v>865</v>
      </c>
      <c r="C104" s="211"/>
      <c r="D104" s="211">
        <v>699</v>
      </c>
      <c r="E104" s="219">
        <f t="shared" si="3"/>
        <v>699</v>
      </c>
      <c r="F104" s="1033"/>
      <c r="J104" s="1706"/>
      <c r="L104" s="1033"/>
    </row>
    <row r="105" spans="1:12" ht="15" customHeight="1">
      <c r="A105" s="989"/>
      <c r="B105" s="1644" t="s">
        <v>799</v>
      </c>
      <c r="C105" s="215">
        <v>14</v>
      </c>
      <c r="D105" s="215"/>
      <c r="E105" s="219">
        <f t="shared" si="3"/>
        <v>14</v>
      </c>
      <c r="F105" s="1033"/>
      <c r="H105" s="1530">
        <v>14</v>
      </c>
      <c r="I105" s="1478">
        <v>14</v>
      </c>
      <c r="J105" s="1706"/>
      <c r="L105" s="1033"/>
    </row>
    <row r="106" spans="1:12" ht="15" customHeight="1" thickBot="1">
      <c r="A106" s="989"/>
      <c r="B106" s="1644" t="s">
        <v>866</v>
      </c>
      <c r="C106" s="1375"/>
      <c r="D106" s="1375">
        <v>2122</v>
      </c>
      <c r="E106" s="219">
        <f t="shared" si="3"/>
        <v>2122</v>
      </c>
      <c r="F106" s="1033"/>
      <c r="J106" s="1706"/>
      <c r="L106" s="1033"/>
    </row>
    <row r="107" spans="1:12" ht="15" customHeight="1" thickBot="1">
      <c r="A107" s="294">
        <v>9</v>
      </c>
      <c r="B107" s="1636" t="s">
        <v>553</v>
      </c>
      <c r="C107" s="214">
        <f>SUM(C98:C106)</f>
        <v>46051</v>
      </c>
      <c r="D107" s="214">
        <f>SUM(D98:D106)</f>
        <v>3354</v>
      </c>
      <c r="E107" s="214">
        <f>SUM(E98:E106)</f>
        <v>49405</v>
      </c>
      <c r="F107" s="1033"/>
      <c r="J107" s="1706"/>
      <c r="L107" s="1033"/>
    </row>
    <row r="108" spans="1:12" ht="15" customHeight="1">
      <c r="A108" s="309"/>
      <c r="B108" s="1645" t="s">
        <v>617</v>
      </c>
      <c r="C108" s="1540">
        <v>125</v>
      </c>
      <c r="D108" s="1441"/>
      <c r="E108" s="1219">
        <f>SUM(C108:D108)</f>
        <v>125</v>
      </c>
      <c r="F108" s="1033"/>
      <c r="L108" s="1033"/>
    </row>
    <row r="109" spans="1:12" ht="26.25" customHeight="1">
      <c r="A109" s="309"/>
      <c r="B109" s="1646" t="s">
        <v>728</v>
      </c>
      <c r="C109" s="1389">
        <v>1000</v>
      </c>
      <c r="D109" s="1490"/>
      <c r="E109" s="1219">
        <f>SUM(C109:D109)</f>
        <v>1000</v>
      </c>
      <c r="F109" s="1033"/>
      <c r="L109" s="1033"/>
    </row>
    <row r="110" spans="1:12" ht="24" customHeight="1" thickBot="1">
      <c r="A110" s="1485"/>
      <c r="B110" s="1581" t="s">
        <v>729</v>
      </c>
      <c r="C110" s="1540">
        <v>2500</v>
      </c>
      <c r="D110" s="1441">
        <v>-814</v>
      </c>
      <c r="E110" s="1219">
        <f>SUM(C110:D110)</f>
        <v>1686</v>
      </c>
      <c r="F110" s="1033"/>
      <c r="L110" s="1033"/>
    </row>
    <row r="111" spans="1:12" ht="15" customHeight="1" thickBot="1">
      <c r="A111" s="272" t="s">
        <v>98</v>
      </c>
      <c r="B111" s="1647" t="s">
        <v>509</v>
      </c>
      <c r="C111" s="262">
        <f>SUM(C108:C110)</f>
        <v>3625</v>
      </c>
      <c r="D111" s="262">
        <f>SUM(D108:D110)</f>
        <v>-814</v>
      </c>
      <c r="E111" s="262">
        <f>SUM(E108:E110)</f>
        <v>2811</v>
      </c>
      <c r="F111" s="1033"/>
      <c r="L111" s="1033"/>
    </row>
    <row r="112" spans="1:12" ht="15" customHeight="1" thickBot="1">
      <c r="A112" s="309"/>
      <c r="B112" s="1648"/>
      <c r="C112" s="1222"/>
      <c r="D112" s="1321"/>
      <c r="E112" s="216">
        <f>SUM(C112:D112)</f>
        <v>0</v>
      </c>
      <c r="F112" s="1033"/>
      <c r="L112" s="1033"/>
    </row>
    <row r="113" spans="1:12" ht="15" customHeight="1" thickBot="1">
      <c r="A113" s="272" t="s">
        <v>99</v>
      </c>
      <c r="B113" s="1647" t="s">
        <v>508</v>
      </c>
      <c r="C113" s="262">
        <f>SUM(C112:C112)</f>
        <v>0</v>
      </c>
      <c r="D113" s="1320">
        <f>SUM(D112:D112)</f>
        <v>0</v>
      </c>
      <c r="E113" s="262">
        <f>SUM(E112:E112)</f>
        <v>0</v>
      </c>
      <c r="F113" s="1033"/>
      <c r="L113" s="1033"/>
    </row>
    <row r="114" spans="1:12" ht="15" customHeight="1">
      <c r="A114" s="309"/>
      <c r="B114" s="1598" t="s">
        <v>730</v>
      </c>
      <c r="C114" s="1540">
        <v>0</v>
      </c>
      <c r="D114" s="1446"/>
      <c r="E114" s="219">
        <f aca="true" t="shared" si="4" ref="E114:E121">SUM(C114:D114)</f>
        <v>0</v>
      </c>
      <c r="F114" s="1033"/>
      <c r="L114" s="1033"/>
    </row>
    <row r="115" spans="1:12" ht="15" customHeight="1">
      <c r="A115" s="309"/>
      <c r="B115" s="1649" t="s">
        <v>731</v>
      </c>
      <c r="C115" s="1540">
        <v>596</v>
      </c>
      <c r="D115" s="1446"/>
      <c r="E115" s="219">
        <f t="shared" si="4"/>
        <v>596</v>
      </c>
      <c r="F115" s="1033"/>
      <c r="L115" s="1033"/>
    </row>
    <row r="116" spans="1:12" ht="15" customHeight="1">
      <c r="A116" s="309"/>
      <c r="B116" s="1650" t="s">
        <v>732</v>
      </c>
      <c r="C116" s="1540">
        <v>865</v>
      </c>
      <c r="D116" s="1446"/>
      <c r="E116" s="219">
        <f t="shared" si="4"/>
        <v>865</v>
      </c>
      <c r="F116" s="1033"/>
      <c r="L116" s="1033"/>
    </row>
    <row r="117" spans="1:12" ht="15" customHeight="1">
      <c r="A117" s="309"/>
      <c r="B117" s="1649" t="s">
        <v>733</v>
      </c>
      <c r="C117" s="1540">
        <v>600</v>
      </c>
      <c r="D117" s="1446"/>
      <c r="E117" s="219">
        <f>SUM(C117:D117)</f>
        <v>600</v>
      </c>
      <c r="F117" s="1033"/>
      <c r="H117" s="1530">
        <v>595</v>
      </c>
      <c r="L117" s="1033"/>
    </row>
    <row r="118" spans="1:12" ht="15" customHeight="1">
      <c r="A118" s="309"/>
      <c r="B118" s="1650" t="s">
        <v>734</v>
      </c>
      <c r="C118" s="1325">
        <v>925</v>
      </c>
      <c r="D118" s="1444"/>
      <c r="E118" s="219">
        <f>SUM(C118:D118)</f>
        <v>925</v>
      </c>
      <c r="F118" s="1033"/>
      <c r="L118" s="1033"/>
    </row>
    <row r="119" spans="1:12" ht="15" customHeight="1">
      <c r="A119" s="309"/>
      <c r="B119" s="1651" t="s">
        <v>735</v>
      </c>
      <c r="C119" s="1540">
        <v>800</v>
      </c>
      <c r="D119" s="1441"/>
      <c r="E119" s="219">
        <f>SUM(C119:D119)</f>
        <v>800</v>
      </c>
      <c r="F119" s="1033"/>
      <c r="H119" s="1530">
        <v>362</v>
      </c>
      <c r="L119" s="1033"/>
    </row>
    <row r="120" spans="1:12" ht="15" customHeight="1">
      <c r="A120" s="309"/>
      <c r="B120" s="1646" t="s">
        <v>736</v>
      </c>
      <c r="C120" s="1540">
        <v>1510</v>
      </c>
      <c r="D120" s="1446"/>
      <c r="E120" s="219">
        <f>SUM(C120:D120)</f>
        <v>1510</v>
      </c>
      <c r="F120" s="1033"/>
      <c r="L120" s="1033"/>
    </row>
    <row r="121" spans="1:12" ht="15" customHeight="1">
      <c r="A121" s="309"/>
      <c r="B121" s="1646" t="s">
        <v>737</v>
      </c>
      <c r="C121" s="1540">
        <v>1965</v>
      </c>
      <c r="D121" s="1446"/>
      <c r="E121" s="219">
        <f t="shared" si="4"/>
        <v>1965</v>
      </c>
      <c r="F121" s="1033"/>
      <c r="H121" s="1530">
        <v>1920</v>
      </c>
      <c r="L121" s="1033"/>
    </row>
    <row r="122" spans="1:12" ht="15" customHeight="1">
      <c r="A122" s="309"/>
      <c r="B122" s="1646" t="s">
        <v>738</v>
      </c>
      <c r="C122" s="1540">
        <v>100</v>
      </c>
      <c r="D122" s="1446"/>
      <c r="E122" s="219">
        <f>SUM(C122:D122)</f>
        <v>100</v>
      </c>
      <c r="F122" s="1033"/>
      <c r="L122" s="1033"/>
    </row>
    <row r="123" spans="1:12" ht="15" customHeight="1">
      <c r="A123" s="309"/>
      <c r="B123" s="1652" t="s">
        <v>608</v>
      </c>
      <c r="C123" s="1540">
        <v>7450</v>
      </c>
      <c r="D123" s="1446"/>
      <c r="E123" s="219">
        <f>SUM(C123:D123)</f>
        <v>7450</v>
      </c>
      <c r="F123" s="1033"/>
      <c r="H123" s="1530">
        <v>7438</v>
      </c>
      <c r="L123" s="1033"/>
    </row>
    <row r="124" spans="1:12" ht="15" customHeight="1" thickBot="1">
      <c r="A124" s="309"/>
      <c r="B124" s="1646" t="s">
        <v>739</v>
      </c>
      <c r="C124" s="1540">
        <v>2000</v>
      </c>
      <c r="D124" s="1447"/>
      <c r="E124" s="219">
        <f>SUM(C124:D124)</f>
        <v>2000</v>
      </c>
      <c r="F124" s="1033"/>
      <c r="L124" s="1033"/>
    </row>
    <row r="125" spans="1:12" ht="15" customHeight="1" thickBot="1">
      <c r="A125" s="272" t="s">
        <v>100</v>
      </c>
      <c r="B125" s="1647" t="s">
        <v>510</v>
      </c>
      <c r="C125" s="262">
        <f>SUM(C114:C124)</f>
        <v>16811</v>
      </c>
      <c r="D125" s="262">
        <f>SUM(D114:D124)</f>
        <v>0</v>
      </c>
      <c r="E125" s="262">
        <f>SUM(E114:E124)</f>
        <v>16811</v>
      </c>
      <c r="F125" s="1033"/>
      <c r="L125" s="1033"/>
    </row>
    <row r="126" spans="1:12" ht="15" customHeight="1" thickBot="1">
      <c r="A126" s="309"/>
      <c r="B126" s="1646" t="s">
        <v>740</v>
      </c>
      <c r="C126" s="1037">
        <v>2000</v>
      </c>
      <c r="D126" s="1322"/>
      <c r="E126" s="219">
        <f>SUM(C126:D126)</f>
        <v>2000</v>
      </c>
      <c r="F126" s="1033"/>
      <c r="L126" s="1033"/>
    </row>
    <row r="127" spans="1:12" ht="15" customHeight="1" thickBot="1">
      <c r="A127" s="272" t="s">
        <v>101</v>
      </c>
      <c r="B127" s="1647" t="s">
        <v>511</v>
      </c>
      <c r="C127" s="262">
        <f>SUM(C126:C126)</f>
        <v>2000</v>
      </c>
      <c r="D127" s="262">
        <f>SUM(D126:D126)</f>
        <v>0</v>
      </c>
      <c r="E127" s="262">
        <f>SUM(E126:E126)</f>
        <v>2000</v>
      </c>
      <c r="F127" s="1033"/>
      <c r="L127" s="1033"/>
    </row>
    <row r="128" spans="1:12" ht="15" customHeight="1">
      <c r="A128" s="309"/>
      <c r="B128" s="1591" t="s">
        <v>742</v>
      </c>
      <c r="C128" s="1371">
        <v>600</v>
      </c>
      <c r="D128" s="1443">
        <v>-600</v>
      </c>
      <c r="E128" s="1067">
        <f aca="true" t="shared" si="5" ref="E128:E135">SUM(C128:D128)</f>
        <v>0</v>
      </c>
      <c r="F128" s="1033"/>
      <c r="L128" s="1033"/>
    </row>
    <row r="129" spans="1:12" ht="15" customHeight="1">
      <c r="A129" s="309"/>
      <c r="B129" s="1653" t="s">
        <v>746</v>
      </c>
      <c r="C129" s="1037">
        <v>400</v>
      </c>
      <c r="D129" s="1444"/>
      <c r="E129" s="216">
        <f>SUM(C129:D129)</f>
        <v>400</v>
      </c>
      <c r="F129" s="1033"/>
      <c r="L129" s="1033"/>
    </row>
    <row r="130" spans="1:12" ht="15" customHeight="1">
      <c r="A130" s="309"/>
      <c r="B130" s="1646" t="s">
        <v>743</v>
      </c>
      <c r="C130" s="994">
        <v>3000</v>
      </c>
      <c r="D130" s="1441"/>
      <c r="E130" s="217">
        <f>SUM(C130:D130)</f>
        <v>3000</v>
      </c>
      <c r="F130" s="1033"/>
      <c r="L130" s="1033"/>
    </row>
    <row r="131" spans="1:12" ht="15" customHeight="1">
      <c r="A131" s="309"/>
      <c r="B131" s="1646" t="s">
        <v>744</v>
      </c>
      <c r="C131" s="994">
        <v>100</v>
      </c>
      <c r="D131" s="1441">
        <v>-100</v>
      </c>
      <c r="E131" s="217">
        <f t="shared" si="5"/>
        <v>0</v>
      </c>
      <c r="F131" s="1033"/>
      <c r="L131" s="1033"/>
    </row>
    <row r="132" spans="1:12" ht="15" customHeight="1">
      <c r="A132" s="309"/>
      <c r="B132" s="1646" t="s">
        <v>745</v>
      </c>
      <c r="C132" s="994">
        <v>500</v>
      </c>
      <c r="D132" s="1441">
        <v>-500</v>
      </c>
      <c r="E132" s="217">
        <f t="shared" si="5"/>
        <v>0</v>
      </c>
      <c r="F132" s="1033"/>
      <c r="L132" s="1033"/>
    </row>
    <row r="133" spans="1:12" ht="15" customHeight="1" thickBot="1">
      <c r="A133" s="309"/>
      <c r="B133" s="1654" t="s">
        <v>741</v>
      </c>
      <c r="C133" s="1221">
        <v>100</v>
      </c>
      <c r="D133" s="1468"/>
      <c r="E133" s="1223">
        <f t="shared" si="5"/>
        <v>100</v>
      </c>
      <c r="F133" s="1033"/>
      <c r="L133" s="1033"/>
    </row>
    <row r="134" spans="1:12" ht="15" customHeight="1" thickBot="1">
      <c r="A134" s="272" t="s">
        <v>192</v>
      </c>
      <c r="B134" s="1655" t="s">
        <v>512</v>
      </c>
      <c r="C134" s="262">
        <f>SUM(C128:C133)</f>
        <v>4700</v>
      </c>
      <c r="D134" s="262">
        <f>SUM(D128:D133)</f>
        <v>-1200</v>
      </c>
      <c r="E134" s="262">
        <f>SUM(E128:E133)</f>
        <v>3500</v>
      </c>
      <c r="F134" s="1033"/>
      <c r="L134" s="1033"/>
    </row>
    <row r="135" spans="1:12" ht="15" customHeight="1" thickBot="1">
      <c r="A135" s="309"/>
      <c r="B135" s="1646"/>
      <c r="C135" s="1700"/>
      <c r="D135" s="1444"/>
      <c r="E135" s="219">
        <f t="shared" si="5"/>
        <v>0</v>
      </c>
      <c r="F135" s="1033"/>
      <c r="L135" s="1033"/>
    </row>
    <row r="136" spans="1:12" ht="15" customHeight="1" thickBot="1">
      <c r="A136" s="272" t="s">
        <v>339</v>
      </c>
      <c r="B136" s="1647" t="s">
        <v>513</v>
      </c>
      <c r="C136" s="262">
        <f>SUM(C135)</f>
        <v>0</v>
      </c>
      <c r="D136" s="1320">
        <f>SUM(D135)</f>
        <v>0</v>
      </c>
      <c r="E136" s="262">
        <f>SUM(E135)</f>
        <v>0</v>
      </c>
      <c r="F136" s="1033"/>
      <c r="L136" s="1033"/>
    </row>
    <row r="137" spans="1:12" ht="15" customHeight="1" thickBot="1">
      <c r="A137" s="309"/>
      <c r="B137" s="1656"/>
      <c r="C137" s="994"/>
      <c r="D137" s="1315"/>
      <c r="E137" s="1067">
        <f>SUM(C137:D137)</f>
        <v>0</v>
      </c>
      <c r="F137" s="1033"/>
      <c r="L137" s="1033"/>
    </row>
    <row r="138" spans="1:12" ht="15" customHeight="1" thickBot="1">
      <c r="A138" s="272" t="s">
        <v>340</v>
      </c>
      <c r="B138" s="1647" t="s">
        <v>514</v>
      </c>
      <c r="C138" s="262">
        <f>SUM(C137:C137)</f>
        <v>0</v>
      </c>
      <c r="D138" s="1320">
        <f>SUM(D137:D137)</f>
        <v>0</v>
      </c>
      <c r="E138" s="262">
        <f>SUM(E137:E137)</f>
        <v>0</v>
      </c>
      <c r="F138" s="1033"/>
      <c r="L138" s="1033"/>
    </row>
    <row r="139" spans="1:12" ht="15" customHeight="1">
      <c r="A139" s="309"/>
      <c r="B139" s="1657" t="s">
        <v>747</v>
      </c>
      <c r="C139" s="1713">
        <v>800</v>
      </c>
      <c r="D139" s="1714"/>
      <c r="E139" s="1067">
        <f>SUM(C139:D139)</f>
        <v>800</v>
      </c>
      <c r="F139" s="1033"/>
      <c r="L139" s="1033"/>
    </row>
    <row r="140" spans="1:12" ht="15" customHeight="1">
      <c r="A140" s="309"/>
      <c r="B140" s="1657" t="s">
        <v>748</v>
      </c>
      <c r="C140" s="1715">
        <v>1200</v>
      </c>
      <c r="D140" s="1716"/>
      <c r="E140" s="217">
        <f>SUM(C140:D140)</f>
        <v>1200</v>
      </c>
      <c r="F140" s="1033"/>
      <c r="L140" s="1033"/>
    </row>
    <row r="141" spans="1:12" ht="15" customHeight="1">
      <c r="A141" s="309"/>
      <c r="B141" s="1649" t="s">
        <v>749</v>
      </c>
      <c r="C141" s="1715">
        <v>100</v>
      </c>
      <c r="D141" s="1716"/>
      <c r="E141" s="217">
        <f>SUM(C141:D141)</f>
        <v>100</v>
      </c>
      <c r="F141" s="1033"/>
      <c r="L141" s="1033"/>
    </row>
    <row r="142" spans="1:12" ht="15" customHeight="1">
      <c r="A142" s="309"/>
      <c r="B142" s="1646" t="s">
        <v>750</v>
      </c>
      <c r="C142" s="1715">
        <v>100</v>
      </c>
      <c r="D142" s="1716"/>
      <c r="E142" s="217">
        <f>SUM(C142:D142)</f>
        <v>100</v>
      </c>
      <c r="F142" s="1033"/>
      <c r="L142" s="1033"/>
    </row>
    <row r="143" spans="1:12" ht="15" customHeight="1" thickBot="1">
      <c r="A143" s="309"/>
      <c r="B143" s="1658" t="s">
        <v>772</v>
      </c>
      <c r="C143" s="1717">
        <v>1581</v>
      </c>
      <c r="D143" s="1718"/>
      <c r="E143" s="217">
        <f>SUM(C143:D143)</f>
        <v>1581</v>
      </c>
      <c r="F143" s="1033"/>
      <c r="H143" s="1530">
        <v>1437</v>
      </c>
      <c r="I143" s="1478">
        <v>1437</v>
      </c>
      <c r="L143" s="1033"/>
    </row>
    <row r="144" spans="1:12" ht="15" customHeight="1" thickBot="1">
      <c r="A144" s="272" t="s">
        <v>69</v>
      </c>
      <c r="B144" s="1647" t="s">
        <v>518</v>
      </c>
      <c r="C144" s="262">
        <f>SUM(C139:C143)</f>
        <v>3781</v>
      </c>
      <c r="D144" s="262">
        <f>SUM(D139:D143)</f>
        <v>0</v>
      </c>
      <c r="E144" s="262">
        <f>SUM(E139:E143)</f>
        <v>3781</v>
      </c>
      <c r="F144" s="1033"/>
      <c r="L144" s="1033"/>
    </row>
    <row r="145" spans="1:12" ht="15" customHeight="1" thickBot="1">
      <c r="A145" s="309"/>
      <c r="B145" s="1656"/>
      <c r="C145" s="994"/>
      <c r="D145" s="1315"/>
      <c r="E145" s="216"/>
      <c r="F145" s="1033"/>
      <c r="L145" s="1033"/>
    </row>
    <row r="146" spans="1:12" ht="15" customHeight="1" thickBot="1">
      <c r="A146" s="272" t="s">
        <v>517</v>
      </c>
      <c r="B146" s="1647" t="s">
        <v>515</v>
      </c>
      <c r="C146" s="262">
        <f>SUM(C145)</f>
        <v>0</v>
      </c>
      <c r="D146" s="1320">
        <f>SUM(D145)</f>
        <v>0</v>
      </c>
      <c r="E146" s="262">
        <f>SUM(E145)</f>
        <v>0</v>
      </c>
      <c r="F146" s="1033"/>
      <c r="L146" s="1033"/>
    </row>
    <row r="147" spans="1:12" ht="15" customHeight="1">
      <c r="A147" s="989"/>
      <c r="B147" s="1657" t="s">
        <v>751</v>
      </c>
      <c r="C147" s="1540">
        <v>1000</v>
      </c>
      <c r="D147" s="1441"/>
      <c r="E147" s="217">
        <f aca="true" t="shared" si="6" ref="E147:E167">SUM(C147:D147)</f>
        <v>1000</v>
      </c>
      <c r="F147" s="1033"/>
      <c r="L147" s="1033"/>
    </row>
    <row r="148" spans="1:12" ht="15" customHeight="1">
      <c r="A148" s="989"/>
      <c r="B148" s="1649" t="s">
        <v>752</v>
      </c>
      <c r="C148" s="1540">
        <v>100</v>
      </c>
      <c r="D148" s="1441">
        <v>-100</v>
      </c>
      <c r="E148" s="217">
        <f>SUM(C148:D148)</f>
        <v>0</v>
      </c>
      <c r="F148" s="1033"/>
      <c r="L148" s="1033"/>
    </row>
    <row r="149" spans="1:12" ht="24" customHeight="1">
      <c r="A149" s="989"/>
      <c r="B149" s="1650" t="s">
        <v>753</v>
      </c>
      <c r="C149" s="1540">
        <v>200</v>
      </c>
      <c r="D149" s="1441"/>
      <c r="E149" s="217">
        <f>SUM(C149:D149)</f>
        <v>200</v>
      </c>
      <c r="F149" s="1033"/>
      <c r="L149" s="1033"/>
    </row>
    <row r="150" spans="1:12" ht="15" customHeight="1">
      <c r="A150" s="989"/>
      <c r="B150" s="1598" t="s">
        <v>754</v>
      </c>
      <c r="C150" s="1700">
        <v>5000</v>
      </c>
      <c r="D150" s="1442"/>
      <c r="E150" s="1219">
        <f>SUM(C150:D150)</f>
        <v>5000</v>
      </c>
      <c r="F150" s="1033"/>
      <c r="H150" s="1530">
        <v>2146</v>
      </c>
      <c r="L150" s="1033"/>
    </row>
    <row r="151" spans="1:12" ht="15" customHeight="1">
      <c r="A151" s="989"/>
      <c r="B151" s="1646" t="s">
        <v>755</v>
      </c>
      <c r="C151" s="1700">
        <v>5527</v>
      </c>
      <c r="D151" s="1442"/>
      <c r="E151" s="1219">
        <f>SUM(C151:D151)</f>
        <v>5527</v>
      </c>
      <c r="F151" s="1033"/>
      <c r="H151" s="1530">
        <v>3874</v>
      </c>
      <c r="L151" s="1033"/>
    </row>
    <row r="152" spans="1:12" ht="15" customHeight="1">
      <c r="A152" s="989"/>
      <c r="B152" s="1646" t="s">
        <v>756</v>
      </c>
      <c r="C152" s="1700">
        <v>5000</v>
      </c>
      <c r="D152" s="1442"/>
      <c r="E152" s="1219">
        <f>SUM(C152:D152)</f>
        <v>5000</v>
      </c>
      <c r="F152" s="1033"/>
      <c r="H152" s="1530">
        <v>2146</v>
      </c>
      <c r="L152" s="1033"/>
    </row>
    <row r="153" spans="1:12" ht="15" customHeight="1">
      <c r="A153" s="989"/>
      <c r="B153" s="1649" t="s">
        <v>757</v>
      </c>
      <c r="C153" s="1540">
        <v>500</v>
      </c>
      <c r="D153" s="1441"/>
      <c r="E153" s="217">
        <f t="shared" si="6"/>
        <v>500</v>
      </c>
      <c r="F153" s="1033"/>
      <c r="L153" s="1033"/>
    </row>
    <row r="154" spans="1:12" ht="15" customHeight="1">
      <c r="A154" s="989"/>
      <c r="B154" s="1659" t="s">
        <v>862</v>
      </c>
      <c r="C154" s="1700">
        <v>0</v>
      </c>
      <c r="D154" s="1442">
        <v>2800</v>
      </c>
      <c r="E154" s="1219">
        <f t="shared" si="6"/>
        <v>2800</v>
      </c>
      <c r="F154" s="1033"/>
      <c r="H154" s="1530">
        <v>1568</v>
      </c>
      <c r="I154" s="263"/>
      <c r="L154" s="1033"/>
    </row>
    <row r="155" spans="1:12" ht="15" customHeight="1">
      <c r="A155" s="989"/>
      <c r="B155" s="1659" t="s">
        <v>863</v>
      </c>
      <c r="C155" s="1700">
        <v>2800</v>
      </c>
      <c r="D155" s="1442">
        <v>-2800</v>
      </c>
      <c r="E155" s="1219">
        <f t="shared" si="6"/>
        <v>0</v>
      </c>
      <c r="F155" s="1033"/>
      <c r="H155" s="263"/>
      <c r="I155" s="263"/>
      <c r="L155" s="1033"/>
    </row>
    <row r="156" spans="1:12" ht="15" customHeight="1">
      <c r="A156" s="989"/>
      <c r="B156" s="1646" t="s">
        <v>758</v>
      </c>
      <c r="C156" s="1700">
        <v>100</v>
      </c>
      <c r="D156" s="1442"/>
      <c r="E156" s="1219">
        <f t="shared" si="6"/>
        <v>100</v>
      </c>
      <c r="F156" s="1033"/>
      <c r="L156" s="1033"/>
    </row>
    <row r="157" spans="1:12" ht="15" customHeight="1">
      <c r="A157" s="989"/>
      <c r="B157" s="1646" t="s">
        <v>759</v>
      </c>
      <c r="C157" s="1700">
        <v>6973</v>
      </c>
      <c r="D157" s="1442"/>
      <c r="E157" s="1219">
        <f t="shared" si="6"/>
        <v>6973</v>
      </c>
      <c r="F157" s="1033"/>
      <c r="L157" s="1033"/>
    </row>
    <row r="158" spans="1:12" ht="15" customHeight="1" thickBot="1">
      <c r="A158" s="989"/>
      <c r="B158" s="1646" t="s">
        <v>760</v>
      </c>
      <c r="C158" s="1700">
        <v>2500</v>
      </c>
      <c r="D158" s="1442">
        <v>1392</v>
      </c>
      <c r="E158" s="1219">
        <f t="shared" si="6"/>
        <v>3892</v>
      </c>
      <c r="F158" s="1033"/>
      <c r="L158" s="1033"/>
    </row>
    <row r="159" spans="1:12" ht="15" customHeight="1" thickBot="1">
      <c r="A159" s="1719" t="s">
        <v>432</v>
      </c>
      <c r="B159" s="1647" t="s">
        <v>516</v>
      </c>
      <c r="C159" s="262">
        <f>SUM(C147:C158)</f>
        <v>29700</v>
      </c>
      <c r="D159" s="262">
        <f>SUM(D147:D158)</f>
        <v>1292</v>
      </c>
      <c r="E159" s="262">
        <f>SUM(E147:E158)</f>
        <v>30992</v>
      </c>
      <c r="F159" s="1033"/>
      <c r="L159" s="1033"/>
    </row>
    <row r="160" spans="1:12" ht="15" customHeight="1" thickBot="1">
      <c r="A160" s="235" t="s">
        <v>490</v>
      </c>
      <c r="B160" s="1660" t="s">
        <v>507</v>
      </c>
      <c r="C160" s="262">
        <v>2950</v>
      </c>
      <c r="D160" s="1453"/>
      <c r="E160" s="262">
        <f>SUM(C160:D160)</f>
        <v>2950</v>
      </c>
      <c r="F160" s="1033"/>
      <c r="H160" s="1530">
        <v>950</v>
      </c>
      <c r="I160" s="1478">
        <v>950</v>
      </c>
      <c r="L160" s="1033"/>
    </row>
    <row r="161" spans="1:12" s="264" customFormat="1" ht="15" customHeight="1">
      <c r="A161" s="1981"/>
      <c r="B161" s="1661" t="s">
        <v>600</v>
      </c>
      <c r="C161" s="1372">
        <v>11439</v>
      </c>
      <c r="D161" s="1456"/>
      <c r="E161" s="216">
        <f t="shared" si="6"/>
        <v>11439</v>
      </c>
      <c r="F161" s="263"/>
      <c r="H161" s="1530"/>
      <c r="I161" s="1478"/>
      <c r="L161" s="1033"/>
    </row>
    <row r="162" spans="1:12" s="264" customFormat="1" ht="15" customHeight="1">
      <c r="A162" s="1983"/>
      <c r="B162" s="1662" t="s">
        <v>771</v>
      </c>
      <c r="C162" s="1455">
        <v>9709</v>
      </c>
      <c r="D162" s="1460">
        <v>-428</v>
      </c>
      <c r="E162" s="217">
        <f t="shared" si="6"/>
        <v>9281</v>
      </c>
      <c r="F162" s="263"/>
      <c r="H162" s="1530"/>
      <c r="I162" s="1478"/>
      <c r="L162" s="1033"/>
    </row>
    <row r="163" spans="1:12" s="1721" customFormat="1" ht="15" customHeight="1">
      <c r="A163" s="1983"/>
      <c r="B163" s="1491" t="s">
        <v>782</v>
      </c>
      <c r="C163" s="1492">
        <v>633</v>
      </c>
      <c r="D163" s="1493"/>
      <c r="E163" s="1494">
        <f t="shared" si="6"/>
        <v>633</v>
      </c>
      <c r="F163" s="1720"/>
      <c r="H163" s="1558">
        <v>633</v>
      </c>
      <c r="I163" s="1495">
        <v>633</v>
      </c>
      <c r="L163" s="1033"/>
    </row>
    <row r="164" spans="1:12" s="1721" customFormat="1" ht="15" customHeight="1">
      <c r="A164" s="1983"/>
      <c r="B164" s="1491" t="s">
        <v>783</v>
      </c>
      <c r="C164" s="1492">
        <v>432</v>
      </c>
      <c r="D164" s="1493"/>
      <c r="E164" s="1494">
        <f t="shared" si="6"/>
        <v>432</v>
      </c>
      <c r="F164" s="1720"/>
      <c r="H164" s="1558">
        <v>432</v>
      </c>
      <c r="I164" s="1495">
        <v>432</v>
      </c>
      <c r="L164" s="1033"/>
    </row>
    <row r="165" spans="1:12" s="1721" customFormat="1" ht="15" customHeight="1">
      <c r="A165" s="1983"/>
      <c r="B165" s="1491" t="s">
        <v>784</v>
      </c>
      <c r="C165" s="1496">
        <v>122</v>
      </c>
      <c r="D165" s="1497"/>
      <c r="E165" s="1494">
        <f t="shared" si="6"/>
        <v>122</v>
      </c>
      <c r="F165" s="1720"/>
      <c r="H165" s="1558">
        <v>122</v>
      </c>
      <c r="I165" s="1495">
        <v>122</v>
      </c>
      <c r="L165" s="1033"/>
    </row>
    <row r="166" spans="1:12" s="264" customFormat="1" ht="15" customHeight="1">
      <c r="A166" s="1983"/>
      <c r="B166" s="1662" t="s">
        <v>601</v>
      </c>
      <c r="C166" s="1454">
        <v>5053</v>
      </c>
      <c r="D166" s="1454">
        <v>-964</v>
      </c>
      <c r="E166" s="1454">
        <f>SUM(C166:D166)</f>
        <v>4089</v>
      </c>
      <c r="F166" s="263"/>
      <c r="H166" s="1530"/>
      <c r="I166" s="1478"/>
      <c r="L166" s="1033"/>
    </row>
    <row r="167" spans="1:12" s="1548" customFormat="1" ht="15" customHeight="1">
      <c r="A167" s="1983"/>
      <c r="B167" s="1491" t="s">
        <v>774</v>
      </c>
      <c r="C167" s="1498">
        <v>2978</v>
      </c>
      <c r="D167" s="1499"/>
      <c r="E167" s="1494">
        <f t="shared" si="6"/>
        <v>2978</v>
      </c>
      <c r="F167" s="1547"/>
      <c r="H167" s="1558">
        <v>2978</v>
      </c>
      <c r="I167" s="1495">
        <v>2978</v>
      </c>
      <c r="L167" s="1033"/>
    </row>
    <row r="168" spans="1:12" s="1548" customFormat="1" ht="15" customHeight="1">
      <c r="A168" s="1983"/>
      <c r="B168" s="1491" t="s">
        <v>867</v>
      </c>
      <c r="C168" s="1498"/>
      <c r="D168" s="1499"/>
      <c r="E168" s="1494">
        <v>1111</v>
      </c>
      <c r="F168" s="1547"/>
      <c r="H168" s="1558"/>
      <c r="I168" s="1495"/>
      <c r="L168" s="1033"/>
    </row>
    <row r="169" spans="1:12" s="264" customFormat="1" ht="15" customHeight="1">
      <c r="A169" s="1983"/>
      <c r="B169" s="1457" t="s">
        <v>769</v>
      </c>
      <c r="C169" s="1455">
        <v>4489</v>
      </c>
      <c r="D169" s="1455">
        <v>698</v>
      </c>
      <c r="E169" s="1455">
        <f>SUM(C169:D169)</f>
        <v>5187</v>
      </c>
      <c r="F169" s="263"/>
      <c r="H169" s="1530"/>
      <c r="I169" s="1478"/>
      <c r="L169" s="1033"/>
    </row>
    <row r="170" spans="1:12" s="1548" customFormat="1" ht="15" customHeight="1">
      <c r="A170" s="1983"/>
      <c r="B170" s="1491" t="s">
        <v>775</v>
      </c>
      <c r="C170" s="1500">
        <v>3747</v>
      </c>
      <c r="D170" s="1501"/>
      <c r="E170" s="1502">
        <f>SUM(C170:D170)</f>
        <v>3747</v>
      </c>
      <c r="F170" s="1547"/>
      <c r="H170" s="1558">
        <v>3747</v>
      </c>
      <c r="I170" s="1495">
        <v>3747</v>
      </c>
      <c r="L170" s="1033"/>
    </row>
    <row r="171" spans="1:12" s="1548" customFormat="1" ht="15" customHeight="1">
      <c r="A171" s="1983"/>
      <c r="B171" s="1491" t="s">
        <v>800</v>
      </c>
      <c r="C171" s="1500">
        <v>268</v>
      </c>
      <c r="D171" s="1501"/>
      <c r="E171" s="1502">
        <f>SUM(C171:D171)</f>
        <v>268</v>
      </c>
      <c r="F171" s="1547"/>
      <c r="H171" s="1558">
        <v>223</v>
      </c>
      <c r="I171" s="1495">
        <v>223</v>
      </c>
      <c r="L171" s="1033"/>
    </row>
    <row r="172" spans="1:12" s="1548" customFormat="1" ht="15" customHeight="1">
      <c r="A172" s="1983"/>
      <c r="B172" s="1491" t="s">
        <v>801</v>
      </c>
      <c r="C172" s="1500">
        <v>474</v>
      </c>
      <c r="D172" s="1501"/>
      <c r="E172" s="1502">
        <f>SUM(C172:D172)</f>
        <v>474</v>
      </c>
      <c r="F172" s="1547"/>
      <c r="H172" s="1558"/>
      <c r="I172" s="1495"/>
      <c r="L172" s="1033"/>
    </row>
    <row r="173" spans="1:12" s="1548" customFormat="1" ht="15" customHeight="1" thickBot="1">
      <c r="A173" s="1982"/>
      <c r="B173" s="1491" t="s">
        <v>868</v>
      </c>
      <c r="C173" s="1529"/>
      <c r="D173" s="1497"/>
      <c r="E173" s="1533">
        <v>698</v>
      </c>
      <c r="F173" s="1547"/>
      <c r="H173" s="1558"/>
      <c r="I173" s="1495"/>
      <c r="L173" s="1033"/>
    </row>
    <row r="174" spans="1:12" ht="15" customHeight="1" thickBot="1">
      <c r="A174" s="1266" t="s">
        <v>328</v>
      </c>
      <c r="B174" s="1663" t="s">
        <v>208</v>
      </c>
      <c r="C174" s="1265">
        <f>C161+C162+C166+C169</f>
        <v>30690</v>
      </c>
      <c r="D174" s="1265">
        <f>D161+D162+D166+D169</f>
        <v>-694</v>
      </c>
      <c r="E174" s="1265">
        <f>E161+E162+E166+E169</f>
        <v>29996</v>
      </c>
      <c r="F174" s="1033"/>
      <c r="J174" s="1706"/>
      <c r="L174" s="1033"/>
    </row>
    <row r="175" spans="1:12" ht="15" customHeight="1" thickBot="1">
      <c r="A175" s="294">
        <v>10</v>
      </c>
      <c r="B175" s="1639" t="s">
        <v>770</v>
      </c>
      <c r="C175" s="214">
        <f>C111+C113+C125+C127+C134+C136+C138+C144+C146+C159+C174+C160</f>
        <v>94257</v>
      </c>
      <c r="D175" s="214">
        <f>D111+D113+D125+D127+D134+D136+D138+D144+D146+D159+D174+D160</f>
        <v>-1416</v>
      </c>
      <c r="E175" s="214">
        <f>E111+E113+E125+E127+E134+E136+E138+E144+E146+E159+E174+E160</f>
        <v>92841</v>
      </c>
      <c r="F175" s="1033">
        <f>SUM(C175:D175)</f>
        <v>92841</v>
      </c>
      <c r="J175" s="1706"/>
      <c r="L175" s="1033"/>
    </row>
    <row r="176" spans="1:12" ht="15" customHeight="1" thickBot="1">
      <c r="A176" s="1722" t="s">
        <v>95</v>
      </c>
      <c r="B176" s="1664" t="s">
        <v>780</v>
      </c>
      <c r="C176" s="220">
        <f>C175+C97+C95+C85+C31+C28+C24+C18+C21+C107</f>
        <v>2484475</v>
      </c>
      <c r="D176" s="1323">
        <f>D175+D97+D95+D85+D31+D28+D24+D18+D21+D107</f>
        <v>730662</v>
      </c>
      <c r="E176" s="220">
        <f>E175+E97+E95+E85+E31+E28+E24+E18+E21+E107</f>
        <v>3215137</v>
      </c>
      <c r="F176" s="1723">
        <f>C176+D176</f>
        <v>3215137</v>
      </c>
      <c r="G176" s="1033">
        <f>'hivatal5 '!E24</f>
        <v>3215137</v>
      </c>
      <c r="J176" s="1724"/>
      <c r="L176" s="1033"/>
    </row>
    <row r="177" spans="1:12" s="724" customFormat="1" ht="15" customHeight="1">
      <c r="A177" s="1725" t="s">
        <v>102</v>
      </c>
      <c r="B177" s="1665" t="s">
        <v>761</v>
      </c>
      <c r="C177" s="1066">
        <f>hivatal1!C24</f>
        <v>200</v>
      </c>
      <c r="D177" s="1066">
        <f>hivatal1!D24</f>
        <v>0</v>
      </c>
      <c r="E177" s="1067">
        <f aca="true" t="shared" si="7" ref="E177:E190">SUM(C177:D177)</f>
        <v>200</v>
      </c>
      <c r="F177" s="1723"/>
      <c r="G177" s="725"/>
      <c r="H177" s="1537">
        <v>166</v>
      </c>
      <c r="I177" s="1480">
        <v>166</v>
      </c>
      <c r="J177" s="1724"/>
      <c r="L177" s="1033"/>
    </row>
    <row r="178" spans="1:12" ht="15" customHeight="1">
      <c r="A178" s="1726" t="s">
        <v>105</v>
      </c>
      <c r="B178" s="1666" t="s">
        <v>675</v>
      </c>
      <c r="C178" s="211">
        <f>+hivatal1!I24</f>
        <v>43828</v>
      </c>
      <c r="D178" s="211">
        <f>+hivatal1!J24</f>
        <v>-483</v>
      </c>
      <c r="E178" s="217">
        <f t="shared" si="7"/>
        <v>43345</v>
      </c>
      <c r="H178" s="1530">
        <v>770</v>
      </c>
      <c r="J178" s="1706"/>
      <c r="L178" s="1033"/>
    </row>
    <row r="179" spans="1:12" ht="15" customHeight="1">
      <c r="A179" s="1727" t="s">
        <v>106</v>
      </c>
      <c r="B179" s="1667" t="s">
        <v>776</v>
      </c>
      <c r="C179" s="1380">
        <f>+hivatal1!L24</f>
        <v>1500</v>
      </c>
      <c r="D179" s="1380">
        <f>+hivatal1!M24</f>
        <v>2000</v>
      </c>
      <c r="E179" s="217">
        <f t="shared" si="7"/>
        <v>3500</v>
      </c>
      <c r="J179" s="1706"/>
      <c r="L179" s="1033"/>
    </row>
    <row r="180" spans="1:12" ht="15" customHeight="1">
      <c r="A180" s="1727" t="s">
        <v>107</v>
      </c>
      <c r="B180" s="1668" t="s">
        <v>777</v>
      </c>
      <c r="C180" s="1381">
        <f>+hivatal2!F24</f>
        <v>9727</v>
      </c>
      <c r="D180" s="1381">
        <f>+hivatal2!G24</f>
        <v>0</v>
      </c>
      <c r="E180" s="216">
        <f t="shared" si="7"/>
        <v>9727</v>
      </c>
      <c r="J180" s="1706"/>
      <c r="L180" s="1033"/>
    </row>
    <row r="181" spans="1:12" ht="15" customHeight="1">
      <c r="A181" s="1726" t="s">
        <v>326</v>
      </c>
      <c r="B181" s="1666" t="s">
        <v>520</v>
      </c>
      <c r="C181" s="215">
        <f>hivatal2!O24</f>
        <v>2000</v>
      </c>
      <c r="D181" s="215">
        <f>hivatal2!P24</f>
        <v>0</v>
      </c>
      <c r="E181" s="216">
        <f t="shared" si="7"/>
        <v>2000</v>
      </c>
      <c r="J181" s="1706"/>
      <c r="L181" s="1033"/>
    </row>
    <row r="182" spans="1:12" ht="15" customHeight="1">
      <c r="A182" s="1726" t="s">
        <v>327</v>
      </c>
      <c r="B182" s="1667" t="s">
        <v>442</v>
      </c>
      <c r="C182" s="1380">
        <f>+hivatal4!C24</f>
        <v>3768</v>
      </c>
      <c r="D182" s="1380">
        <f>+hivatal4!D24</f>
        <v>-884</v>
      </c>
      <c r="E182" s="217">
        <f t="shared" si="7"/>
        <v>2884</v>
      </c>
      <c r="J182" s="1706"/>
      <c r="L182" s="1033"/>
    </row>
    <row r="183" spans="1:12" ht="15" customHeight="1">
      <c r="A183" s="1727" t="s">
        <v>110</v>
      </c>
      <c r="B183" s="1669" t="s">
        <v>325</v>
      </c>
      <c r="C183" s="211">
        <f>hivatal4!F24</f>
        <v>26576</v>
      </c>
      <c r="D183" s="211">
        <f>hivatal4!G24</f>
        <v>0</v>
      </c>
      <c r="E183" s="217">
        <f t="shared" si="7"/>
        <v>26576</v>
      </c>
      <c r="H183" s="1530">
        <v>191</v>
      </c>
      <c r="J183" s="1706"/>
      <c r="L183" s="1033"/>
    </row>
    <row r="184" spans="1:12" ht="16.5" customHeight="1">
      <c r="A184" s="1727" t="s">
        <v>122</v>
      </c>
      <c r="B184" s="1666" t="s">
        <v>521</v>
      </c>
      <c r="C184" s="211">
        <f>hivatal4!I24</f>
        <v>165052</v>
      </c>
      <c r="D184" s="211">
        <f>hivatal4!J24</f>
        <v>-5283</v>
      </c>
      <c r="E184" s="217">
        <f t="shared" si="7"/>
        <v>159769</v>
      </c>
      <c r="H184" s="1530">
        <v>38192</v>
      </c>
      <c r="I184" s="1478">
        <v>14546</v>
      </c>
      <c r="J184" s="1706"/>
      <c r="L184" s="1033"/>
    </row>
    <row r="185" spans="1:12" ht="15" customHeight="1">
      <c r="A185" s="1726" t="s">
        <v>334</v>
      </c>
      <c r="B185" s="1669" t="s">
        <v>519</v>
      </c>
      <c r="C185" s="211">
        <f>hivatal4!L24</f>
        <v>167121</v>
      </c>
      <c r="D185" s="211">
        <f>hivatal4!M24</f>
        <v>3070</v>
      </c>
      <c r="E185" s="217">
        <f t="shared" si="7"/>
        <v>170191</v>
      </c>
      <c r="H185" s="1530">
        <v>65313</v>
      </c>
      <c r="I185" s="1478">
        <v>37788</v>
      </c>
      <c r="J185" s="1706"/>
      <c r="L185" s="1033"/>
    </row>
    <row r="186" spans="1:12" ht="15" customHeight="1">
      <c r="A186" s="1726" t="s">
        <v>618</v>
      </c>
      <c r="B186" s="1666" t="s">
        <v>778</v>
      </c>
      <c r="C186" s="211">
        <f>'hivatal5 '!I24</f>
        <v>214476</v>
      </c>
      <c r="D186" s="211">
        <f>'hivatal5 '!J24</f>
        <v>96900</v>
      </c>
      <c r="E186" s="217">
        <f t="shared" si="7"/>
        <v>311376</v>
      </c>
      <c r="H186" s="1530">
        <v>217816</v>
      </c>
      <c r="I186" s="1478">
        <v>916</v>
      </c>
      <c r="J186" s="1706"/>
      <c r="L186" s="1033"/>
    </row>
    <row r="187" spans="1:12" ht="15" customHeight="1">
      <c r="A187" s="1727" t="s">
        <v>762</v>
      </c>
      <c r="B187" s="1666" t="s">
        <v>546</v>
      </c>
      <c r="C187" s="211">
        <f>'hivatal5 '!O24</f>
        <v>2432</v>
      </c>
      <c r="D187" s="211">
        <f>'hivatal5 '!P24</f>
        <v>0</v>
      </c>
      <c r="E187" s="217">
        <f t="shared" si="7"/>
        <v>2432</v>
      </c>
      <c r="H187" s="1530">
        <v>2432</v>
      </c>
      <c r="I187" s="1478">
        <v>2432</v>
      </c>
      <c r="J187" s="1706"/>
      <c r="L187" s="1033"/>
    </row>
    <row r="188" spans="1:14" ht="13.5" customHeight="1">
      <c r="A188" s="1727" t="s">
        <v>764</v>
      </c>
      <c r="B188" s="1669" t="s">
        <v>763</v>
      </c>
      <c r="C188" s="211">
        <f>hivatal6!C24</f>
        <v>12</v>
      </c>
      <c r="D188" s="211">
        <f>hivatal6!D24</f>
        <v>0</v>
      </c>
      <c r="E188" s="1219">
        <f t="shared" si="7"/>
        <v>12</v>
      </c>
      <c r="J188" s="1728"/>
      <c r="K188" s="1729"/>
      <c r="L188" s="1033"/>
      <c r="N188" s="1033"/>
    </row>
    <row r="189" spans="1:14" ht="13.5" customHeight="1">
      <c r="A189" s="1727" t="s">
        <v>767</v>
      </c>
      <c r="B189" s="1669" t="s">
        <v>765</v>
      </c>
      <c r="C189" s="211">
        <f>hivatal6!F24</f>
        <v>477420</v>
      </c>
      <c r="D189" s="211">
        <f>hivatal6!G24</f>
        <v>-1429</v>
      </c>
      <c r="E189" s="217">
        <f t="shared" si="7"/>
        <v>475991</v>
      </c>
      <c r="H189" s="1530">
        <v>448633</v>
      </c>
      <c r="I189" s="1478">
        <v>346705</v>
      </c>
      <c r="J189" s="1728"/>
      <c r="K189" s="1729"/>
      <c r="L189" s="1033"/>
      <c r="N189" s="1033"/>
    </row>
    <row r="190" spans="1:12" ht="12.75">
      <c r="A190" s="1803" t="s">
        <v>768</v>
      </c>
      <c r="B190" s="1771" t="s">
        <v>766</v>
      </c>
      <c r="C190" s="1772">
        <f>hivatal6!L24</f>
        <v>40409</v>
      </c>
      <c r="D190" s="1772">
        <f>hivatal6!M24</f>
        <v>1152</v>
      </c>
      <c r="E190" s="1773">
        <f t="shared" si="7"/>
        <v>41561</v>
      </c>
      <c r="H190" s="1530">
        <v>41162</v>
      </c>
      <c r="I190" s="1478">
        <v>33284</v>
      </c>
      <c r="L190" s="1033"/>
    </row>
    <row r="191" spans="1:12" ht="13.5" thickBot="1">
      <c r="A191" s="1804" t="s">
        <v>903</v>
      </c>
      <c r="B191" s="1770" t="s">
        <v>676</v>
      </c>
      <c r="C191" s="1527">
        <f>hivatal6!O24</f>
        <v>0</v>
      </c>
      <c r="D191" s="1527">
        <f>hivatal6!P24</f>
        <v>314531</v>
      </c>
      <c r="E191" s="1528">
        <f>SUM(C191:D191)</f>
        <v>314531</v>
      </c>
      <c r="L191" s="1033"/>
    </row>
    <row r="192" spans="1:12" ht="15" customHeight="1" thickBot="1" thickTop="1">
      <c r="A192" s="1730" t="s">
        <v>120</v>
      </c>
      <c r="B192" s="1670" t="s">
        <v>910</v>
      </c>
      <c r="C192" s="1190">
        <f>SUM(C176:C191)</f>
        <v>3638996</v>
      </c>
      <c r="D192" s="1190">
        <f>SUM(D176:D191)</f>
        <v>1140236</v>
      </c>
      <c r="E192" s="1190">
        <f>SUM(E176:E191)</f>
        <v>4779232</v>
      </c>
      <c r="F192" s="1542">
        <f>SUM(C192:D192)</f>
        <v>4779232</v>
      </c>
      <c r="G192" s="1543"/>
      <c r="H192" s="1544"/>
      <c r="J192" s="1706"/>
      <c r="L192" s="1033"/>
    </row>
    <row r="193" spans="1:12" ht="15" customHeight="1" thickBot="1" thickTop="1">
      <c r="A193" s="1731" t="s">
        <v>121</v>
      </c>
      <c r="B193" s="1671" t="s">
        <v>199</v>
      </c>
      <c r="C193" s="222">
        <f>hivatal9!F24</f>
        <v>127098</v>
      </c>
      <c r="D193" s="223">
        <f>hivatal9!G24</f>
        <v>-5612</v>
      </c>
      <c r="E193" s="223">
        <f>SUM(C193:D193)</f>
        <v>121486</v>
      </c>
      <c r="F193" s="1542">
        <f>SUM(C193:D193)</f>
        <v>121486</v>
      </c>
      <c r="G193" s="1543"/>
      <c r="H193" s="1544"/>
      <c r="J193" s="1706"/>
      <c r="L193" s="1033"/>
    </row>
    <row r="194" spans="1:12" ht="15" customHeight="1" thickBot="1" thickTop="1">
      <c r="A194" s="1732"/>
      <c r="B194" s="1672" t="s">
        <v>779</v>
      </c>
      <c r="C194" s="224">
        <f>SUM(C192:C193)</f>
        <v>3766094</v>
      </c>
      <c r="D194" s="1324">
        <f>SUM(D192:D193)</f>
        <v>1134624</v>
      </c>
      <c r="E194" s="224">
        <f>SUM(E192:E193)</f>
        <v>4900718</v>
      </c>
      <c r="F194" s="1542">
        <f>SUM(C194:D194)</f>
        <v>4900718</v>
      </c>
      <c r="G194" s="1542">
        <f>hivatal9!K24</f>
        <v>4900718</v>
      </c>
      <c r="H194" s="1544">
        <f>SUM(H8:H193)</f>
        <v>1849189</v>
      </c>
      <c r="I194" s="1478">
        <f>SUM(I8:I193)</f>
        <v>685076</v>
      </c>
      <c r="L194" s="1033"/>
    </row>
    <row r="195" spans="1:5" ht="10.5" customHeight="1">
      <c r="A195" s="1733"/>
      <c r="B195" s="1734"/>
      <c r="C195" s="1735"/>
      <c r="D195" s="1736"/>
      <c r="E195" s="1737"/>
    </row>
    <row r="196" spans="1:5" ht="10.5" customHeight="1">
      <c r="A196" s="1733"/>
      <c r="B196" s="1734"/>
      <c r="C196" s="1735"/>
      <c r="D196" s="1736"/>
      <c r="E196" s="1737"/>
    </row>
    <row r="197" spans="1:5" ht="10.5" customHeight="1">
      <c r="A197" s="1733"/>
      <c r="B197" s="1738"/>
      <c r="C197" s="1739"/>
      <c r="D197" s="1736"/>
      <c r="E197" s="1737"/>
    </row>
    <row r="198" spans="1:5" ht="12.75">
      <c r="A198" s="1733"/>
      <c r="B198" s="1738"/>
      <c r="C198" s="1739"/>
      <c r="D198" s="1736"/>
      <c r="E198" s="1737"/>
    </row>
    <row r="199" spans="1:5" ht="12.75">
      <c r="A199" s="1740"/>
      <c r="B199" s="1741"/>
      <c r="C199" s="1740"/>
      <c r="D199" s="1742"/>
      <c r="E199" s="1743"/>
    </row>
    <row r="200" spans="1:5" ht="15">
      <c r="A200" s="1744"/>
      <c r="B200" s="1745"/>
      <c r="C200" s="1740"/>
      <c r="D200" s="1746"/>
      <c r="E200" s="1740"/>
    </row>
    <row r="201" spans="1:5" ht="12" customHeight="1">
      <c r="A201" s="1747"/>
      <c r="B201" s="1748"/>
      <c r="C201" s="1749"/>
      <c r="D201" s="1749"/>
      <c r="E201" s="1749"/>
    </row>
    <row r="202" spans="1:5" ht="12" customHeight="1">
      <c r="A202" s="1747"/>
      <c r="B202" s="1748"/>
      <c r="C202" s="1749"/>
      <c r="D202" s="1749"/>
      <c r="E202" s="1749"/>
    </row>
    <row r="203" spans="1:9" s="1752" customFormat="1" ht="10.5" customHeight="1">
      <c r="A203" s="1750"/>
      <c r="B203" s="1745"/>
      <c r="C203" s="1751"/>
      <c r="D203" s="1751"/>
      <c r="E203" s="1751"/>
      <c r="H203" s="1555"/>
      <c r="I203" s="1482"/>
    </row>
    <row r="204" spans="1:5" ht="12" customHeight="1">
      <c r="A204" s="1733"/>
      <c r="B204" s="1738"/>
      <c r="C204" s="1753"/>
      <c r="D204" s="1753"/>
      <c r="E204" s="1751"/>
    </row>
    <row r="205" spans="1:5" ht="12" customHeight="1">
      <c r="A205" s="1747"/>
      <c r="B205" s="1745"/>
      <c r="C205" s="1751"/>
      <c r="D205" s="1751"/>
      <c r="E205" s="1751"/>
    </row>
    <row r="206" spans="1:5" ht="12" customHeight="1">
      <c r="A206" s="1747"/>
      <c r="B206" s="1738"/>
      <c r="C206" s="1751"/>
      <c r="D206" s="1751"/>
      <c r="E206" s="1751"/>
    </row>
    <row r="207" spans="1:5" ht="12" customHeight="1">
      <c r="A207" s="1747"/>
      <c r="B207" s="1748"/>
      <c r="C207" s="1751"/>
      <c r="D207" s="1751"/>
      <c r="E207" s="1751"/>
    </row>
    <row r="208" spans="1:5" ht="12" customHeight="1">
      <c r="A208" s="1747"/>
      <c r="B208" s="1738"/>
      <c r="C208" s="1751"/>
      <c r="D208" s="1751"/>
      <c r="E208" s="1751"/>
    </row>
    <row r="209" spans="1:5" ht="12" customHeight="1">
      <c r="A209" s="1747"/>
      <c r="B209" s="1738"/>
      <c r="C209" s="1751"/>
      <c r="D209" s="1751"/>
      <c r="E209" s="1751"/>
    </row>
    <row r="210" spans="1:5" ht="12" customHeight="1">
      <c r="A210" s="1747"/>
      <c r="B210" s="1748"/>
      <c r="C210" s="1751"/>
      <c r="D210" s="1751"/>
      <c r="E210" s="1751"/>
    </row>
    <row r="211" spans="1:6" ht="12" customHeight="1">
      <c r="A211" s="1747"/>
      <c r="B211" s="1748"/>
      <c r="C211" s="1751"/>
      <c r="D211" s="1751"/>
      <c r="E211" s="1751"/>
      <c r="F211" s="1033"/>
    </row>
    <row r="212" spans="1:6" ht="12" customHeight="1">
      <c r="A212" s="1733"/>
      <c r="B212" s="1738"/>
      <c r="C212" s="1753"/>
      <c r="D212" s="1753"/>
      <c r="E212" s="1751"/>
      <c r="F212" s="1033"/>
    </row>
    <row r="213" spans="1:6" ht="12" customHeight="1">
      <c r="A213" s="1733"/>
      <c r="B213" s="1738"/>
      <c r="C213" s="1753"/>
      <c r="D213" s="1753"/>
      <c r="E213" s="1751"/>
      <c r="F213" s="1033"/>
    </row>
    <row r="214" spans="1:6" ht="12" customHeight="1">
      <c r="A214" s="1733"/>
      <c r="B214" s="1738"/>
      <c r="C214" s="1753"/>
      <c r="D214" s="1753"/>
      <c r="E214" s="1751"/>
      <c r="F214" s="1033"/>
    </row>
    <row r="215" spans="1:6" ht="12" customHeight="1">
      <c r="A215" s="1733"/>
      <c r="B215" s="1738"/>
      <c r="C215" s="1753"/>
      <c r="D215" s="1753"/>
      <c r="E215" s="1751"/>
      <c r="F215" s="1033"/>
    </row>
    <row r="216" spans="1:6" ht="12" customHeight="1">
      <c r="A216" s="1733"/>
      <c r="B216" s="1738"/>
      <c r="C216" s="1753"/>
      <c r="D216" s="1753"/>
      <c r="E216" s="1751"/>
      <c r="F216" s="1033"/>
    </row>
    <row r="217" spans="1:6" ht="12" customHeight="1">
      <c r="A217" s="1733"/>
      <c r="B217" s="1738"/>
      <c r="C217" s="1753"/>
      <c r="D217" s="1753"/>
      <c r="E217" s="1751"/>
      <c r="F217" s="1033"/>
    </row>
    <row r="218" spans="1:6" ht="12" customHeight="1">
      <c r="A218" s="1733"/>
      <c r="B218" s="1738"/>
      <c r="C218" s="1753"/>
      <c r="D218" s="1753"/>
      <c r="E218" s="1751"/>
      <c r="F218" s="1033"/>
    </row>
    <row r="219" spans="1:6" ht="12" customHeight="1">
      <c r="A219" s="1733"/>
      <c r="B219" s="1738"/>
      <c r="C219" s="1753"/>
      <c r="D219" s="1753"/>
      <c r="E219" s="1751"/>
      <c r="F219" s="1033"/>
    </row>
    <row r="220" spans="1:6" ht="12" customHeight="1">
      <c r="A220" s="1733"/>
      <c r="B220" s="1738"/>
      <c r="C220" s="1753"/>
      <c r="D220" s="1753"/>
      <c r="E220" s="1751"/>
      <c r="F220" s="1033"/>
    </row>
    <row r="221" spans="1:6" ht="12" customHeight="1">
      <c r="A221" s="1747"/>
      <c r="B221" s="1748"/>
      <c r="C221" s="1751"/>
      <c r="D221" s="1751"/>
      <c r="E221" s="1751"/>
      <c r="F221" s="1033"/>
    </row>
    <row r="222" spans="1:6" ht="12" customHeight="1">
      <c r="A222" s="1733"/>
      <c r="B222" s="1738"/>
      <c r="C222" s="1754"/>
      <c r="D222" s="1753"/>
      <c r="E222" s="1755"/>
      <c r="F222" s="1033"/>
    </row>
    <row r="223" spans="1:5" ht="12" customHeight="1">
      <c r="A223" s="1747"/>
      <c r="B223" s="1748"/>
      <c r="C223" s="1751"/>
      <c r="D223" s="1751"/>
      <c r="E223" s="1751"/>
    </row>
    <row r="224" spans="1:5" ht="12.75">
      <c r="A224" s="1539"/>
      <c r="B224" s="1756"/>
      <c r="C224" s="1539"/>
      <c r="D224" s="1723"/>
      <c r="E224" s="1757"/>
    </row>
    <row r="225" spans="1:5" ht="12.75">
      <c r="A225" s="1539"/>
      <c r="B225" s="1756"/>
      <c r="C225" s="1539"/>
      <c r="D225" s="1723"/>
      <c r="E225" s="1757"/>
    </row>
  </sheetData>
  <sheetProtection/>
  <mergeCells count="6">
    <mergeCell ref="A3:E3"/>
    <mergeCell ref="A4:E4"/>
    <mergeCell ref="A29:A30"/>
    <mergeCell ref="A98:A102"/>
    <mergeCell ref="A161:A173"/>
    <mergeCell ref="A86:A94"/>
  </mergeCells>
  <printOptions horizontalCentered="1" verticalCentered="1"/>
  <pageMargins left="0.5118110236220472" right="0.35433070866141736" top="0.15748031496062992" bottom="0.31496062992125984" header="0.1968503937007874" footer="0.15748031496062992"/>
  <pageSetup fitToHeight="2" horizontalDpi="600" verticalDpi="600" orientation="portrait" paperSize="9" scale="65" r:id="rId1"/>
  <headerFooter alignWithMargins="0">
    <oddHeader>&amp;R8. melléklet  a 21/2019.(XII.03.) számú
Önkormányzati rendelethez
&amp;P. oldal</oddHeader>
    <oddFooter>&amp;L&amp;F&amp;C&amp;D, &amp;T&amp;R&amp;A</oddFooter>
  </headerFooter>
  <rowBreaks count="2" manualBreakCount="2">
    <brk id="71" max="4" man="1"/>
    <brk id="134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A42"/>
  <sheetViews>
    <sheetView showGridLines="0" zoomScale="80" zoomScaleNormal="80"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" sqref="F1"/>
    </sheetView>
  </sheetViews>
  <sheetFormatPr defaultColWidth="9.00390625" defaultRowHeight="12.75"/>
  <cols>
    <col min="1" max="1" width="7.125" style="0" customWidth="1"/>
    <col min="2" max="2" width="2.625" style="0" customWidth="1"/>
    <col min="3" max="3" width="108.375" style="0" bestFit="1" customWidth="1"/>
    <col min="4" max="4" width="14.625" style="0" customWidth="1"/>
    <col min="5" max="5" width="15.50390625" style="18" customWidth="1"/>
    <col min="6" max="6" width="16.50390625" style="0" customWidth="1"/>
    <col min="7" max="7" width="13.125" style="0" customWidth="1"/>
    <col min="9" max="9" width="11.00390625" style="0" customWidth="1"/>
    <col min="11" max="11" width="10.50390625" style="0" customWidth="1"/>
  </cols>
  <sheetData>
    <row r="1" spans="1:6" ht="30.75" customHeight="1">
      <c r="A1" s="1"/>
      <c r="E1" s="27"/>
      <c r="F1" s="103" t="s">
        <v>918</v>
      </c>
    </row>
    <row r="2" spans="1:6" ht="12.75">
      <c r="A2" s="1"/>
      <c r="E2" s="27"/>
      <c r="F2" s="103" t="s">
        <v>93</v>
      </c>
    </row>
    <row r="3" spans="1:4" ht="12" customHeight="1">
      <c r="A3" s="1"/>
      <c r="D3" s="17"/>
    </row>
    <row r="4" spans="1:6" ht="45.75" customHeight="1">
      <c r="A4" s="19" t="s">
        <v>648</v>
      </c>
      <c r="B4" s="19"/>
      <c r="C4" s="6"/>
      <c r="D4" s="19"/>
      <c r="E4" s="49"/>
      <c r="F4" s="50"/>
    </row>
    <row r="5" spans="1:6" ht="15.75">
      <c r="A5" s="19" t="s">
        <v>572</v>
      </c>
      <c r="B5" s="19"/>
      <c r="C5" s="12"/>
      <c r="D5" s="19"/>
      <c r="E5" s="49"/>
      <c r="F5" s="50"/>
    </row>
    <row r="6" spans="1:6" ht="56.25" customHeight="1" thickBot="1">
      <c r="A6" s="1"/>
      <c r="D6" s="17"/>
      <c r="F6" s="13" t="s">
        <v>134</v>
      </c>
    </row>
    <row r="7" spans="1:6" s="88" customFormat="1" ht="33" customHeight="1" thickBot="1">
      <c r="A7" s="20" t="s">
        <v>185</v>
      </c>
      <c r="B7" s="21"/>
      <c r="C7" s="64" t="s">
        <v>186</v>
      </c>
      <c r="D7" s="1477" t="s">
        <v>795</v>
      </c>
      <c r="E7" s="1760" t="s">
        <v>130</v>
      </c>
      <c r="F7" s="126" t="s">
        <v>658</v>
      </c>
    </row>
    <row r="8" spans="1:6" ht="13.5" thickBot="1">
      <c r="A8" s="43">
        <v>1</v>
      </c>
      <c r="B8" s="44">
        <v>2</v>
      </c>
      <c r="C8" s="45"/>
      <c r="D8" s="1326">
        <v>3</v>
      </c>
      <c r="E8" s="1327">
        <v>4</v>
      </c>
      <c r="F8" s="1328">
        <v>5</v>
      </c>
    </row>
    <row r="9" spans="1:11" s="540" customFormat="1" ht="24.75" customHeight="1" thickBot="1">
      <c r="A9" s="310" t="s">
        <v>95</v>
      </c>
      <c r="B9" s="1988" t="s">
        <v>187</v>
      </c>
      <c r="C9" s="1989"/>
      <c r="D9" s="572">
        <v>107938</v>
      </c>
      <c r="E9" s="573">
        <f>F9-D9</f>
        <v>43955</v>
      </c>
      <c r="F9" s="574">
        <v>151893</v>
      </c>
      <c r="G9" s="541" t="s">
        <v>490</v>
      </c>
      <c r="I9" s="687"/>
      <c r="K9" s="541"/>
    </row>
    <row r="10" spans="1:11" s="545" customFormat="1" ht="18.75" customHeight="1">
      <c r="A10" s="542"/>
      <c r="B10" s="543" t="s">
        <v>188</v>
      </c>
      <c r="C10" s="544"/>
      <c r="D10" s="1192"/>
      <c r="E10" s="1193"/>
      <c r="F10" s="1194"/>
      <c r="I10" s="88"/>
      <c r="J10" s="546"/>
      <c r="K10" s="547"/>
    </row>
    <row r="11" spans="1:11" s="545" customFormat="1" ht="18.75" customHeight="1">
      <c r="A11" s="542"/>
      <c r="B11" s="550"/>
      <c r="C11" s="132" t="s">
        <v>66</v>
      </c>
      <c r="D11" s="1410">
        <v>30069</v>
      </c>
      <c r="E11" s="551"/>
      <c r="F11" s="548">
        <f aca="true" t="shared" si="0" ref="F11:F16">SUM(D11:E11)</f>
        <v>30069</v>
      </c>
      <c r="G11" s="549" t="s">
        <v>490</v>
      </c>
      <c r="I11" s="88"/>
      <c r="J11" s="546"/>
      <c r="K11" s="547"/>
    </row>
    <row r="12" spans="1:11" s="545" customFormat="1" ht="18.75" customHeight="1">
      <c r="A12" s="542"/>
      <c r="B12" s="550"/>
      <c r="C12" s="552" t="s">
        <v>141</v>
      </c>
      <c r="D12" s="1406">
        <v>12859</v>
      </c>
      <c r="E12" s="551">
        <f>-350-95-200-200-2000-8</f>
        <v>-2853</v>
      </c>
      <c r="F12" s="548">
        <f t="shared" si="0"/>
        <v>10006</v>
      </c>
      <c r="G12" s="549"/>
      <c r="I12" s="88"/>
      <c r="K12" s="547"/>
    </row>
    <row r="13" spans="1:11" s="568" customFormat="1" ht="18.75" customHeight="1">
      <c r="A13" s="542"/>
      <c r="B13" s="1167"/>
      <c r="C13" s="1168" t="s">
        <v>164</v>
      </c>
      <c r="D13" s="1406">
        <v>141671</v>
      </c>
      <c r="E13" s="1169">
        <f>-854-2000+42327</f>
        <v>39473</v>
      </c>
      <c r="F13" s="1170">
        <f t="shared" si="0"/>
        <v>181144</v>
      </c>
      <c r="G13" s="1021"/>
      <c r="I13" s="200"/>
      <c r="K13" s="1022"/>
    </row>
    <row r="14" spans="1:7" s="545" customFormat="1" ht="18.75" customHeight="1">
      <c r="A14" s="542"/>
      <c r="B14" s="550"/>
      <c r="C14" s="132" t="s">
        <v>150</v>
      </c>
      <c r="D14" s="1406">
        <v>77459</v>
      </c>
      <c r="E14" s="551">
        <f>80+94</f>
        <v>174</v>
      </c>
      <c r="F14" s="548">
        <f t="shared" si="0"/>
        <v>77633</v>
      </c>
      <c r="G14" s="549" t="s">
        <v>490</v>
      </c>
    </row>
    <row r="15" spans="1:7" s="545" customFormat="1" ht="18.75" customHeight="1">
      <c r="A15" s="542"/>
      <c r="B15" s="550"/>
      <c r="C15" s="132" t="s">
        <v>329</v>
      </c>
      <c r="D15" s="1411">
        <v>9</v>
      </c>
      <c r="E15" s="551"/>
      <c r="F15" s="548">
        <f t="shared" si="0"/>
        <v>9</v>
      </c>
      <c r="G15" s="549"/>
    </row>
    <row r="16" spans="1:7" s="545" customFormat="1" ht="36" customHeight="1">
      <c r="A16" s="542"/>
      <c r="B16" s="550"/>
      <c r="C16" s="1369" t="s">
        <v>577</v>
      </c>
      <c r="D16" s="1411">
        <v>4781</v>
      </c>
      <c r="E16" s="551"/>
      <c r="F16" s="548">
        <f t="shared" si="0"/>
        <v>4781</v>
      </c>
      <c r="G16" s="549"/>
    </row>
    <row r="17" spans="1:7" s="545" customFormat="1" ht="18.75" customHeight="1">
      <c r="A17" s="542"/>
      <c r="B17" s="550"/>
      <c r="C17" s="1407" t="s">
        <v>663</v>
      </c>
      <c r="D17" s="1411">
        <v>7473</v>
      </c>
      <c r="E17" s="551"/>
      <c r="F17" s="548">
        <f aca="true" t="shared" si="1" ref="F17:F25">SUM(D17:E17)</f>
        <v>7473</v>
      </c>
      <c r="G17" s="549"/>
    </row>
    <row r="18" spans="1:7" s="545" customFormat="1" ht="18.75" customHeight="1">
      <c r="A18" s="542"/>
      <c r="B18" s="550"/>
      <c r="C18" s="1408" t="s">
        <v>664</v>
      </c>
      <c r="D18" s="1411">
        <v>2000</v>
      </c>
      <c r="E18" s="551"/>
      <c r="F18" s="548">
        <f t="shared" si="1"/>
        <v>2000</v>
      </c>
      <c r="G18" s="549"/>
    </row>
    <row r="19" spans="1:7" s="545" customFormat="1" ht="18.75" customHeight="1">
      <c r="A19" s="542"/>
      <c r="B19" s="550"/>
      <c r="C19" s="1409" t="s">
        <v>665</v>
      </c>
      <c r="D19" s="1411">
        <v>3328</v>
      </c>
      <c r="E19" s="551"/>
      <c r="F19" s="548">
        <f t="shared" si="1"/>
        <v>3328</v>
      </c>
      <c r="G19" s="549"/>
    </row>
    <row r="20" spans="1:7" s="545" customFormat="1" ht="18.75" customHeight="1">
      <c r="A20" s="542"/>
      <c r="B20" s="550"/>
      <c r="C20" s="132" t="s">
        <v>666</v>
      </c>
      <c r="D20" s="1411">
        <v>8940</v>
      </c>
      <c r="E20" s="551"/>
      <c r="F20" s="548">
        <f t="shared" si="1"/>
        <v>8940</v>
      </c>
      <c r="G20" s="549"/>
    </row>
    <row r="21" spans="1:7" s="545" customFormat="1" ht="18.75" customHeight="1">
      <c r="A21" s="542"/>
      <c r="B21" s="550"/>
      <c r="C21" s="132" t="s">
        <v>667</v>
      </c>
      <c r="D21" s="1411">
        <v>181</v>
      </c>
      <c r="E21" s="551"/>
      <c r="F21" s="548">
        <f t="shared" si="1"/>
        <v>181</v>
      </c>
      <c r="G21" s="549"/>
    </row>
    <row r="22" spans="1:7" s="545" customFormat="1" ht="18.75" customHeight="1">
      <c r="A22" s="542"/>
      <c r="B22" s="550"/>
      <c r="C22" s="132" t="s">
        <v>78</v>
      </c>
      <c r="D22" s="1411">
        <v>600</v>
      </c>
      <c r="E22" s="551"/>
      <c r="F22" s="548">
        <f t="shared" si="1"/>
        <v>600</v>
      </c>
      <c r="G22" s="549"/>
    </row>
    <row r="23" spans="1:7" s="545" customFormat="1" ht="18.75" customHeight="1">
      <c r="A23" s="542"/>
      <c r="B23" s="550"/>
      <c r="C23" s="132" t="s">
        <v>65</v>
      </c>
      <c r="D23" s="1411">
        <v>14600</v>
      </c>
      <c r="E23" s="551">
        <v>-8100</v>
      </c>
      <c r="F23" s="1467">
        <f t="shared" si="1"/>
        <v>6500</v>
      </c>
      <c r="G23" s="549"/>
    </row>
    <row r="24" spans="1:7" s="545" customFormat="1" ht="18.75" customHeight="1">
      <c r="A24" s="542"/>
      <c r="B24" s="550"/>
      <c r="C24" s="132" t="s">
        <v>788</v>
      </c>
      <c r="D24" s="1411">
        <v>21000</v>
      </c>
      <c r="E24" s="551">
        <v>-5000</v>
      </c>
      <c r="F24" s="1467">
        <f t="shared" si="1"/>
        <v>16000</v>
      </c>
      <c r="G24" s="549"/>
    </row>
    <row r="25" spans="1:7" s="545" customFormat="1" ht="18.75" customHeight="1" thickBot="1">
      <c r="A25" s="542"/>
      <c r="B25" s="550"/>
      <c r="C25" s="132" t="s">
        <v>898</v>
      </c>
      <c r="D25" s="1465"/>
      <c r="E25" s="1466">
        <v>49662</v>
      </c>
      <c r="F25" s="1761">
        <f t="shared" si="1"/>
        <v>49662</v>
      </c>
      <c r="G25" s="549"/>
    </row>
    <row r="26" spans="1:7" s="568" customFormat="1" ht="18.75" customHeight="1" thickBot="1">
      <c r="A26" s="569" t="s">
        <v>57</v>
      </c>
      <c r="B26" s="1990" t="s">
        <v>330</v>
      </c>
      <c r="C26" s="1991"/>
      <c r="D26" s="1191">
        <f>SUM(D11:D25)</f>
        <v>324970</v>
      </c>
      <c r="E26" s="1413">
        <f>SUM(E11:E25)</f>
        <v>73356</v>
      </c>
      <c r="F26" s="1412">
        <f>SUM(F11:F25)</f>
        <v>398326</v>
      </c>
      <c r="G26" s="571">
        <f>SUM(D26:E26)</f>
        <v>398326</v>
      </c>
    </row>
    <row r="27" spans="1:11" s="545" customFormat="1" ht="18.75" customHeight="1">
      <c r="A27" s="542"/>
      <c r="B27" s="550"/>
      <c r="C27" s="552" t="s">
        <v>578</v>
      </c>
      <c r="D27" s="1171">
        <v>135116</v>
      </c>
      <c r="E27" s="1019">
        <f>-67988-7128</f>
        <v>-75116</v>
      </c>
      <c r="F27" s="1020">
        <f>SUM(D27:E27)</f>
        <v>60000</v>
      </c>
      <c r="G27" s="549"/>
      <c r="I27" s="88"/>
      <c r="K27" s="547"/>
    </row>
    <row r="28" spans="1:11" s="545" customFormat="1" ht="18.75" customHeight="1">
      <c r="A28" s="542"/>
      <c r="B28" s="550"/>
      <c r="C28" s="552" t="s">
        <v>787</v>
      </c>
      <c r="D28" s="1406">
        <v>2000</v>
      </c>
      <c r="E28" s="551"/>
      <c r="F28" s="548">
        <f>SUM(D28:E28)</f>
        <v>2000</v>
      </c>
      <c r="G28" s="549"/>
      <c r="I28" s="88"/>
      <c r="K28" s="547"/>
    </row>
    <row r="29" spans="1:11" s="545" customFormat="1" ht="18.75" customHeight="1">
      <c r="A29" s="542"/>
      <c r="B29" s="550"/>
      <c r="C29" s="552" t="s">
        <v>791</v>
      </c>
      <c r="D29" s="1406">
        <v>25000</v>
      </c>
      <c r="E29" s="551">
        <f>-3468-15020-2171</f>
        <v>-20659</v>
      </c>
      <c r="F29" s="548">
        <f aca="true" t="shared" si="2" ref="F29:F34">SUM(D29:E29)</f>
        <v>4341</v>
      </c>
      <c r="G29" s="549"/>
      <c r="I29" s="88"/>
      <c r="K29" s="547"/>
    </row>
    <row r="30" spans="1:11" s="545" customFormat="1" ht="18.75" customHeight="1">
      <c r="A30" s="542"/>
      <c r="B30" s="550"/>
      <c r="C30" s="552" t="s">
        <v>522</v>
      </c>
      <c r="D30" s="1406">
        <v>15700</v>
      </c>
      <c r="E30" s="551"/>
      <c r="F30" s="548">
        <f t="shared" si="2"/>
        <v>15700</v>
      </c>
      <c r="G30" s="549"/>
      <c r="I30" s="88"/>
      <c r="K30" s="547"/>
    </row>
    <row r="31" spans="1:11" s="545" customFormat="1" ht="18.75" customHeight="1">
      <c r="A31" s="542"/>
      <c r="B31" s="550"/>
      <c r="C31" s="1407" t="s">
        <v>446</v>
      </c>
      <c r="D31" s="1406">
        <v>20075</v>
      </c>
      <c r="E31" s="551">
        <v>-20075</v>
      </c>
      <c r="F31" s="548">
        <f t="shared" si="2"/>
        <v>0</v>
      </c>
      <c r="G31" s="549"/>
      <c r="I31" s="88"/>
      <c r="K31" s="547"/>
    </row>
    <row r="32" spans="1:11" s="545" customFormat="1" ht="18.75" customHeight="1">
      <c r="A32" s="542"/>
      <c r="B32" s="550"/>
      <c r="C32" s="1414" t="s">
        <v>668</v>
      </c>
      <c r="D32" s="1406">
        <v>8000</v>
      </c>
      <c r="E32" s="551">
        <v>-8000</v>
      </c>
      <c r="F32" s="548">
        <f t="shared" si="2"/>
        <v>0</v>
      </c>
      <c r="G32" s="549"/>
      <c r="I32" s="88"/>
      <c r="K32" s="547"/>
    </row>
    <row r="33" spans="1:11" s="545" customFormat="1" ht="18.75" customHeight="1">
      <c r="A33" s="542"/>
      <c r="B33" s="550"/>
      <c r="C33" s="552" t="s">
        <v>669</v>
      </c>
      <c r="D33" s="1406">
        <v>3000</v>
      </c>
      <c r="E33" s="551"/>
      <c r="F33" s="548">
        <f t="shared" si="2"/>
        <v>3000</v>
      </c>
      <c r="G33" s="549"/>
      <c r="I33" s="88"/>
      <c r="K33" s="547"/>
    </row>
    <row r="34" spans="1:11" s="545" customFormat="1" ht="18.75" customHeight="1" thickBot="1">
      <c r="A34" s="542"/>
      <c r="B34" s="550"/>
      <c r="C34" s="1414" t="s">
        <v>670</v>
      </c>
      <c r="D34" s="1406">
        <v>20000</v>
      </c>
      <c r="E34" s="551">
        <v>-20000</v>
      </c>
      <c r="F34" s="548">
        <f t="shared" si="2"/>
        <v>0</v>
      </c>
      <c r="G34" s="549"/>
      <c r="I34" s="88"/>
      <c r="K34" s="547"/>
    </row>
    <row r="35" spans="1:7" s="545" customFormat="1" ht="18.75" customHeight="1" thickBot="1">
      <c r="A35" s="569" t="s">
        <v>58</v>
      </c>
      <c r="B35" s="1992" t="s">
        <v>331</v>
      </c>
      <c r="C35" s="1993"/>
      <c r="D35" s="1195">
        <f>SUM(D27:D34)</f>
        <v>228891</v>
      </c>
      <c r="E35" s="1173">
        <f>SUM(E27:E34)</f>
        <v>-143850</v>
      </c>
      <c r="F35" s="570">
        <f>SUM(F27:F34)</f>
        <v>85041</v>
      </c>
      <c r="G35" s="571">
        <f>SUM(D35:E35)</f>
        <v>85041</v>
      </c>
    </row>
    <row r="36" spans="1:11" s="88" customFormat="1" ht="24.75" customHeight="1" thickBot="1" thickTop="1">
      <c r="A36" s="553" t="s">
        <v>102</v>
      </c>
      <c r="B36" s="1994" t="s">
        <v>189</v>
      </c>
      <c r="C36" s="1995"/>
      <c r="D36" s="1172">
        <f>D26+D35</f>
        <v>553861</v>
      </c>
      <c r="E36" s="952">
        <f>E26+E35</f>
        <v>-70494</v>
      </c>
      <c r="F36" s="951">
        <f>F26+F35</f>
        <v>483367</v>
      </c>
      <c r="G36" s="105">
        <f>SUM(D36:E36)</f>
        <v>483367</v>
      </c>
      <c r="I36" s="545"/>
      <c r="J36" s="545"/>
      <c r="K36" s="545"/>
    </row>
    <row r="37" spans="1:157" s="88" customFormat="1" ht="23.25" customHeight="1" thickBot="1" thickTop="1">
      <c r="A37" s="554" t="s">
        <v>190</v>
      </c>
      <c r="B37" s="555"/>
      <c r="C37" s="555"/>
      <c r="D37" s="556">
        <f>SUM(D9+D36)</f>
        <v>661799</v>
      </c>
      <c r="E37" s="557">
        <f>SUM(E9,E36)</f>
        <v>-26539</v>
      </c>
      <c r="F37" s="558">
        <f>SUM(F9,F36)</f>
        <v>635260</v>
      </c>
      <c r="G37" s="965">
        <f>+hivatal9!K22-tartalék!F37</f>
        <v>0</v>
      </c>
      <c r="H37" s="234"/>
      <c r="I37" s="545"/>
      <c r="J37" s="545"/>
      <c r="K37" s="545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DJ37" s="234"/>
      <c r="DK37" s="234"/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34"/>
      <c r="EX37" s="234"/>
      <c r="EY37" s="234"/>
      <c r="EZ37" s="234"/>
      <c r="FA37" s="234"/>
    </row>
    <row r="38" spans="9:11" ht="15">
      <c r="I38" s="65"/>
      <c r="J38" s="65"/>
      <c r="K38" s="65"/>
    </row>
    <row r="39" spans="9:11" ht="15">
      <c r="I39" s="65"/>
      <c r="J39" s="65"/>
      <c r="K39" s="65"/>
    </row>
    <row r="40" spans="6:11" ht="15">
      <c r="F40" s="18"/>
      <c r="I40" s="108"/>
      <c r="J40" s="65"/>
      <c r="K40" s="65"/>
    </row>
    <row r="41" spans="9:11" ht="12.75">
      <c r="I41" s="18"/>
      <c r="K41" s="18"/>
    </row>
    <row r="42" spans="9:11" ht="12.75">
      <c r="I42" s="29"/>
      <c r="J42" s="29"/>
      <c r="K42" s="29"/>
    </row>
  </sheetData>
  <sheetProtection/>
  <mergeCells count="4">
    <mergeCell ref="B9:C9"/>
    <mergeCell ref="B26:C26"/>
    <mergeCell ref="B35:C35"/>
    <mergeCell ref="B36:C36"/>
  </mergeCells>
  <printOptions horizontalCentered="1" verticalCentered="1"/>
  <pageMargins left="0.43" right="0.42" top="0.5905511811023623" bottom="3.582677165354331" header="0.5118110236220472" footer="0.5118110236220472"/>
  <pageSetup fitToHeight="1" fitToWidth="1" horizontalDpi="600" verticalDpi="600" orientation="portrait" paperSize="9" scale="64" r:id="rId1"/>
  <headerFooter alignWithMargins="0">
    <oddFooter>&amp;L&amp;F&amp;C&amp;D, &amp;T&amp;R&amp;A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4"/>
  <sheetViews>
    <sheetView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" sqref="L1"/>
    </sheetView>
  </sheetViews>
  <sheetFormatPr defaultColWidth="10.625" defaultRowHeight="12.75"/>
  <cols>
    <col min="1" max="1" width="6.50390625" style="178" customWidth="1"/>
    <col min="2" max="2" width="41.375" style="191" customWidth="1"/>
    <col min="3" max="3" width="37.625" style="179" customWidth="1"/>
    <col min="4" max="5" width="14.125" style="179" customWidth="1"/>
    <col min="6" max="6" width="12.625" style="179" customWidth="1"/>
    <col min="7" max="7" width="15.00390625" style="178" customWidth="1"/>
    <col min="8" max="8" width="12.875" style="178" customWidth="1"/>
    <col min="9" max="9" width="13.875" style="178" customWidth="1"/>
    <col min="10" max="10" width="12.875" style="178" customWidth="1"/>
    <col min="11" max="11" width="12.00390625" style="178" customWidth="1"/>
    <col min="12" max="12" width="13.00390625" style="178" customWidth="1"/>
    <col min="13" max="16384" width="10.625" style="178" customWidth="1"/>
  </cols>
  <sheetData>
    <row r="1" spans="2:12" s="133" customFormat="1" ht="15.75">
      <c r="B1" s="180"/>
      <c r="C1" s="181"/>
      <c r="D1" s="182"/>
      <c r="E1" s="183"/>
      <c r="F1" s="184"/>
      <c r="H1" s="184"/>
      <c r="I1" s="185"/>
      <c r="K1" s="184"/>
      <c r="L1" s="185" t="s">
        <v>919</v>
      </c>
    </row>
    <row r="2" spans="2:12" s="133" customFormat="1" ht="12.75">
      <c r="B2" s="180"/>
      <c r="C2" s="181"/>
      <c r="D2" s="182"/>
      <c r="E2" s="183"/>
      <c r="F2" s="192"/>
      <c r="G2" s="192"/>
      <c r="H2" s="192"/>
      <c r="I2" s="192"/>
      <c r="K2" s="192"/>
      <c r="L2" s="192" t="s">
        <v>93</v>
      </c>
    </row>
    <row r="3" spans="2:7" s="133" customFormat="1" ht="12.75">
      <c r="B3" s="180"/>
      <c r="C3" s="186"/>
      <c r="D3" s="187"/>
      <c r="E3" s="188"/>
      <c r="F3" s="189"/>
      <c r="G3" s="134"/>
    </row>
    <row r="4" spans="1:12" s="133" customFormat="1" ht="20.25">
      <c r="A4" s="2002" t="s">
        <v>649</v>
      </c>
      <c r="B4" s="2002"/>
      <c r="C4" s="2002"/>
      <c r="D4" s="2002"/>
      <c r="E4" s="2002"/>
      <c r="F4" s="2002"/>
      <c r="G4" s="2002"/>
      <c r="H4" s="2002"/>
      <c r="I4" s="2002"/>
      <c r="J4" s="2002"/>
      <c r="K4" s="2002"/>
      <c r="L4" s="2002"/>
    </row>
    <row r="5" spans="1:12" s="136" customFormat="1" ht="23.25" customHeight="1">
      <c r="A5" s="2003" t="s">
        <v>574</v>
      </c>
      <c r="B5" s="2003"/>
      <c r="C5" s="2003"/>
      <c r="D5" s="2003"/>
      <c r="E5" s="2003"/>
      <c r="F5" s="2003"/>
      <c r="G5" s="2003"/>
      <c r="H5" s="2003"/>
      <c r="I5" s="2003"/>
      <c r="J5" s="2003"/>
      <c r="K5" s="2003"/>
      <c r="L5" s="2003"/>
    </row>
    <row r="6" spans="2:12" s="136" customFormat="1" ht="25.5" customHeight="1" thickBot="1">
      <c r="B6" s="190"/>
      <c r="C6" s="1227"/>
      <c r="D6" s="1227"/>
      <c r="E6" s="1227"/>
      <c r="F6" s="1227"/>
      <c r="G6" s="135"/>
      <c r="L6" s="123" t="s">
        <v>134</v>
      </c>
    </row>
    <row r="7" spans="1:12" s="202" customFormat="1" ht="26.25" customHeight="1" thickBot="1">
      <c r="A7" s="2004" t="s">
        <v>185</v>
      </c>
      <c r="B7" s="2006" t="s">
        <v>342</v>
      </c>
      <c r="C7" s="2008" t="s">
        <v>343</v>
      </c>
      <c r="D7" s="1996" t="s">
        <v>447</v>
      </c>
      <c r="E7" s="1997"/>
      <c r="F7" s="1998"/>
      <c r="G7" s="1999" t="s">
        <v>547</v>
      </c>
      <c r="H7" s="2000"/>
      <c r="I7" s="2001"/>
      <c r="J7" s="1999" t="s">
        <v>573</v>
      </c>
      <c r="K7" s="2000"/>
      <c r="L7" s="2001"/>
    </row>
    <row r="8" spans="1:12" s="202" customFormat="1" ht="39" thickBot="1">
      <c r="A8" s="2005"/>
      <c r="B8" s="2007"/>
      <c r="C8" s="2009"/>
      <c r="D8" s="1024" t="s">
        <v>448</v>
      </c>
      <c r="E8" s="1025" t="s">
        <v>344</v>
      </c>
      <c r="F8" s="1026" t="s">
        <v>345</v>
      </c>
      <c r="G8" s="1329" t="s">
        <v>346</v>
      </c>
      <c r="H8" s="1336" t="s">
        <v>345</v>
      </c>
      <c r="I8" s="1027" t="s">
        <v>347</v>
      </c>
      <c r="J8" s="1337" t="s">
        <v>346</v>
      </c>
      <c r="K8" s="1341" t="s">
        <v>345</v>
      </c>
      <c r="L8" s="1027" t="s">
        <v>347</v>
      </c>
    </row>
    <row r="9" spans="1:12" s="203" customFormat="1" ht="13.5" thickBot="1">
      <c r="A9" s="1028" t="s">
        <v>112</v>
      </c>
      <c r="B9" s="1029" t="s">
        <v>114</v>
      </c>
      <c r="C9" s="1030" t="s">
        <v>115</v>
      </c>
      <c r="D9" s="1028" t="s">
        <v>117</v>
      </c>
      <c r="E9" s="1029" t="s">
        <v>53</v>
      </c>
      <c r="F9" s="1030" t="s">
        <v>54</v>
      </c>
      <c r="G9" s="1330" t="s">
        <v>118</v>
      </c>
      <c r="H9" s="1338" t="s">
        <v>119</v>
      </c>
      <c r="I9" s="1028" t="s">
        <v>56</v>
      </c>
      <c r="J9" s="1031" t="s">
        <v>449</v>
      </c>
      <c r="K9" s="1030" t="s">
        <v>450</v>
      </c>
      <c r="L9" s="1028" t="s">
        <v>451</v>
      </c>
    </row>
    <row r="10" spans="1:12" s="203" customFormat="1" ht="19.5" customHeight="1">
      <c r="A10" s="1405">
        <v>1</v>
      </c>
      <c r="B10" s="295" t="s">
        <v>536</v>
      </c>
      <c r="C10" s="728" t="s">
        <v>537</v>
      </c>
      <c r="D10" s="205">
        <f>SUM(E10:F10)</f>
        <v>142981</v>
      </c>
      <c r="E10" s="296">
        <v>135038</v>
      </c>
      <c r="F10" s="732">
        <v>7943</v>
      </c>
      <c r="G10" s="1331">
        <v>26613</v>
      </c>
      <c r="H10" s="733">
        <v>6764</v>
      </c>
      <c r="I10" s="205">
        <f>SUM(G10:H10)</f>
        <v>33377</v>
      </c>
      <c r="J10" s="729">
        <v>31215</v>
      </c>
      <c r="K10" s="1342">
        <v>0</v>
      </c>
      <c r="L10" s="205">
        <f>SUM(J10:K10)</f>
        <v>31215</v>
      </c>
    </row>
    <row r="11" spans="1:12" s="203" customFormat="1" ht="51.75" customHeight="1">
      <c r="A11" s="204">
        <f>A10+1</f>
        <v>2</v>
      </c>
      <c r="B11" s="1228" t="s">
        <v>650</v>
      </c>
      <c r="C11" s="1229" t="s">
        <v>548</v>
      </c>
      <c r="D11" s="205">
        <f>SUM(E11:F11)</f>
        <v>6202</v>
      </c>
      <c r="E11" s="296">
        <v>6202</v>
      </c>
      <c r="F11" s="298">
        <v>0</v>
      </c>
      <c r="G11" s="1332">
        <v>3768</v>
      </c>
      <c r="H11" s="298">
        <v>0</v>
      </c>
      <c r="I11" s="205">
        <f>SUM(G11:H11)</f>
        <v>3768</v>
      </c>
      <c r="J11" s="297"/>
      <c r="K11" s="1343"/>
      <c r="L11" s="205">
        <f>SUM(J11:K11)</f>
        <v>0</v>
      </c>
    </row>
    <row r="12" spans="1:12" s="203" customFormat="1" ht="51.75" customHeight="1">
      <c r="A12" s="273">
        <v>3</v>
      </c>
      <c r="B12" s="1254" t="s">
        <v>549</v>
      </c>
      <c r="C12" s="1255" t="s">
        <v>550</v>
      </c>
      <c r="D12" s="1791">
        <f>SUM(E12:F12)</f>
        <v>174607</v>
      </c>
      <c r="E12" s="1792">
        <v>108383</v>
      </c>
      <c r="F12" s="1793">
        <v>66224</v>
      </c>
      <c r="G12" s="1794">
        <v>106287</v>
      </c>
      <c r="H12" s="1795">
        <v>68220</v>
      </c>
      <c r="I12" s="1791">
        <f>SUM(G12:H12)</f>
        <v>174507</v>
      </c>
      <c r="J12" s="1792"/>
      <c r="K12" s="1793"/>
      <c r="L12" s="1791">
        <f>SUM(J12:K12)</f>
        <v>0</v>
      </c>
    </row>
    <row r="13" spans="1:12" s="203" customFormat="1" ht="51.75" customHeight="1" thickBot="1">
      <c r="A13" s="204">
        <v>4</v>
      </c>
      <c r="B13" s="1796" t="s">
        <v>905</v>
      </c>
      <c r="C13" s="1797" t="s">
        <v>906</v>
      </c>
      <c r="D13" s="205">
        <f>SUM(E13:F13)</f>
        <v>16000</v>
      </c>
      <c r="E13" s="1790">
        <v>11200</v>
      </c>
      <c r="F13" s="1382">
        <v>4800</v>
      </c>
      <c r="G13" s="1383">
        <v>0</v>
      </c>
      <c r="H13" s="1384">
        <v>400</v>
      </c>
      <c r="I13" s="205">
        <f>SUM(G13:H13)</f>
        <v>400</v>
      </c>
      <c r="J13" s="1385">
        <v>11200</v>
      </c>
      <c r="K13" s="1382">
        <v>4400</v>
      </c>
      <c r="L13" s="205">
        <f>SUM(J13:K13)</f>
        <v>15600</v>
      </c>
    </row>
    <row r="14" spans="1:12" s="202" customFormat="1" ht="21" customHeight="1" thickBot="1">
      <c r="A14" s="207" t="s">
        <v>95</v>
      </c>
      <c r="B14" s="208" t="s">
        <v>348</v>
      </c>
      <c r="C14" s="208"/>
      <c r="D14" s="209">
        <f>SUM(D10:D13)</f>
        <v>339790</v>
      </c>
      <c r="E14" s="209">
        <f aca="true" t="shared" si="0" ref="E14:L14">SUM(E10:E13)</f>
        <v>260823</v>
      </c>
      <c r="F14" s="209">
        <f t="shared" si="0"/>
        <v>78967</v>
      </c>
      <c r="G14" s="209">
        <f t="shared" si="0"/>
        <v>136668</v>
      </c>
      <c r="H14" s="209">
        <f t="shared" si="0"/>
        <v>75384</v>
      </c>
      <c r="I14" s="209">
        <f t="shared" si="0"/>
        <v>212052</v>
      </c>
      <c r="J14" s="276">
        <f t="shared" si="0"/>
        <v>42415</v>
      </c>
      <c r="K14" s="274">
        <f t="shared" si="0"/>
        <v>4400</v>
      </c>
      <c r="L14" s="209">
        <f t="shared" si="0"/>
        <v>46815</v>
      </c>
    </row>
    <row r="15" spans="1:12" s="202" customFormat="1" ht="20.25" customHeight="1" thickBot="1">
      <c r="A15" s="207" t="s">
        <v>102</v>
      </c>
      <c r="B15" s="208" t="s">
        <v>349</v>
      </c>
      <c r="C15" s="208"/>
      <c r="D15" s="209">
        <v>0</v>
      </c>
      <c r="E15" s="209">
        <v>0</v>
      </c>
      <c r="F15" s="209">
        <v>0</v>
      </c>
      <c r="G15" s="1333">
        <v>0</v>
      </c>
      <c r="H15" s="1339">
        <v>0</v>
      </c>
      <c r="I15" s="209">
        <v>0</v>
      </c>
      <c r="J15" s="276">
        <v>0</v>
      </c>
      <c r="K15" s="274">
        <v>0</v>
      </c>
      <c r="L15" s="209">
        <v>0</v>
      </c>
    </row>
    <row r="16" spans="1:12" s="202" customFormat="1" ht="63.75" customHeight="1">
      <c r="A16" s="204">
        <v>1</v>
      </c>
      <c r="B16" s="1253" t="s">
        <v>602</v>
      </c>
      <c r="C16" s="1386" t="s">
        <v>603</v>
      </c>
      <c r="D16" s="205">
        <f aca="true" t="shared" si="1" ref="D16:D22">SUM(E16:F16)</f>
        <v>571171</v>
      </c>
      <c r="E16" s="212">
        <v>200000</v>
      </c>
      <c r="F16" s="730">
        <v>371171</v>
      </c>
      <c r="G16" s="1334">
        <v>197792</v>
      </c>
      <c r="H16" s="731">
        <v>371171</v>
      </c>
      <c r="I16" s="205">
        <f aca="true" t="shared" si="2" ref="I16:I22">SUM(G16:H16)</f>
        <v>568963</v>
      </c>
      <c r="J16" s="206"/>
      <c r="K16" s="1267"/>
      <c r="L16" s="205">
        <f aca="true" t="shared" si="3" ref="L16:L22">SUM(J16:K16)</f>
        <v>0</v>
      </c>
    </row>
    <row r="17" spans="1:12" s="202" customFormat="1" ht="63.75" customHeight="1">
      <c r="A17" s="204">
        <v>2</v>
      </c>
      <c r="B17" s="1387" t="s">
        <v>604</v>
      </c>
      <c r="C17" s="1388" t="s">
        <v>605</v>
      </c>
      <c r="D17" s="205">
        <f t="shared" si="1"/>
        <v>128000</v>
      </c>
      <c r="E17" s="212">
        <v>128000</v>
      </c>
      <c r="F17" s="730">
        <v>0</v>
      </c>
      <c r="G17" s="1334">
        <v>52017</v>
      </c>
      <c r="H17" s="731">
        <v>0</v>
      </c>
      <c r="I17" s="205">
        <f t="shared" si="2"/>
        <v>52017</v>
      </c>
      <c r="J17" s="206"/>
      <c r="K17" s="1267"/>
      <c r="L17" s="205">
        <f t="shared" si="3"/>
        <v>0</v>
      </c>
    </row>
    <row r="18" spans="1:12" s="202" customFormat="1" ht="63.75" customHeight="1">
      <c r="A18" s="204">
        <v>3</v>
      </c>
      <c r="B18" s="1254" t="s">
        <v>651</v>
      </c>
      <c r="C18" s="1255" t="s">
        <v>606</v>
      </c>
      <c r="D18" s="205">
        <f t="shared" si="1"/>
        <v>399454</v>
      </c>
      <c r="E18" s="212">
        <v>200000</v>
      </c>
      <c r="F18" s="730">
        <v>199454</v>
      </c>
      <c r="G18" s="1334"/>
      <c r="H18" s="731">
        <v>74881</v>
      </c>
      <c r="I18" s="205">
        <f t="shared" si="2"/>
        <v>74881</v>
      </c>
      <c r="J18" s="206">
        <v>200000</v>
      </c>
      <c r="K18" s="1267">
        <v>124573</v>
      </c>
      <c r="L18" s="205">
        <f t="shared" si="3"/>
        <v>324573</v>
      </c>
    </row>
    <row r="19" spans="1:12" s="202" customFormat="1" ht="38.25">
      <c r="A19" s="273">
        <v>4</v>
      </c>
      <c r="B19" s="1254" t="s">
        <v>551</v>
      </c>
      <c r="C19" s="1255" t="s">
        <v>552</v>
      </c>
      <c r="D19" s="205">
        <f t="shared" si="1"/>
        <v>50099</v>
      </c>
      <c r="E19" s="212">
        <v>10000</v>
      </c>
      <c r="F19" s="730">
        <v>40099</v>
      </c>
      <c r="G19" s="1334"/>
      <c r="H19" s="731">
        <v>8647</v>
      </c>
      <c r="I19" s="205">
        <f t="shared" si="2"/>
        <v>8647</v>
      </c>
      <c r="J19" s="206">
        <v>10000</v>
      </c>
      <c r="K19" s="1267">
        <v>31452</v>
      </c>
      <c r="L19" s="205">
        <f t="shared" si="3"/>
        <v>41452</v>
      </c>
    </row>
    <row r="20" spans="1:12" s="202" customFormat="1" ht="38.25">
      <c r="A20" s="273">
        <v>5</v>
      </c>
      <c r="B20" s="1253" t="s">
        <v>790</v>
      </c>
      <c r="C20" s="1386" t="s">
        <v>603</v>
      </c>
      <c r="D20" s="1474">
        <f t="shared" si="1"/>
        <v>191127</v>
      </c>
      <c r="E20" s="1475">
        <v>60000</v>
      </c>
      <c r="F20" s="1476">
        <v>131127</v>
      </c>
      <c r="G20" s="1475">
        <v>0</v>
      </c>
      <c r="H20" s="1800">
        <v>3211</v>
      </c>
      <c r="I20" s="1791">
        <f t="shared" si="2"/>
        <v>3211</v>
      </c>
      <c r="J20" s="206"/>
      <c r="K20" s="1334"/>
      <c r="L20" s="1791">
        <f t="shared" si="3"/>
        <v>0</v>
      </c>
    </row>
    <row r="21" spans="1:12" s="202" customFormat="1" ht="38.25">
      <c r="A21" s="273">
        <v>6</v>
      </c>
      <c r="B21" s="1801" t="s">
        <v>907</v>
      </c>
      <c r="C21" s="1255" t="s">
        <v>908</v>
      </c>
      <c r="D21" s="1474">
        <f t="shared" si="1"/>
        <v>1707509</v>
      </c>
      <c r="E21" s="1475">
        <v>1136400</v>
      </c>
      <c r="F21" s="1476">
        <v>571109</v>
      </c>
      <c r="G21" s="1798">
        <v>1136400</v>
      </c>
      <c r="H21" s="731">
        <v>571109</v>
      </c>
      <c r="I21" s="205">
        <f t="shared" si="2"/>
        <v>1707509</v>
      </c>
      <c r="J21" s="1799"/>
      <c r="K21" s="1267"/>
      <c r="L21" s="205">
        <f t="shared" si="3"/>
        <v>0</v>
      </c>
    </row>
    <row r="22" spans="1:12" s="202" customFormat="1" ht="39" thickBot="1">
      <c r="A22" s="1469">
        <v>7</v>
      </c>
      <c r="B22" s="1802" t="s">
        <v>909</v>
      </c>
      <c r="C22" s="1797" t="s">
        <v>908</v>
      </c>
      <c r="D22" s="1474">
        <f t="shared" si="1"/>
        <v>1504424</v>
      </c>
      <c r="E22" s="1475">
        <v>930200</v>
      </c>
      <c r="F22" s="1476">
        <v>574224</v>
      </c>
      <c r="G22" s="1471">
        <v>92800</v>
      </c>
      <c r="H22" s="1472">
        <v>52200</v>
      </c>
      <c r="I22" s="1470">
        <f t="shared" si="2"/>
        <v>145000</v>
      </c>
      <c r="J22" s="1473">
        <v>837400</v>
      </c>
      <c r="K22" s="1471">
        <v>522024</v>
      </c>
      <c r="L22" s="205">
        <f t="shared" si="3"/>
        <v>1359424</v>
      </c>
    </row>
    <row r="23" spans="1:12" ht="20.25" customHeight="1" thickBot="1">
      <c r="A23" s="207" t="s">
        <v>105</v>
      </c>
      <c r="B23" s="208" t="s">
        <v>227</v>
      </c>
      <c r="C23" s="208"/>
      <c r="D23" s="209">
        <f>SUM(D16:D22)</f>
        <v>4551784</v>
      </c>
      <c r="E23" s="276">
        <f aca="true" t="shared" si="4" ref="E23:L23">SUM(E16:E22)</f>
        <v>2664600</v>
      </c>
      <c r="F23" s="274">
        <f t="shared" si="4"/>
        <v>1887184</v>
      </c>
      <c r="G23" s="1333">
        <f t="shared" si="4"/>
        <v>1479009</v>
      </c>
      <c r="H23" s="1339">
        <f t="shared" si="4"/>
        <v>1081219</v>
      </c>
      <c r="I23" s="209">
        <f t="shared" si="4"/>
        <v>2560228</v>
      </c>
      <c r="J23" s="276">
        <f t="shared" si="4"/>
        <v>1047400</v>
      </c>
      <c r="K23" s="274">
        <f t="shared" si="4"/>
        <v>678049</v>
      </c>
      <c r="L23" s="209">
        <f t="shared" si="4"/>
        <v>1725449</v>
      </c>
    </row>
    <row r="24" spans="1:12" ht="20.25" customHeight="1" thickBot="1">
      <c r="A24" s="1276" t="s">
        <v>350</v>
      </c>
      <c r="B24" s="1225"/>
      <c r="C24" s="1226"/>
      <c r="D24" s="210">
        <f aca="true" t="shared" si="5" ref="D24:L24">D23+D15+D14</f>
        <v>4891574</v>
      </c>
      <c r="E24" s="277">
        <f t="shared" si="5"/>
        <v>2925423</v>
      </c>
      <c r="F24" s="275">
        <f t="shared" si="5"/>
        <v>1966151</v>
      </c>
      <c r="G24" s="1335">
        <f t="shared" si="5"/>
        <v>1615677</v>
      </c>
      <c r="H24" s="1340">
        <f t="shared" si="5"/>
        <v>1156603</v>
      </c>
      <c r="I24" s="275">
        <f t="shared" si="5"/>
        <v>2772280</v>
      </c>
      <c r="J24" s="1344">
        <f t="shared" si="5"/>
        <v>1089815</v>
      </c>
      <c r="K24" s="275">
        <f t="shared" si="5"/>
        <v>682449</v>
      </c>
      <c r="L24" s="275">
        <f t="shared" si="5"/>
        <v>1772264</v>
      </c>
    </row>
  </sheetData>
  <sheetProtection/>
  <mergeCells count="8">
    <mergeCell ref="D7:F7"/>
    <mergeCell ref="G7:I7"/>
    <mergeCell ref="J7:L7"/>
    <mergeCell ref="A4:L4"/>
    <mergeCell ref="A5:L5"/>
    <mergeCell ref="A7:A8"/>
    <mergeCell ref="B7:B8"/>
    <mergeCell ref="C7:C8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21"/>
  <sheetViews>
    <sheetView showGridLines="0" zoomScale="90" zoomScaleNormal="90" zoomScalePageLayoutView="0" workbookViewId="0" topLeftCell="A1">
      <pane xSplit="5" ySplit="8" topLeftCell="F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H1" sqref="H1"/>
    </sheetView>
  </sheetViews>
  <sheetFormatPr defaultColWidth="9.00390625" defaultRowHeight="12.75"/>
  <cols>
    <col min="1" max="1" width="7.625" style="29" customWidth="1"/>
    <col min="2" max="2" width="7.875" style="29" customWidth="1"/>
    <col min="3" max="3" width="11.50390625" style="29" customWidth="1"/>
    <col min="4" max="4" width="86.875" style="0" customWidth="1"/>
    <col min="5" max="5" width="8.875" style="0" customWidth="1"/>
    <col min="6" max="6" width="16.375" style="721" customWidth="1"/>
    <col min="7" max="7" width="17.375" style="721" customWidth="1"/>
    <col min="8" max="8" width="16.125" style="721" customWidth="1"/>
    <col min="9" max="9" width="13.625" style="1461" customWidth="1"/>
  </cols>
  <sheetData>
    <row r="1" spans="1:8" ht="15.75">
      <c r="A1" s="46"/>
      <c r="B1" s="46"/>
      <c r="H1" s="719" t="s">
        <v>912</v>
      </c>
    </row>
    <row r="2" spans="1:8" ht="15.75">
      <c r="A2" s="46"/>
      <c r="B2" s="46"/>
      <c r="H2" s="719" t="s">
        <v>93</v>
      </c>
    </row>
    <row r="3" spans="1:3" ht="21.75" customHeight="1">
      <c r="A3" s="46"/>
      <c r="B3" s="46"/>
      <c r="C3" s="47"/>
    </row>
    <row r="4" spans="1:9" ht="20.25">
      <c r="A4" s="1849" t="s">
        <v>653</v>
      </c>
      <c r="B4" s="1849"/>
      <c r="C4" s="1849"/>
      <c r="D4" s="1849"/>
      <c r="E4" s="1849"/>
      <c r="F4" s="1849"/>
      <c r="G4" s="1849"/>
      <c r="H4" s="1849"/>
      <c r="I4" s="1462"/>
    </row>
    <row r="5" spans="1:9" ht="18">
      <c r="A5" s="1836" t="s">
        <v>560</v>
      </c>
      <c r="B5" s="1836"/>
      <c r="C5" s="1836"/>
      <c r="D5" s="1836"/>
      <c r="E5" s="1836"/>
      <c r="F5" s="1836"/>
      <c r="G5" s="1836"/>
      <c r="H5" s="1836"/>
      <c r="I5" s="1463"/>
    </row>
    <row r="6" spans="1:8" ht="21" customHeight="1" thickBot="1">
      <c r="A6" s="48"/>
      <c r="B6" s="48"/>
      <c r="H6" s="720" t="s">
        <v>134</v>
      </c>
    </row>
    <row r="7" spans="1:8" ht="62.25" customHeight="1" thickBot="1">
      <c r="A7" s="593" t="s">
        <v>317</v>
      </c>
      <c r="B7" s="1875" t="s">
        <v>318</v>
      </c>
      <c r="C7" s="1876"/>
      <c r="D7" s="1877"/>
      <c r="E7" s="621" t="s">
        <v>231</v>
      </c>
      <c r="F7" s="1007" t="s">
        <v>793</v>
      </c>
      <c r="G7" s="1008" t="s">
        <v>438</v>
      </c>
      <c r="H7" s="616" t="s">
        <v>658</v>
      </c>
    </row>
    <row r="8" spans="1:9" s="1002" customFormat="1" ht="12" customHeight="1" thickBot="1">
      <c r="A8" s="996">
        <v>1</v>
      </c>
      <c r="B8" s="1882">
        <v>2</v>
      </c>
      <c r="C8" s="1883"/>
      <c r="D8" s="1884"/>
      <c r="E8" s="997">
        <v>3</v>
      </c>
      <c r="F8" s="1001">
        <v>4</v>
      </c>
      <c r="G8" s="999">
        <v>5</v>
      </c>
      <c r="H8" s="1000">
        <v>6</v>
      </c>
      <c r="I8" s="1178"/>
    </row>
    <row r="9" spans="1:9" s="200" customFormat="1" ht="16.5" customHeight="1" thickBot="1">
      <c r="A9" s="744" t="s">
        <v>95</v>
      </c>
      <c r="B9" s="1835" t="s">
        <v>113</v>
      </c>
      <c r="C9" s="1809"/>
      <c r="D9" s="1878"/>
      <c r="E9" s="745" t="s">
        <v>355</v>
      </c>
      <c r="F9" s="860">
        <f>hivatal9!I11</f>
        <v>3525025</v>
      </c>
      <c r="G9" s="881">
        <f>hivatal9!J11</f>
        <v>41365</v>
      </c>
      <c r="H9" s="881">
        <f>hivatal9!K11</f>
        <v>3566390</v>
      </c>
      <c r="I9" s="1464">
        <f>hivatal9!K11</f>
        <v>3566390</v>
      </c>
    </row>
    <row r="10" spans="1:9" s="200" customFormat="1" ht="16.5" customHeight="1" thickBot="1">
      <c r="A10" s="746" t="s">
        <v>102</v>
      </c>
      <c r="B10" s="1835" t="s">
        <v>356</v>
      </c>
      <c r="C10" s="1809"/>
      <c r="D10" s="1878"/>
      <c r="E10" s="747" t="s">
        <v>357</v>
      </c>
      <c r="F10" s="860">
        <f>hivatal9!I12</f>
        <v>807734</v>
      </c>
      <c r="G10" s="881">
        <f>hivatal9!J12</f>
        <v>7612</v>
      </c>
      <c r="H10" s="881">
        <f>hivatal9!K12</f>
        <v>815346</v>
      </c>
      <c r="I10" s="1464">
        <f>hivatal9!K12</f>
        <v>815346</v>
      </c>
    </row>
    <row r="11" spans="1:9" s="200" customFormat="1" ht="16.5" customHeight="1" thickBot="1">
      <c r="A11" s="744" t="s">
        <v>105</v>
      </c>
      <c r="B11" s="1835" t="s">
        <v>116</v>
      </c>
      <c r="C11" s="1809"/>
      <c r="D11" s="1878"/>
      <c r="E11" s="745" t="s">
        <v>358</v>
      </c>
      <c r="F11" s="860">
        <f>hivatal9!I13</f>
        <v>5368378</v>
      </c>
      <c r="G11" s="881">
        <f>hivatal9!J13</f>
        <v>294018</v>
      </c>
      <c r="H11" s="881">
        <f>hivatal9!K13</f>
        <v>5662396</v>
      </c>
      <c r="I11" s="1464">
        <f>hivatal9!K13</f>
        <v>5662396</v>
      </c>
    </row>
    <row r="12" spans="1:9" s="278" customFormat="1" ht="16.5" customHeight="1" thickBot="1">
      <c r="A12" s="744" t="s">
        <v>106</v>
      </c>
      <c r="B12" s="1835" t="s">
        <v>172</v>
      </c>
      <c r="C12" s="1809"/>
      <c r="D12" s="1878"/>
      <c r="E12" s="745" t="s">
        <v>359</v>
      </c>
      <c r="F12" s="860">
        <f>hivatal9!I14</f>
        <v>122344</v>
      </c>
      <c r="G12" s="881">
        <f>hivatal9!J14</f>
        <v>2079</v>
      </c>
      <c r="H12" s="881">
        <f>hivatal9!K14</f>
        <v>124423</v>
      </c>
      <c r="I12" s="1464">
        <f>hivatal9!K14</f>
        <v>124423</v>
      </c>
    </row>
    <row r="13" spans="1:9" s="200" customFormat="1" ht="16.5" customHeight="1">
      <c r="A13" s="1910"/>
      <c r="B13" s="672">
        <v>1</v>
      </c>
      <c r="C13" s="1817" t="s">
        <v>361</v>
      </c>
      <c r="D13" s="1873"/>
      <c r="E13" s="794" t="s">
        <v>362</v>
      </c>
      <c r="F13" s="861">
        <f>hivatal9!I15</f>
        <v>157855</v>
      </c>
      <c r="G13" s="970">
        <f>hivatal9!J15</f>
        <v>0</v>
      </c>
      <c r="H13" s="1016">
        <f>hivatal9!K15</f>
        <v>157855</v>
      </c>
      <c r="I13" s="1464">
        <f>hivatal9!K15</f>
        <v>157855</v>
      </c>
    </row>
    <row r="14" spans="1:9" s="200" customFormat="1" ht="16.5" customHeight="1">
      <c r="A14" s="1911"/>
      <c r="B14" s="676">
        <v>2</v>
      </c>
      <c r="C14" s="1805" t="s">
        <v>0</v>
      </c>
      <c r="D14" s="1874"/>
      <c r="E14" s="790" t="s">
        <v>1</v>
      </c>
      <c r="F14" s="861">
        <f>hivatal9!I16</f>
        <v>0</v>
      </c>
      <c r="G14" s="674">
        <f>hivatal9!J16</f>
        <v>0</v>
      </c>
      <c r="H14" s="1017">
        <f>hivatal9!K16</f>
        <v>0</v>
      </c>
      <c r="I14" s="764"/>
    </row>
    <row r="15" spans="1:9" s="200" customFormat="1" ht="16.5" customHeight="1">
      <c r="A15" s="1911"/>
      <c r="B15" s="676">
        <v>3</v>
      </c>
      <c r="C15" s="1805" t="s">
        <v>2</v>
      </c>
      <c r="D15" s="1874"/>
      <c r="E15" s="790" t="s">
        <v>3</v>
      </c>
      <c r="F15" s="861">
        <f>hivatal9!I17</f>
        <v>0</v>
      </c>
      <c r="G15" s="674">
        <f>hivatal9!J17</f>
        <v>0</v>
      </c>
      <c r="H15" s="1017">
        <f>hivatal9!K17</f>
        <v>0</v>
      </c>
      <c r="I15" s="764"/>
    </row>
    <row r="16" spans="1:9" s="200" customFormat="1" ht="16.5" customHeight="1">
      <c r="A16" s="1911"/>
      <c r="B16" s="1917">
        <v>4</v>
      </c>
      <c r="C16" s="1805" t="s">
        <v>4</v>
      </c>
      <c r="D16" s="1874"/>
      <c r="E16" s="790" t="s">
        <v>5</v>
      </c>
      <c r="F16" s="791">
        <f>SUM(F17:F21)</f>
        <v>37846</v>
      </c>
      <c r="G16" s="792">
        <f>SUM(G17:G21)</f>
        <v>675</v>
      </c>
      <c r="H16" s="874">
        <f>SUM(H17:H21)</f>
        <v>38521</v>
      </c>
      <c r="I16" s="1464">
        <f>hivatal9!K18</f>
        <v>38521</v>
      </c>
    </row>
    <row r="17" spans="1:9" s="200" customFormat="1" ht="16.5" customHeight="1">
      <c r="A17" s="1911"/>
      <c r="B17" s="1891"/>
      <c r="C17" s="736" t="s">
        <v>253</v>
      </c>
      <c r="D17" s="737" t="s">
        <v>402</v>
      </c>
      <c r="E17" s="738" t="str">
        <f>E16</f>
        <v>K506</v>
      </c>
      <c r="F17" s="862">
        <v>25923</v>
      </c>
      <c r="G17" s="882"/>
      <c r="H17" s="968">
        <f>SUM(F17:G17)</f>
        <v>25923</v>
      </c>
      <c r="I17" s="764"/>
    </row>
    <row r="18" spans="1:9" s="200" customFormat="1" ht="16.5" customHeight="1">
      <c r="A18" s="1911"/>
      <c r="B18" s="1891"/>
      <c r="C18" s="736" t="s">
        <v>253</v>
      </c>
      <c r="D18" s="737" t="s">
        <v>904</v>
      </c>
      <c r="E18" s="738" t="s">
        <v>5</v>
      </c>
      <c r="F18" s="862"/>
      <c r="G18" s="882">
        <v>675</v>
      </c>
      <c r="H18" s="968">
        <f>SUM(F18:G18)</f>
        <v>675</v>
      </c>
      <c r="I18" s="764"/>
    </row>
    <row r="19" spans="1:9" s="739" customFormat="1" ht="16.5" customHeight="1">
      <c r="A19" s="1911"/>
      <c r="B19" s="1891"/>
      <c r="C19" s="736" t="s">
        <v>253</v>
      </c>
      <c r="D19" s="737" t="s">
        <v>443</v>
      </c>
      <c r="E19" s="738" t="str">
        <f>E16</f>
        <v>K506</v>
      </c>
      <c r="F19" s="862">
        <v>788</v>
      </c>
      <c r="G19" s="882"/>
      <c r="H19" s="968">
        <f>SUM(F19:G19)</f>
        <v>788</v>
      </c>
      <c r="I19" s="1009"/>
    </row>
    <row r="20" spans="1:9" s="739" customFormat="1" ht="16.5" customHeight="1">
      <c r="A20" s="1911"/>
      <c r="B20" s="1891"/>
      <c r="C20" s="736" t="s">
        <v>253</v>
      </c>
      <c r="D20" s="737" t="s">
        <v>437</v>
      </c>
      <c r="E20" s="738" t="str">
        <f>E16</f>
        <v>K506</v>
      </c>
      <c r="F20" s="862">
        <v>5144</v>
      </c>
      <c r="G20" s="882"/>
      <c r="H20" s="968">
        <f>SUM(F20:G20)</f>
        <v>5144</v>
      </c>
      <c r="I20" s="1009"/>
    </row>
    <row r="21" spans="1:9" s="739" customFormat="1" ht="16.5" customHeight="1">
      <c r="A21" s="1911"/>
      <c r="B21" s="1892"/>
      <c r="C21" s="736" t="s">
        <v>253</v>
      </c>
      <c r="D21" s="737" t="s">
        <v>444</v>
      </c>
      <c r="E21" s="738" t="str">
        <f>E20</f>
        <v>K506</v>
      </c>
      <c r="F21" s="862">
        <v>5991</v>
      </c>
      <c r="G21" s="882"/>
      <c r="H21" s="968">
        <f>SUM(F21:G21)</f>
        <v>5991</v>
      </c>
      <c r="I21" s="1009"/>
    </row>
    <row r="22" spans="1:9" s="200" customFormat="1" ht="16.5" customHeight="1">
      <c r="A22" s="1911"/>
      <c r="B22" s="1918">
        <v>5</v>
      </c>
      <c r="C22" s="1805" t="s">
        <v>6</v>
      </c>
      <c r="D22" s="1874"/>
      <c r="E22" s="790" t="s">
        <v>7</v>
      </c>
      <c r="F22" s="791">
        <f>SUM(F23:F27)</f>
        <v>0</v>
      </c>
      <c r="G22" s="792">
        <f>SUM(G23:G27)</f>
        <v>0</v>
      </c>
      <c r="H22" s="874">
        <f>SUM(H23:H27)</f>
        <v>0</v>
      </c>
      <c r="I22" s="1464">
        <f>hivatal9!K19</f>
        <v>0</v>
      </c>
    </row>
    <row r="23" spans="1:9" s="739" customFormat="1" ht="16.5" customHeight="1">
      <c r="A23" s="1911"/>
      <c r="B23" s="1919"/>
      <c r="C23" s="736" t="s">
        <v>253</v>
      </c>
      <c r="D23" s="584" t="s">
        <v>367</v>
      </c>
      <c r="E23" s="586" t="str">
        <f>E22</f>
        <v>K508</v>
      </c>
      <c r="F23" s="863"/>
      <c r="G23" s="606"/>
      <c r="H23" s="969">
        <f>SUM(F23:G23)</f>
        <v>0</v>
      </c>
      <c r="I23" s="1009"/>
    </row>
    <row r="24" spans="1:9" s="739" customFormat="1" ht="16.5" customHeight="1">
      <c r="A24" s="1911"/>
      <c r="B24" s="1919"/>
      <c r="C24" s="736" t="s">
        <v>253</v>
      </c>
      <c r="D24" s="584" t="s">
        <v>368</v>
      </c>
      <c r="E24" s="586" t="str">
        <f>E23</f>
        <v>K508</v>
      </c>
      <c r="F24" s="863"/>
      <c r="G24" s="606"/>
      <c r="H24" s="969">
        <f>SUM(F24:G24)</f>
        <v>0</v>
      </c>
      <c r="I24" s="1009"/>
    </row>
    <row r="25" spans="1:9" s="739" customFormat="1" ht="16.5" customHeight="1">
      <c r="A25" s="1911"/>
      <c r="B25" s="1919"/>
      <c r="C25" s="736" t="s">
        <v>253</v>
      </c>
      <c r="D25" s="584" t="s">
        <v>369</v>
      </c>
      <c r="E25" s="586" t="str">
        <f>E24</f>
        <v>K508</v>
      </c>
      <c r="F25" s="863"/>
      <c r="G25" s="606"/>
      <c r="H25" s="969">
        <f>SUM(F25:G25)</f>
        <v>0</v>
      </c>
      <c r="I25" s="1009"/>
    </row>
    <row r="26" spans="1:9" s="739" customFormat="1" ht="16.5" customHeight="1">
      <c r="A26" s="1911"/>
      <c r="B26" s="1919"/>
      <c r="C26" s="736" t="s">
        <v>253</v>
      </c>
      <c r="D26" s="584" t="s">
        <v>370</v>
      </c>
      <c r="E26" s="586" t="str">
        <f>E25</f>
        <v>K508</v>
      </c>
      <c r="F26" s="863"/>
      <c r="G26" s="606"/>
      <c r="H26" s="969">
        <f>SUM(F26:G26)</f>
        <v>0</v>
      </c>
      <c r="I26" s="1009"/>
    </row>
    <row r="27" spans="1:9" s="739" customFormat="1" ht="16.5" customHeight="1">
      <c r="A27" s="1911"/>
      <c r="B27" s="1920"/>
      <c r="C27" s="736" t="s">
        <v>253</v>
      </c>
      <c r="D27" s="584" t="s">
        <v>377</v>
      </c>
      <c r="E27" s="586" t="str">
        <f>E25</f>
        <v>K508</v>
      </c>
      <c r="F27" s="863"/>
      <c r="G27" s="606"/>
      <c r="H27" s="969">
        <f>SUM(F27:G27)</f>
        <v>0</v>
      </c>
      <c r="I27" s="1009"/>
    </row>
    <row r="28" spans="1:11" s="200" customFormat="1" ht="16.5" customHeight="1">
      <c r="A28" s="1911"/>
      <c r="B28" s="1917">
        <v>6</v>
      </c>
      <c r="C28" s="1805" t="s">
        <v>8</v>
      </c>
      <c r="D28" s="1874"/>
      <c r="E28" s="790" t="s">
        <v>9</v>
      </c>
      <c r="F28" s="791">
        <f>SUM(F29:F34)</f>
        <v>688606</v>
      </c>
      <c r="G28" s="792">
        <f>SUM(G29:G34)</f>
        <v>-8229</v>
      </c>
      <c r="H28" s="874">
        <f>SUM(H29:H34)</f>
        <v>680377</v>
      </c>
      <c r="I28" s="1464">
        <f>hivatal9!K21</f>
        <v>680377</v>
      </c>
      <c r="K28" s="311">
        <f>I28-H28</f>
        <v>0</v>
      </c>
    </row>
    <row r="29" spans="1:9" s="739" customFormat="1" ht="16.5" customHeight="1">
      <c r="A29" s="1911"/>
      <c r="B29" s="1891"/>
      <c r="C29" s="736" t="s">
        <v>253</v>
      </c>
      <c r="D29" s="584" t="s">
        <v>367</v>
      </c>
      <c r="E29" s="738" t="str">
        <f>E28</f>
        <v>K512</v>
      </c>
      <c r="F29" s="863">
        <v>8102</v>
      </c>
      <c r="G29" s="606"/>
      <c r="H29" s="969">
        <f>SUM(F29:G29)</f>
        <v>8102</v>
      </c>
      <c r="I29" s="1009"/>
    </row>
    <row r="30" spans="1:9" s="739" customFormat="1" ht="16.5" customHeight="1">
      <c r="A30" s="1911"/>
      <c r="B30" s="1891"/>
      <c r="C30" s="736" t="s">
        <v>253</v>
      </c>
      <c r="D30" s="584" t="s">
        <v>860</v>
      </c>
      <c r="E30" s="738" t="s">
        <v>9</v>
      </c>
      <c r="F30" s="863">
        <v>1940</v>
      </c>
      <c r="G30" s="606"/>
      <c r="H30" s="969">
        <f>SUM(F30:G30)</f>
        <v>1940</v>
      </c>
      <c r="I30" s="1009"/>
    </row>
    <row r="31" spans="1:9" s="739" customFormat="1" ht="16.5" customHeight="1">
      <c r="A31" s="1911"/>
      <c r="B31" s="1891"/>
      <c r="C31" s="736" t="s">
        <v>253</v>
      </c>
      <c r="D31" s="584" t="s">
        <v>368</v>
      </c>
      <c r="E31" s="738" t="str">
        <f>E29</f>
        <v>K512</v>
      </c>
      <c r="F31" s="862">
        <v>132776</v>
      </c>
      <c r="G31" s="606">
        <f>-6427+928-200+1650+750</f>
        <v>-3299</v>
      </c>
      <c r="H31" s="969">
        <f aca="true" t="shared" si="0" ref="H31:H37">SUM(F31:G31)</f>
        <v>129477</v>
      </c>
      <c r="I31" s="1009"/>
    </row>
    <row r="32" spans="1:9" s="739" customFormat="1" ht="16.5" customHeight="1">
      <c r="A32" s="1911"/>
      <c r="B32" s="1891"/>
      <c r="C32" s="736" t="s">
        <v>253</v>
      </c>
      <c r="D32" s="584" t="s">
        <v>369</v>
      </c>
      <c r="E32" s="738" t="str">
        <f>E31</f>
        <v>K512</v>
      </c>
      <c r="F32" s="863">
        <v>56</v>
      </c>
      <c r="G32" s="606"/>
      <c r="H32" s="969">
        <f t="shared" si="0"/>
        <v>56</v>
      </c>
      <c r="I32" s="1009"/>
    </row>
    <row r="33" spans="1:9" s="739" customFormat="1" ht="16.5" customHeight="1">
      <c r="A33" s="1911"/>
      <c r="B33" s="1891"/>
      <c r="C33" s="736" t="s">
        <v>253</v>
      </c>
      <c r="D33" s="584" t="s">
        <v>370</v>
      </c>
      <c r="E33" s="738" t="str">
        <f>E31</f>
        <v>K512</v>
      </c>
      <c r="F33" s="862">
        <v>541424</v>
      </c>
      <c r="G33" s="606">
        <v>-6930</v>
      </c>
      <c r="H33" s="969">
        <f t="shared" si="0"/>
        <v>534494</v>
      </c>
      <c r="I33" s="1009"/>
    </row>
    <row r="34" spans="1:9" s="739" customFormat="1" ht="16.5" customHeight="1">
      <c r="A34" s="1911"/>
      <c r="B34" s="1892"/>
      <c r="C34" s="736" t="s">
        <v>253</v>
      </c>
      <c r="D34" s="584" t="s">
        <v>377</v>
      </c>
      <c r="E34" s="738" t="str">
        <f>E32</f>
        <v>K512</v>
      </c>
      <c r="F34" s="863">
        <v>4308</v>
      </c>
      <c r="G34" s="606">
        <v>2000</v>
      </c>
      <c r="H34" s="969">
        <f t="shared" si="0"/>
        <v>6308</v>
      </c>
      <c r="I34" s="1009"/>
    </row>
    <row r="35" spans="1:9" s="200" customFormat="1" ht="16.5" customHeight="1">
      <c r="A35" s="1911"/>
      <c r="B35" s="1917">
        <v>7</v>
      </c>
      <c r="C35" s="1805" t="s">
        <v>55</v>
      </c>
      <c r="D35" s="1874"/>
      <c r="E35" s="790" t="s">
        <v>492</v>
      </c>
      <c r="F35" s="864">
        <f>SUM(F36:F37)</f>
        <v>661799</v>
      </c>
      <c r="G35" s="789">
        <f>SUM(G36:G37)</f>
        <v>-26539</v>
      </c>
      <c r="H35" s="875">
        <f>SUM(H36:H37)</f>
        <v>635260</v>
      </c>
      <c r="I35" s="1464">
        <f>hivatal9!K22</f>
        <v>635260</v>
      </c>
    </row>
    <row r="36" spans="1:9" s="88" customFormat="1" ht="16.5" customHeight="1">
      <c r="A36" s="1911"/>
      <c r="B36" s="1891"/>
      <c r="C36" s="736" t="s">
        <v>253</v>
      </c>
      <c r="D36" s="582" t="s">
        <v>10</v>
      </c>
      <c r="E36" s="586" t="s">
        <v>492</v>
      </c>
      <c r="F36" s="863">
        <f>tartalék!D9</f>
        <v>107938</v>
      </c>
      <c r="G36" s="606">
        <f>tartalék!E9</f>
        <v>43955</v>
      </c>
      <c r="H36" s="969">
        <f t="shared" si="0"/>
        <v>151893</v>
      </c>
      <c r="I36" s="764"/>
    </row>
    <row r="37" spans="1:9" s="88" customFormat="1" ht="16.5" customHeight="1" thickBot="1">
      <c r="A37" s="1912"/>
      <c r="B37" s="1921"/>
      <c r="C37" s="736" t="s">
        <v>253</v>
      </c>
      <c r="D37" s="595" t="s">
        <v>363</v>
      </c>
      <c r="E37" s="627" t="s">
        <v>492</v>
      </c>
      <c r="F37" s="1395">
        <f>tartalék!D36</f>
        <v>553861</v>
      </c>
      <c r="G37" s="971">
        <f>tartalék!E36</f>
        <v>-70494</v>
      </c>
      <c r="H37" s="969">
        <f t="shared" si="0"/>
        <v>483367</v>
      </c>
      <c r="I37" s="764"/>
    </row>
    <row r="38" spans="1:9" s="278" customFormat="1" ht="18.75" customHeight="1" thickBot="1">
      <c r="A38" s="744" t="s">
        <v>107</v>
      </c>
      <c r="B38" s="1835" t="s">
        <v>171</v>
      </c>
      <c r="C38" s="1809"/>
      <c r="D38" s="1878"/>
      <c r="E38" s="745" t="s">
        <v>360</v>
      </c>
      <c r="F38" s="748">
        <f>F13+F14+F15+F16+F22+F28+F35</f>
        <v>1546106</v>
      </c>
      <c r="G38" s="1018">
        <f>G13+G14+G15+G16+G22+G28+G35</f>
        <v>-34093</v>
      </c>
      <c r="H38" s="748">
        <f>H13+H14+H15+H16+H22+H28+H35</f>
        <v>1512013</v>
      </c>
      <c r="I38" s="1180"/>
    </row>
    <row r="39" spans="1:9" s="278" customFormat="1" ht="21" customHeight="1" thickBot="1">
      <c r="A39" s="1053" t="s">
        <v>120</v>
      </c>
      <c r="B39" s="1903" t="s">
        <v>417</v>
      </c>
      <c r="C39" s="1904"/>
      <c r="D39" s="1904"/>
      <c r="E39" s="858"/>
      <c r="F39" s="866">
        <f>F9+F10+F11+F12+F38</f>
        <v>11369587</v>
      </c>
      <c r="G39" s="859">
        <f>G9+G10+G11+G12+G38</f>
        <v>310981</v>
      </c>
      <c r="H39" s="876">
        <f>H9+H10+H11+H12+H38</f>
        <v>11680568</v>
      </c>
      <c r="I39" s="1180"/>
    </row>
    <row r="40" spans="1:9" s="88" customFormat="1" ht="21" customHeight="1" thickBot="1">
      <c r="A40" s="1879" t="s">
        <v>371</v>
      </c>
      <c r="B40" s="1880"/>
      <c r="C40" s="1880"/>
      <c r="D40" s="1880"/>
      <c r="E40" s="1881"/>
      <c r="F40" s="740">
        <f>'bevétfő '!G61-'kiadfő '!F39</f>
        <v>-1679873</v>
      </c>
      <c r="G40" s="741">
        <f>'bevétfő '!H61-'kiadfő '!G39</f>
        <v>-65242</v>
      </c>
      <c r="H40" s="877">
        <f>'bevétfő '!I61-'kiadfő '!H39</f>
        <v>-1745115</v>
      </c>
      <c r="I40" s="764"/>
    </row>
    <row r="41" spans="1:9" s="88" customFormat="1" ht="16.5" customHeight="1">
      <c r="A41" s="1908"/>
      <c r="B41" s="723" t="s">
        <v>57</v>
      </c>
      <c r="C41" s="1820" t="s">
        <v>373</v>
      </c>
      <c r="D41" s="1887"/>
      <c r="E41" s="738" t="s">
        <v>12</v>
      </c>
      <c r="F41" s="867">
        <f>beruházás!C192</f>
        <v>3638996</v>
      </c>
      <c r="G41" s="972">
        <f>beruházás!D192</f>
        <v>1140236</v>
      </c>
      <c r="H41" s="972">
        <f>beruházás!E192</f>
        <v>4779232</v>
      </c>
      <c r="I41" s="764"/>
    </row>
    <row r="42" spans="1:9" s="88" customFormat="1" ht="16.5" customHeight="1" thickBot="1">
      <c r="A42" s="1909"/>
      <c r="B42" s="742" t="s">
        <v>58</v>
      </c>
      <c r="C42" s="1828" t="s">
        <v>374</v>
      </c>
      <c r="D42" s="1888"/>
      <c r="E42" s="750" t="s">
        <v>12</v>
      </c>
      <c r="F42" s="867">
        <f>beruházás!C193</f>
        <v>127098</v>
      </c>
      <c r="G42" s="973">
        <f>beruházás!D193</f>
        <v>-5612</v>
      </c>
      <c r="H42" s="973">
        <f>beruházás!E193</f>
        <v>121486</v>
      </c>
      <c r="I42" s="764"/>
    </row>
    <row r="43" spans="1:9" s="200" customFormat="1" ht="16.5" customHeight="1" thickBot="1">
      <c r="A43" s="744" t="s">
        <v>326</v>
      </c>
      <c r="B43" s="1835" t="s">
        <v>11</v>
      </c>
      <c r="C43" s="1809"/>
      <c r="D43" s="1878"/>
      <c r="E43" s="745" t="s">
        <v>12</v>
      </c>
      <c r="F43" s="860">
        <f>SUM(F41:F42)</f>
        <v>3766094</v>
      </c>
      <c r="G43" s="881">
        <f>SUM(G41:G42)</f>
        <v>1134624</v>
      </c>
      <c r="H43" s="881">
        <f>SUM(H41:H42)</f>
        <v>4900718</v>
      </c>
      <c r="I43" s="1464">
        <f>hivatal9!K24</f>
        <v>4900718</v>
      </c>
    </row>
    <row r="44" spans="1:9" s="88" customFormat="1" ht="16.5" customHeight="1">
      <c r="A44" s="1908"/>
      <c r="B44" s="749" t="s">
        <v>57</v>
      </c>
      <c r="C44" s="1820" t="s">
        <v>375</v>
      </c>
      <c r="D44" s="1887"/>
      <c r="E44" s="751" t="s">
        <v>14</v>
      </c>
      <c r="F44" s="972">
        <f>felújítás!C133</f>
        <v>2078802</v>
      </c>
      <c r="G44" s="972">
        <f>felújítás!D133</f>
        <v>-308398</v>
      </c>
      <c r="H44" s="972">
        <f>felújítás!E133</f>
        <v>1770404</v>
      </c>
      <c r="I44" s="764"/>
    </row>
    <row r="45" spans="1:9" s="88" customFormat="1" ht="16.5" customHeight="1" thickBot="1">
      <c r="A45" s="1909"/>
      <c r="B45" s="742" t="s">
        <v>58</v>
      </c>
      <c r="C45" s="1828" t="s">
        <v>376</v>
      </c>
      <c r="D45" s="1888"/>
      <c r="E45" s="750" t="s">
        <v>14</v>
      </c>
      <c r="F45" s="1277">
        <f>felújítás!C134</f>
        <v>2540</v>
      </c>
      <c r="G45" s="1277">
        <f>felújítás!D134</f>
        <v>0</v>
      </c>
      <c r="H45" s="1277">
        <f>felújítás!E134</f>
        <v>2540</v>
      </c>
      <c r="I45" s="764"/>
    </row>
    <row r="46" spans="1:9" s="200" customFormat="1" ht="16.5" customHeight="1" thickBot="1">
      <c r="A46" s="744" t="s">
        <v>327</v>
      </c>
      <c r="B46" s="1835" t="s">
        <v>13</v>
      </c>
      <c r="C46" s="1809"/>
      <c r="D46" s="1878"/>
      <c r="E46" s="745" t="s">
        <v>14</v>
      </c>
      <c r="F46" s="881">
        <f>SUM(F44:F45)</f>
        <v>2081342</v>
      </c>
      <c r="G46" s="860">
        <f>SUM(G44:G45)</f>
        <v>-308398</v>
      </c>
      <c r="H46" s="881">
        <f>SUM(H44:H45)</f>
        <v>1772944</v>
      </c>
      <c r="I46" s="1464">
        <f>hivatal9!K25</f>
        <v>1772944</v>
      </c>
    </row>
    <row r="47" spans="1:9" s="200" customFormat="1" ht="16.5" customHeight="1">
      <c r="A47" s="1893"/>
      <c r="B47" s="795">
        <v>1</v>
      </c>
      <c r="C47" s="1817" t="s">
        <v>16</v>
      </c>
      <c r="D47" s="1873"/>
      <c r="E47" s="790" t="s">
        <v>17</v>
      </c>
      <c r="F47" s="791"/>
      <c r="G47" s="792"/>
      <c r="H47" s="659">
        <f>SUM(F47:G47)</f>
        <v>0</v>
      </c>
      <c r="I47" s="764"/>
    </row>
    <row r="48" spans="1:9" s="200" customFormat="1" ht="16.5" customHeight="1">
      <c r="A48" s="1894"/>
      <c r="B48" s="795">
        <v>2</v>
      </c>
      <c r="C48" s="1805" t="s">
        <v>18</v>
      </c>
      <c r="D48" s="1874"/>
      <c r="E48" s="790" t="s">
        <v>19</v>
      </c>
      <c r="F48" s="791"/>
      <c r="G48" s="792"/>
      <c r="H48" s="878">
        <f>SUM(F48:G48)</f>
        <v>0</v>
      </c>
      <c r="I48" s="764"/>
    </row>
    <row r="49" spans="1:9" s="200" customFormat="1" ht="16.5" customHeight="1">
      <c r="A49" s="1894"/>
      <c r="B49" s="1913">
        <v>3</v>
      </c>
      <c r="C49" s="1805" t="s">
        <v>20</v>
      </c>
      <c r="D49" s="1874"/>
      <c r="E49" s="790" t="s">
        <v>21</v>
      </c>
      <c r="F49" s="791">
        <f>SUM(F50:F52)</f>
        <v>0</v>
      </c>
      <c r="G49" s="792">
        <f>SUM(G50:G52)</f>
        <v>0</v>
      </c>
      <c r="H49" s="874">
        <f>SUM(H50:H52)</f>
        <v>0</v>
      </c>
      <c r="I49" s="764"/>
    </row>
    <row r="50" spans="1:9" s="739" customFormat="1" ht="16.5" customHeight="1">
      <c r="A50" s="1894"/>
      <c r="B50" s="1914"/>
      <c r="C50" s="736" t="s">
        <v>253</v>
      </c>
      <c r="D50" s="737" t="s">
        <v>402</v>
      </c>
      <c r="E50" s="738" t="str">
        <f>E49</f>
        <v>K84</v>
      </c>
      <c r="F50" s="862"/>
      <c r="G50" s="882"/>
      <c r="H50" s="969">
        <f aca="true" t="shared" si="1" ref="H50:H64">SUM(F50:G50)</f>
        <v>0</v>
      </c>
      <c r="I50" s="1009"/>
    </row>
    <row r="51" spans="1:9" s="739" customFormat="1" ht="16.5" customHeight="1">
      <c r="A51" s="1894"/>
      <c r="B51" s="1914"/>
      <c r="C51" s="736" t="s">
        <v>253</v>
      </c>
      <c r="D51" s="737" t="s">
        <v>444</v>
      </c>
      <c r="E51" s="738" t="str">
        <f>E49</f>
        <v>K84</v>
      </c>
      <c r="F51" s="862"/>
      <c r="G51" s="882"/>
      <c r="H51" s="969">
        <f t="shared" si="1"/>
        <v>0</v>
      </c>
      <c r="I51" s="1009"/>
    </row>
    <row r="52" spans="1:9" s="739" customFormat="1" ht="16.5" customHeight="1">
      <c r="A52" s="1894"/>
      <c r="B52" s="1916"/>
      <c r="C52" s="736" t="s">
        <v>253</v>
      </c>
      <c r="D52" s="737" t="s">
        <v>444</v>
      </c>
      <c r="E52" s="738" t="str">
        <f>E50</f>
        <v>K84</v>
      </c>
      <c r="F52" s="862"/>
      <c r="G52" s="882"/>
      <c r="H52" s="969">
        <f t="shared" si="1"/>
        <v>0</v>
      </c>
      <c r="I52" s="1009"/>
    </row>
    <row r="53" spans="1:9" s="312" customFormat="1" ht="16.5" customHeight="1">
      <c r="A53" s="1894"/>
      <c r="B53" s="1913">
        <v>4</v>
      </c>
      <c r="C53" s="1805" t="s">
        <v>22</v>
      </c>
      <c r="D53" s="1874"/>
      <c r="E53" s="790" t="s">
        <v>23</v>
      </c>
      <c r="F53" s="791">
        <f>SUM(F55:F58)</f>
        <v>10512</v>
      </c>
      <c r="G53" s="792">
        <f>SUM(G55:G58)</f>
        <v>442</v>
      </c>
      <c r="H53" s="874">
        <f>SUM(H55:H58)</f>
        <v>10954</v>
      </c>
      <c r="I53" s="1186">
        <f>hivatal9!K29</f>
        <v>10954</v>
      </c>
    </row>
    <row r="54" spans="1:9" s="739" customFormat="1" ht="16.5" customHeight="1">
      <c r="A54" s="1894"/>
      <c r="B54" s="1914"/>
      <c r="C54" s="736" t="s">
        <v>253</v>
      </c>
      <c r="D54" s="584" t="s">
        <v>367</v>
      </c>
      <c r="E54" s="586" t="str">
        <f>E53</f>
        <v>K86</v>
      </c>
      <c r="F54" s="863"/>
      <c r="G54" s="606"/>
      <c r="H54" s="969">
        <f t="shared" si="1"/>
        <v>0</v>
      </c>
      <c r="I54" s="1009"/>
    </row>
    <row r="55" spans="1:9" s="739" customFormat="1" ht="16.5" customHeight="1">
      <c r="A55" s="1894"/>
      <c r="B55" s="1914"/>
      <c r="C55" s="736" t="s">
        <v>253</v>
      </c>
      <c r="D55" s="584" t="s">
        <v>368</v>
      </c>
      <c r="E55" s="586" t="str">
        <f>E54</f>
        <v>K86</v>
      </c>
      <c r="F55" s="863"/>
      <c r="G55" s="606"/>
      <c r="H55" s="969">
        <f t="shared" si="1"/>
        <v>0</v>
      </c>
      <c r="I55" s="1009"/>
    </row>
    <row r="56" spans="1:9" s="739" customFormat="1" ht="16.5" customHeight="1">
      <c r="A56" s="1894"/>
      <c r="B56" s="1914"/>
      <c r="C56" s="736" t="s">
        <v>253</v>
      </c>
      <c r="D56" s="584" t="s">
        <v>369</v>
      </c>
      <c r="E56" s="586" t="str">
        <f>E55</f>
        <v>K86</v>
      </c>
      <c r="F56" s="863">
        <v>10512</v>
      </c>
      <c r="G56" s="606">
        <v>442</v>
      </c>
      <c r="H56" s="969">
        <f t="shared" si="1"/>
        <v>10954</v>
      </c>
      <c r="I56" s="1009"/>
    </row>
    <row r="57" spans="1:9" s="739" customFormat="1" ht="16.5" customHeight="1">
      <c r="A57" s="1894"/>
      <c r="B57" s="1914"/>
      <c r="C57" s="736" t="s">
        <v>253</v>
      </c>
      <c r="D57" s="584" t="s">
        <v>370</v>
      </c>
      <c r="E57" s="586" t="str">
        <f>E56</f>
        <v>K86</v>
      </c>
      <c r="F57" s="863"/>
      <c r="G57" s="606"/>
      <c r="H57" s="969">
        <f t="shared" si="1"/>
        <v>0</v>
      </c>
      <c r="I57" s="1009"/>
    </row>
    <row r="58" spans="1:9" s="739" customFormat="1" ht="16.5" customHeight="1">
      <c r="A58" s="1894"/>
      <c r="B58" s="1916"/>
      <c r="C58" s="736" t="s">
        <v>253</v>
      </c>
      <c r="D58" s="584" t="s">
        <v>377</v>
      </c>
      <c r="E58" s="586" t="str">
        <f>E56</f>
        <v>K86</v>
      </c>
      <c r="F58" s="863"/>
      <c r="G58" s="606"/>
      <c r="H58" s="969">
        <f t="shared" si="1"/>
        <v>0</v>
      </c>
      <c r="I58" s="1009"/>
    </row>
    <row r="59" spans="1:9" s="200" customFormat="1" ht="16.5" customHeight="1">
      <c r="A59" s="1894"/>
      <c r="B59" s="1913">
        <v>5</v>
      </c>
      <c r="C59" s="1805" t="s">
        <v>24</v>
      </c>
      <c r="D59" s="1874"/>
      <c r="E59" s="1074" t="s">
        <v>493</v>
      </c>
      <c r="F59" s="796">
        <f>SUM(F60:F64)</f>
        <v>415881</v>
      </c>
      <c r="G59" s="797">
        <f>SUM(G60:G64)</f>
        <v>295</v>
      </c>
      <c r="H59" s="792">
        <f>SUM(H60:H64)</f>
        <v>416176</v>
      </c>
      <c r="I59" s="1464">
        <f>hivatal9!K30</f>
        <v>416176</v>
      </c>
    </row>
    <row r="60" spans="1:9" s="739" customFormat="1" ht="16.5" customHeight="1">
      <c r="A60" s="1894"/>
      <c r="B60" s="1914"/>
      <c r="C60" s="736" t="s">
        <v>253</v>
      </c>
      <c r="D60" s="584" t="s">
        <v>367</v>
      </c>
      <c r="E60" s="586" t="str">
        <f>E59</f>
        <v>K89</v>
      </c>
      <c r="F60" s="863">
        <v>20000</v>
      </c>
      <c r="G60" s="606"/>
      <c r="H60" s="969">
        <f t="shared" si="1"/>
        <v>20000</v>
      </c>
      <c r="I60" s="1009"/>
    </row>
    <row r="61" spans="1:9" s="739" customFormat="1" ht="16.5" customHeight="1">
      <c r="A61" s="1894"/>
      <c r="B61" s="1914"/>
      <c r="C61" s="736" t="s">
        <v>253</v>
      </c>
      <c r="D61" s="584" t="s">
        <v>368</v>
      </c>
      <c r="E61" s="586" t="str">
        <f>E60</f>
        <v>K89</v>
      </c>
      <c r="F61" s="863">
        <v>141256</v>
      </c>
      <c r="G61" s="606">
        <v>6427</v>
      </c>
      <c r="H61" s="969">
        <f t="shared" si="1"/>
        <v>147683</v>
      </c>
      <c r="I61" s="1009"/>
    </row>
    <row r="62" spans="1:9" s="739" customFormat="1" ht="16.5" customHeight="1">
      <c r="A62" s="1894"/>
      <c r="B62" s="1914"/>
      <c r="C62" s="736" t="s">
        <v>253</v>
      </c>
      <c r="D62" s="584" t="s">
        <v>369</v>
      </c>
      <c r="E62" s="586" t="str">
        <f>E61</f>
        <v>K89</v>
      </c>
      <c r="F62" s="863">
        <v>30785</v>
      </c>
      <c r="G62" s="606">
        <f>-1895</f>
        <v>-1895</v>
      </c>
      <c r="H62" s="969">
        <f t="shared" si="1"/>
        <v>28890</v>
      </c>
      <c r="I62" s="1009"/>
    </row>
    <row r="63" spans="1:9" s="739" customFormat="1" ht="16.5" customHeight="1">
      <c r="A63" s="1894"/>
      <c r="B63" s="1914"/>
      <c r="C63" s="736" t="s">
        <v>253</v>
      </c>
      <c r="D63" s="584" t="s">
        <v>370</v>
      </c>
      <c r="E63" s="586" t="str">
        <f>E62</f>
        <v>K89</v>
      </c>
      <c r="F63" s="863">
        <v>204667</v>
      </c>
      <c r="G63" s="606"/>
      <c r="H63" s="969">
        <f t="shared" si="1"/>
        <v>204667</v>
      </c>
      <c r="I63" s="1009"/>
    </row>
    <row r="64" spans="1:9" s="739" customFormat="1" ht="16.5" customHeight="1" thickBot="1">
      <c r="A64" s="1895"/>
      <c r="B64" s="1915"/>
      <c r="C64" s="736" t="s">
        <v>253</v>
      </c>
      <c r="D64" s="584" t="s">
        <v>377</v>
      </c>
      <c r="E64" s="586" t="str">
        <f>E62</f>
        <v>K89</v>
      </c>
      <c r="F64" s="1392">
        <v>19173</v>
      </c>
      <c r="G64" s="883">
        <f>1895-6132</f>
        <v>-4237</v>
      </c>
      <c r="H64" s="969">
        <f t="shared" si="1"/>
        <v>14936</v>
      </c>
      <c r="I64" s="1009"/>
    </row>
    <row r="65" spans="1:9" s="278" customFormat="1" ht="16.5" customHeight="1" thickBot="1">
      <c r="A65" s="786" t="s">
        <v>110</v>
      </c>
      <c r="B65" s="1900" t="s">
        <v>173</v>
      </c>
      <c r="C65" s="1901"/>
      <c r="D65" s="1902"/>
      <c r="E65" s="787" t="s">
        <v>15</v>
      </c>
      <c r="F65" s="974">
        <f>F47+F48+F49+F53+F59</f>
        <v>426393</v>
      </c>
      <c r="G65" s="788">
        <f>G47+G48+G49+G53+G59</f>
        <v>737</v>
      </c>
      <c r="H65" s="975">
        <f>H47+H48+H49+H53+H59</f>
        <v>427130</v>
      </c>
      <c r="I65" s="1180"/>
    </row>
    <row r="66" spans="1:9" s="540" customFormat="1" ht="21" customHeight="1" thickBot="1">
      <c r="A66" s="1054" t="s">
        <v>121</v>
      </c>
      <c r="B66" s="1885" t="s">
        <v>418</v>
      </c>
      <c r="C66" s="1886"/>
      <c r="D66" s="1886"/>
      <c r="E66" s="856"/>
      <c r="F66" s="868">
        <f>F43+F46+F65</f>
        <v>6273829</v>
      </c>
      <c r="G66" s="857">
        <f>G43+G46+G65</f>
        <v>826963</v>
      </c>
      <c r="H66" s="879">
        <f>H43+H46+H65</f>
        <v>7100792</v>
      </c>
      <c r="I66" s="1180"/>
    </row>
    <row r="67" spans="1:9" s="88" customFormat="1" ht="21.75" customHeight="1" thickBot="1">
      <c r="A67" s="1879" t="s">
        <v>372</v>
      </c>
      <c r="B67" s="1880"/>
      <c r="C67" s="1880"/>
      <c r="D67" s="1880"/>
      <c r="E67" s="1881"/>
      <c r="F67" s="740">
        <f>'bevétfő '!G80-'kiadfő '!F66</f>
        <v>-3989014</v>
      </c>
      <c r="G67" s="741">
        <f>'bevétfő '!H80-'kiadfő '!G66</f>
        <v>65242</v>
      </c>
      <c r="H67" s="877">
        <f>'bevétfő '!I80-'kiadfő '!H66</f>
        <v>-3923772</v>
      </c>
      <c r="I67" s="764"/>
    </row>
    <row r="68" spans="1:9" s="278" customFormat="1" ht="21" customHeight="1" thickBot="1">
      <c r="A68" s="752" t="s">
        <v>111</v>
      </c>
      <c r="B68" s="1889" t="s">
        <v>378</v>
      </c>
      <c r="C68" s="1867"/>
      <c r="D68" s="1867"/>
      <c r="E68" s="1868"/>
      <c r="F68" s="753">
        <f>F39+F66</f>
        <v>17643416</v>
      </c>
      <c r="G68" s="743">
        <f>G39+G66</f>
        <v>1137944</v>
      </c>
      <c r="H68" s="880">
        <f>H39+H66</f>
        <v>18781360</v>
      </c>
      <c r="I68" s="1180"/>
    </row>
    <row r="69" spans="1:9" s="88" customFormat="1" ht="21.75" customHeight="1" thickBot="1">
      <c r="A69" s="1896" t="s">
        <v>439</v>
      </c>
      <c r="B69" s="1897"/>
      <c r="C69" s="1897"/>
      <c r="D69" s="1897"/>
      <c r="E69" s="1898"/>
      <c r="F69" s="741">
        <f>'bevétfő '!G81-'kiadfő '!F68</f>
        <v>-5668887</v>
      </c>
      <c r="G69" s="740">
        <f>'bevétfő '!H81-'kiadfő '!G68</f>
        <v>0</v>
      </c>
      <c r="H69" s="741">
        <f>'bevétfő '!I81-'kiadfő '!H68</f>
        <v>-5668887</v>
      </c>
      <c r="I69" s="764"/>
    </row>
    <row r="70" spans="1:9" s="200" customFormat="1" ht="16.5" customHeight="1">
      <c r="A70" s="1893"/>
      <c r="B70" s="1890">
        <v>1</v>
      </c>
      <c r="C70" s="1817" t="s">
        <v>366</v>
      </c>
      <c r="D70" s="1873"/>
      <c r="E70" s="799" t="s">
        <v>27</v>
      </c>
      <c r="F70" s="869">
        <f>SUM(F71:F73)</f>
        <v>0</v>
      </c>
      <c r="G70" s="694">
        <f>SUM(G71:G73)</f>
        <v>0</v>
      </c>
      <c r="H70" s="878">
        <f>SUM(H71:H73)</f>
        <v>0</v>
      </c>
      <c r="I70" s="764"/>
    </row>
    <row r="71" spans="1:9" s="88" customFormat="1" ht="16.5" customHeight="1">
      <c r="A71" s="1894"/>
      <c r="B71" s="1891"/>
      <c r="C71" s="583" t="s">
        <v>98</v>
      </c>
      <c r="D71" s="582" t="s">
        <v>28</v>
      </c>
      <c r="E71" s="628" t="s">
        <v>29</v>
      </c>
      <c r="F71" s="865"/>
      <c r="G71" s="619"/>
      <c r="H71" s="969">
        <f aca="true" t="shared" si="2" ref="H71:H76">SUM(F71:G71)</f>
        <v>0</v>
      </c>
      <c r="I71" s="764"/>
    </row>
    <row r="72" spans="1:9" s="88" customFormat="1" ht="16.5" customHeight="1">
      <c r="A72" s="1894"/>
      <c r="B72" s="1891"/>
      <c r="C72" s="583" t="s">
        <v>99</v>
      </c>
      <c r="D72" s="582" t="s">
        <v>30</v>
      </c>
      <c r="E72" s="628" t="s">
        <v>31</v>
      </c>
      <c r="F72" s="865"/>
      <c r="G72" s="619"/>
      <c r="H72" s="969">
        <f t="shared" si="2"/>
        <v>0</v>
      </c>
      <c r="I72" s="764"/>
    </row>
    <row r="73" spans="1:9" s="278" customFormat="1" ht="16.5" customHeight="1">
      <c r="A73" s="1894"/>
      <c r="B73" s="1892"/>
      <c r="C73" s="583" t="s">
        <v>100</v>
      </c>
      <c r="D73" s="785" t="s">
        <v>32</v>
      </c>
      <c r="E73" s="628" t="s">
        <v>33</v>
      </c>
      <c r="F73" s="865"/>
      <c r="G73" s="619"/>
      <c r="H73" s="969">
        <f t="shared" si="2"/>
        <v>0</v>
      </c>
      <c r="I73" s="1180"/>
    </row>
    <row r="74" spans="1:9" s="200" customFormat="1" ht="16.5" customHeight="1">
      <c r="A74" s="1894"/>
      <c r="B74" s="798">
        <v>2</v>
      </c>
      <c r="C74" s="1805" t="s">
        <v>34</v>
      </c>
      <c r="D74" s="1874"/>
      <c r="E74" s="679" t="s">
        <v>35</v>
      </c>
      <c r="F74" s="870"/>
      <c r="G74" s="678"/>
      <c r="H74" s="873">
        <f t="shared" si="2"/>
        <v>0</v>
      </c>
      <c r="I74" s="764"/>
    </row>
    <row r="75" spans="1:9" s="200" customFormat="1" ht="16.5" customHeight="1">
      <c r="A75" s="1894"/>
      <c r="B75" s="1043">
        <v>3</v>
      </c>
      <c r="C75" s="1805" t="s">
        <v>786</v>
      </c>
      <c r="D75" s="1874"/>
      <c r="E75" s="681" t="s">
        <v>785</v>
      </c>
      <c r="F75" s="1044">
        <v>38585</v>
      </c>
      <c r="G75" s="683"/>
      <c r="H75" s="873">
        <f t="shared" si="2"/>
        <v>38585</v>
      </c>
      <c r="I75" s="764"/>
    </row>
    <row r="76" spans="1:9" s="278" customFormat="1" ht="16.5" customHeight="1" thickBot="1">
      <c r="A76" s="1894"/>
      <c r="B76" s="1043">
        <v>4</v>
      </c>
      <c r="C76" s="1813" t="s">
        <v>36</v>
      </c>
      <c r="D76" s="1899"/>
      <c r="E76" s="681" t="s">
        <v>37</v>
      </c>
      <c r="F76" s="1044"/>
      <c r="G76" s="683"/>
      <c r="H76" s="1045">
        <f t="shared" si="2"/>
        <v>0</v>
      </c>
      <c r="I76" s="1180"/>
    </row>
    <row r="77" spans="1:9" s="200" customFormat="1" ht="16.5" customHeight="1" thickBot="1">
      <c r="A77" s="705" t="s">
        <v>122</v>
      </c>
      <c r="B77" s="1835" t="s">
        <v>25</v>
      </c>
      <c r="C77" s="1809"/>
      <c r="D77" s="1878"/>
      <c r="E77" s="745" t="s">
        <v>26</v>
      </c>
      <c r="F77" s="1051">
        <f>F70+F74+F76+F75</f>
        <v>38585</v>
      </c>
      <c r="G77" s="1052">
        <f>G70+G74+G76+G75</f>
        <v>0</v>
      </c>
      <c r="H77" s="1052">
        <f>H70+H74+H76+H75</f>
        <v>38585</v>
      </c>
      <c r="I77" s="764"/>
    </row>
    <row r="78" spans="1:9" s="200" customFormat="1" ht="16.5" customHeight="1" thickBot="1">
      <c r="A78" s="1046" t="s">
        <v>334</v>
      </c>
      <c r="B78" s="1905" t="s">
        <v>38</v>
      </c>
      <c r="C78" s="1906"/>
      <c r="D78" s="1907"/>
      <c r="E78" s="1047" t="s">
        <v>39</v>
      </c>
      <c r="F78" s="1048"/>
      <c r="G78" s="1049"/>
      <c r="H78" s="1050">
        <f>SUM(F78:G78)</f>
        <v>0</v>
      </c>
      <c r="I78" s="764"/>
    </row>
    <row r="79" spans="1:9" s="540" customFormat="1" ht="21" customHeight="1" thickBot="1">
      <c r="A79" s="855" t="s">
        <v>42</v>
      </c>
      <c r="B79" s="1885" t="s">
        <v>421</v>
      </c>
      <c r="C79" s="1886"/>
      <c r="D79" s="1886"/>
      <c r="E79" s="856"/>
      <c r="F79" s="871">
        <f>SUM(F77:F78)</f>
        <v>38585</v>
      </c>
      <c r="G79" s="854">
        <f>SUM(G77:G78)</f>
        <v>0</v>
      </c>
      <c r="H79" s="854">
        <f>SUM(H77:H78)</f>
        <v>38585</v>
      </c>
      <c r="I79" s="1180"/>
    </row>
    <row r="80" spans="1:9" s="540" customFormat="1" ht="22.5" customHeight="1" thickBot="1">
      <c r="A80" s="754" t="s">
        <v>43</v>
      </c>
      <c r="B80" s="1867" t="s">
        <v>379</v>
      </c>
      <c r="C80" s="1867"/>
      <c r="D80" s="1867"/>
      <c r="E80" s="1868"/>
      <c r="F80" s="872">
        <f>F68+F79</f>
        <v>17682001</v>
      </c>
      <c r="G80" s="976">
        <f>G68+G79</f>
        <v>1137944</v>
      </c>
      <c r="H80" s="976">
        <f>H68+H79</f>
        <v>18819945</v>
      </c>
      <c r="I80" s="1186">
        <f>hivatal9!K34</f>
        <v>18819945</v>
      </c>
    </row>
    <row r="81" spans="1:9" s="88" customFormat="1" ht="12.75">
      <c r="A81" s="724"/>
      <c r="B81" s="724"/>
      <c r="C81" s="724"/>
      <c r="D81" s="726"/>
      <c r="E81" s="726"/>
      <c r="F81" s="727"/>
      <c r="G81" s="727"/>
      <c r="H81" s="727"/>
      <c r="I81" s="764"/>
    </row>
    <row r="82" spans="1:9" s="88" customFormat="1" ht="12.75">
      <c r="A82" s="725"/>
      <c r="B82" s="724"/>
      <c r="C82" s="724"/>
      <c r="D82" s="726"/>
      <c r="E82" s="726"/>
      <c r="F82" s="727"/>
      <c r="G82" s="727"/>
      <c r="H82" s="727">
        <f>'bevétfő '!I92-'kiadfő '!H80</f>
        <v>0</v>
      </c>
      <c r="I82" s="764"/>
    </row>
    <row r="83" spans="1:9" s="88" customFormat="1" ht="12.75">
      <c r="A83" s="724"/>
      <c r="B83" s="724"/>
      <c r="C83" s="724"/>
      <c r="D83" s="726"/>
      <c r="E83" s="726"/>
      <c r="F83" s="727"/>
      <c r="G83" s="727"/>
      <c r="H83" s="727"/>
      <c r="I83" s="764"/>
    </row>
    <row r="84" spans="1:9" s="88" customFormat="1" ht="12.75">
      <c r="A84" s="724"/>
      <c r="B84" s="724"/>
      <c r="C84" s="724"/>
      <c r="D84" s="726"/>
      <c r="E84" s="726"/>
      <c r="F84" s="727"/>
      <c r="G84" s="727"/>
      <c r="H84" s="727"/>
      <c r="I84" s="764"/>
    </row>
    <row r="85" spans="1:9" s="88" customFormat="1" ht="12.75">
      <c r="A85" s="724"/>
      <c r="B85" s="724"/>
      <c r="C85" s="724"/>
      <c r="D85" s="726"/>
      <c r="E85" s="726"/>
      <c r="F85" s="727"/>
      <c r="G85" s="727"/>
      <c r="H85" s="727"/>
      <c r="I85" s="764"/>
    </row>
    <row r="86" spans="1:9" s="88" customFormat="1" ht="12.75">
      <c r="A86" s="234"/>
      <c r="B86" s="234"/>
      <c r="C86" s="234"/>
      <c r="F86" s="722"/>
      <c r="G86" s="722"/>
      <c r="H86" s="722"/>
      <c r="I86" s="764"/>
    </row>
    <row r="87" spans="1:9" s="88" customFormat="1" ht="12.75">
      <c r="A87" s="234"/>
      <c r="B87" s="234"/>
      <c r="C87" s="234"/>
      <c r="F87" s="722"/>
      <c r="G87" s="722"/>
      <c r="H87" s="722"/>
      <c r="I87" s="764"/>
    </row>
    <row r="88" spans="1:9" s="88" customFormat="1" ht="12.75">
      <c r="A88" s="234"/>
      <c r="B88" s="234"/>
      <c r="C88" s="234"/>
      <c r="F88" s="722"/>
      <c r="G88" s="722"/>
      <c r="H88" s="722"/>
      <c r="I88" s="764"/>
    </row>
    <row r="89" spans="1:9" s="88" customFormat="1" ht="12.75">
      <c r="A89" s="234"/>
      <c r="B89" s="234"/>
      <c r="C89" s="234"/>
      <c r="F89" s="722"/>
      <c r="G89" s="722"/>
      <c r="H89" s="722"/>
      <c r="I89" s="764"/>
    </row>
    <row r="90" spans="1:9" s="88" customFormat="1" ht="12.75">
      <c r="A90" s="234"/>
      <c r="B90" s="234"/>
      <c r="C90" s="234"/>
      <c r="F90" s="722"/>
      <c r="G90" s="722"/>
      <c r="H90" s="722"/>
      <c r="I90" s="764"/>
    </row>
    <row r="91" spans="1:9" s="88" customFormat="1" ht="12.75">
      <c r="A91" s="234"/>
      <c r="B91" s="234"/>
      <c r="C91" s="234"/>
      <c r="F91" s="722"/>
      <c r="G91" s="722"/>
      <c r="H91" s="722"/>
      <c r="I91" s="764"/>
    </row>
    <row r="92" spans="1:9" s="88" customFormat="1" ht="12.75">
      <c r="A92" s="234"/>
      <c r="B92" s="234"/>
      <c r="C92" s="234"/>
      <c r="F92" s="722"/>
      <c r="G92" s="722"/>
      <c r="H92" s="722"/>
      <c r="I92" s="764"/>
    </row>
    <row r="93" spans="1:9" s="88" customFormat="1" ht="12.75">
      <c r="A93" s="234"/>
      <c r="B93" s="234"/>
      <c r="C93" s="234"/>
      <c r="F93" s="722"/>
      <c r="G93" s="722"/>
      <c r="H93" s="722"/>
      <c r="I93" s="764"/>
    </row>
    <row r="94" spans="1:9" s="88" customFormat="1" ht="12.75">
      <c r="A94" s="234"/>
      <c r="B94" s="234"/>
      <c r="C94" s="234"/>
      <c r="F94" s="722"/>
      <c r="G94" s="722"/>
      <c r="H94" s="722"/>
      <c r="I94" s="764"/>
    </row>
    <row r="95" spans="1:9" s="88" customFormat="1" ht="12.75">
      <c r="A95" s="234"/>
      <c r="B95" s="234"/>
      <c r="C95" s="234"/>
      <c r="F95" s="722"/>
      <c r="G95" s="722"/>
      <c r="H95" s="722"/>
      <c r="I95" s="764"/>
    </row>
    <row r="96" spans="1:9" s="88" customFormat="1" ht="12.75">
      <c r="A96" s="234"/>
      <c r="B96" s="234"/>
      <c r="C96" s="234"/>
      <c r="F96" s="722"/>
      <c r="G96" s="722"/>
      <c r="H96" s="722"/>
      <c r="I96" s="764"/>
    </row>
    <row r="97" spans="1:9" s="88" customFormat="1" ht="12.75">
      <c r="A97" s="234"/>
      <c r="B97" s="234"/>
      <c r="C97" s="234"/>
      <c r="F97" s="722"/>
      <c r="G97" s="722"/>
      <c r="H97" s="722"/>
      <c r="I97" s="764"/>
    </row>
    <row r="98" spans="1:9" s="88" customFormat="1" ht="12.75">
      <c r="A98" s="234"/>
      <c r="B98" s="234"/>
      <c r="C98" s="234"/>
      <c r="F98" s="722"/>
      <c r="G98" s="722"/>
      <c r="H98" s="722"/>
      <c r="I98" s="764"/>
    </row>
    <row r="99" spans="1:9" s="88" customFormat="1" ht="12.75">
      <c r="A99" s="234"/>
      <c r="B99" s="234"/>
      <c r="C99" s="234"/>
      <c r="F99" s="722"/>
      <c r="G99" s="722"/>
      <c r="H99" s="722"/>
      <c r="I99" s="764"/>
    </row>
    <row r="100" spans="1:9" s="88" customFormat="1" ht="12.75">
      <c r="A100" s="234"/>
      <c r="B100" s="234"/>
      <c r="C100" s="234"/>
      <c r="F100" s="722"/>
      <c r="G100" s="722"/>
      <c r="H100" s="722"/>
      <c r="I100" s="764"/>
    </row>
    <row r="101" spans="1:9" s="88" customFormat="1" ht="12.75">
      <c r="A101" s="234"/>
      <c r="B101" s="234"/>
      <c r="C101" s="234"/>
      <c r="F101" s="722"/>
      <c r="G101" s="722"/>
      <c r="H101" s="722"/>
      <c r="I101" s="764"/>
    </row>
    <row r="102" spans="1:9" s="88" customFormat="1" ht="12.75">
      <c r="A102" s="234"/>
      <c r="B102" s="234"/>
      <c r="C102" s="234"/>
      <c r="F102" s="722"/>
      <c r="G102" s="722"/>
      <c r="H102" s="722"/>
      <c r="I102" s="764"/>
    </row>
    <row r="103" spans="1:9" s="88" customFormat="1" ht="12.75">
      <c r="A103" s="234"/>
      <c r="B103" s="234"/>
      <c r="C103" s="234"/>
      <c r="F103" s="722"/>
      <c r="G103" s="722"/>
      <c r="H103" s="722"/>
      <c r="I103" s="764"/>
    </row>
    <row r="104" spans="1:9" s="88" customFormat="1" ht="12.75">
      <c r="A104" s="234"/>
      <c r="B104" s="234"/>
      <c r="C104" s="234"/>
      <c r="F104" s="722"/>
      <c r="G104" s="722"/>
      <c r="H104" s="722"/>
      <c r="I104" s="764"/>
    </row>
    <row r="105" spans="1:9" s="88" customFormat="1" ht="12.75">
      <c r="A105" s="234"/>
      <c r="B105" s="234"/>
      <c r="C105" s="234"/>
      <c r="F105" s="722"/>
      <c r="G105" s="722"/>
      <c r="H105" s="722"/>
      <c r="I105" s="764"/>
    </row>
    <row r="106" spans="1:9" s="88" customFormat="1" ht="12.75">
      <c r="A106" s="234"/>
      <c r="B106" s="234"/>
      <c r="C106" s="234"/>
      <c r="F106" s="722"/>
      <c r="G106" s="722"/>
      <c r="H106" s="722"/>
      <c r="I106" s="764"/>
    </row>
    <row r="107" spans="1:9" s="88" customFormat="1" ht="12.75">
      <c r="A107" s="234"/>
      <c r="B107" s="234"/>
      <c r="C107" s="234"/>
      <c r="F107" s="722"/>
      <c r="G107" s="722"/>
      <c r="H107" s="722"/>
      <c r="I107" s="764"/>
    </row>
    <row r="108" spans="1:9" s="88" customFormat="1" ht="12.75">
      <c r="A108" s="234"/>
      <c r="B108" s="234"/>
      <c r="C108" s="234"/>
      <c r="F108" s="722"/>
      <c r="G108" s="722"/>
      <c r="H108" s="722"/>
      <c r="I108" s="764"/>
    </row>
    <row r="109" spans="1:9" s="88" customFormat="1" ht="12.75">
      <c r="A109" s="234"/>
      <c r="B109" s="234"/>
      <c r="C109" s="234"/>
      <c r="F109" s="722"/>
      <c r="G109" s="722"/>
      <c r="H109" s="722"/>
      <c r="I109" s="764"/>
    </row>
    <row r="110" spans="1:9" s="88" customFormat="1" ht="12.75">
      <c r="A110" s="234"/>
      <c r="B110" s="234"/>
      <c r="C110" s="234"/>
      <c r="F110" s="722"/>
      <c r="G110" s="722"/>
      <c r="H110" s="722"/>
      <c r="I110" s="764"/>
    </row>
    <row r="111" spans="1:9" s="88" customFormat="1" ht="12.75">
      <c r="A111" s="234"/>
      <c r="B111" s="234"/>
      <c r="C111" s="234"/>
      <c r="F111" s="722"/>
      <c r="G111" s="722"/>
      <c r="H111" s="722"/>
      <c r="I111" s="764"/>
    </row>
    <row r="112" spans="1:9" s="88" customFormat="1" ht="12.75">
      <c r="A112" s="234"/>
      <c r="B112" s="234"/>
      <c r="C112" s="234"/>
      <c r="F112" s="722"/>
      <c r="G112" s="722"/>
      <c r="H112" s="722"/>
      <c r="I112" s="764"/>
    </row>
    <row r="113" spans="1:9" s="88" customFormat="1" ht="12.75">
      <c r="A113" s="234"/>
      <c r="B113" s="234"/>
      <c r="C113" s="234"/>
      <c r="F113" s="722"/>
      <c r="G113" s="722"/>
      <c r="H113" s="722"/>
      <c r="I113" s="764"/>
    </row>
    <row r="114" spans="1:9" s="88" customFormat="1" ht="12.75">
      <c r="A114" s="234"/>
      <c r="B114" s="234"/>
      <c r="C114" s="234"/>
      <c r="F114" s="722"/>
      <c r="G114" s="722"/>
      <c r="H114" s="722"/>
      <c r="I114" s="764"/>
    </row>
    <row r="115" spans="1:9" s="88" customFormat="1" ht="12.75">
      <c r="A115" s="234"/>
      <c r="B115" s="234"/>
      <c r="C115" s="234"/>
      <c r="F115" s="722"/>
      <c r="G115" s="722"/>
      <c r="H115" s="722"/>
      <c r="I115" s="764"/>
    </row>
    <row r="116" spans="1:9" s="88" customFormat="1" ht="12.75">
      <c r="A116" s="234"/>
      <c r="B116" s="234"/>
      <c r="C116" s="234"/>
      <c r="F116" s="722"/>
      <c r="G116" s="722"/>
      <c r="H116" s="722"/>
      <c r="I116" s="764"/>
    </row>
    <row r="117" spans="1:9" s="88" customFormat="1" ht="12.75">
      <c r="A117" s="234"/>
      <c r="B117" s="234"/>
      <c r="C117" s="234"/>
      <c r="F117" s="722"/>
      <c r="G117" s="722"/>
      <c r="H117" s="722"/>
      <c r="I117" s="764"/>
    </row>
    <row r="118" spans="1:9" s="88" customFormat="1" ht="12.75">
      <c r="A118" s="234"/>
      <c r="B118" s="234"/>
      <c r="C118" s="234"/>
      <c r="F118" s="722"/>
      <c r="G118" s="722"/>
      <c r="H118" s="722"/>
      <c r="I118" s="764"/>
    </row>
    <row r="119" spans="1:9" s="88" customFormat="1" ht="12.75">
      <c r="A119" s="234"/>
      <c r="B119" s="234"/>
      <c r="C119" s="234"/>
      <c r="F119" s="722"/>
      <c r="G119" s="722"/>
      <c r="H119" s="722"/>
      <c r="I119" s="764"/>
    </row>
    <row r="120" spans="1:9" s="88" customFormat="1" ht="12.75">
      <c r="A120" s="234"/>
      <c r="B120" s="234"/>
      <c r="C120" s="234"/>
      <c r="F120" s="722"/>
      <c r="G120" s="722"/>
      <c r="H120" s="722"/>
      <c r="I120" s="764"/>
    </row>
    <row r="121" spans="1:3" ht="12.75">
      <c r="A121" s="234"/>
      <c r="B121" s="234"/>
      <c r="C121" s="234"/>
    </row>
  </sheetData>
  <sheetProtection/>
  <mergeCells count="55">
    <mergeCell ref="A41:A42"/>
    <mergeCell ref="A44:A45"/>
    <mergeCell ref="A13:A37"/>
    <mergeCell ref="B59:B64"/>
    <mergeCell ref="B53:B58"/>
    <mergeCell ref="B49:B52"/>
    <mergeCell ref="B16:B21"/>
    <mergeCell ref="B22:B27"/>
    <mergeCell ref="B28:B34"/>
    <mergeCell ref="B35:B37"/>
    <mergeCell ref="B38:D38"/>
    <mergeCell ref="B39:D39"/>
    <mergeCell ref="C41:D41"/>
    <mergeCell ref="C42:D42"/>
    <mergeCell ref="B80:E80"/>
    <mergeCell ref="B78:D78"/>
    <mergeCell ref="A67:E67"/>
    <mergeCell ref="B43:D43"/>
    <mergeCell ref="B46:D46"/>
    <mergeCell ref="A70:A76"/>
    <mergeCell ref="B70:B73"/>
    <mergeCell ref="A47:A64"/>
    <mergeCell ref="A69:E69"/>
    <mergeCell ref="C70:D70"/>
    <mergeCell ref="C74:D74"/>
    <mergeCell ref="C76:D76"/>
    <mergeCell ref="B65:D65"/>
    <mergeCell ref="B66:D66"/>
    <mergeCell ref="C75:D75"/>
    <mergeCell ref="B77:D77"/>
    <mergeCell ref="B79:D79"/>
    <mergeCell ref="C44:D44"/>
    <mergeCell ref="C45:D45"/>
    <mergeCell ref="B68:E68"/>
    <mergeCell ref="C47:D47"/>
    <mergeCell ref="C48:D48"/>
    <mergeCell ref="C49:D49"/>
    <mergeCell ref="C53:D53"/>
    <mergeCell ref="C59:D59"/>
    <mergeCell ref="A4:H4"/>
    <mergeCell ref="A5:H5"/>
    <mergeCell ref="B7:D7"/>
    <mergeCell ref="B10:D10"/>
    <mergeCell ref="A40:E40"/>
    <mergeCell ref="B11:D11"/>
    <mergeCell ref="C35:D35"/>
    <mergeCell ref="B8:D8"/>
    <mergeCell ref="B9:D9"/>
    <mergeCell ref="B12:D12"/>
    <mergeCell ref="C13:D13"/>
    <mergeCell ref="C14:D14"/>
    <mergeCell ref="C15:D15"/>
    <mergeCell ref="C16:D16"/>
    <mergeCell ref="C22:D22"/>
    <mergeCell ref="C28:D28"/>
  </mergeCells>
  <printOptions horizontalCentered="1"/>
  <pageMargins left="0.7874015748031497" right="0.7874015748031497" top="0.61" bottom="0.77" header="0.4" footer="0.5118110236220472"/>
  <pageSetup fitToHeight="1" fitToWidth="1" horizontalDpi="600" verticalDpi="600" orientation="portrait" paperSize="9" scale="52" r:id="rId1"/>
  <headerFooter alignWithMargins="0">
    <oddFooter>&amp;L&amp;F&amp;C&amp;D    &amp;T&amp;R&amp;A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01"/>
  <sheetViews>
    <sheetView showGridLines="0" zoomScale="80" zoomScaleNormal="80" zoomScalePageLayoutView="0" workbookViewId="0" topLeftCell="A1">
      <pane xSplit="3" ySplit="11" topLeftCell="D57" activePane="bottomRight" state="frozen"/>
      <selection pane="topLeft" activeCell="A9" sqref="A9:A12"/>
      <selection pane="topRight" activeCell="A9" sqref="A9:A12"/>
      <selection pane="bottomLeft" activeCell="A9" sqref="A9:A12"/>
      <selection pane="bottomRight" activeCell="L1" sqref="L1"/>
    </sheetView>
  </sheetViews>
  <sheetFormatPr defaultColWidth="10.625" defaultRowHeight="12.75"/>
  <cols>
    <col min="1" max="1" width="1.625" style="133" customWidth="1"/>
    <col min="2" max="2" width="9.125" style="281" customWidth="1"/>
    <col min="3" max="3" width="62.625" style="282" customWidth="1"/>
    <col min="4" max="7" width="21.00390625" style="282" customWidth="1"/>
    <col min="8" max="8" width="19.50390625" style="282" customWidth="1"/>
    <col min="9" max="9" width="21.00390625" style="285" customWidth="1"/>
    <col min="10" max="10" width="21.00390625" style="284" customWidth="1"/>
    <col min="11" max="11" width="20.125" style="284" customWidth="1"/>
    <col min="12" max="12" width="18.625" style="284" customWidth="1"/>
    <col min="13" max="13" width="22.00390625" style="534" customWidth="1"/>
    <col min="14" max="14" width="25.875" style="526" customWidth="1"/>
    <col min="15" max="16" width="24.50390625" style="526" customWidth="1"/>
    <col min="17" max="18" width="10.625" style="526" customWidth="1"/>
    <col min="19" max="16384" width="10.625" style="133" customWidth="1"/>
  </cols>
  <sheetData>
    <row r="1" spans="2:18" s="180" customFormat="1" ht="15.75">
      <c r="B1" s="181"/>
      <c r="C1" s="182"/>
      <c r="D1" s="182"/>
      <c r="E1" s="182"/>
      <c r="F1" s="182"/>
      <c r="G1" s="182"/>
      <c r="H1" s="182"/>
      <c r="I1" s="183"/>
      <c r="J1" s="184"/>
      <c r="K1" s="184"/>
      <c r="L1" s="185" t="s">
        <v>920</v>
      </c>
      <c r="M1" s="529"/>
      <c r="N1" s="511"/>
      <c r="O1" s="512"/>
      <c r="P1" s="512"/>
      <c r="Q1" s="512"/>
      <c r="R1" s="512"/>
    </row>
    <row r="2" spans="2:18" s="180" customFormat="1" ht="12.75">
      <c r="B2" s="181"/>
      <c r="C2" s="182"/>
      <c r="D2" s="182"/>
      <c r="E2" s="182"/>
      <c r="F2" s="182"/>
      <c r="G2" s="182"/>
      <c r="H2" s="182"/>
      <c r="I2" s="183"/>
      <c r="J2" s="469" t="s">
        <v>84</v>
      </c>
      <c r="K2" s="469"/>
      <c r="L2" s="233" t="s">
        <v>93</v>
      </c>
      <c r="M2" s="530"/>
      <c r="N2" s="512"/>
      <c r="O2" s="512"/>
      <c r="P2" s="512"/>
      <c r="Q2" s="512"/>
      <c r="R2" s="512"/>
    </row>
    <row r="3" spans="2:18" s="180" customFormat="1" ht="12.75">
      <c r="B3" s="186"/>
      <c r="C3" s="187"/>
      <c r="D3" s="187"/>
      <c r="E3" s="187"/>
      <c r="F3" s="187"/>
      <c r="G3" s="187"/>
      <c r="H3" s="187"/>
      <c r="I3" s="188"/>
      <c r="J3" s="189"/>
      <c r="K3" s="189"/>
      <c r="L3" s="189"/>
      <c r="M3" s="531"/>
      <c r="N3" s="513"/>
      <c r="O3" s="513"/>
      <c r="P3" s="513"/>
      <c r="Q3" s="512"/>
      <c r="R3" s="512"/>
    </row>
    <row r="4" spans="2:18" s="180" customFormat="1" ht="20.25">
      <c r="B4" s="2010" t="s">
        <v>648</v>
      </c>
      <c r="C4" s="2010"/>
      <c r="D4" s="2010"/>
      <c r="E4" s="2010"/>
      <c r="F4" s="2010"/>
      <c r="G4" s="2010"/>
      <c r="H4" s="2010"/>
      <c r="I4" s="2010"/>
      <c r="J4" s="2010"/>
      <c r="K4" s="2010"/>
      <c r="L4" s="2010"/>
      <c r="M4" s="514"/>
      <c r="N4" s="513"/>
      <c r="O4" s="513"/>
      <c r="P4" s="513"/>
      <c r="Q4" s="512"/>
      <c r="R4" s="512"/>
    </row>
    <row r="5" spans="2:18" s="180" customFormat="1" ht="20.25">
      <c r="B5" s="2010" t="s">
        <v>575</v>
      </c>
      <c r="C5" s="2010"/>
      <c r="D5" s="2010"/>
      <c r="E5" s="2010"/>
      <c r="F5" s="2010"/>
      <c r="G5" s="2010"/>
      <c r="H5" s="2010"/>
      <c r="I5" s="2010"/>
      <c r="J5" s="2010"/>
      <c r="K5" s="2010"/>
      <c r="L5" s="2010"/>
      <c r="M5" s="514"/>
      <c r="N5" s="513"/>
      <c r="O5" s="513"/>
      <c r="P5" s="513"/>
      <c r="Q5" s="512"/>
      <c r="R5" s="512"/>
    </row>
    <row r="6" spans="2:18" s="190" customFormat="1" ht="26.25" customHeight="1">
      <c r="B6" s="2028" t="s">
        <v>88</v>
      </c>
      <c r="C6" s="2028"/>
      <c r="D6" s="2028"/>
      <c r="E6" s="2028"/>
      <c r="F6" s="2028"/>
      <c r="G6" s="2028"/>
      <c r="H6" s="2028"/>
      <c r="I6" s="2028"/>
      <c r="J6" s="2028"/>
      <c r="K6" s="2028"/>
      <c r="L6" s="2028"/>
      <c r="M6" s="514"/>
      <c r="N6" s="513"/>
      <c r="O6" s="513"/>
      <c r="P6" s="513"/>
      <c r="Q6" s="515"/>
      <c r="R6" s="515"/>
    </row>
    <row r="7" spans="2:18" s="190" customFormat="1" ht="20.25" customHeight="1" thickBot="1">
      <c r="B7" s="470"/>
      <c r="C7" s="471"/>
      <c r="D7" s="471"/>
      <c r="E7" s="471"/>
      <c r="F7" s="471"/>
      <c r="G7" s="471"/>
      <c r="H7" s="471"/>
      <c r="I7" s="472"/>
      <c r="J7" s="473"/>
      <c r="K7" s="473"/>
      <c r="L7" s="474" t="s">
        <v>134</v>
      </c>
      <c r="M7" s="531"/>
      <c r="N7" s="513"/>
      <c r="O7" s="513"/>
      <c r="P7" s="513"/>
      <c r="Q7" s="515"/>
      <c r="R7" s="515"/>
    </row>
    <row r="8" spans="2:18" s="183" customFormat="1" ht="22.5" customHeight="1" thickBot="1">
      <c r="B8" s="2014" t="s">
        <v>94</v>
      </c>
      <c r="C8" s="2011" t="s">
        <v>125</v>
      </c>
      <c r="D8" s="2021" t="s">
        <v>70</v>
      </c>
      <c r="E8" s="2022"/>
      <c r="F8" s="2022"/>
      <c r="G8" s="2022"/>
      <c r="H8" s="2023"/>
      <c r="I8" s="2021" t="s">
        <v>71</v>
      </c>
      <c r="J8" s="2022"/>
      <c r="K8" s="2022"/>
      <c r="L8" s="2023"/>
      <c r="M8" s="528"/>
      <c r="N8" s="516"/>
      <c r="O8" s="516"/>
      <c r="P8" s="516"/>
      <c r="Q8" s="517"/>
      <c r="R8" s="517"/>
    </row>
    <row r="9" spans="2:18" s="183" customFormat="1" ht="15.75" customHeight="1">
      <c r="B9" s="2015"/>
      <c r="C9" s="2012"/>
      <c r="D9" s="2024" t="s">
        <v>75</v>
      </c>
      <c r="E9" s="2026" t="s">
        <v>424</v>
      </c>
      <c r="F9" s="2017" t="s">
        <v>159</v>
      </c>
      <c r="G9" s="2031" t="s">
        <v>576</v>
      </c>
      <c r="H9" s="2019" t="s">
        <v>76</v>
      </c>
      <c r="I9" s="2029" t="s">
        <v>85</v>
      </c>
      <c r="J9" s="2029" t="s">
        <v>72</v>
      </c>
      <c r="K9" s="2029" t="s">
        <v>73</v>
      </c>
      <c r="L9" s="2019" t="s">
        <v>74</v>
      </c>
      <c r="M9" s="518"/>
      <c r="N9" s="516"/>
      <c r="O9" s="516"/>
      <c r="P9" s="516"/>
      <c r="Q9" s="517"/>
      <c r="R9" s="517"/>
    </row>
    <row r="10" spans="2:18" s="183" customFormat="1" ht="48" customHeight="1" thickBot="1">
      <c r="B10" s="2016"/>
      <c r="C10" s="2013"/>
      <c r="D10" s="2025"/>
      <c r="E10" s="2027"/>
      <c r="F10" s="2018"/>
      <c r="G10" s="2032"/>
      <c r="H10" s="2020"/>
      <c r="I10" s="2030"/>
      <c r="J10" s="2030"/>
      <c r="K10" s="2030"/>
      <c r="L10" s="2020"/>
      <c r="M10" s="518" t="s">
        <v>221</v>
      </c>
      <c r="N10" s="517" t="s">
        <v>217</v>
      </c>
      <c r="O10" s="516" t="s">
        <v>218</v>
      </c>
      <c r="P10" s="516"/>
      <c r="Q10" s="517"/>
      <c r="R10" s="517"/>
    </row>
    <row r="11" spans="2:16" s="476" customFormat="1" ht="12" thickBot="1">
      <c r="B11" s="475">
        <v>1</v>
      </c>
      <c r="C11" s="475">
        <v>2</v>
      </c>
      <c r="D11" s="1175">
        <v>3</v>
      </c>
      <c r="E11" s="1176">
        <v>4</v>
      </c>
      <c r="F11" s="1345">
        <v>5</v>
      </c>
      <c r="G11" s="1352">
        <v>6</v>
      </c>
      <c r="H11" s="475">
        <v>7</v>
      </c>
      <c r="I11" s="535">
        <v>8</v>
      </c>
      <c r="J11" s="475">
        <v>9</v>
      </c>
      <c r="K11" s="535">
        <v>10</v>
      </c>
      <c r="L11" s="475">
        <v>11</v>
      </c>
      <c r="M11" s="514"/>
      <c r="O11" s="477"/>
      <c r="P11" s="477"/>
    </row>
    <row r="12" spans="2:18" s="183" customFormat="1" ht="18" customHeight="1">
      <c r="B12" s="478">
        <v>1</v>
      </c>
      <c r="C12" s="479" t="s">
        <v>203</v>
      </c>
      <c r="D12" s="507"/>
      <c r="E12" s="536"/>
      <c r="F12" s="505">
        <f>H12-D12-E12-G12</f>
        <v>731842</v>
      </c>
      <c r="G12" s="1353">
        <f>93945+4782</f>
        <v>98727</v>
      </c>
      <c r="H12" s="480">
        <f>L12</f>
        <v>830569</v>
      </c>
      <c r="I12" s="481">
        <f>L12*0.6</f>
        <v>498341.39999999997</v>
      </c>
      <c r="J12" s="506">
        <f>L12-I12</f>
        <v>332227.60000000003</v>
      </c>
      <c r="K12" s="482"/>
      <c r="L12" s="483">
        <f>hivatal1!E34</f>
        <v>830569</v>
      </c>
      <c r="M12" s="1041">
        <v>0.6</v>
      </c>
      <c r="N12" s="1042">
        <v>0.4</v>
      </c>
      <c r="O12" s="516"/>
      <c r="P12" s="516"/>
      <c r="Q12" s="517"/>
      <c r="R12" s="517"/>
    </row>
    <row r="13" spans="2:18" s="183" customFormat="1" ht="18" customHeight="1">
      <c r="B13" s="484">
        <f aca="true" t="shared" si="0" ref="B13:B30">B12+1</f>
        <v>2</v>
      </c>
      <c r="C13" s="479" t="s">
        <v>204</v>
      </c>
      <c r="D13" s="507"/>
      <c r="E13" s="536"/>
      <c r="F13" s="505">
        <f aca="true" t="shared" si="1" ref="F13:F31">H13-D13-E13-G13</f>
        <v>96757</v>
      </c>
      <c r="G13" s="1353"/>
      <c r="H13" s="480">
        <f aca="true" t="shared" si="2" ref="H13:H62">L13</f>
        <v>96757</v>
      </c>
      <c r="I13" s="481">
        <f>H13-J13</f>
        <v>88774</v>
      </c>
      <c r="J13" s="506">
        <v>7983</v>
      </c>
      <c r="K13" s="485"/>
      <c r="L13" s="483">
        <f>hivatal1!H34</f>
        <v>96757</v>
      </c>
      <c r="M13" s="532"/>
      <c r="N13" s="516" t="s">
        <v>220</v>
      </c>
      <c r="O13" s="516"/>
      <c r="P13" s="516"/>
      <c r="Q13" s="517"/>
      <c r="R13" s="517"/>
    </row>
    <row r="14" spans="2:18" s="183" customFormat="1" ht="18" customHeight="1">
      <c r="B14" s="484">
        <f t="shared" si="0"/>
        <v>3</v>
      </c>
      <c r="C14" s="479" t="s">
        <v>135</v>
      </c>
      <c r="D14" s="507"/>
      <c r="E14" s="536"/>
      <c r="F14" s="505">
        <f t="shared" si="1"/>
        <v>110865</v>
      </c>
      <c r="G14" s="1353">
        <f>26861+96803+800+50000+20000+14884</f>
        <v>209348</v>
      </c>
      <c r="H14" s="480">
        <f t="shared" si="2"/>
        <v>320213</v>
      </c>
      <c r="I14" s="481">
        <f>L14-J14</f>
        <v>308738</v>
      </c>
      <c r="J14" s="506">
        <f>'[4]Kerületi feladatok'!$T$29+'[4]Kerületi feladatok'!$T$30+'[4]Kerületi feladatok'!$T$31+'[4]Kerületi feladatok'!$T$33+'[4]Kerületi feladatok'!$I$19</f>
        <v>11475</v>
      </c>
      <c r="K14" s="485"/>
      <c r="L14" s="483">
        <f>hivatal1!K34</f>
        <v>320213</v>
      </c>
      <c r="M14" s="532"/>
      <c r="N14" s="516" t="s">
        <v>487</v>
      </c>
      <c r="O14" s="516"/>
      <c r="P14" s="516"/>
      <c r="Q14" s="517"/>
      <c r="R14" s="517"/>
    </row>
    <row r="15" spans="2:18" s="183" customFormat="1" ht="18" customHeight="1">
      <c r="B15" s="484">
        <f t="shared" si="0"/>
        <v>4</v>
      </c>
      <c r="C15" s="479" t="s">
        <v>136</v>
      </c>
      <c r="D15" s="507"/>
      <c r="E15" s="536"/>
      <c r="F15" s="505">
        <f t="shared" si="1"/>
        <v>106179</v>
      </c>
      <c r="G15" s="1353">
        <f>42825+53699</f>
        <v>96524</v>
      </c>
      <c r="H15" s="480">
        <f t="shared" si="2"/>
        <v>202703</v>
      </c>
      <c r="I15" s="481"/>
      <c r="J15" s="506">
        <f aca="true" t="shared" si="3" ref="J15:J64">L15-I15-K15</f>
        <v>202703</v>
      </c>
      <c r="K15" s="485"/>
      <c r="L15" s="483">
        <f>hivatal1!N34</f>
        <v>202703</v>
      </c>
      <c r="M15" s="532"/>
      <c r="N15" s="516"/>
      <c r="O15" s="516"/>
      <c r="P15" s="516"/>
      <c r="Q15" s="517"/>
      <c r="R15" s="517"/>
    </row>
    <row r="16" spans="2:18" s="487" customFormat="1" ht="18" customHeight="1">
      <c r="B16" s="484">
        <f t="shared" si="0"/>
        <v>5</v>
      </c>
      <c r="C16" s="479" t="s">
        <v>205</v>
      </c>
      <c r="D16" s="507"/>
      <c r="E16" s="536"/>
      <c r="F16" s="505">
        <f t="shared" si="1"/>
        <v>123550</v>
      </c>
      <c r="G16" s="1353">
        <f>76+3000</f>
        <v>3076</v>
      </c>
      <c r="H16" s="480">
        <f t="shared" si="2"/>
        <v>126626</v>
      </c>
      <c r="I16" s="481"/>
      <c r="J16" s="506">
        <f t="shared" si="3"/>
        <v>126626</v>
      </c>
      <c r="K16" s="486"/>
      <c r="L16" s="483">
        <f>hivatal1!Q34</f>
        <v>126626</v>
      </c>
      <c r="M16" s="532"/>
      <c r="N16" s="513"/>
      <c r="O16" s="513"/>
      <c r="P16" s="513"/>
      <c r="Q16" s="515"/>
      <c r="R16" s="515"/>
    </row>
    <row r="17" spans="2:18" s="487" customFormat="1" ht="18" customHeight="1">
      <c r="B17" s="484">
        <f t="shared" si="0"/>
        <v>6</v>
      </c>
      <c r="C17" s="479" t="s">
        <v>137</v>
      </c>
      <c r="D17" s="507"/>
      <c r="E17" s="536"/>
      <c r="F17" s="505">
        <f t="shared" si="1"/>
        <v>116321</v>
      </c>
      <c r="G17" s="1353">
        <f>19419+9000</f>
        <v>28419</v>
      </c>
      <c r="H17" s="480">
        <f t="shared" si="2"/>
        <v>144740</v>
      </c>
      <c r="I17" s="481">
        <f>L17-J17</f>
        <v>89070</v>
      </c>
      <c r="J17" s="506">
        <f>'[4]Sajtó'!$E$20+'[4]Sajtó'!$E$21+'[4]Sajtó'!$E$22</f>
        <v>55670</v>
      </c>
      <c r="K17" s="486"/>
      <c r="L17" s="483">
        <f>hivatal2!E34</f>
        <v>144740</v>
      </c>
      <c r="M17" s="532" t="s">
        <v>224</v>
      </c>
      <c r="N17" s="513"/>
      <c r="O17" s="513"/>
      <c r="P17" s="513"/>
      <c r="Q17" s="515"/>
      <c r="R17" s="515"/>
    </row>
    <row r="18" spans="2:18" s="487" customFormat="1" ht="18" customHeight="1">
      <c r="B18" s="484">
        <f t="shared" si="0"/>
        <v>7</v>
      </c>
      <c r="C18" s="479" t="s">
        <v>138</v>
      </c>
      <c r="D18" s="508"/>
      <c r="E18" s="537"/>
      <c r="F18" s="505">
        <f t="shared" si="1"/>
        <v>20200</v>
      </c>
      <c r="G18" s="1353">
        <f>59+9807</f>
        <v>9866</v>
      </c>
      <c r="H18" s="480">
        <f t="shared" si="2"/>
        <v>30066</v>
      </c>
      <c r="I18" s="481">
        <f>H18</f>
        <v>30066</v>
      </c>
      <c r="J18" s="506"/>
      <c r="K18" s="486"/>
      <c r="L18" s="483">
        <f>hivatal2!H34</f>
        <v>30066</v>
      </c>
      <c r="M18" s="532" t="s">
        <v>324</v>
      </c>
      <c r="N18" s="513"/>
      <c r="O18" s="513"/>
      <c r="P18" s="513"/>
      <c r="Q18" s="515"/>
      <c r="R18" s="515"/>
    </row>
    <row r="19" spans="2:18" s="487" customFormat="1" ht="18" customHeight="1">
      <c r="B19" s="484">
        <f t="shared" si="0"/>
        <v>8</v>
      </c>
      <c r="C19" s="479" t="s">
        <v>140</v>
      </c>
      <c r="D19" s="507"/>
      <c r="E19" s="536"/>
      <c r="F19" s="505">
        <f t="shared" si="1"/>
        <v>10146</v>
      </c>
      <c r="G19" s="1353"/>
      <c r="H19" s="480">
        <f t="shared" si="2"/>
        <v>10146</v>
      </c>
      <c r="I19" s="481"/>
      <c r="J19" s="506">
        <f t="shared" si="3"/>
        <v>10146</v>
      </c>
      <c r="K19" s="486"/>
      <c r="L19" s="483">
        <f>hivatal2!K34</f>
        <v>10146</v>
      </c>
      <c r="M19" s="532"/>
      <c r="N19" s="513"/>
      <c r="O19" s="513"/>
      <c r="P19" s="513"/>
      <c r="Q19" s="515"/>
      <c r="R19" s="515"/>
    </row>
    <row r="20" spans="2:18" s="487" customFormat="1" ht="18" customHeight="1">
      <c r="B20" s="484">
        <f t="shared" si="0"/>
        <v>9</v>
      </c>
      <c r="C20" s="479" t="s">
        <v>141</v>
      </c>
      <c r="D20" s="507"/>
      <c r="E20" s="536"/>
      <c r="F20" s="505">
        <f t="shared" si="1"/>
        <v>15524</v>
      </c>
      <c r="G20" s="1353">
        <v>2844</v>
      </c>
      <c r="H20" s="480">
        <f t="shared" si="2"/>
        <v>18368</v>
      </c>
      <c r="I20" s="481"/>
      <c r="J20" s="506">
        <f t="shared" si="3"/>
        <v>18368</v>
      </c>
      <c r="K20" s="486"/>
      <c r="L20" s="483">
        <f>hivatal2!N34</f>
        <v>18368</v>
      </c>
      <c r="M20" s="532"/>
      <c r="N20" s="513"/>
      <c r="O20" s="513"/>
      <c r="P20" s="513"/>
      <c r="Q20" s="515"/>
      <c r="R20" s="515"/>
    </row>
    <row r="21" spans="2:18" s="487" customFormat="1" ht="18" customHeight="1">
      <c r="B21" s="484">
        <f t="shared" si="0"/>
        <v>10</v>
      </c>
      <c r="C21" s="479" t="s">
        <v>425</v>
      </c>
      <c r="D21" s="507"/>
      <c r="E21" s="536"/>
      <c r="F21" s="977">
        <f t="shared" si="1"/>
        <v>41568</v>
      </c>
      <c r="G21" s="1354">
        <f>17501+2000</f>
        <v>19501</v>
      </c>
      <c r="H21" s="480">
        <f t="shared" si="2"/>
        <v>61069</v>
      </c>
      <c r="I21" s="481">
        <f>'[4]Egészségügy és szoc fa-ok'!$T$16+'[4]Egészségügy és szoc fa-ok'!$T$17+'[4]Egészségügy és szoc fa-ok'!$T$18+'[4]Egészségügy és szoc fa-ok'!$T$19+'[4]Egészségügy és szoc fa-ok'!$T$20</f>
        <v>59069</v>
      </c>
      <c r="J21" s="506">
        <f t="shared" si="3"/>
        <v>2000</v>
      </c>
      <c r="K21" s="486"/>
      <c r="L21" s="489">
        <f>hivatal2!Q34</f>
        <v>61069</v>
      </c>
      <c r="M21" s="532" t="s">
        <v>323</v>
      </c>
      <c r="N21" s="513"/>
      <c r="O21" s="513"/>
      <c r="P21" s="513"/>
      <c r="Q21" s="515"/>
      <c r="R21" s="515"/>
    </row>
    <row r="22" spans="2:18" s="487" customFormat="1" ht="18" customHeight="1">
      <c r="B22" s="484">
        <f t="shared" si="0"/>
        <v>11</v>
      </c>
      <c r="C22" s="560" t="s">
        <v>430</v>
      </c>
      <c r="D22" s="985"/>
      <c r="E22" s="562"/>
      <c r="F22" s="567">
        <f t="shared" si="1"/>
        <v>106200</v>
      </c>
      <c r="G22" s="1355">
        <f>26256+3900</f>
        <v>30156</v>
      </c>
      <c r="H22" s="495">
        <f t="shared" si="2"/>
        <v>136356</v>
      </c>
      <c r="I22" s="564">
        <f>H22-J22</f>
        <v>128141</v>
      </c>
      <c r="J22" s="565">
        <f>'[4]Önkormányzati segély'!$T$27</f>
        <v>8215</v>
      </c>
      <c r="K22" s="566"/>
      <c r="L22" s="483">
        <f>hivatal3!E34</f>
        <v>136356</v>
      </c>
      <c r="M22" s="532"/>
      <c r="N22" s="513" t="s">
        <v>483</v>
      </c>
      <c r="O22" s="513"/>
      <c r="P22" s="513"/>
      <c r="Q22" s="515"/>
      <c r="R22" s="515"/>
    </row>
    <row r="23" spans="2:18" s="487" customFormat="1" ht="18" customHeight="1">
      <c r="B23" s="484">
        <f t="shared" si="0"/>
        <v>12</v>
      </c>
      <c r="C23" s="560" t="str">
        <f>hivatal3!F7</f>
        <v>Szociális feladatellátás</v>
      </c>
      <c r="D23" s="561"/>
      <c r="E23" s="562"/>
      <c r="F23" s="567">
        <f t="shared" si="1"/>
        <v>82152</v>
      </c>
      <c r="G23" s="1355">
        <v>22780</v>
      </c>
      <c r="H23" s="495">
        <f t="shared" si="2"/>
        <v>104932</v>
      </c>
      <c r="I23" s="564">
        <f>'[4]Szociális feladatell.'!$T$16+'[4]Szociális feladatell.'!$T$20+'[4]Szociális feladatell.'!$T$21+'[4]Szociális feladatell.'!$T$23</f>
        <v>21502</v>
      </c>
      <c r="J23" s="565">
        <f t="shared" si="3"/>
        <v>83430</v>
      </c>
      <c r="K23" s="566"/>
      <c r="L23" s="483">
        <f>hivatal3!H34</f>
        <v>104932</v>
      </c>
      <c r="M23" s="532" t="s">
        <v>489</v>
      </c>
      <c r="N23" s="513" t="s">
        <v>488</v>
      </c>
      <c r="O23" s="513"/>
      <c r="P23" s="513"/>
      <c r="Q23" s="515"/>
      <c r="R23" s="515"/>
    </row>
    <row r="24" spans="2:18" s="487" customFormat="1" ht="18" customHeight="1">
      <c r="B24" s="484">
        <f t="shared" si="0"/>
        <v>13</v>
      </c>
      <c r="C24" s="560" t="s">
        <v>78</v>
      </c>
      <c r="D24" s="561"/>
      <c r="E24" s="562"/>
      <c r="F24" s="563">
        <f t="shared" si="1"/>
        <v>4200</v>
      </c>
      <c r="G24" s="1356">
        <v>2000</v>
      </c>
      <c r="H24" s="495">
        <f t="shared" si="2"/>
        <v>6200</v>
      </c>
      <c r="I24" s="564"/>
      <c r="J24" s="565">
        <f t="shared" si="3"/>
        <v>6200</v>
      </c>
      <c r="K24" s="566"/>
      <c r="L24" s="483">
        <f>hivatal3!K34</f>
        <v>6200</v>
      </c>
      <c r="M24" s="532" t="s">
        <v>225</v>
      </c>
      <c r="N24" s="513"/>
      <c r="O24" s="513"/>
      <c r="P24" s="513"/>
      <c r="Q24" s="515"/>
      <c r="R24" s="515"/>
    </row>
    <row r="25" spans="2:18" s="487" customFormat="1" ht="18" customHeight="1">
      <c r="B25" s="484">
        <f t="shared" si="0"/>
        <v>14</v>
      </c>
      <c r="C25" s="479" t="s">
        <v>193</v>
      </c>
      <c r="D25" s="507"/>
      <c r="E25" s="536"/>
      <c r="F25" s="505">
        <f t="shared" si="1"/>
        <v>15000</v>
      </c>
      <c r="G25" s="1353"/>
      <c r="H25" s="480">
        <f t="shared" si="2"/>
        <v>15000</v>
      </c>
      <c r="I25" s="481"/>
      <c r="J25" s="506">
        <f t="shared" si="3"/>
        <v>15000</v>
      </c>
      <c r="K25" s="486"/>
      <c r="L25" s="483">
        <f>hivatal3!N34</f>
        <v>15000</v>
      </c>
      <c r="M25" s="532"/>
      <c r="N25" s="513"/>
      <c r="O25" s="513"/>
      <c r="P25" s="513"/>
      <c r="Q25" s="515"/>
      <c r="R25" s="515"/>
    </row>
    <row r="26" spans="2:18" s="487" customFormat="1" ht="18" customHeight="1">
      <c r="B26" s="484">
        <f t="shared" si="0"/>
        <v>15</v>
      </c>
      <c r="C26" s="479" t="s">
        <v>637</v>
      </c>
      <c r="D26" s="507"/>
      <c r="E26" s="536"/>
      <c r="F26" s="505">
        <f t="shared" si="1"/>
        <v>7991</v>
      </c>
      <c r="G26" s="1353"/>
      <c r="H26" s="480">
        <f t="shared" si="2"/>
        <v>7991</v>
      </c>
      <c r="I26" s="481">
        <v>2000</v>
      </c>
      <c r="J26" s="506">
        <f t="shared" si="3"/>
        <v>5991</v>
      </c>
      <c r="K26" s="486"/>
      <c r="L26" s="483">
        <f>hivatal3!Q34</f>
        <v>7991</v>
      </c>
      <c r="M26" s="532"/>
      <c r="N26" s="513"/>
      <c r="O26" s="513"/>
      <c r="P26" s="513"/>
      <c r="Q26" s="515"/>
      <c r="R26" s="515"/>
    </row>
    <row r="27" spans="2:18" s="487" customFormat="1" ht="18" customHeight="1">
      <c r="B27" s="484">
        <f t="shared" si="0"/>
        <v>16</v>
      </c>
      <c r="C27" s="479" t="s">
        <v>478</v>
      </c>
      <c r="D27" s="507"/>
      <c r="E27" s="536"/>
      <c r="F27" s="505">
        <f t="shared" si="1"/>
        <v>22000</v>
      </c>
      <c r="G27" s="1353">
        <v>4331</v>
      </c>
      <c r="H27" s="480">
        <f t="shared" si="2"/>
        <v>26331</v>
      </c>
      <c r="I27" s="481"/>
      <c r="J27" s="506">
        <f>L27</f>
        <v>26331</v>
      </c>
      <c r="K27" s="486"/>
      <c r="L27" s="483">
        <f>hivatal4!E34</f>
        <v>26331</v>
      </c>
      <c r="M27" s="532"/>
      <c r="N27" s="513"/>
      <c r="O27" s="513"/>
      <c r="P27" s="513"/>
      <c r="Q27" s="515"/>
      <c r="R27" s="515"/>
    </row>
    <row r="28" spans="2:18" s="487" customFormat="1" ht="18" customHeight="1">
      <c r="B28" s="484">
        <f t="shared" si="0"/>
        <v>17</v>
      </c>
      <c r="C28" s="479" t="s">
        <v>325</v>
      </c>
      <c r="D28" s="507"/>
      <c r="E28" s="536"/>
      <c r="F28" s="505">
        <f t="shared" si="1"/>
        <v>36460</v>
      </c>
      <c r="G28" s="1353">
        <f>8336+25000</f>
        <v>33336</v>
      </c>
      <c r="H28" s="480">
        <f t="shared" si="2"/>
        <v>69796</v>
      </c>
      <c r="I28" s="481">
        <f>L28-J28-K28</f>
        <v>64048</v>
      </c>
      <c r="J28" s="506">
        <f>'[4]Városrendezés'!$T$15+'[4]Városrendezés'!$T$18+'[4]Városrendezés'!$T$23+'[4]Városrendezés'!$T$24+'[4]Városrendezés'!$T$25+'[4]Városrendezés'!$T$26</f>
        <v>5748</v>
      </c>
      <c r="K28" s="486"/>
      <c r="L28" s="483">
        <f>hivatal4!H34</f>
        <v>69796</v>
      </c>
      <c r="M28" s="532"/>
      <c r="N28" s="513" t="s">
        <v>484</v>
      </c>
      <c r="O28" s="513"/>
      <c r="P28" s="513"/>
      <c r="Q28" s="515"/>
      <c r="R28" s="515"/>
    </row>
    <row r="29" spans="2:18" s="487" customFormat="1" ht="18" customHeight="1">
      <c r="B29" s="484">
        <f t="shared" si="0"/>
        <v>18</v>
      </c>
      <c r="C29" s="479" t="s">
        <v>79</v>
      </c>
      <c r="D29" s="507"/>
      <c r="E29" s="536"/>
      <c r="F29" s="505">
        <f t="shared" si="1"/>
        <v>42196</v>
      </c>
      <c r="G29" s="1353">
        <f>47000+76134+23000</f>
        <v>146134</v>
      </c>
      <c r="H29" s="480">
        <f t="shared" si="2"/>
        <v>188330</v>
      </c>
      <c r="I29" s="481">
        <f>'[4]Kártalanítás, utcamegnyitás'!$T$15</f>
        <v>175330</v>
      </c>
      <c r="J29" s="506">
        <f t="shared" si="3"/>
        <v>13000</v>
      </c>
      <c r="K29" s="486"/>
      <c r="L29" s="483">
        <f>hivatal4!K34</f>
        <v>188330</v>
      </c>
      <c r="M29" s="532" t="s">
        <v>226</v>
      </c>
      <c r="N29" s="513"/>
      <c r="O29" s="513"/>
      <c r="P29" s="513"/>
      <c r="Q29" s="515"/>
      <c r="R29" s="515"/>
    </row>
    <row r="30" spans="2:18" s="487" customFormat="1" ht="18" customHeight="1">
      <c r="B30" s="484">
        <f t="shared" si="0"/>
        <v>19</v>
      </c>
      <c r="C30" s="479" t="s">
        <v>61</v>
      </c>
      <c r="D30" s="507"/>
      <c r="E30" s="536"/>
      <c r="F30" s="505">
        <f t="shared" si="1"/>
        <v>701814</v>
      </c>
      <c r="G30" s="1353">
        <f>20839+269682+10000+1300</f>
        <v>301821</v>
      </c>
      <c r="H30" s="480">
        <f>L30</f>
        <v>1003635</v>
      </c>
      <c r="I30" s="481">
        <f>L30-J30-K30</f>
        <v>744905</v>
      </c>
      <c r="J30" s="506">
        <f>'[4]Vagyongazdálkodás'!$T$11+'[4]Vagyongazdálkodás'!$T$31+'[4]Vagyongazdálkodás'!$T$32+'[4]Vagyongazdálkodás'!$T$33+'[4]Vagyongazdálkodás'!$T$34+'[4]Vagyongazdálkodás'!$T$35+'[4]Vagyongazdálkodás'!$T$38+'[4]Vagyongazdálkodás'!$T$39+'[4]Vagyongazdálkodás'!$T$40+'[4]Vagyongazdálkodás'!$T$41+'[4]Vagyongazdálkodás'!$T$42</f>
        <v>258730</v>
      </c>
      <c r="K30" s="486"/>
      <c r="L30" s="483">
        <f>hivatal4!N34</f>
        <v>1003635</v>
      </c>
      <c r="M30" s="532"/>
      <c r="N30" s="513" t="s">
        <v>485</v>
      </c>
      <c r="O30" s="513"/>
      <c r="P30" s="513"/>
      <c r="Q30" s="515"/>
      <c r="R30" s="515"/>
    </row>
    <row r="31" spans="2:18" s="487" customFormat="1" ht="18" customHeight="1" thickBot="1">
      <c r="B31" s="559">
        <v>20</v>
      </c>
      <c r="C31" s="560" t="s">
        <v>522</v>
      </c>
      <c r="D31" s="561"/>
      <c r="E31" s="562"/>
      <c r="F31" s="505">
        <f t="shared" si="1"/>
        <v>0</v>
      </c>
      <c r="G31" s="1353"/>
      <c r="H31" s="480">
        <f>L31</f>
        <v>0</v>
      </c>
      <c r="I31" s="564"/>
      <c r="J31" s="564"/>
      <c r="K31" s="566"/>
      <c r="L31" s="483">
        <f>hivatal4!Q34</f>
        <v>0</v>
      </c>
      <c r="M31" s="532"/>
      <c r="N31" s="513"/>
      <c r="O31" s="513"/>
      <c r="P31" s="513"/>
      <c r="Q31" s="515"/>
      <c r="R31" s="515"/>
    </row>
    <row r="32" spans="2:18" s="487" customFormat="1" ht="18" customHeight="1">
      <c r="B32" s="478">
        <v>21</v>
      </c>
      <c r="C32" s="1243" t="s">
        <v>86</v>
      </c>
      <c r="D32" s="575"/>
      <c r="E32" s="576"/>
      <c r="F32" s="1346"/>
      <c r="G32" s="1357"/>
      <c r="H32" s="577"/>
      <c r="I32" s="577"/>
      <c r="J32" s="1252"/>
      <c r="K32" s="1249"/>
      <c r="L32" s="578"/>
      <c r="M32" s="532"/>
      <c r="N32" s="519">
        <v>1444932</v>
      </c>
      <c r="O32" s="513"/>
      <c r="P32" s="513"/>
      <c r="Q32" s="515"/>
      <c r="R32" s="515"/>
    </row>
    <row r="33" spans="2:18" s="183" customFormat="1" ht="18" customHeight="1">
      <c r="B33" s="488"/>
      <c r="C33" s="1244" t="s">
        <v>504</v>
      </c>
      <c r="D33" s="509"/>
      <c r="E33" s="538"/>
      <c r="F33" s="505">
        <f aca="true" t="shared" si="4" ref="F33:F62">H33-D33-E33-G33</f>
        <v>295073</v>
      </c>
      <c r="G33" s="1353">
        <f>18799+259720+8000+10000+90000+55000+26000-67611</f>
        <v>399908</v>
      </c>
      <c r="H33" s="480">
        <f>L33</f>
        <v>694981</v>
      </c>
      <c r="I33" s="481">
        <f>H33</f>
        <v>694981</v>
      </c>
      <c r="J33" s="506">
        <f t="shared" si="3"/>
        <v>0</v>
      </c>
      <c r="K33" s="1250"/>
      <c r="L33" s="489">
        <f>'[4]Városüzemeltetés'!$T$37</f>
        <v>694981</v>
      </c>
      <c r="M33" s="532"/>
      <c r="N33" s="516"/>
      <c r="O33" s="516"/>
      <c r="P33" s="516"/>
      <c r="Q33" s="517"/>
      <c r="R33" s="517"/>
    </row>
    <row r="34" spans="2:18" s="183" customFormat="1" ht="18" customHeight="1">
      <c r="B34" s="490"/>
      <c r="C34" s="1244" t="s">
        <v>211</v>
      </c>
      <c r="D34" s="509"/>
      <c r="E34" s="538"/>
      <c r="F34" s="505">
        <f t="shared" si="4"/>
        <v>3000</v>
      </c>
      <c r="G34" s="1353">
        <f>18039+1943+15020</f>
        <v>35002</v>
      </c>
      <c r="H34" s="480">
        <f t="shared" si="2"/>
        <v>38002</v>
      </c>
      <c r="I34" s="481"/>
      <c r="J34" s="506">
        <f t="shared" si="3"/>
        <v>38002</v>
      </c>
      <c r="K34" s="1250"/>
      <c r="L34" s="489">
        <f>'[4]Városüzemeltetés'!$T$40</f>
        <v>38002</v>
      </c>
      <c r="M34" s="532"/>
      <c r="N34" s="516" t="s">
        <v>491</v>
      </c>
      <c r="O34" s="516"/>
      <c r="P34" s="516"/>
      <c r="Q34" s="517"/>
      <c r="R34" s="517"/>
    </row>
    <row r="35" spans="2:18" s="183" customFormat="1" ht="18" customHeight="1">
      <c r="B35" s="490"/>
      <c r="C35" s="1244" t="s">
        <v>210</v>
      </c>
      <c r="D35" s="509"/>
      <c r="E35" s="538"/>
      <c r="F35" s="505">
        <f t="shared" si="4"/>
        <v>30000</v>
      </c>
      <c r="G35" s="1353">
        <f>12836+4633</f>
        <v>17469</v>
      </c>
      <c r="H35" s="480">
        <f t="shared" si="2"/>
        <v>47469</v>
      </c>
      <c r="I35" s="481">
        <f>H35</f>
        <v>47469</v>
      </c>
      <c r="J35" s="506">
        <f t="shared" si="3"/>
        <v>0</v>
      </c>
      <c r="K35" s="1250"/>
      <c r="L35" s="489">
        <f>'[4]Városüzemeltetés'!$T$44</f>
        <v>47469</v>
      </c>
      <c r="M35" s="532"/>
      <c r="N35" s="516"/>
      <c r="O35" s="516"/>
      <c r="P35" s="516"/>
      <c r="Q35" s="517"/>
      <c r="R35" s="517"/>
    </row>
    <row r="36" spans="2:18" s="183" customFormat="1" ht="18" customHeight="1">
      <c r="B36" s="490"/>
      <c r="C36" s="1244" t="s">
        <v>474</v>
      </c>
      <c r="D36" s="509"/>
      <c r="E36" s="538"/>
      <c r="F36" s="505">
        <f t="shared" si="4"/>
        <v>5994</v>
      </c>
      <c r="G36" s="1353">
        <v>771</v>
      </c>
      <c r="H36" s="480">
        <f t="shared" si="2"/>
        <v>6765</v>
      </c>
      <c r="I36" s="481">
        <f>H36</f>
        <v>6765</v>
      </c>
      <c r="J36" s="506">
        <f t="shared" si="3"/>
        <v>0</v>
      </c>
      <c r="K36" s="1250"/>
      <c r="L36" s="489">
        <f>'[4]Városüzemeltetés'!$T$48</f>
        <v>6765</v>
      </c>
      <c r="M36" s="532"/>
      <c r="N36" s="516"/>
      <c r="O36" s="516"/>
      <c r="P36" s="516"/>
      <c r="Q36" s="517"/>
      <c r="R36" s="517"/>
    </row>
    <row r="37" spans="2:18" s="183" customFormat="1" ht="18" customHeight="1">
      <c r="B37" s="490"/>
      <c r="C37" s="1244" t="s">
        <v>212</v>
      </c>
      <c r="D37" s="509"/>
      <c r="E37" s="538"/>
      <c r="F37" s="505">
        <f t="shared" si="4"/>
        <v>12500</v>
      </c>
      <c r="G37" s="1353">
        <f>22478+2171+6629</f>
        <v>31278</v>
      </c>
      <c r="H37" s="480">
        <f t="shared" si="2"/>
        <v>43778</v>
      </c>
      <c r="I37" s="481"/>
      <c r="J37" s="506">
        <f>L37</f>
        <v>43778</v>
      </c>
      <c r="K37" s="1250"/>
      <c r="L37" s="489">
        <f>'[4]Városüzemeltetés'!$T$52</f>
        <v>43778</v>
      </c>
      <c r="M37" s="532"/>
      <c r="N37" s="520" t="s">
        <v>491</v>
      </c>
      <c r="O37" s="516"/>
      <c r="P37" s="516"/>
      <c r="Q37" s="517"/>
      <c r="R37" s="517"/>
    </row>
    <row r="38" spans="2:18" s="183" customFormat="1" ht="18" customHeight="1">
      <c r="B38" s="490"/>
      <c r="C38" s="1244" t="s">
        <v>475</v>
      </c>
      <c r="D38" s="509">
        <f>1136400+930200</f>
        <v>2066600</v>
      </c>
      <c r="E38" s="538"/>
      <c r="F38" s="505">
        <f t="shared" si="4"/>
        <v>17959</v>
      </c>
      <c r="G38" s="1353">
        <f>20224+404440+435464+47596+62708+150000+177440+54964+73461-27339+1710</f>
        <v>1400668</v>
      </c>
      <c r="H38" s="480">
        <f t="shared" si="2"/>
        <v>3485227</v>
      </c>
      <c r="I38" s="481"/>
      <c r="J38" s="506">
        <f t="shared" si="3"/>
        <v>3485227</v>
      </c>
      <c r="K38" s="1250"/>
      <c r="L38" s="489">
        <f>'[4]Városüzemeltetés'!$T$107</f>
        <v>3485227</v>
      </c>
      <c r="M38" s="532"/>
      <c r="N38" s="516"/>
      <c r="O38" s="516"/>
      <c r="P38" s="516"/>
      <c r="Q38" s="517"/>
      <c r="R38" s="517"/>
    </row>
    <row r="39" spans="2:18" s="183" customFormat="1" ht="18" customHeight="1">
      <c r="B39" s="490"/>
      <c r="C39" s="1244" t="s">
        <v>476</v>
      </c>
      <c r="D39" s="509"/>
      <c r="E39" s="538"/>
      <c r="F39" s="505">
        <f t="shared" si="4"/>
        <v>60802</v>
      </c>
      <c r="G39" s="1353">
        <v>279</v>
      </c>
      <c r="H39" s="480">
        <f>L39</f>
        <v>61081</v>
      </c>
      <c r="I39" s="481">
        <f>L39</f>
        <v>61081</v>
      </c>
      <c r="J39" s="506">
        <f>L39-I39-K39</f>
        <v>0</v>
      </c>
      <c r="K39" s="1250"/>
      <c r="L39" s="489">
        <f>'[4]Városüzemeltetés'!$V$122</f>
        <v>61081</v>
      </c>
      <c r="M39" s="532"/>
      <c r="N39" s="516"/>
      <c r="O39" s="516"/>
      <c r="P39" s="516"/>
      <c r="Q39" s="517"/>
      <c r="R39" s="517"/>
    </row>
    <row r="40" spans="2:18" s="183" customFormat="1" ht="18" customHeight="1">
      <c r="B40" s="490"/>
      <c r="C40" s="1244" t="s">
        <v>477</v>
      </c>
      <c r="D40" s="509"/>
      <c r="E40" s="538"/>
      <c r="F40" s="505">
        <f t="shared" si="4"/>
        <v>69417</v>
      </c>
      <c r="G40" s="1353">
        <f>5483+113749+3468</f>
        <v>122700</v>
      </c>
      <c r="H40" s="480">
        <f>L40</f>
        <v>192117</v>
      </c>
      <c r="I40" s="481">
        <f>L40</f>
        <v>192117</v>
      </c>
      <c r="J40" s="506">
        <f>L40-I40-K40</f>
        <v>0</v>
      </c>
      <c r="K40" s="1250"/>
      <c r="L40" s="489">
        <f>'[4]Városüzemeltetés'!$V$117</f>
        <v>192117</v>
      </c>
      <c r="M40" s="532"/>
      <c r="N40" s="516"/>
      <c r="O40" s="516"/>
      <c r="P40" s="516"/>
      <c r="Q40" s="517"/>
      <c r="R40" s="517"/>
    </row>
    <row r="41" spans="2:18" s="183" customFormat="1" ht="18" customHeight="1">
      <c r="B41" s="490"/>
      <c r="C41" s="1244" t="s">
        <v>481</v>
      </c>
      <c r="D41" s="509"/>
      <c r="E41" s="538"/>
      <c r="F41" s="505">
        <f t="shared" si="4"/>
        <v>13738</v>
      </c>
      <c r="G41" s="1353">
        <f>2487+40287</f>
        <v>42774</v>
      </c>
      <c r="H41" s="480">
        <f>L41</f>
        <v>56512</v>
      </c>
      <c r="I41" s="481">
        <f>L41</f>
        <v>56512</v>
      </c>
      <c r="J41" s="506">
        <f>L41-I41-K41</f>
        <v>0</v>
      </c>
      <c r="K41" s="1250"/>
      <c r="L41" s="489">
        <f>'[4]Városüzemeltetés'!$V$127</f>
        <v>56512</v>
      </c>
      <c r="M41" s="532"/>
      <c r="N41" s="516"/>
      <c r="O41" s="516"/>
      <c r="P41" s="516"/>
      <c r="Q41" s="517"/>
      <c r="R41" s="517"/>
    </row>
    <row r="42" spans="2:18" s="183" customFormat="1" ht="18" customHeight="1">
      <c r="B42" s="490"/>
      <c r="C42" s="1244" t="s">
        <v>482</v>
      </c>
      <c r="D42" s="509"/>
      <c r="E42" s="538"/>
      <c r="F42" s="505">
        <f t="shared" si="4"/>
        <v>19833</v>
      </c>
      <c r="G42" s="1353">
        <f>18272+1996</f>
        <v>20268</v>
      </c>
      <c r="H42" s="480">
        <f t="shared" si="2"/>
        <v>40101</v>
      </c>
      <c r="I42" s="481">
        <f>L42</f>
        <v>40101</v>
      </c>
      <c r="J42" s="506">
        <f t="shared" si="3"/>
        <v>0</v>
      </c>
      <c r="K42" s="1250"/>
      <c r="L42" s="489">
        <f>'[4]Városüzemeltetés'!$V$131</f>
        <v>40101</v>
      </c>
      <c r="M42" s="532"/>
      <c r="N42" s="516"/>
      <c r="O42" s="516"/>
      <c r="P42" s="516"/>
      <c r="Q42" s="517"/>
      <c r="R42" s="517"/>
    </row>
    <row r="43" spans="2:18" s="183" customFormat="1" ht="18" customHeight="1">
      <c r="B43" s="490"/>
      <c r="C43" s="1244" t="s">
        <v>553</v>
      </c>
      <c r="D43" s="509"/>
      <c r="E43" s="538"/>
      <c r="F43" s="505">
        <f t="shared" si="4"/>
        <v>244648</v>
      </c>
      <c r="G43" s="1353">
        <f>2552+112825+7000+5000</f>
        <v>127377</v>
      </c>
      <c r="H43" s="480">
        <f t="shared" si="2"/>
        <v>372025</v>
      </c>
      <c r="I43" s="481">
        <f>H43</f>
        <v>372025</v>
      </c>
      <c r="J43" s="506">
        <f t="shared" si="3"/>
        <v>0</v>
      </c>
      <c r="K43" s="1250"/>
      <c r="L43" s="489">
        <f>'[4]Városüzemeltetés'!$T$159</f>
        <v>372025</v>
      </c>
      <c r="M43" s="532"/>
      <c r="N43" s="516"/>
      <c r="O43" s="516"/>
      <c r="P43" s="516"/>
      <c r="Q43" s="517"/>
      <c r="R43" s="517"/>
    </row>
    <row r="44" spans="2:18" s="183" customFormat="1" ht="18" customHeight="1">
      <c r="B44" s="490"/>
      <c r="C44" s="1244" t="s">
        <v>213</v>
      </c>
      <c r="D44" s="509"/>
      <c r="E44" s="538"/>
      <c r="F44" s="505">
        <f t="shared" si="4"/>
        <v>57914</v>
      </c>
      <c r="G44" s="1353">
        <v>400</v>
      </c>
      <c r="H44" s="480">
        <f t="shared" si="2"/>
        <v>58314</v>
      </c>
      <c r="I44" s="481">
        <f>L44</f>
        <v>58314</v>
      </c>
      <c r="J44" s="506">
        <f t="shared" si="3"/>
        <v>0</v>
      </c>
      <c r="K44" s="1250"/>
      <c r="L44" s="489">
        <f>'[4]Városüzemeltetés'!$T$160</f>
        <v>58314</v>
      </c>
      <c r="M44" s="532" t="s">
        <v>486</v>
      </c>
      <c r="N44" s="516" t="s">
        <v>473</v>
      </c>
      <c r="O44" s="516"/>
      <c r="P44" s="516"/>
      <c r="Q44" s="517"/>
      <c r="R44" s="517"/>
    </row>
    <row r="45" spans="2:18" s="183" customFormat="1" ht="18" customHeight="1">
      <c r="B45" s="490"/>
      <c r="C45" s="1244" t="s">
        <v>214</v>
      </c>
      <c r="D45" s="509"/>
      <c r="E45" s="538">
        <f>10000+106287</f>
        <v>116287</v>
      </c>
      <c r="F45" s="505">
        <f t="shared" si="4"/>
        <v>184202</v>
      </c>
      <c r="G45" s="1353">
        <f>87915+133944+36058</f>
        <v>257917</v>
      </c>
      <c r="H45" s="480">
        <f t="shared" si="2"/>
        <v>558406</v>
      </c>
      <c r="I45" s="481">
        <f>L45</f>
        <v>558406</v>
      </c>
      <c r="J45" s="506">
        <f t="shared" si="3"/>
        <v>0</v>
      </c>
      <c r="K45" s="1250"/>
      <c r="L45" s="489">
        <f>'[4]Városüzemeltetés'!$T$161</f>
        <v>558406</v>
      </c>
      <c r="M45" s="532" t="s">
        <v>486</v>
      </c>
      <c r="N45" s="516" t="s">
        <v>473</v>
      </c>
      <c r="O45" s="516"/>
      <c r="P45" s="516"/>
      <c r="Q45" s="517"/>
      <c r="R45" s="517"/>
    </row>
    <row r="46" spans="2:18" s="183" customFormat="1" ht="18" customHeight="1">
      <c r="B46" s="490"/>
      <c r="C46" s="1244" t="s">
        <v>215</v>
      </c>
      <c r="D46" s="509"/>
      <c r="E46" s="538"/>
      <c r="F46" s="505">
        <f t="shared" si="4"/>
        <v>2474</v>
      </c>
      <c r="G46" s="1353">
        <f>43946-36058</f>
        <v>7888</v>
      </c>
      <c r="H46" s="480">
        <f t="shared" si="2"/>
        <v>10362</v>
      </c>
      <c r="I46" s="481">
        <f>L46</f>
        <v>10362</v>
      </c>
      <c r="J46" s="506">
        <f t="shared" si="3"/>
        <v>0</v>
      </c>
      <c r="K46" s="1250"/>
      <c r="L46" s="489">
        <f>'[4]Városüzemeltetés'!$T$162</f>
        <v>10362</v>
      </c>
      <c r="M46" s="532"/>
      <c r="N46" s="516"/>
      <c r="O46" s="516"/>
      <c r="P46" s="516"/>
      <c r="Q46" s="517"/>
      <c r="R46" s="517"/>
    </row>
    <row r="47" spans="2:18" s="183" customFormat="1" ht="18" customHeight="1">
      <c r="B47" s="490"/>
      <c r="C47" s="1244" t="s">
        <v>781</v>
      </c>
      <c r="D47" s="509"/>
      <c r="E47" s="538"/>
      <c r="F47" s="505">
        <f t="shared" si="4"/>
        <v>144506</v>
      </c>
      <c r="G47" s="1353">
        <f>4782+68343+27000</f>
        <v>100125</v>
      </c>
      <c r="H47" s="480">
        <f t="shared" si="2"/>
        <v>244631</v>
      </c>
      <c r="I47" s="481">
        <f>L47</f>
        <v>244631</v>
      </c>
      <c r="J47" s="506"/>
      <c r="K47" s="1250"/>
      <c r="L47" s="489">
        <f>'[4]Városüzemeltetés'!$T$182</f>
        <v>244631</v>
      </c>
      <c r="M47" s="532" t="s">
        <v>222</v>
      </c>
      <c r="N47" s="516"/>
      <c r="O47" s="516"/>
      <c r="P47" s="516"/>
      <c r="Q47" s="517"/>
      <c r="R47" s="517"/>
    </row>
    <row r="48" spans="2:18" s="183" customFormat="1" ht="18" customHeight="1">
      <c r="B48" s="490"/>
      <c r="C48" s="1245" t="s">
        <v>209</v>
      </c>
      <c r="D48" s="982"/>
      <c r="E48" s="983"/>
      <c r="F48" s="505">
        <f t="shared" si="4"/>
        <v>18360</v>
      </c>
      <c r="G48" s="1353">
        <f>30990+20000+19000</f>
        <v>69990</v>
      </c>
      <c r="H48" s="480">
        <f t="shared" si="2"/>
        <v>88350</v>
      </c>
      <c r="I48" s="481"/>
      <c r="J48" s="506">
        <f t="shared" si="3"/>
        <v>88350</v>
      </c>
      <c r="K48" s="1250"/>
      <c r="L48" s="489">
        <f>'[4]Városüzemeltetés'!$T$183</f>
        <v>88350</v>
      </c>
      <c r="M48" s="532"/>
      <c r="N48" s="520"/>
      <c r="O48" s="516"/>
      <c r="P48" s="520"/>
      <c r="Q48" s="517"/>
      <c r="R48" s="517"/>
    </row>
    <row r="49" spans="2:18" s="183" customFormat="1" ht="18" customHeight="1">
      <c r="B49" s="1205"/>
      <c r="C49" s="1459" t="s">
        <v>642</v>
      </c>
      <c r="D49" s="982"/>
      <c r="E49" s="1206"/>
      <c r="F49" s="505">
        <f t="shared" si="4"/>
        <v>0</v>
      </c>
      <c r="G49" s="1353">
        <v>287427</v>
      </c>
      <c r="H49" s="480">
        <f t="shared" si="2"/>
        <v>287427</v>
      </c>
      <c r="I49" s="1248"/>
      <c r="J49" s="506">
        <f>L49</f>
        <v>287427</v>
      </c>
      <c r="K49" s="1250"/>
      <c r="L49" s="489">
        <f>'[4]Városüzemeltetés'!$T$188</f>
        <v>287427</v>
      </c>
      <c r="M49" s="532"/>
      <c r="N49" s="520"/>
      <c r="O49" s="516"/>
      <c r="P49" s="520"/>
      <c r="Q49" s="517"/>
      <c r="R49" s="517"/>
    </row>
    <row r="50" spans="2:18" s="183" customFormat="1" ht="18" customHeight="1" thickBot="1">
      <c r="B50" s="978"/>
      <c r="C50" s="1247" t="s">
        <v>500</v>
      </c>
      <c r="D50" s="579"/>
      <c r="E50" s="580"/>
      <c r="F50" s="1347">
        <f t="shared" si="4"/>
        <v>8000</v>
      </c>
      <c r="G50" s="1358"/>
      <c r="H50" s="979">
        <f t="shared" si="2"/>
        <v>8000</v>
      </c>
      <c r="I50" s="980"/>
      <c r="J50" s="981">
        <f t="shared" si="3"/>
        <v>8000</v>
      </c>
      <c r="K50" s="1251"/>
      <c r="L50" s="1038">
        <f>'[4]Városüzemeltetés'!$T$190</f>
        <v>8000</v>
      </c>
      <c r="M50" s="532"/>
      <c r="N50" s="520"/>
      <c r="O50" s="516"/>
      <c r="P50" s="520"/>
      <c r="Q50" s="517"/>
      <c r="R50" s="517"/>
    </row>
    <row r="51" spans="2:18" s="487" customFormat="1" ht="18" customHeight="1">
      <c r="B51" s="559">
        <f>B32+1</f>
        <v>22</v>
      </c>
      <c r="C51" s="560" t="s">
        <v>63</v>
      </c>
      <c r="D51" s="561"/>
      <c r="E51" s="562">
        <v>23970</v>
      </c>
      <c r="F51" s="563">
        <f t="shared" si="4"/>
        <v>0</v>
      </c>
      <c r="G51" s="1356"/>
      <c r="H51" s="495">
        <f t="shared" si="2"/>
        <v>23970</v>
      </c>
      <c r="I51" s="564"/>
      <c r="J51" s="565">
        <f t="shared" si="3"/>
        <v>23970</v>
      </c>
      <c r="K51" s="566"/>
      <c r="L51" s="483">
        <f>'hivatal5 '!H34</f>
        <v>23970</v>
      </c>
      <c r="M51" s="532"/>
      <c r="N51" s="513"/>
      <c r="O51" s="513"/>
      <c r="P51" s="513"/>
      <c r="Q51" s="515"/>
      <c r="R51" s="515"/>
    </row>
    <row r="52" spans="2:13" s="1788" customFormat="1" ht="18" customHeight="1">
      <c r="B52" s="1785">
        <f>B51+1</f>
        <v>23</v>
      </c>
      <c r="C52" s="1786" t="s">
        <v>538</v>
      </c>
      <c r="D52" s="1776"/>
      <c r="E52" s="1777"/>
      <c r="F52" s="1778">
        <f t="shared" si="4"/>
        <v>10500</v>
      </c>
      <c r="G52" s="1779">
        <f>1201+3000</f>
        <v>4201</v>
      </c>
      <c r="H52" s="1780">
        <f aca="true" t="shared" si="5" ref="H52:H58">L52</f>
        <v>14701</v>
      </c>
      <c r="I52" s="1781">
        <f>L52</f>
        <v>14701</v>
      </c>
      <c r="J52" s="1782"/>
      <c r="K52" s="1783"/>
      <c r="L52" s="1784">
        <f>'hivatal5 '!Q34</f>
        <v>14701</v>
      </c>
      <c r="M52" s="1787"/>
    </row>
    <row r="53" spans="2:13" s="1788" customFormat="1" ht="18" customHeight="1">
      <c r="B53" s="1785">
        <f aca="true" t="shared" si="6" ref="B53:B62">B52+1</f>
        <v>24</v>
      </c>
      <c r="C53" s="1786" t="s">
        <v>446</v>
      </c>
      <c r="D53" s="1776"/>
      <c r="E53" s="1777"/>
      <c r="F53" s="1778">
        <f t="shared" si="4"/>
        <v>194600</v>
      </c>
      <c r="G53" s="1779">
        <f>6716+52560+20075+8000+20000+67988</f>
        <v>175339</v>
      </c>
      <c r="H53" s="1780">
        <f t="shared" si="5"/>
        <v>369939</v>
      </c>
      <c r="I53" s="1781"/>
      <c r="J53" s="1782">
        <f aca="true" t="shared" si="7" ref="J53:J58">L53</f>
        <v>369939</v>
      </c>
      <c r="K53" s="1783"/>
      <c r="L53" s="1784">
        <f>'hivatal5 '!K34</f>
        <v>369939</v>
      </c>
      <c r="M53" s="1787"/>
    </row>
    <row r="54" spans="2:13" s="1788" customFormat="1" ht="18" customHeight="1">
      <c r="B54" s="1785">
        <f t="shared" si="6"/>
        <v>25</v>
      </c>
      <c r="C54" s="1786" t="s">
        <v>524</v>
      </c>
      <c r="D54" s="1776"/>
      <c r="E54" s="1777">
        <v>26613</v>
      </c>
      <c r="F54" s="1778">
        <f t="shared" si="4"/>
        <v>29916</v>
      </c>
      <c r="G54" s="1779">
        <f>61639+2000+48160+13303+7128</f>
        <v>132230</v>
      </c>
      <c r="H54" s="1780">
        <f t="shared" si="5"/>
        <v>188759</v>
      </c>
      <c r="I54" s="1781"/>
      <c r="J54" s="1782">
        <f t="shared" si="7"/>
        <v>188759</v>
      </c>
      <c r="K54" s="1783"/>
      <c r="L54" s="1784">
        <f>hivatal6!E34</f>
        <v>188759</v>
      </c>
      <c r="M54" s="1787"/>
    </row>
    <row r="55" spans="2:13" s="1788" customFormat="1" ht="18" customHeight="1">
      <c r="B55" s="1785">
        <f t="shared" si="6"/>
        <v>26</v>
      </c>
      <c r="C55" s="1786" t="s">
        <v>659</v>
      </c>
      <c r="D55" s="1776"/>
      <c r="E55" s="1777">
        <v>200000</v>
      </c>
      <c r="F55" s="1778">
        <f t="shared" si="4"/>
        <v>28622</v>
      </c>
      <c r="G55" s="1779">
        <f>349484+20000</f>
        <v>369484</v>
      </c>
      <c r="H55" s="1780">
        <f t="shared" si="5"/>
        <v>598106</v>
      </c>
      <c r="I55" s="1781"/>
      <c r="J55" s="1782">
        <f t="shared" si="7"/>
        <v>598106</v>
      </c>
      <c r="K55" s="1783"/>
      <c r="L55" s="1784">
        <f>hivatal6!H34</f>
        <v>598106</v>
      </c>
      <c r="M55" s="1787"/>
    </row>
    <row r="56" spans="2:13" s="1788" customFormat="1" ht="18" customHeight="1">
      <c r="B56" s="1785">
        <f t="shared" si="6"/>
        <v>27</v>
      </c>
      <c r="C56" s="1786" t="s">
        <v>660</v>
      </c>
      <c r="D56" s="1776"/>
      <c r="E56" s="1777"/>
      <c r="F56" s="1778">
        <f t="shared" si="4"/>
        <v>0</v>
      </c>
      <c r="G56" s="1779">
        <v>3211</v>
      </c>
      <c r="H56" s="1780">
        <f t="shared" si="5"/>
        <v>3211</v>
      </c>
      <c r="I56" s="1781"/>
      <c r="J56" s="1782">
        <f t="shared" si="7"/>
        <v>3211</v>
      </c>
      <c r="K56" s="1783"/>
      <c r="L56" s="1784">
        <f>hivatal6!K34</f>
        <v>3211</v>
      </c>
      <c r="M56" s="1787"/>
    </row>
    <row r="57" spans="2:13" s="1788" customFormat="1" ht="18" customHeight="1">
      <c r="B57" s="1785">
        <f t="shared" si="6"/>
        <v>28</v>
      </c>
      <c r="C57" s="1786" t="s">
        <v>661</v>
      </c>
      <c r="D57" s="1776"/>
      <c r="E57" s="1777"/>
      <c r="F57" s="1778">
        <f t="shared" si="4"/>
        <v>410</v>
      </c>
      <c r="G57" s="1779">
        <v>52017</v>
      </c>
      <c r="H57" s="1780">
        <f t="shared" si="5"/>
        <v>52427</v>
      </c>
      <c r="I57" s="1781"/>
      <c r="J57" s="1782">
        <f t="shared" si="7"/>
        <v>52427</v>
      </c>
      <c r="K57" s="1783"/>
      <c r="L57" s="1784">
        <f>hivatal6!N34</f>
        <v>52427</v>
      </c>
      <c r="M57" s="1787"/>
    </row>
    <row r="58" spans="2:13" s="1788" customFormat="1" ht="18" customHeight="1">
      <c r="B58" s="1785">
        <f t="shared" si="6"/>
        <v>29</v>
      </c>
      <c r="C58" s="1786" t="s">
        <v>662</v>
      </c>
      <c r="D58" s="1776"/>
      <c r="E58" s="1777"/>
      <c r="F58" s="1778">
        <f t="shared" si="4"/>
        <v>0</v>
      </c>
      <c r="G58" s="1779">
        <f>331844+67611</f>
        <v>399455</v>
      </c>
      <c r="H58" s="1780">
        <f t="shared" si="5"/>
        <v>399455</v>
      </c>
      <c r="I58" s="1781"/>
      <c r="J58" s="1782">
        <f t="shared" si="7"/>
        <v>399455</v>
      </c>
      <c r="K58" s="1783"/>
      <c r="L58" s="1784">
        <f>hivatal6!Q34</f>
        <v>399455</v>
      </c>
      <c r="M58" s="1787"/>
    </row>
    <row r="59" spans="2:18" s="487" customFormat="1" ht="18" customHeight="1">
      <c r="B59" s="1789">
        <f t="shared" si="6"/>
        <v>30</v>
      </c>
      <c r="C59" s="1246" t="s">
        <v>642</v>
      </c>
      <c r="D59" s="507"/>
      <c r="E59" s="536">
        <v>174667</v>
      </c>
      <c r="F59" s="505">
        <f t="shared" si="4"/>
        <v>183580</v>
      </c>
      <c r="G59" s="1353">
        <f>20320+18000</f>
        <v>38320</v>
      </c>
      <c r="H59" s="480">
        <f t="shared" si="2"/>
        <v>396567</v>
      </c>
      <c r="I59" s="481">
        <f>'[4]EÜ N. Kft.'!$T$15+'[4]EÜ N. Kft.'!$T$17+'[4]EÜ N. Kft.'!$T$18</f>
        <v>25480</v>
      </c>
      <c r="J59" s="506">
        <f t="shared" si="3"/>
        <v>371087</v>
      </c>
      <c r="K59" s="485"/>
      <c r="L59" s="489">
        <f>hivatal8!E34</f>
        <v>396567</v>
      </c>
      <c r="M59" s="532" t="s">
        <v>223</v>
      </c>
      <c r="N59" s="513"/>
      <c r="O59" s="513"/>
      <c r="P59" s="513"/>
      <c r="Q59" s="515"/>
      <c r="R59" s="515"/>
    </row>
    <row r="60" spans="2:18" s="487" customFormat="1" ht="27.75" customHeight="1">
      <c r="B60" s="1789">
        <f t="shared" si="6"/>
        <v>31</v>
      </c>
      <c r="C60" s="1397" t="s">
        <v>641</v>
      </c>
      <c r="D60" s="507">
        <v>200000</v>
      </c>
      <c r="E60" s="536"/>
      <c r="F60" s="505">
        <f t="shared" si="4"/>
        <v>105000</v>
      </c>
      <c r="G60" s="1353">
        <v>5000</v>
      </c>
      <c r="H60" s="480">
        <f t="shared" si="2"/>
        <v>310000</v>
      </c>
      <c r="I60" s="481">
        <f>D60</f>
        <v>200000</v>
      </c>
      <c r="J60" s="506">
        <f t="shared" si="3"/>
        <v>110000</v>
      </c>
      <c r="K60" s="485"/>
      <c r="L60" s="489">
        <f>hivatal8!H34</f>
        <v>310000</v>
      </c>
      <c r="M60" s="532"/>
      <c r="N60" s="513"/>
      <c r="O60" s="513"/>
      <c r="P60" s="513"/>
      <c r="Q60" s="515"/>
      <c r="R60" s="515"/>
    </row>
    <row r="61" spans="2:18" s="487" customFormat="1" ht="18" customHeight="1">
      <c r="B61" s="1789">
        <f t="shared" si="6"/>
        <v>32</v>
      </c>
      <c r="C61" s="479" t="s">
        <v>65</v>
      </c>
      <c r="D61" s="507"/>
      <c r="E61" s="536"/>
      <c r="F61" s="505">
        <f t="shared" si="4"/>
        <v>45000</v>
      </c>
      <c r="G61" s="1353">
        <v>8100</v>
      </c>
      <c r="H61" s="480">
        <f t="shared" si="2"/>
        <v>53100</v>
      </c>
      <c r="I61" s="481"/>
      <c r="J61" s="506">
        <f t="shared" si="3"/>
        <v>53100</v>
      </c>
      <c r="K61" s="485"/>
      <c r="L61" s="489">
        <f>hivatal8!K34</f>
        <v>53100</v>
      </c>
      <c r="M61" s="532"/>
      <c r="N61" s="513"/>
      <c r="O61" s="513"/>
      <c r="P61" s="513"/>
      <c r="Q61" s="515"/>
      <c r="R61" s="515"/>
    </row>
    <row r="62" spans="2:18" s="487" customFormat="1" ht="18" customHeight="1" thickBot="1">
      <c r="B62" s="1789">
        <f t="shared" si="6"/>
        <v>33</v>
      </c>
      <c r="C62" s="479" t="s">
        <v>55</v>
      </c>
      <c r="D62" s="507">
        <f>4716+143</f>
        <v>4859</v>
      </c>
      <c r="E62" s="536">
        <f>51325+210+16+113+200+48</f>
        <v>51912</v>
      </c>
      <c r="F62" s="505">
        <f t="shared" si="4"/>
        <v>203512</v>
      </c>
      <c r="G62" s="1353">
        <f>55000+1255387+350513-10000-3900-179000-250053-150000-48160-63303-4782-9807-250000-54964-90120-14884-8100-5000-20659-20075-8000-20000-75116</f>
        <v>374977</v>
      </c>
      <c r="H62" s="480">
        <f t="shared" si="2"/>
        <v>635260</v>
      </c>
      <c r="I62" s="481">
        <f>tartalék!F9+tartalék!F11+tartalék!F14</f>
        <v>259595</v>
      </c>
      <c r="J62" s="506">
        <f t="shared" si="3"/>
        <v>375665</v>
      </c>
      <c r="K62" s="486"/>
      <c r="L62" s="489">
        <f>tartalék!F37</f>
        <v>635260</v>
      </c>
      <c r="M62" s="532"/>
      <c r="N62" s="513"/>
      <c r="O62" s="513"/>
      <c r="P62" s="513"/>
      <c r="Q62" s="515"/>
      <c r="R62" s="515"/>
    </row>
    <row r="63" spans="2:18" s="494" customFormat="1" ht="18" customHeight="1" thickBot="1">
      <c r="B63" s="491" t="s">
        <v>95</v>
      </c>
      <c r="C63" s="492" t="s">
        <v>207</v>
      </c>
      <c r="D63" s="1234">
        <f aca="true" t="shared" si="8" ref="D63:K63">SUM(D12:D62)</f>
        <v>2271459</v>
      </c>
      <c r="E63" s="1235">
        <f t="shared" si="8"/>
        <v>593449</v>
      </c>
      <c r="F63" s="1348">
        <f t="shared" si="8"/>
        <v>4380525</v>
      </c>
      <c r="G63" s="1361">
        <f t="shared" si="8"/>
        <v>5493438</v>
      </c>
      <c r="H63" s="493">
        <f t="shared" si="8"/>
        <v>12738871</v>
      </c>
      <c r="I63" s="493">
        <f t="shared" si="8"/>
        <v>5052524.4</v>
      </c>
      <c r="J63" s="493">
        <f t="shared" si="8"/>
        <v>7686346.6</v>
      </c>
      <c r="K63" s="493">
        <f t="shared" si="8"/>
        <v>0</v>
      </c>
      <c r="L63" s="493">
        <f>SUM(L12:L62)</f>
        <v>12738871</v>
      </c>
      <c r="M63" s="532"/>
      <c r="N63" s="521"/>
      <c r="O63" s="521"/>
      <c r="P63" s="521"/>
      <c r="Q63" s="522"/>
      <c r="R63" s="522"/>
    </row>
    <row r="64" spans="2:18" s="498" customFormat="1" ht="18" customHeight="1">
      <c r="B64" s="464">
        <f>B62+1</f>
        <v>34</v>
      </c>
      <c r="C64" s="1230" t="s">
        <v>652</v>
      </c>
      <c r="D64" s="1239">
        <f>'bevétfő '!I10+'bevétfő '!I11+'bevétfő '!I12-D60+3899+1752</f>
        <v>1831293</v>
      </c>
      <c r="E64" s="1240">
        <f>183417-32914-3788-16691-1922+12000</f>
        <v>140102</v>
      </c>
      <c r="F64" s="1349">
        <f>H64-D64-E64-G64</f>
        <v>2458931</v>
      </c>
      <c r="G64" s="1356">
        <f>3534+28825+20535+15359</f>
        <v>68253</v>
      </c>
      <c r="H64" s="1232">
        <f>L64</f>
        <v>4498579</v>
      </c>
      <c r="I64" s="499">
        <f>H64-(200*593)+19138</f>
        <v>4399117</v>
      </c>
      <c r="J64" s="506">
        <f t="shared" si="3"/>
        <v>99462</v>
      </c>
      <c r="K64" s="496"/>
      <c r="L64" s="497">
        <f>'önállóan gazd.'!K34</f>
        <v>4498579</v>
      </c>
      <c r="M64" s="533"/>
      <c r="N64" s="523" t="s">
        <v>431</v>
      </c>
      <c r="O64" s="523"/>
      <c r="P64" s="521"/>
      <c r="Q64" s="522"/>
      <c r="R64" s="522"/>
    </row>
    <row r="65" spans="2:18" s="498" customFormat="1" ht="18" customHeight="1" thickBot="1">
      <c r="B65" s="458">
        <f>B64+1</f>
        <v>35</v>
      </c>
      <c r="C65" s="1231" t="s">
        <v>351</v>
      </c>
      <c r="D65" s="1519">
        <f>647+217</f>
        <v>864</v>
      </c>
      <c r="E65" s="1241">
        <f>9940+44+2652+27+10134</f>
        <v>22797</v>
      </c>
      <c r="F65" s="1350">
        <f>H65-D65-E65-G65</f>
        <v>1413053</v>
      </c>
      <c r="G65" s="1242">
        <f>3469+29887+112425</f>
        <v>145781</v>
      </c>
      <c r="H65" s="1233">
        <f>L65</f>
        <v>1582495</v>
      </c>
      <c r="I65" s="500">
        <f>L65-K65-J65</f>
        <v>1524799</v>
      </c>
      <c r="J65" s="506">
        <f>'[4]Polgármesteri Hivatal'!$K$40+'[4]Polgármesteri Hivatal'!$L$40</f>
        <v>38197</v>
      </c>
      <c r="K65" s="510">
        <f>'[4]Polgármesteri Hivatal'!$T$31+'[4]Polgármesteri Hivatal'!$T$32+'[4]Polgármesteri Hivatal'!$T$34+'[4]Polgármesteri Hivatal'!$T$35+'[4]Polgármesteri Hivatal'!$T$36</f>
        <v>19499</v>
      </c>
      <c r="L65" s="497">
        <f>'önállóan gazd.'!N60</f>
        <v>1582495</v>
      </c>
      <c r="M65" s="533"/>
      <c r="N65" s="512"/>
      <c r="O65" s="523" t="s">
        <v>219</v>
      </c>
      <c r="P65" s="522"/>
      <c r="Q65" s="523"/>
      <c r="R65" s="522"/>
    </row>
    <row r="66" spans="2:18" s="504" customFormat="1" ht="18" customHeight="1" thickBot="1">
      <c r="B66" s="501" t="s">
        <v>102</v>
      </c>
      <c r="C66" s="502" t="s">
        <v>206</v>
      </c>
      <c r="D66" s="1236">
        <f aca="true" t="shared" si="9" ref="D66:L66">SUM(D64:D65)</f>
        <v>1832157</v>
      </c>
      <c r="E66" s="1237">
        <f t="shared" si="9"/>
        <v>162899</v>
      </c>
      <c r="F66" s="1238">
        <f t="shared" si="9"/>
        <v>3871984</v>
      </c>
      <c r="G66" s="1359">
        <f>SUM(G64:G65)</f>
        <v>214034</v>
      </c>
      <c r="H66" s="503">
        <f t="shared" si="9"/>
        <v>6081074</v>
      </c>
      <c r="I66" s="503">
        <f t="shared" si="9"/>
        <v>5923916</v>
      </c>
      <c r="J66" s="503">
        <f t="shared" si="9"/>
        <v>137659</v>
      </c>
      <c r="K66" s="503">
        <f t="shared" si="9"/>
        <v>19499</v>
      </c>
      <c r="L66" s="493">
        <f t="shared" si="9"/>
        <v>6081074</v>
      </c>
      <c r="M66" s="532"/>
      <c r="N66" s="513"/>
      <c r="P66" s="513"/>
      <c r="Q66" s="513"/>
      <c r="R66" s="513"/>
    </row>
    <row r="67" spans="2:18" s="468" customFormat="1" ht="21.75" customHeight="1" thickBot="1">
      <c r="B67" s="465" t="s">
        <v>105</v>
      </c>
      <c r="C67" s="466" t="s">
        <v>216</v>
      </c>
      <c r="D67" s="539">
        <f aca="true" t="shared" si="10" ref="D67:L67">D63+D66</f>
        <v>4103616</v>
      </c>
      <c r="E67" s="1174">
        <f t="shared" si="10"/>
        <v>756348</v>
      </c>
      <c r="F67" s="1351">
        <f t="shared" si="10"/>
        <v>8252509</v>
      </c>
      <c r="G67" s="1360">
        <f>G63+G66</f>
        <v>5707472</v>
      </c>
      <c r="H67" s="467">
        <f t="shared" si="10"/>
        <v>18819945</v>
      </c>
      <c r="I67" s="467">
        <f t="shared" si="10"/>
        <v>10976440.4</v>
      </c>
      <c r="J67" s="467">
        <f t="shared" si="10"/>
        <v>7824005.6</v>
      </c>
      <c r="K67" s="467">
        <f t="shared" si="10"/>
        <v>19499</v>
      </c>
      <c r="L67" s="984">
        <f t="shared" si="10"/>
        <v>18819945</v>
      </c>
      <c r="M67" s="532"/>
      <c r="N67" s="524"/>
      <c r="O67" s="513"/>
      <c r="P67" s="525"/>
      <c r="Q67" s="513"/>
      <c r="R67" s="513"/>
    </row>
    <row r="68" spans="4:12" ht="12.75">
      <c r="D68" s="459"/>
      <c r="E68" s="459"/>
      <c r="F68" s="463"/>
      <c r="G68" s="463"/>
      <c r="H68" s="463">
        <f>SUM(D67:G67)</f>
        <v>18819945</v>
      </c>
      <c r="I68" s="460"/>
      <c r="J68" s="460"/>
      <c r="K68" s="460"/>
      <c r="L68" s="283">
        <f>SUM(I67:K67)</f>
        <v>18819945</v>
      </c>
    </row>
    <row r="69" spans="4:14" ht="12.75">
      <c r="D69" s="463">
        <f>'bevétfő '!I8+'bevétfő '!I62</f>
        <v>4103616</v>
      </c>
      <c r="E69" s="463">
        <f>'bevétfő '!I16+'bevétfő '!I59+'bevétfő '!I63+'bevétfő '!I76</f>
        <v>756348</v>
      </c>
      <c r="F69" s="459"/>
      <c r="G69" s="463">
        <f>'bevétfő '!I91</f>
        <v>5707472</v>
      </c>
      <c r="H69" s="459"/>
      <c r="I69" s="460"/>
      <c r="J69" s="461"/>
      <c r="K69" s="461"/>
      <c r="L69" s="284">
        <f>'kiadfő '!H80</f>
        <v>18819945</v>
      </c>
      <c r="N69" s="527"/>
    </row>
    <row r="70" spans="4:12" ht="12.75">
      <c r="D70" s="459"/>
      <c r="E70" s="459"/>
      <c r="F70" s="459"/>
      <c r="G70" s="459"/>
      <c r="H70" s="463">
        <f>'bevétfő '!I92</f>
        <v>18819945</v>
      </c>
      <c r="I70" s="460"/>
      <c r="J70" s="461"/>
      <c r="K70" s="461"/>
      <c r="L70" s="284">
        <f>L69-L68</f>
        <v>0</v>
      </c>
    </row>
    <row r="71" spans="4:11" ht="12.75">
      <c r="D71" s="459"/>
      <c r="E71" s="459"/>
      <c r="F71" s="459"/>
      <c r="G71" s="459"/>
      <c r="H71" s="463">
        <f>H70-H68</f>
        <v>0</v>
      </c>
      <c r="I71" s="460"/>
      <c r="J71" s="461"/>
      <c r="K71" s="461"/>
    </row>
    <row r="72" spans="4:11" ht="12.75">
      <c r="D72" s="459"/>
      <c r="E72" s="459"/>
      <c r="F72" s="459"/>
      <c r="G72" s="459"/>
      <c r="H72" s="459"/>
      <c r="I72" s="460"/>
      <c r="J72" s="461"/>
      <c r="K72" s="461"/>
    </row>
    <row r="73" spans="4:11" ht="12.75">
      <c r="D73" s="460"/>
      <c r="E73" s="459"/>
      <c r="F73" s="459"/>
      <c r="G73" s="459"/>
      <c r="H73" s="581"/>
      <c r="I73" s="460"/>
      <c r="J73" s="461"/>
      <c r="K73" s="461"/>
    </row>
    <row r="74" spans="4:11" ht="12.75">
      <c r="D74" s="459"/>
      <c r="E74" s="459"/>
      <c r="F74" s="459"/>
      <c r="G74" s="459"/>
      <c r="H74" s="459"/>
      <c r="I74" s="462"/>
      <c r="J74" s="461"/>
      <c r="K74" s="461"/>
    </row>
    <row r="75" spans="4:11" ht="12.75">
      <c r="D75" s="459"/>
      <c r="E75" s="459"/>
      <c r="F75" s="459"/>
      <c r="G75" s="459"/>
      <c r="H75" s="459"/>
      <c r="I75" s="462"/>
      <c r="J75" s="461"/>
      <c r="K75" s="461"/>
    </row>
    <row r="76" spans="4:11" ht="12.75">
      <c r="D76" s="459"/>
      <c r="E76" s="459"/>
      <c r="F76" s="459"/>
      <c r="G76" s="459"/>
      <c r="H76" s="459"/>
      <c r="I76" s="462" t="s">
        <v>87</v>
      </c>
      <c r="J76" s="461"/>
      <c r="K76" s="461"/>
    </row>
    <row r="77" spans="4:11" ht="12.75">
      <c r="D77" s="459"/>
      <c r="E77" s="459"/>
      <c r="F77" s="459"/>
      <c r="G77" s="459"/>
      <c r="H77" s="459"/>
      <c r="I77" s="462"/>
      <c r="J77" s="461"/>
      <c r="K77" s="461"/>
    </row>
    <row r="78" spans="4:11" ht="12.75">
      <c r="D78" s="459"/>
      <c r="E78" s="459"/>
      <c r="F78" s="459"/>
      <c r="G78" s="459"/>
      <c r="H78" s="459"/>
      <c r="I78" s="462"/>
      <c r="J78" s="461"/>
      <c r="K78" s="461"/>
    </row>
    <row r="79" spans="4:11" ht="12.75">
      <c r="D79" s="459"/>
      <c r="E79" s="459"/>
      <c r="F79" s="459"/>
      <c r="G79" s="459"/>
      <c r="H79" s="459"/>
      <c r="I79" s="462"/>
      <c r="J79" s="461"/>
      <c r="K79" s="461"/>
    </row>
    <row r="80" spans="4:11" ht="12.75">
      <c r="D80" s="459"/>
      <c r="E80" s="459"/>
      <c r="F80" s="459"/>
      <c r="G80" s="459"/>
      <c r="H80" s="459"/>
      <c r="I80" s="462"/>
      <c r="J80" s="461"/>
      <c r="K80" s="461"/>
    </row>
    <row r="81" spans="4:11" ht="12.75">
      <c r="D81" s="459"/>
      <c r="E81" s="459"/>
      <c r="F81" s="459"/>
      <c r="G81" s="459"/>
      <c r="H81" s="459"/>
      <c r="I81" s="462"/>
      <c r="J81" s="461"/>
      <c r="K81" s="461"/>
    </row>
    <row r="82" spans="4:11" ht="12.75">
      <c r="D82" s="459"/>
      <c r="E82" s="459"/>
      <c r="F82" s="459"/>
      <c r="G82" s="459"/>
      <c r="H82" s="459"/>
      <c r="I82" s="462"/>
      <c r="J82" s="461"/>
      <c r="K82" s="461"/>
    </row>
    <row r="83" spans="4:11" ht="12.75">
      <c r="D83" s="459"/>
      <c r="E83" s="459"/>
      <c r="F83" s="459"/>
      <c r="G83" s="459"/>
      <c r="H83" s="459"/>
      <c r="I83" s="462"/>
      <c r="J83" s="461"/>
      <c r="K83" s="461"/>
    </row>
    <row r="84" spans="4:11" ht="12.75">
      <c r="D84" s="459"/>
      <c r="E84" s="459"/>
      <c r="F84" s="459"/>
      <c r="G84" s="459"/>
      <c r="H84" s="459"/>
      <c r="I84" s="462"/>
      <c r="J84" s="461"/>
      <c r="K84" s="461"/>
    </row>
    <row r="85" spans="4:11" ht="12.75">
      <c r="D85" s="459"/>
      <c r="E85" s="459"/>
      <c r="F85" s="459"/>
      <c r="G85" s="459"/>
      <c r="H85" s="459"/>
      <c r="I85" s="462"/>
      <c r="J85" s="461"/>
      <c r="K85" s="461"/>
    </row>
    <row r="86" spans="4:11" ht="12.75">
      <c r="D86" s="459"/>
      <c r="E86" s="459"/>
      <c r="F86" s="459"/>
      <c r="G86" s="459"/>
      <c r="H86" s="459"/>
      <c r="I86" s="462"/>
      <c r="J86" s="461"/>
      <c r="K86" s="461"/>
    </row>
    <row r="87" spans="4:11" ht="12.75">
      <c r="D87" s="459"/>
      <c r="E87" s="459"/>
      <c r="F87" s="459"/>
      <c r="G87" s="459"/>
      <c r="H87" s="459"/>
      <c r="I87" s="462"/>
      <c r="J87" s="461"/>
      <c r="K87" s="461"/>
    </row>
    <row r="88" spans="4:11" ht="12.75">
      <c r="D88" s="459"/>
      <c r="E88" s="459"/>
      <c r="F88" s="459"/>
      <c r="G88" s="459"/>
      <c r="H88" s="459"/>
      <c r="I88" s="462"/>
      <c r="J88" s="461"/>
      <c r="K88" s="461"/>
    </row>
    <row r="89" spans="4:11" ht="12.75">
      <c r="D89" s="459"/>
      <c r="E89" s="459"/>
      <c r="F89" s="459"/>
      <c r="G89" s="459"/>
      <c r="H89" s="459"/>
      <c r="I89" s="462"/>
      <c r="J89" s="461"/>
      <c r="K89" s="461"/>
    </row>
    <row r="90" spans="4:11" ht="12.75">
      <c r="D90" s="459"/>
      <c r="E90" s="459"/>
      <c r="F90" s="459"/>
      <c r="G90" s="459"/>
      <c r="H90" s="459"/>
      <c r="I90" s="462"/>
      <c r="J90" s="461"/>
      <c r="K90" s="461"/>
    </row>
    <row r="91" spans="4:11" ht="12.75">
      <c r="D91" s="459"/>
      <c r="E91" s="459"/>
      <c r="F91" s="459"/>
      <c r="G91" s="459"/>
      <c r="H91" s="459"/>
      <c r="I91" s="462"/>
      <c r="J91" s="461"/>
      <c r="K91" s="461"/>
    </row>
    <row r="92" spans="4:11" ht="12.75">
      <c r="D92" s="459"/>
      <c r="E92" s="459"/>
      <c r="F92" s="459"/>
      <c r="G92" s="459"/>
      <c r="H92" s="459"/>
      <c r="I92" s="462"/>
      <c r="J92" s="461"/>
      <c r="K92" s="461"/>
    </row>
    <row r="93" spans="4:11" ht="12.75">
      <c r="D93" s="459"/>
      <c r="E93" s="459"/>
      <c r="F93" s="459"/>
      <c r="G93" s="459"/>
      <c r="H93" s="459"/>
      <c r="I93" s="462"/>
      <c r="J93" s="461"/>
      <c r="K93" s="461"/>
    </row>
    <row r="94" spans="4:11" ht="12.75">
      <c r="D94" s="459"/>
      <c r="E94" s="459"/>
      <c r="F94" s="459"/>
      <c r="G94" s="459"/>
      <c r="H94" s="459"/>
      <c r="I94" s="462"/>
      <c r="J94" s="461"/>
      <c r="K94" s="461"/>
    </row>
    <row r="95" spans="4:11" ht="12.75">
      <c r="D95" s="459"/>
      <c r="E95" s="459"/>
      <c r="F95" s="459"/>
      <c r="G95" s="459"/>
      <c r="H95" s="459"/>
      <c r="I95" s="462"/>
      <c r="J95" s="461"/>
      <c r="K95" s="461"/>
    </row>
    <row r="96" spans="4:11" ht="12.75">
      <c r="D96" s="459"/>
      <c r="E96" s="459"/>
      <c r="F96" s="459"/>
      <c r="G96" s="459"/>
      <c r="H96" s="459"/>
      <c r="I96" s="462"/>
      <c r="J96" s="461"/>
      <c r="K96" s="461"/>
    </row>
    <row r="97" spans="4:11" ht="12.75">
      <c r="D97" s="459"/>
      <c r="E97" s="459"/>
      <c r="F97" s="459"/>
      <c r="G97" s="459"/>
      <c r="H97" s="459"/>
      <c r="I97" s="462"/>
      <c r="J97" s="461"/>
      <c r="K97" s="461"/>
    </row>
    <row r="98" spans="4:11" ht="12.75">
      <c r="D98" s="459"/>
      <c r="E98" s="459"/>
      <c r="F98" s="459"/>
      <c r="G98" s="459"/>
      <c r="H98" s="459"/>
      <c r="I98" s="462"/>
      <c r="J98" s="461"/>
      <c r="K98" s="461"/>
    </row>
    <row r="99" spans="4:11" ht="12.75">
      <c r="D99" s="459"/>
      <c r="E99" s="459"/>
      <c r="F99" s="459"/>
      <c r="G99" s="459"/>
      <c r="H99" s="459"/>
      <c r="I99" s="462"/>
      <c r="J99" s="461"/>
      <c r="K99" s="461"/>
    </row>
    <row r="100" spans="4:11" ht="12.75">
      <c r="D100" s="459"/>
      <c r="E100" s="459"/>
      <c r="F100" s="459"/>
      <c r="G100" s="459"/>
      <c r="H100" s="459"/>
      <c r="I100" s="462"/>
      <c r="J100" s="461"/>
      <c r="K100" s="461"/>
    </row>
    <row r="101" spans="4:11" ht="12.75">
      <c r="D101" s="459"/>
      <c r="E101" s="459"/>
      <c r="F101" s="459"/>
      <c r="G101" s="459"/>
      <c r="H101" s="459"/>
      <c r="I101" s="462"/>
      <c r="J101" s="461"/>
      <c r="K101" s="461"/>
    </row>
  </sheetData>
  <sheetProtection/>
  <mergeCells count="16">
    <mergeCell ref="B6:L6"/>
    <mergeCell ref="I9:I10"/>
    <mergeCell ref="J9:J10"/>
    <mergeCell ref="K9:K10"/>
    <mergeCell ref="L9:L10"/>
    <mergeCell ref="G9:G10"/>
    <mergeCell ref="B4:L4"/>
    <mergeCell ref="C8:C10"/>
    <mergeCell ref="B8:B10"/>
    <mergeCell ref="B5:L5"/>
    <mergeCell ref="F9:F10"/>
    <mergeCell ref="H9:H10"/>
    <mergeCell ref="D8:H8"/>
    <mergeCell ref="D9:D10"/>
    <mergeCell ref="E9:E10"/>
    <mergeCell ref="I8:L8"/>
  </mergeCells>
  <printOptions horizontalCentered="1" verticalCentered="1"/>
  <pageMargins left="0.7874015748031497" right="0.7874015748031497" top="0.58" bottom="0.67" header="0.5118110236220472" footer="0.5118110236220472"/>
  <pageSetup fitToHeight="1" fitToWidth="1" horizontalDpi="600" verticalDpi="600" orientation="landscape" paperSize="9" scale="40" r:id="rId1"/>
  <headerFooter alignWithMargins="0">
    <oddFooter>&amp;L&amp;F&amp;C&amp;D 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4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3" width="15.875" style="88" customWidth="1"/>
    <col min="4" max="4" width="15.50390625" style="88" customWidth="1"/>
    <col min="5" max="9" width="15.875" style="88" customWidth="1"/>
    <col min="10" max="10" width="14.375" style="88" customWidth="1"/>
    <col min="11" max="12" width="15.875" style="88" customWidth="1"/>
    <col min="13" max="13" width="14.375" style="88" customWidth="1"/>
    <col min="14" max="15" width="15.875" style="88" customWidth="1"/>
    <col min="16" max="16" width="13.875" style="88" customWidth="1"/>
    <col min="17" max="17" width="15.875" style="88" customWidth="1"/>
  </cols>
  <sheetData>
    <row r="1" spans="1:17" ht="10.5" customHeight="1">
      <c r="A1" s="303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892" t="s">
        <v>913</v>
      </c>
    </row>
    <row r="2" spans="1:17" ht="12.75" customHeight="1">
      <c r="A2" s="303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892" t="s">
        <v>93</v>
      </c>
    </row>
    <row r="3" spans="1:17" ht="10.5" customHeight="1">
      <c r="A3" s="303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893" t="s">
        <v>123</v>
      </c>
    </row>
    <row r="4" spans="1:17" ht="20.25">
      <c r="A4" s="894" t="s">
        <v>654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</row>
    <row r="5" spans="1:17" ht="18">
      <c r="A5" s="895" t="s">
        <v>561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</row>
    <row r="6" spans="1:17" ht="18.75" thickBot="1">
      <c r="A6" s="895"/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6" t="s">
        <v>134</v>
      </c>
    </row>
    <row r="7" spans="1:17" ht="18">
      <c r="A7" s="230" t="s">
        <v>124</v>
      </c>
      <c r="B7" s="87" t="s">
        <v>125</v>
      </c>
      <c r="C7" s="1922" t="s">
        <v>341</v>
      </c>
      <c r="D7" s="1923"/>
      <c r="E7" s="1924"/>
      <c r="F7" s="1922" t="s">
        <v>162</v>
      </c>
      <c r="G7" s="1923"/>
      <c r="H7" s="1924"/>
      <c r="I7" s="1922" t="s">
        <v>633</v>
      </c>
      <c r="J7" s="1923"/>
      <c r="K7" s="1924"/>
      <c r="L7" s="1922" t="s">
        <v>634</v>
      </c>
      <c r="M7" s="1923"/>
      <c r="N7" s="1924"/>
      <c r="O7" s="1922" t="s">
        <v>635</v>
      </c>
      <c r="P7" s="1923"/>
      <c r="Q7" s="1924"/>
    </row>
    <row r="8" spans="1:17" s="26" customFormat="1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83" customFormat="1" ht="12" thickBot="1">
      <c r="A9" s="420">
        <v>1</v>
      </c>
      <c r="B9" s="80">
        <v>2</v>
      </c>
      <c r="C9" s="897">
        <v>3</v>
      </c>
      <c r="D9" s="898">
        <v>4</v>
      </c>
      <c r="E9" s="899">
        <v>5</v>
      </c>
      <c r="F9" s="897">
        <v>6</v>
      </c>
      <c r="G9" s="898">
        <v>7</v>
      </c>
      <c r="H9" s="899">
        <v>8</v>
      </c>
      <c r="I9" s="897">
        <v>9</v>
      </c>
      <c r="J9" s="898">
        <v>10</v>
      </c>
      <c r="K9" s="899">
        <v>11</v>
      </c>
      <c r="L9" s="897">
        <v>12</v>
      </c>
      <c r="M9" s="898">
        <v>13</v>
      </c>
      <c r="N9" s="899">
        <v>14</v>
      </c>
      <c r="O9" s="897">
        <v>15</v>
      </c>
      <c r="P9" s="898">
        <v>16</v>
      </c>
      <c r="Q9" s="899">
        <v>17</v>
      </c>
    </row>
    <row r="10" spans="1:17" s="26" customFormat="1" ht="18.75" thickBot="1">
      <c r="A10" s="380"/>
      <c r="B10" s="425" t="s">
        <v>129</v>
      </c>
      <c r="C10" s="384"/>
      <c r="D10" s="950"/>
      <c r="E10" s="426"/>
      <c r="F10" s="381"/>
      <c r="G10" s="382"/>
      <c r="H10" s="426"/>
      <c r="I10" s="381"/>
      <c r="J10" s="382"/>
      <c r="K10" s="426"/>
      <c r="L10" s="381"/>
      <c r="M10" s="382"/>
      <c r="N10" s="426"/>
      <c r="O10" s="381"/>
      <c r="P10" s="382"/>
      <c r="Q10" s="426"/>
    </row>
    <row r="11" spans="1:17" s="173" customFormat="1" ht="17.25" customHeight="1" thickBot="1">
      <c r="A11" s="313">
        <v>1</v>
      </c>
      <c r="B11" s="305" t="s">
        <v>113</v>
      </c>
      <c r="C11" s="319">
        <v>959465</v>
      </c>
      <c r="D11" s="316">
        <v>166</v>
      </c>
      <c r="E11" s="315">
        <f>SUM(C11:D11)</f>
        <v>959631</v>
      </c>
      <c r="F11" s="319">
        <v>373054</v>
      </c>
      <c r="G11" s="316">
        <v>480</v>
      </c>
      <c r="H11" s="315">
        <f>F11+G11</f>
        <v>373534</v>
      </c>
      <c r="I11" s="314">
        <v>212000</v>
      </c>
      <c r="J11" s="314">
        <v>75</v>
      </c>
      <c r="K11" s="315">
        <f>I11+J11</f>
        <v>212075</v>
      </c>
      <c r="L11" s="314">
        <v>238782</v>
      </c>
      <c r="M11" s="314">
        <v>-535</v>
      </c>
      <c r="N11" s="315">
        <f>L11+M11</f>
        <v>238247</v>
      </c>
      <c r="O11" s="316">
        <v>115120</v>
      </c>
      <c r="P11" s="314">
        <v>10639</v>
      </c>
      <c r="Q11" s="315">
        <f aca="true" t="shared" si="0" ref="Q11:Q16">SUM(O11:P11)</f>
        <v>125759</v>
      </c>
    </row>
    <row r="12" spans="1:17" s="174" customFormat="1" ht="17.25" customHeight="1" thickBot="1">
      <c r="A12" s="317">
        <v>2</v>
      </c>
      <c r="B12" s="325" t="s">
        <v>202</v>
      </c>
      <c r="C12" s="319">
        <v>218509</v>
      </c>
      <c r="D12" s="316">
        <v>25</v>
      </c>
      <c r="E12" s="315">
        <f>SUM(C12:D12)</f>
        <v>218534</v>
      </c>
      <c r="F12" s="319">
        <v>84809</v>
      </c>
      <c r="G12" s="316">
        <v>74</v>
      </c>
      <c r="H12" s="315">
        <f>SUM(F12:G12)</f>
        <v>84883</v>
      </c>
      <c r="I12" s="314">
        <v>52664</v>
      </c>
      <c r="J12" s="314">
        <v>14</v>
      </c>
      <c r="K12" s="315">
        <f>SUM(I12:J12)</f>
        <v>52678</v>
      </c>
      <c r="L12" s="314">
        <v>54963</v>
      </c>
      <c r="M12" s="314">
        <v>11</v>
      </c>
      <c r="N12" s="315">
        <f>SUM(L12:M12)</f>
        <v>54974</v>
      </c>
      <c r="O12" s="314">
        <v>26296</v>
      </c>
      <c r="P12" s="314">
        <v>1862</v>
      </c>
      <c r="Q12" s="315">
        <f t="shared" si="0"/>
        <v>28158</v>
      </c>
    </row>
    <row r="13" spans="1:17" s="200" customFormat="1" ht="17.25" customHeight="1" thickBot="1">
      <c r="A13" s="317">
        <v>3</v>
      </c>
      <c r="B13" s="305" t="s">
        <v>116</v>
      </c>
      <c r="C13" s="319">
        <v>438958</v>
      </c>
      <c r="D13" s="316">
        <v>516</v>
      </c>
      <c r="E13" s="315">
        <f>SUM(C13:D13)</f>
        <v>439474</v>
      </c>
      <c r="F13" s="319">
        <v>82715</v>
      </c>
      <c r="G13" s="316">
        <v>1078</v>
      </c>
      <c r="H13" s="315">
        <f>F13+G13</f>
        <v>83793</v>
      </c>
      <c r="I13" s="314">
        <v>42778</v>
      </c>
      <c r="J13" s="314">
        <v>5</v>
      </c>
      <c r="K13" s="315">
        <f>I13+J13</f>
        <v>42783</v>
      </c>
      <c r="L13" s="314">
        <v>103739</v>
      </c>
      <c r="M13" s="314">
        <v>1076</v>
      </c>
      <c r="N13" s="315">
        <f>L13+M13</f>
        <v>104815</v>
      </c>
      <c r="O13" s="316">
        <v>18747</v>
      </c>
      <c r="P13" s="314">
        <v>91</v>
      </c>
      <c r="Q13" s="315">
        <f t="shared" si="0"/>
        <v>18838</v>
      </c>
    </row>
    <row r="14" spans="1:17" s="200" customFormat="1" ht="17.25" customHeight="1" thickBot="1">
      <c r="A14" s="317">
        <v>4</v>
      </c>
      <c r="B14" s="305" t="s">
        <v>172</v>
      </c>
      <c r="C14" s="319"/>
      <c r="D14" s="316"/>
      <c r="E14" s="320">
        <f>SUM(C14:D14)</f>
        <v>0</v>
      </c>
      <c r="F14" s="316"/>
      <c r="G14" s="316"/>
      <c r="H14" s="320">
        <f>SUM(F14:G14)</f>
        <v>0</v>
      </c>
      <c r="I14" s="319"/>
      <c r="J14" s="316"/>
      <c r="K14" s="320">
        <f>SUM(I14:J14)</f>
        <v>0</v>
      </c>
      <c r="L14" s="319"/>
      <c r="M14" s="316"/>
      <c r="N14" s="320">
        <f>SUM(L14:M14)</f>
        <v>0</v>
      </c>
      <c r="O14" s="319"/>
      <c r="P14" s="316"/>
      <c r="Q14" s="320">
        <f t="shared" si="0"/>
        <v>0</v>
      </c>
    </row>
    <row r="15" spans="1:17" s="173" customFormat="1" ht="17.25" customHeight="1">
      <c r="A15" s="156" t="s">
        <v>98</v>
      </c>
      <c r="B15" s="145" t="s">
        <v>383</v>
      </c>
      <c r="C15" s="227"/>
      <c r="D15" s="226"/>
      <c r="E15" s="240">
        <f>C15+D15</f>
        <v>0</v>
      </c>
      <c r="F15" s="227"/>
      <c r="G15" s="226"/>
      <c r="H15" s="240">
        <f>F15+G15</f>
        <v>0</v>
      </c>
      <c r="I15" s="227"/>
      <c r="J15" s="226"/>
      <c r="K15" s="240">
        <f>I15+J15</f>
        <v>0</v>
      </c>
      <c r="L15" s="227"/>
      <c r="M15" s="226"/>
      <c r="N15" s="240">
        <f>L15+M15</f>
        <v>0</v>
      </c>
      <c r="O15" s="227"/>
      <c r="P15" s="226"/>
      <c r="Q15" s="240">
        <f t="shared" si="0"/>
        <v>0</v>
      </c>
    </row>
    <row r="16" spans="1:17" s="173" customFormat="1" ht="17.25" customHeight="1">
      <c r="A16" s="153" t="s">
        <v>99</v>
      </c>
      <c r="B16" s="149" t="s">
        <v>626</v>
      </c>
      <c r="C16" s="143"/>
      <c r="D16" s="139"/>
      <c r="E16" s="240">
        <f>C16+D16</f>
        <v>0</v>
      </c>
      <c r="F16" s="143"/>
      <c r="G16" s="139"/>
      <c r="H16" s="240">
        <f>F16+G16</f>
        <v>0</v>
      </c>
      <c r="I16" s="143"/>
      <c r="J16" s="139"/>
      <c r="K16" s="240">
        <f>I16+J16</f>
        <v>0</v>
      </c>
      <c r="L16" s="143"/>
      <c r="M16" s="139"/>
      <c r="N16" s="240">
        <f>L16+M16</f>
        <v>0</v>
      </c>
      <c r="O16" s="143"/>
      <c r="P16" s="139"/>
      <c r="Q16" s="240">
        <f t="shared" si="0"/>
        <v>0</v>
      </c>
    </row>
    <row r="17" spans="1:17" s="173" customFormat="1" ht="17.25" customHeight="1">
      <c r="A17" s="153" t="s">
        <v>100</v>
      </c>
      <c r="B17" s="149" t="s">
        <v>627</v>
      </c>
      <c r="C17" s="906"/>
      <c r="D17" s="139"/>
      <c r="E17" s="360">
        <f aca="true" t="shared" si="1" ref="E17:E22">C17+D17</f>
        <v>0</v>
      </c>
      <c r="F17" s="143"/>
      <c r="G17" s="139"/>
      <c r="H17" s="240">
        <f aca="true" t="shared" si="2" ref="H17:H22">F17+G17</f>
        <v>0</v>
      </c>
      <c r="I17" s="143"/>
      <c r="J17" s="139"/>
      <c r="K17" s="240">
        <f aca="true" t="shared" si="3" ref="K17:K22">I17+J17</f>
        <v>0</v>
      </c>
      <c r="L17" s="143"/>
      <c r="M17" s="139"/>
      <c r="N17" s="240">
        <f aca="true" t="shared" si="4" ref="N17:N22">L17+M17</f>
        <v>0</v>
      </c>
      <c r="O17" s="143"/>
      <c r="P17" s="139"/>
      <c r="Q17" s="240">
        <f aca="true" t="shared" si="5" ref="Q17:Q22">SUM(O17:P17)</f>
        <v>0</v>
      </c>
    </row>
    <row r="18" spans="1:17" s="173" customFormat="1" ht="17.25" customHeight="1">
      <c r="A18" s="153" t="s">
        <v>101</v>
      </c>
      <c r="B18" s="147" t="s">
        <v>384</v>
      </c>
      <c r="C18" s="906"/>
      <c r="D18" s="139"/>
      <c r="E18" s="360">
        <f t="shared" si="1"/>
        <v>0</v>
      </c>
      <c r="F18" s="143"/>
      <c r="G18" s="139"/>
      <c r="H18" s="240">
        <f t="shared" si="2"/>
        <v>0</v>
      </c>
      <c r="I18" s="143"/>
      <c r="J18" s="139"/>
      <c r="K18" s="240">
        <f t="shared" si="3"/>
        <v>0</v>
      </c>
      <c r="L18" s="143"/>
      <c r="M18" s="139"/>
      <c r="N18" s="240">
        <f t="shared" si="4"/>
        <v>0</v>
      </c>
      <c r="O18" s="143"/>
      <c r="P18" s="139"/>
      <c r="Q18" s="240">
        <f t="shared" si="5"/>
        <v>0</v>
      </c>
    </row>
    <row r="19" spans="1:17" s="173" customFormat="1" ht="17.25" customHeight="1">
      <c r="A19" s="148" t="s">
        <v>192</v>
      </c>
      <c r="B19" s="149" t="s">
        <v>628</v>
      </c>
      <c r="C19" s="885"/>
      <c r="D19" s="139"/>
      <c r="E19" s="360">
        <f>C19+D19</f>
        <v>0</v>
      </c>
      <c r="F19" s="141"/>
      <c r="G19" s="139"/>
      <c r="H19" s="240">
        <f>F19+G19</f>
        <v>0</v>
      </c>
      <c r="I19" s="141"/>
      <c r="J19" s="139"/>
      <c r="K19" s="240">
        <f>I19+J19</f>
        <v>0</v>
      </c>
      <c r="L19" s="141"/>
      <c r="M19" s="139"/>
      <c r="N19" s="240">
        <f>L19+M19</f>
        <v>0</v>
      </c>
      <c r="O19" s="141"/>
      <c r="P19" s="139"/>
      <c r="Q19" s="240">
        <f>SUM(O19:P19)</f>
        <v>0</v>
      </c>
    </row>
    <row r="20" spans="1:17" s="173" customFormat="1" ht="17.25" customHeight="1">
      <c r="A20" s="148" t="s">
        <v>339</v>
      </c>
      <c r="B20" s="149" t="s">
        <v>629</v>
      </c>
      <c r="C20" s="885"/>
      <c r="D20" s="139"/>
      <c r="E20" s="360">
        <f t="shared" si="1"/>
        <v>0</v>
      </c>
      <c r="F20" s="885"/>
      <c r="G20" s="139"/>
      <c r="H20" s="360">
        <f t="shared" si="2"/>
        <v>0</v>
      </c>
      <c r="I20" s="885"/>
      <c r="J20" s="139"/>
      <c r="K20" s="360">
        <f t="shared" si="3"/>
        <v>0</v>
      </c>
      <c r="L20" s="885"/>
      <c r="M20" s="139"/>
      <c r="N20" s="360">
        <f t="shared" si="4"/>
        <v>0</v>
      </c>
      <c r="O20" s="885"/>
      <c r="P20" s="139"/>
      <c r="Q20" s="360">
        <f t="shared" si="5"/>
        <v>0</v>
      </c>
    </row>
    <row r="21" spans="1:17" s="173" customFormat="1" ht="17.25" customHeight="1">
      <c r="A21" s="148" t="s">
        <v>340</v>
      </c>
      <c r="B21" s="147" t="s">
        <v>385</v>
      </c>
      <c r="C21" s="885"/>
      <c r="D21" s="139"/>
      <c r="E21" s="360">
        <f t="shared" si="1"/>
        <v>0</v>
      </c>
      <c r="F21" s="885"/>
      <c r="G21" s="139"/>
      <c r="H21" s="360">
        <f t="shared" si="2"/>
        <v>0</v>
      </c>
      <c r="I21" s="885"/>
      <c r="J21" s="139"/>
      <c r="K21" s="360">
        <f t="shared" si="3"/>
        <v>0</v>
      </c>
      <c r="L21" s="885"/>
      <c r="M21" s="139"/>
      <c r="N21" s="360">
        <f t="shared" si="4"/>
        <v>0</v>
      </c>
      <c r="O21" s="885"/>
      <c r="P21" s="139"/>
      <c r="Q21" s="360">
        <f t="shared" si="5"/>
        <v>0</v>
      </c>
    </row>
    <row r="22" spans="1:17" s="173" customFormat="1" ht="15" customHeight="1" thickBot="1">
      <c r="A22" s="16" t="s">
        <v>69</v>
      </c>
      <c r="B22" s="334" t="s">
        <v>386</v>
      </c>
      <c r="C22" s="886"/>
      <c r="D22" s="151"/>
      <c r="E22" s="360">
        <f t="shared" si="1"/>
        <v>0</v>
      </c>
      <c r="F22" s="886"/>
      <c r="G22" s="151"/>
      <c r="H22" s="360">
        <f t="shared" si="2"/>
        <v>0</v>
      </c>
      <c r="I22" s="886"/>
      <c r="J22" s="151"/>
      <c r="K22" s="360">
        <f t="shared" si="3"/>
        <v>0</v>
      </c>
      <c r="L22" s="886"/>
      <c r="M22" s="151"/>
      <c r="N22" s="360">
        <f t="shared" si="4"/>
        <v>0</v>
      </c>
      <c r="O22" s="886"/>
      <c r="P22" s="151"/>
      <c r="Q22" s="360">
        <f t="shared" si="5"/>
        <v>0</v>
      </c>
    </row>
    <row r="23" spans="1:17" s="200" customFormat="1" ht="17.25" customHeight="1" thickBot="1">
      <c r="A23" s="317">
        <v>5</v>
      </c>
      <c r="B23" s="305" t="s">
        <v>171</v>
      </c>
      <c r="C23" s="347">
        <f aca="true" t="shared" si="6" ref="C23:Q23">SUM(C15:C22)</f>
        <v>0</v>
      </c>
      <c r="D23" s="314">
        <f t="shared" si="6"/>
        <v>0</v>
      </c>
      <c r="E23" s="320">
        <f t="shared" si="6"/>
        <v>0</v>
      </c>
      <c r="F23" s="330">
        <f t="shared" si="6"/>
        <v>0</v>
      </c>
      <c r="G23" s="314">
        <f t="shared" si="6"/>
        <v>0</v>
      </c>
      <c r="H23" s="330">
        <f t="shared" si="6"/>
        <v>0</v>
      </c>
      <c r="I23" s="347">
        <f t="shared" si="6"/>
        <v>0</v>
      </c>
      <c r="J23" s="314">
        <f t="shared" si="6"/>
        <v>0</v>
      </c>
      <c r="K23" s="320">
        <f t="shared" si="6"/>
        <v>0</v>
      </c>
      <c r="L23" s="347">
        <f t="shared" si="6"/>
        <v>0</v>
      </c>
      <c r="M23" s="314">
        <f t="shared" si="6"/>
        <v>0</v>
      </c>
      <c r="N23" s="320">
        <f t="shared" si="6"/>
        <v>0</v>
      </c>
      <c r="O23" s="347">
        <f t="shared" si="6"/>
        <v>0</v>
      </c>
      <c r="P23" s="314">
        <f t="shared" si="6"/>
        <v>0</v>
      </c>
      <c r="Q23" s="320">
        <f t="shared" si="6"/>
        <v>0</v>
      </c>
    </row>
    <row r="24" spans="1:17" s="173" customFormat="1" ht="17.25" customHeight="1" thickBot="1">
      <c r="A24" s="313">
        <v>6</v>
      </c>
      <c r="B24" s="305" t="s">
        <v>174</v>
      </c>
      <c r="C24" s="318">
        <v>7953</v>
      </c>
      <c r="D24" s="314">
        <v>2795</v>
      </c>
      <c r="E24" s="288">
        <f aca="true" t="shared" si="7" ref="E24:E30">C24+D24</f>
        <v>10748</v>
      </c>
      <c r="F24" s="318">
        <v>31937</v>
      </c>
      <c r="G24" s="314">
        <v>101</v>
      </c>
      <c r="H24" s="288">
        <f aca="true" t="shared" si="8" ref="H24:H30">F24+G24</f>
        <v>32038</v>
      </c>
      <c r="I24" s="318">
        <v>4147</v>
      </c>
      <c r="J24" s="314"/>
      <c r="K24" s="288">
        <f aca="true" t="shared" si="9" ref="K24:K30">I24+J24</f>
        <v>4147</v>
      </c>
      <c r="L24" s="318">
        <v>3131</v>
      </c>
      <c r="M24" s="314">
        <v>21</v>
      </c>
      <c r="N24" s="288">
        <f aca="true" t="shared" si="10" ref="N24:N30">L24+M24</f>
        <v>3152</v>
      </c>
      <c r="O24" s="347">
        <v>2705</v>
      </c>
      <c r="P24" s="314"/>
      <c r="Q24" s="288">
        <f>SUM(O24:P24)</f>
        <v>2705</v>
      </c>
    </row>
    <row r="25" spans="1:17" s="200" customFormat="1" ht="17.25" customHeight="1" thickBot="1">
      <c r="A25" s="313">
        <v>7</v>
      </c>
      <c r="B25" s="305" t="s">
        <v>435</v>
      </c>
      <c r="C25" s="347"/>
      <c r="D25" s="314"/>
      <c r="E25" s="288">
        <f t="shared" si="7"/>
        <v>0</v>
      </c>
      <c r="F25" s="347"/>
      <c r="G25" s="314"/>
      <c r="H25" s="288">
        <f t="shared" si="8"/>
        <v>0</v>
      </c>
      <c r="I25" s="347"/>
      <c r="J25" s="314"/>
      <c r="K25" s="288">
        <f t="shared" si="9"/>
        <v>0</v>
      </c>
      <c r="L25" s="347"/>
      <c r="M25" s="314"/>
      <c r="N25" s="288">
        <f t="shared" si="10"/>
        <v>0</v>
      </c>
      <c r="O25" s="347"/>
      <c r="P25" s="314"/>
      <c r="Q25" s="288">
        <f>SUM(O25:P25)</f>
        <v>0</v>
      </c>
    </row>
    <row r="26" spans="1:17" s="173" customFormat="1" ht="17.25" customHeight="1">
      <c r="A26" s="156" t="s">
        <v>98</v>
      </c>
      <c r="B26" s="149" t="s">
        <v>632</v>
      </c>
      <c r="C26" s="1075"/>
      <c r="D26" s="226"/>
      <c r="E26" s="360">
        <f t="shared" si="7"/>
        <v>0</v>
      </c>
      <c r="F26" s="1075"/>
      <c r="G26" s="226"/>
      <c r="H26" s="360">
        <f t="shared" si="8"/>
        <v>0</v>
      </c>
      <c r="I26" s="1075"/>
      <c r="J26" s="226"/>
      <c r="K26" s="360">
        <f t="shared" si="9"/>
        <v>0</v>
      </c>
      <c r="L26" s="1075"/>
      <c r="M26" s="226"/>
      <c r="N26" s="360">
        <f t="shared" si="10"/>
        <v>0</v>
      </c>
      <c r="O26" s="1075"/>
      <c r="P26" s="226"/>
      <c r="Q26" s="360">
        <f>SUM(O26:P26)</f>
        <v>0</v>
      </c>
    </row>
    <row r="27" spans="1:17" s="173" customFormat="1" ht="17.25" customHeight="1">
      <c r="A27" s="156" t="s">
        <v>99</v>
      </c>
      <c r="B27" s="149" t="s">
        <v>630</v>
      </c>
      <c r="C27" s="1075"/>
      <c r="D27" s="226"/>
      <c r="E27" s="360">
        <f t="shared" si="7"/>
        <v>0</v>
      </c>
      <c r="F27" s="1075"/>
      <c r="G27" s="226"/>
      <c r="H27" s="360">
        <f t="shared" si="8"/>
        <v>0</v>
      </c>
      <c r="I27" s="1075"/>
      <c r="J27" s="226"/>
      <c r="K27" s="360">
        <f t="shared" si="9"/>
        <v>0</v>
      </c>
      <c r="L27" s="1075"/>
      <c r="M27" s="226"/>
      <c r="N27" s="360">
        <f t="shared" si="10"/>
        <v>0</v>
      </c>
      <c r="O27" s="1075"/>
      <c r="P27" s="226"/>
      <c r="Q27" s="360">
        <f aca="true" t="shared" si="11" ref="Q27:Q32">SUM(O27:P27)</f>
        <v>0</v>
      </c>
    </row>
    <row r="28" spans="1:17" s="173" customFormat="1" ht="17.25" customHeight="1">
      <c r="A28" s="156" t="s">
        <v>100</v>
      </c>
      <c r="B28" s="147" t="s">
        <v>387</v>
      </c>
      <c r="C28" s="1075"/>
      <c r="D28" s="226"/>
      <c r="E28" s="360">
        <f t="shared" si="7"/>
        <v>0</v>
      </c>
      <c r="F28" s="1075"/>
      <c r="G28" s="226"/>
      <c r="H28" s="360">
        <f t="shared" si="8"/>
        <v>0</v>
      </c>
      <c r="I28" s="1075"/>
      <c r="J28" s="226"/>
      <c r="K28" s="360">
        <f t="shared" si="9"/>
        <v>0</v>
      </c>
      <c r="L28" s="1075"/>
      <c r="M28" s="226"/>
      <c r="N28" s="360">
        <f t="shared" si="10"/>
        <v>0</v>
      </c>
      <c r="O28" s="1075"/>
      <c r="P28" s="226"/>
      <c r="Q28" s="360">
        <f t="shared" si="11"/>
        <v>0</v>
      </c>
    </row>
    <row r="29" spans="1:17" s="173" customFormat="1" ht="17.25" customHeight="1">
      <c r="A29" s="156" t="s">
        <v>101</v>
      </c>
      <c r="B29" s="149" t="s">
        <v>631</v>
      </c>
      <c r="C29" s="1075"/>
      <c r="D29" s="226"/>
      <c r="E29" s="360">
        <f t="shared" si="7"/>
        <v>0</v>
      </c>
      <c r="F29" s="1075"/>
      <c r="G29" s="226"/>
      <c r="H29" s="360">
        <f t="shared" si="8"/>
        <v>0</v>
      </c>
      <c r="I29" s="1075"/>
      <c r="J29" s="226"/>
      <c r="K29" s="360">
        <f t="shared" si="9"/>
        <v>0</v>
      </c>
      <c r="L29" s="1075"/>
      <c r="M29" s="226"/>
      <c r="N29" s="360">
        <f t="shared" si="10"/>
        <v>0</v>
      </c>
      <c r="O29" s="1075"/>
      <c r="P29" s="226"/>
      <c r="Q29" s="360">
        <f t="shared" si="11"/>
        <v>0</v>
      </c>
    </row>
    <row r="30" spans="1:17" s="173" customFormat="1" ht="17.25" customHeight="1" thickBot="1">
      <c r="A30" s="335" t="s">
        <v>192</v>
      </c>
      <c r="B30" s="147" t="s">
        <v>388</v>
      </c>
      <c r="C30" s="1076"/>
      <c r="D30" s="321"/>
      <c r="E30" s="361">
        <f t="shared" si="7"/>
        <v>0</v>
      </c>
      <c r="F30" s="1076"/>
      <c r="G30" s="321"/>
      <c r="H30" s="361">
        <f t="shared" si="8"/>
        <v>0</v>
      </c>
      <c r="I30" s="1076"/>
      <c r="J30" s="321"/>
      <c r="K30" s="361">
        <f t="shared" si="9"/>
        <v>0</v>
      </c>
      <c r="L30" s="1076"/>
      <c r="M30" s="321"/>
      <c r="N30" s="361">
        <f t="shared" si="10"/>
        <v>0</v>
      </c>
      <c r="O30" s="1076"/>
      <c r="P30" s="321"/>
      <c r="Q30" s="361">
        <f t="shared" si="11"/>
        <v>0</v>
      </c>
    </row>
    <row r="31" spans="1:17" s="200" customFormat="1" ht="17.25" customHeight="1" thickBot="1">
      <c r="A31" s="313">
        <v>8</v>
      </c>
      <c r="B31" s="305" t="s">
        <v>173</v>
      </c>
      <c r="C31" s="347">
        <f aca="true" t="shared" si="12" ref="C31:Q31">SUM(C26:C30)</f>
        <v>0</v>
      </c>
      <c r="D31" s="314">
        <f t="shared" si="12"/>
        <v>0</v>
      </c>
      <c r="E31" s="316">
        <f t="shared" si="12"/>
        <v>0</v>
      </c>
      <c r="F31" s="347">
        <f t="shared" si="12"/>
        <v>0</v>
      </c>
      <c r="G31" s="314">
        <f t="shared" si="12"/>
        <v>0</v>
      </c>
      <c r="H31" s="316">
        <f t="shared" si="12"/>
        <v>0</v>
      </c>
      <c r="I31" s="347">
        <f t="shared" si="12"/>
        <v>0</v>
      </c>
      <c r="J31" s="314">
        <f t="shared" si="12"/>
        <v>0</v>
      </c>
      <c r="K31" s="316">
        <f t="shared" si="12"/>
        <v>0</v>
      </c>
      <c r="L31" s="347">
        <f t="shared" si="12"/>
        <v>0</v>
      </c>
      <c r="M31" s="314">
        <f t="shared" si="12"/>
        <v>0</v>
      </c>
      <c r="N31" s="316">
        <f t="shared" si="12"/>
        <v>0</v>
      </c>
      <c r="O31" s="347">
        <f t="shared" si="12"/>
        <v>0</v>
      </c>
      <c r="P31" s="314">
        <f t="shared" si="12"/>
        <v>0</v>
      </c>
      <c r="Q31" s="320">
        <f t="shared" si="12"/>
        <v>0</v>
      </c>
    </row>
    <row r="32" spans="1:17" s="173" customFormat="1" ht="17.25" customHeight="1" thickBot="1">
      <c r="A32" s="313">
        <v>9</v>
      </c>
      <c r="B32" s="305" t="s">
        <v>179</v>
      </c>
      <c r="C32" s="347"/>
      <c r="D32" s="314"/>
      <c r="E32" s="288">
        <f>C32+D32</f>
        <v>0</v>
      </c>
      <c r="F32" s="347"/>
      <c r="G32" s="314"/>
      <c r="H32" s="288">
        <f>F32+G32</f>
        <v>0</v>
      </c>
      <c r="I32" s="347"/>
      <c r="J32" s="314"/>
      <c r="K32" s="288">
        <f>I32+J32</f>
        <v>0</v>
      </c>
      <c r="L32" s="347"/>
      <c r="M32" s="314"/>
      <c r="N32" s="288">
        <f>L32+M32</f>
        <v>0</v>
      </c>
      <c r="O32" s="347"/>
      <c r="P32" s="314"/>
      <c r="Q32" s="288">
        <f t="shared" si="11"/>
        <v>0</v>
      </c>
    </row>
    <row r="33" spans="1:17" s="152" customFormat="1" ht="17.25" customHeight="1" thickBot="1">
      <c r="A33" s="367">
        <v>10</v>
      </c>
      <c r="B33" s="368"/>
      <c r="C33" s="158"/>
      <c r="D33" s="369"/>
      <c r="E33" s="371">
        <f>SUM(C33:D33)</f>
        <v>0</v>
      </c>
      <c r="F33" s="158"/>
      <c r="G33" s="369"/>
      <c r="H33" s="371">
        <f>SUM(F33:G33)</f>
        <v>0</v>
      </c>
      <c r="I33" s="158"/>
      <c r="J33" s="369"/>
      <c r="K33" s="371">
        <f>SUM(I33:J33)</f>
        <v>0</v>
      </c>
      <c r="L33" s="158"/>
      <c r="M33" s="369"/>
      <c r="N33" s="371">
        <f>SUM(L33:M33)</f>
        <v>0</v>
      </c>
      <c r="O33" s="158"/>
      <c r="P33" s="369"/>
      <c r="Q33" s="371">
        <f>SUM(O33:P33)</f>
        <v>0</v>
      </c>
    </row>
    <row r="34" spans="1:18" s="160" customFormat="1" ht="17.25" customHeight="1" thickBot="1" thickTop="1">
      <c r="A34" s="343" t="s">
        <v>108</v>
      </c>
      <c r="B34" s="366" t="s">
        <v>180</v>
      </c>
      <c r="C34" s="365">
        <f aca="true" t="shared" si="13" ref="C34:Q34">C11+C12+C13+C23+C14+C31+C25+C24+C32+C33</f>
        <v>1624885</v>
      </c>
      <c r="D34" s="344">
        <f t="shared" si="13"/>
        <v>3502</v>
      </c>
      <c r="E34" s="778">
        <f t="shared" si="13"/>
        <v>1628387</v>
      </c>
      <c r="F34" s="365">
        <f t="shared" si="13"/>
        <v>572515</v>
      </c>
      <c r="G34" s="344">
        <f t="shared" si="13"/>
        <v>1733</v>
      </c>
      <c r="H34" s="778">
        <f t="shared" si="13"/>
        <v>574248</v>
      </c>
      <c r="I34" s="365">
        <f t="shared" si="13"/>
        <v>311589</v>
      </c>
      <c r="J34" s="344">
        <f t="shared" si="13"/>
        <v>94</v>
      </c>
      <c r="K34" s="778">
        <f t="shared" si="13"/>
        <v>311683</v>
      </c>
      <c r="L34" s="365">
        <f t="shared" si="13"/>
        <v>400615</v>
      </c>
      <c r="M34" s="344">
        <f t="shared" si="13"/>
        <v>573</v>
      </c>
      <c r="N34" s="778">
        <f t="shared" si="13"/>
        <v>401188</v>
      </c>
      <c r="O34" s="365">
        <f t="shared" si="13"/>
        <v>162868</v>
      </c>
      <c r="P34" s="344">
        <f t="shared" si="13"/>
        <v>12592</v>
      </c>
      <c r="Q34" s="374">
        <f t="shared" si="13"/>
        <v>175460</v>
      </c>
      <c r="R34" s="159"/>
    </row>
    <row r="35" spans="1:21" s="88" customFormat="1" ht="17.25" customHeight="1" thickBot="1" thickTop="1">
      <c r="A35" s="144"/>
      <c r="B35" s="346" t="s">
        <v>131</v>
      </c>
      <c r="C35" s="1077"/>
      <c r="D35" s="302"/>
      <c r="E35" s="1083"/>
      <c r="F35" s="1077"/>
      <c r="G35" s="302"/>
      <c r="H35" s="1083"/>
      <c r="I35" s="1077"/>
      <c r="J35" s="302"/>
      <c r="K35" s="1083"/>
      <c r="L35" s="1077"/>
      <c r="M35" s="302"/>
      <c r="N35" s="1083"/>
      <c r="O35" s="1077"/>
      <c r="P35" s="302"/>
      <c r="Q35" s="1083"/>
      <c r="R35" s="357"/>
      <c r="S35" s="234"/>
      <c r="T35" s="234"/>
      <c r="U35" s="234"/>
    </row>
    <row r="36" spans="1:21" s="760" customFormat="1" ht="17.25" customHeight="1">
      <c r="A36" s="769" t="s">
        <v>98</v>
      </c>
      <c r="B36" s="770" t="s">
        <v>389</v>
      </c>
      <c r="C36" s="772"/>
      <c r="D36" s="771"/>
      <c r="E36" s="773">
        <f>SUM(C36:D36)</f>
        <v>0</v>
      </c>
      <c r="F36" s="772"/>
      <c r="G36" s="771"/>
      <c r="H36" s="773">
        <f>SUM(F36:G36)</f>
        <v>0</v>
      </c>
      <c r="I36" s="772"/>
      <c r="J36" s="771"/>
      <c r="K36" s="773">
        <f>SUM(I36:J36)</f>
        <v>0</v>
      </c>
      <c r="L36" s="772"/>
      <c r="M36" s="771"/>
      <c r="N36" s="773">
        <f>SUM(L36:M36)</f>
        <v>0</v>
      </c>
      <c r="O36" s="1085"/>
      <c r="P36" s="771"/>
      <c r="Q36" s="773">
        <f aca="true" t="shared" si="14" ref="Q36:Q44">SUM(O36:P36)</f>
        <v>0</v>
      </c>
      <c r="R36" s="764"/>
      <c r="S36" s="764"/>
      <c r="T36" s="764"/>
      <c r="U36" s="764"/>
    </row>
    <row r="37" spans="1:21" s="760" customFormat="1" ht="17.25" customHeight="1">
      <c r="A37" s="153" t="s">
        <v>99</v>
      </c>
      <c r="B37" s="149" t="s">
        <v>245</v>
      </c>
      <c r="C37" s="307"/>
      <c r="D37" s="139"/>
      <c r="E37" s="433">
        <f aca="true" t="shared" si="15" ref="E37:E44">C37+D37</f>
        <v>0</v>
      </c>
      <c r="F37" s="307"/>
      <c r="G37" s="139"/>
      <c r="H37" s="433">
        <f aca="true" t="shared" si="16" ref="H37:H44">F37+G37</f>
        <v>0</v>
      </c>
      <c r="I37" s="307"/>
      <c r="J37" s="139"/>
      <c r="K37" s="433">
        <f aca="true" t="shared" si="17" ref="K37:K44">I37+J37</f>
        <v>0</v>
      </c>
      <c r="L37" s="307"/>
      <c r="M37" s="139"/>
      <c r="N37" s="433">
        <f aca="true" t="shared" si="18" ref="N37:N44">L37+M37</f>
        <v>0</v>
      </c>
      <c r="O37" s="906"/>
      <c r="P37" s="139"/>
      <c r="Q37" s="433">
        <f t="shared" si="14"/>
        <v>0</v>
      </c>
      <c r="R37" s="764"/>
      <c r="S37" s="764"/>
      <c r="T37" s="764"/>
      <c r="U37" s="764"/>
    </row>
    <row r="38" spans="1:17" s="760" customFormat="1" ht="17.25" customHeight="1">
      <c r="A38" s="335" t="s">
        <v>100</v>
      </c>
      <c r="B38" s="142" t="s">
        <v>390</v>
      </c>
      <c r="C38" s="329"/>
      <c r="D38" s="321"/>
      <c r="E38" s="361">
        <f t="shared" si="15"/>
        <v>0</v>
      </c>
      <c r="F38" s="329"/>
      <c r="G38" s="321"/>
      <c r="H38" s="361">
        <f t="shared" si="16"/>
        <v>0</v>
      </c>
      <c r="I38" s="329"/>
      <c r="J38" s="321"/>
      <c r="K38" s="361">
        <f t="shared" si="17"/>
        <v>0</v>
      </c>
      <c r="L38" s="329"/>
      <c r="M38" s="321"/>
      <c r="N38" s="361">
        <f t="shared" si="18"/>
        <v>0</v>
      </c>
      <c r="O38" s="1076"/>
      <c r="P38" s="321"/>
      <c r="Q38" s="361">
        <f t="shared" si="14"/>
        <v>0</v>
      </c>
    </row>
    <row r="39" spans="1:17" s="760" customFormat="1" ht="17.25" customHeight="1" thickBot="1">
      <c r="A39" s="154" t="s">
        <v>101</v>
      </c>
      <c r="B39" s="155" t="s">
        <v>394</v>
      </c>
      <c r="C39" s="308"/>
      <c r="D39" s="151"/>
      <c r="E39" s="435">
        <f t="shared" si="15"/>
        <v>0</v>
      </c>
      <c r="F39" s="308"/>
      <c r="G39" s="151"/>
      <c r="H39" s="435">
        <f t="shared" si="16"/>
        <v>0</v>
      </c>
      <c r="I39" s="308"/>
      <c r="J39" s="151"/>
      <c r="K39" s="435">
        <f t="shared" si="17"/>
        <v>0</v>
      </c>
      <c r="L39" s="308"/>
      <c r="M39" s="151"/>
      <c r="N39" s="435">
        <f t="shared" si="18"/>
        <v>0</v>
      </c>
      <c r="O39" s="907"/>
      <c r="P39" s="151"/>
      <c r="Q39" s="435">
        <f t="shared" si="14"/>
        <v>0</v>
      </c>
    </row>
    <row r="40" spans="1:17" s="200" customFormat="1" ht="17.25" customHeight="1" thickBot="1">
      <c r="A40" s="313">
        <v>1</v>
      </c>
      <c r="B40" s="305" t="s">
        <v>177</v>
      </c>
      <c r="C40" s="347">
        <f aca="true" t="shared" si="19" ref="C40:Q40">SUM(C36:C39)</f>
        <v>0</v>
      </c>
      <c r="D40" s="314">
        <f t="shared" si="19"/>
        <v>0</v>
      </c>
      <c r="E40" s="320">
        <f t="shared" si="19"/>
        <v>0</v>
      </c>
      <c r="F40" s="347">
        <f t="shared" si="19"/>
        <v>0</v>
      </c>
      <c r="G40" s="314">
        <f t="shared" si="19"/>
        <v>0</v>
      </c>
      <c r="H40" s="320">
        <f t="shared" si="19"/>
        <v>0</v>
      </c>
      <c r="I40" s="347">
        <f t="shared" si="19"/>
        <v>0</v>
      </c>
      <c r="J40" s="314">
        <f t="shared" si="19"/>
        <v>0</v>
      </c>
      <c r="K40" s="320">
        <f t="shared" si="19"/>
        <v>0</v>
      </c>
      <c r="L40" s="347">
        <f t="shared" si="19"/>
        <v>0</v>
      </c>
      <c r="M40" s="314">
        <f t="shared" si="19"/>
        <v>0</v>
      </c>
      <c r="N40" s="320">
        <f t="shared" si="19"/>
        <v>0</v>
      </c>
      <c r="O40" s="347">
        <f t="shared" si="19"/>
        <v>0</v>
      </c>
      <c r="P40" s="314">
        <f t="shared" si="19"/>
        <v>0</v>
      </c>
      <c r="Q40" s="320">
        <f t="shared" si="19"/>
        <v>0</v>
      </c>
    </row>
    <row r="41" spans="1:17" s="173" customFormat="1" ht="17.25" customHeight="1">
      <c r="A41" s="156" t="s">
        <v>98</v>
      </c>
      <c r="B41" s="145" t="s">
        <v>416</v>
      </c>
      <c r="C41" s="306"/>
      <c r="D41" s="226"/>
      <c r="E41" s="361">
        <f t="shared" si="15"/>
        <v>0</v>
      </c>
      <c r="F41" s="306"/>
      <c r="G41" s="226"/>
      <c r="H41" s="361">
        <f t="shared" si="16"/>
        <v>0</v>
      </c>
      <c r="I41" s="306"/>
      <c r="J41" s="226"/>
      <c r="K41" s="361">
        <f t="shared" si="17"/>
        <v>0</v>
      </c>
      <c r="L41" s="306"/>
      <c r="M41" s="226"/>
      <c r="N41" s="361">
        <f t="shared" si="18"/>
        <v>0</v>
      </c>
      <c r="O41" s="1075"/>
      <c r="P41" s="226"/>
      <c r="Q41" s="360">
        <f t="shared" si="14"/>
        <v>0</v>
      </c>
    </row>
    <row r="42" spans="1:17" s="173" customFormat="1" ht="17.25" customHeight="1">
      <c r="A42" s="153" t="s">
        <v>99</v>
      </c>
      <c r="B42" s="149" t="s">
        <v>391</v>
      </c>
      <c r="C42" s="307"/>
      <c r="D42" s="139"/>
      <c r="E42" s="435">
        <f t="shared" si="15"/>
        <v>0</v>
      </c>
      <c r="F42" s="307"/>
      <c r="G42" s="139"/>
      <c r="H42" s="435">
        <f t="shared" si="16"/>
        <v>0</v>
      </c>
      <c r="I42" s="307"/>
      <c r="J42" s="139"/>
      <c r="K42" s="435">
        <f t="shared" si="17"/>
        <v>0</v>
      </c>
      <c r="L42" s="307"/>
      <c r="M42" s="139"/>
      <c r="N42" s="435">
        <f t="shared" si="18"/>
        <v>0</v>
      </c>
      <c r="O42" s="906"/>
      <c r="P42" s="139"/>
      <c r="Q42" s="433">
        <f t="shared" si="14"/>
        <v>0</v>
      </c>
    </row>
    <row r="43" spans="1:17" s="173" customFormat="1" ht="17.25" customHeight="1">
      <c r="A43" s="153" t="s">
        <v>100</v>
      </c>
      <c r="B43" s="149" t="s">
        <v>392</v>
      </c>
      <c r="C43" s="307"/>
      <c r="D43" s="139"/>
      <c r="E43" s="435">
        <f t="shared" si="15"/>
        <v>0</v>
      </c>
      <c r="F43" s="307"/>
      <c r="G43" s="139"/>
      <c r="H43" s="435">
        <f t="shared" si="16"/>
        <v>0</v>
      </c>
      <c r="I43" s="307"/>
      <c r="J43" s="139"/>
      <c r="K43" s="435">
        <f t="shared" si="17"/>
        <v>0</v>
      </c>
      <c r="L43" s="307"/>
      <c r="M43" s="139"/>
      <c r="N43" s="435">
        <f t="shared" si="18"/>
        <v>0</v>
      </c>
      <c r="O43" s="906"/>
      <c r="P43" s="139"/>
      <c r="Q43" s="433">
        <f t="shared" si="14"/>
        <v>0</v>
      </c>
    </row>
    <row r="44" spans="1:17" s="173" customFormat="1" ht="17.25" customHeight="1" thickBot="1">
      <c r="A44" s="154" t="s">
        <v>101</v>
      </c>
      <c r="B44" s="155" t="s">
        <v>175</v>
      </c>
      <c r="C44" s="308"/>
      <c r="D44" s="151"/>
      <c r="E44" s="435">
        <f t="shared" si="15"/>
        <v>0</v>
      </c>
      <c r="F44" s="308"/>
      <c r="G44" s="151"/>
      <c r="H44" s="435">
        <f t="shared" si="16"/>
        <v>0</v>
      </c>
      <c r="I44" s="308"/>
      <c r="J44" s="151"/>
      <c r="K44" s="435">
        <f t="shared" si="17"/>
        <v>0</v>
      </c>
      <c r="L44" s="308"/>
      <c r="M44" s="151"/>
      <c r="N44" s="435">
        <f t="shared" si="18"/>
        <v>0</v>
      </c>
      <c r="O44" s="907"/>
      <c r="P44" s="151"/>
      <c r="Q44" s="435">
        <f t="shared" si="14"/>
        <v>0</v>
      </c>
    </row>
    <row r="45" spans="1:17" s="200" customFormat="1" ht="17.25" customHeight="1" thickBot="1">
      <c r="A45" s="313">
        <v>2</v>
      </c>
      <c r="B45" s="305" t="s">
        <v>176</v>
      </c>
      <c r="C45" s="347">
        <f>SUM(C41:C44)</f>
        <v>0</v>
      </c>
      <c r="D45" s="314">
        <f aca="true" t="shared" si="20" ref="D45:Q45">SUM(D41:D44)</f>
        <v>0</v>
      </c>
      <c r="E45" s="316">
        <f t="shared" si="20"/>
        <v>0</v>
      </c>
      <c r="F45" s="347">
        <f t="shared" si="20"/>
        <v>0</v>
      </c>
      <c r="G45" s="314">
        <f t="shared" si="20"/>
        <v>0</v>
      </c>
      <c r="H45" s="316">
        <f t="shared" si="20"/>
        <v>0</v>
      </c>
      <c r="I45" s="347">
        <f t="shared" si="20"/>
        <v>0</v>
      </c>
      <c r="J45" s="314">
        <f t="shared" si="20"/>
        <v>0</v>
      </c>
      <c r="K45" s="316">
        <f t="shared" si="20"/>
        <v>0</v>
      </c>
      <c r="L45" s="347">
        <f t="shared" si="20"/>
        <v>0</v>
      </c>
      <c r="M45" s="314">
        <f t="shared" si="20"/>
        <v>0</v>
      </c>
      <c r="N45" s="330">
        <f t="shared" si="20"/>
        <v>0</v>
      </c>
      <c r="O45" s="347">
        <f t="shared" si="20"/>
        <v>0</v>
      </c>
      <c r="P45" s="314">
        <f t="shared" si="20"/>
        <v>0</v>
      </c>
      <c r="Q45" s="320">
        <f t="shared" si="20"/>
        <v>0</v>
      </c>
    </row>
    <row r="46" spans="1:17" s="200" customFormat="1" ht="17.25" customHeight="1" thickBot="1">
      <c r="A46" s="313">
        <v>3</v>
      </c>
      <c r="B46" s="305" t="s">
        <v>264</v>
      </c>
      <c r="C46" s="347">
        <v>70458</v>
      </c>
      <c r="D46" s="314">
        <v>12266</v>
      </c>
      <c r="E46" s="316">
        <f>SUM(C46:D46)</f>
        <v>82724</v>
      </c>
      <c r="F46" s="347">
        <v>18829</v>
      </c>
      <c r="G46" s="314">
        <v>2315</v>
      </c>
      <c r="H46" s="316">
        <f>SUM(F46:G46)</f>
        <v>21144</v>
      </c>
      <c r="I46" s="347">
        <v>3113</v>
      </c>
      <c r="J46" s="314">
        <v>5</v>
      </c>
      <c r="K46" s="316">
        <f>SUM(I46:J46)</f>
        <v>3118</v>
      </c>
      <c r="L46" s="347">
        <v>37669</v>
      </c>
      <c r="M46" s="314">
        <v>1417</v>
      </c>
      <c r="N46" s="330">
        <f>SUM(L46:M46)</f>
        <v>39086</v>
      </c>
      <c r="O46" s="347"/>
      <c r="P46" s="314">
        <v>4</v>
      </c>
      <c r="Q46" s="320">
        <f>SUM(O46:P46)</f>
        <v>4</v>
      </c>
    </row>
    <row r="47" spans="1:17" s="173" customFormat="1" ht="17.25" customHeight="1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16">
        <f>SUM(I47:J47)</f>
        <v>0</v>
      </c>
      <c r="L47" s="347"/>
      <c r="M47" s="314"/>
      <c r="N47" s="330">
        <f>SUM(L47:M47)</f>
        <v>0</v>
      </c>
      <c r="O47" s="347"/>
      <c r="P47" s="314"/>
      <c r="Q47" s="320">
        <f>SUM(O47:P47)</f>
        <v>0</v>
      </c>
    </row>
    <row r="48" spans="1:17" s="760" customFormat="1" ht="17.25" customHeight="1">
      <c r="A48" s="156" t="s">
        <v>98</v>
      </c>
      <c r="B48" s="142" t="s">
        <v>291</v>
      </c>
      <c r="C48" s="1075"/>
      <c r="D48" s="226"/>
      <c r="E48" s="361">
        <f>C48+D48</f>
        <v>0</v>
      </c>
      <c r="F48" s="1075"/>
      <c r="G48" s="226"/>
      <c r="H48" s="361">
        <f>F48+G48</f>
        <v>0</v>
      </c>
      <c r="I48" s="1075"/>
      <c r="J48" s="226"/>
      <c r="K48" s="361">
        <f>I48+J48</f>
        <v>0</v>
      </c>
      <c r="L48" s="1075"/>
      <c r="M48" s="226"/>
      <c r="N48" s="361">
        <f>L48+M48</f>
        <v>0</v>
      </c>
      <c r="O48" s="1075"/>
      <c r="P48" s="226"/>
      <c r="Q48" s="360">
        <f>SUM(O48:P48)</f>
        <v>0</v>
      </c>
    </row>
    <row r="49" spans="1:17" s="173" customFormat="1" ht="17.25" customHeight="1">
      <c r="A49" s="154" t="s">
        <v>99</v>
      </c>
      <c r="B49" s="334" t="s">
        <v>393</v>
      </c>
      <c r="C49" s="906"/>
      <c r="D49" s="139"/>
      <c r="E49" s="433">
        <f>C49+D49</f>
        <v>0</v>
      </c>
      <c r="F49" s="906"/>
      <c r="G49" s="139"/>
      <c r="H49" s="433">
        <f>F49+G49</f>
        <v>0</v>
      </c>
      <c r="I49" s="906"/>
      <c r="J49" s="139"/>
      <c r="K49" s="433">
        <f>I49+J49</f>
        <v>0</v>
      </c>
      <c r="L49" s="906"/>
      <c r="M49" s="139"/>
      <c r="N49" s="433">
        <f>L49+M49</f>
        <v>0</v>
      </c>
      <c r="O49" s="906"/>
      <c r="P49" s="139"/>
      <c r="Q49" s="433">
        <f>SUM(O49:P49)</f>
        <v>0</v>
      </c>
    </row>
    <row r="50" spans="1:17" s="173" customFormat="1" ht="17.25" customHeight="1" thickBot="1">
      <c r="A50" s="154" t="s">
        <v>100</v>
      </c>
      <c r="B50" s="334" t="s">
        <v>426</v>
      </c>
      <c r="C50" s="906"/>
      <c r="D50" s="139"/>
      <c r="E50" s="433">
        <f>C50+D50</f>
        <v>0</v>
      </c>
      <c r="F50" s="906"/>
      <c r="G50" s="139"/>
      <c r="H50" s="433">
        <f>F50+G50</f>
        <v>0</v>
      </c>
      <c r="I50" s="906"/>
      <c r="J50" s="139"/>
      <c r="K50" s="433">
        <f>I50+J50</f>
        <v>0</v>
      </c>
      <c r="L50" s="906"/>
      <c r="M50" s="139"/>
      <c r="N50" s="433">
        <f>L50+M50</f>
        <v>0</v>
      </c>
      <c r="O50" s="906"/>
      <c r="P50" s="139"/>
      <c r="Q50" s="433">
        <f>SUM(O50:P50)</f>
        <v>0</v>
      </c>
    </row>
    <row r="51" spans="1:17" s="200" customFormat="1" ht="17.25" customHeight="1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16">
        <f aca="true" t="shared" si="21" ref="E51:Q51">SUM(E48:E50)</f>
        <v>0</v>
      </c>
      <c r="F51" s="347">
        <f t="shared" si="21"/>
        <v>0</v>
      </c>
      <c r="G51" s="314">
        <f t="shared" si="21"/>
        <v>0</v>
      </c>
      <c r="H51" s="316">
        <f t="shared" si="21"/>
        <v>0</v>
      </c>
      <c r="I51" s="347">
        <f t="shared" si="21"/>
        <v>0</v>
      </c>
      <c r="J51" s="314">
        <f t="shared" si="21"/>
        <v>0</v>
      </c>
      <c r="K51" s="316">
        <f t="shared" si="21"/>
        <v>0</v>
      </c>
      <c r="L51" s="347">
        <f t="shared" si="21"/>
        <v>0</v>
      </c>
      <c r="M51" s="314">
        <f t="shared" si="21"/>
        <v>0</v>
      </c>
      <c r="N51" s="316">
        <f t="shared" si="21"/>
        <v>0</v>
      </c>
      <c r="O51" s="347">
        <f t="shared" si="21"/>
        <v>0</v>
      </c>
      <c r="P51" s="314">
        <f t="shared" si="21"/>
        <v>0</v>
      </c>
      <c r="Q51" s="320">
        <f t="shared" si="21"/>
        <v>0</v>
      </c>
    </row>
    <row r="52" spans="1:17" s="200" customFormat="1" ht="17.25" customHeight="1" thickBot="1">
      <c r="A52" s="765">
        <v>6</v>
      </c>
      <c r="B52" s="766" t="s">
        <v>295</v>
      </c>
      <c r="C52" s="1078"/>
      <c r="D52" s="339"/>
      <c r="E52" s="289">
        <f>C52+D52</f>
        <v>0</v>
      </c>
      <c r="F52" s="1084"/>
      <c r="G52" s="339"/>
      <c r="H52" s="289">
        <f>F52+G52</f>
        <v>0</v>
      </c>
      <c r="I52" s="1084"/>
      <c r="J52" s="339"/>
      <c r="K52" s="289">
        <f>I52+J52</f>
        <v>0</v>
      </c>
      <c r="L52" s="1084"/>
      <c r="M52" s="339"/>
      <c r="N52" s="289">
        <f>L52+M52</f>
        <v>0</v>
      </c>
      <c r="O52" s="1084"/>
      <c r="P52" s="339"/>
      <c r="Q52" s="289">
        <f>SUM(O52:P52)</f>
        <v>0</v>
      </c>
    </row>
    <row r="53" spans="1:17" s="173" customFormat="1" ht="17.25" customHeight="1">
      <c r="A53" s="137" t="s">
        <v>98</v>
      </c>
      <c r="B53" s="138" t="s">
        <v>395</v>
      </c>
      <c r="C53" s="1079"/>
      <c r="D53" s="140"/>
      <c r="E53" s="439">
        <f>C53+D53</f>
        <v>0</v>
      </c>
      <c r="F53" s="1079"/>
      <c r="G53" s="140"/>
      <c r="H53" s="439">
        <f>F53+G53</f>
        <v>0</v>
      </c>
      <c r="I53" s="1079"/>
      <c r="J53" s="140"/>
      <c r="K53" s="439">
        <f>I53+J53</f>
        <v>0</v>
      </c>
      <c r="L53" s="1079"/>
      <c r="M53" s="140"/>
      <c r="N53" s="439">
        <f>L53+M53</f>
        <v>0</v>
      </c>
      <c r="O53" s="1079"/>
      <c r="P53" s="140"/>
      <c r="Q53" s="439">
        <f>SUM(O53:P53)</f>
        <v>0</v>
      </c>
    </row>
    <row r="54" spans="1:17" s="173" customFormat="1" ht="17.25" customHeight="1" thickBot="1">
      <c r="A54" s="335" t="s">
        <v>99</v>
      </c>
      <c r="B54" s="142" t="s">
        <v>396</v>
      </c>
      <c r="C54" s="1076"/>
      <c r="D54" s="321"/>
      <c r="E54" s="361">
        <f>C54+D54</f>
        <v>0</v>
      </c>
      <c r="F54" s="1076"/>
      <c r="G54" s="321"/>
      <c r="H54" s="361">
        <f>F54+G54</f>
        <v>0</v>
      </c>
      <c r="I54" s="1076"/>
      <c r="J54" s="321"/>
      <c r="K54" s="361">
        <f>I54+J54</f>
        <v>0</v>
      </c>
      <c r="L54" s="1076"/>
      <c r="M54" s="321"/>
      <c r="N54" s="361">
        <f>L54+M54</f>
        <v>0</v>
      </c>
      <c r="O54" s="1076"/>
      <c r="P54" s="321"/>
      <c r="Q54" s="361">
        <f>SUM(O54:P54)</f>
        <v>0</v>
      </c>
    </row>
    <row r="55" spans="1:17" s="200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>
        <f aca="true" t="shared" si="22" ref="D55:Q55">SUM(D53:D54)</f>
        <v>0</v>
      </c>
      <c r="E55" s="316">
        <f t="shared" si="22"/>
        <v>0</v>
      </c>
      <c r="F55" s="347">
        <f t="shared" si="22"/>
        <v>0</v>
      </c>
      <c r="G55" s="314">
        <f t="shared" si="22"/>
        <v>0</v>
      </c>
      <c r="H55" s="316">
        <f t="shared" si="22"/>
        <v>0</v>
      </c>
      <c r="I55" s="347">
        <f t="shared" si="22"/>
        <v>0</v>
      </c>
      <c r="J55" s="314">
        <f t="shared" si="22"/>
        <v>0</v>
      </c>
      <c r="K55" s="316">
        <f t="shared" si="22"/>
        <v>0</v>
      </c>
      <c r="L55" s="347">
        <f t="shared" si="22"/>
        <v>0</v>
      </c>
      <c r="M55" s="314">
        <f t="shared" si="22"/>
        <v>0</v>
      </c>
      <c r="N55" s="316">
        <f t="shared" si="22"/>
        <v>0</v>
      </c>
      <c r="O55" s="1086">
        <f t="shared" si="22"/>
        <v>0</v>
      </c>
      <c r="P55" s="1088">
        <f t="shared" si="22"/>
        <v>0</v>
      </c>
      <c r="Q55" s="1090">
        <f t="shared" si="22"/>
        <v>0</v>
      </c>
    </row>
    <row r="56" spans="1:18" s="173" customFormat="1" ht="17.25" customHeight="1" thickBot="1">
      <c r="A56" s="349">
        <v>8</v>
      </c>
      <c r="B56" s="350" t="s">
        <v>45</v>
      </c>
      <c r="C56" s="1080">
        <f>C34-C40-C45-C46-C47-C51-C52-C55-C57-C58-C59</f>
        <v>1553079</v>
      </c>
      <c r="D56" s="1082">
        <f>D34-D40-D45-D46-D47-D51-D52-D55-D57-D58-D59</f>
        <v>-8764</v>
      </c>
      <c r="E56" s="784">
        <f aca="true" t="shared" si="23" ref="E56:Q56">E34-E40-E45-E46-E47-E51-E52-E55-E57-E58-E59</f>
        <v>1544315</v>
      </c>
      <c r="F56" s="1080">
        <f t="shared" si="23"/>
        <v>553146</v>
      </c>
      <c r="G56" s="1082">
        <f t="shared" si="23"/>
        <v>-582</v>
      </c>
      <c r="H56" s="784">
        <f t="shared" si="23"/>
        <v>552564</v>
      </c>
      <c r="I56" s="1080">
        <f t="shared" si="23"/>
        <v>307728</v>
      </c>
      <c r="J56" s="1082">
        <f t="shared" si="23"/>
        <v>89</v>
      </c>
      <c r="K56" s="784">
        <f t="shared" si="23"/>
        <v>307817</v>
      </c>
      <c r="L56" s="1080">
        <f t="shared" si="23"/>
        <v>362722</v>
      </c>
      <c r="M56" s="1082">
        <f t="shared" si="23"/>
        <v>-844</v>
      </c>
      <c r="N56" s="784">
        <f t="shared" si="23"/>
        <v>361878</v>
      </c>
      <c r="O56" s="1087">
        <f t="shared" si="23"/>
        <v>162867</v>
      </c>
      <c r="P56" s="1089">
        <f t="shared" si="23"/>
        <v>12588</v>
      </c>
      <c r="Q56" s="783">
        <f t="shared" si="23"/>
        <v>175455</v>
      </c>
      <c r="R56" s="176"/>
    </row>
    <row r="57" spans="1:21" s="200" customFormat="1" ht="17.25" customHeight="1">
      <c r="A57" s="336" t="s">
        <v>398</v>
      </c>
      <c r="B57" s="337" t="s">
        <v>184</v>
      </c>
      <c r="C57" s="1081">
        <v>1348</v>
      </c>
      <c r="D57" s="327"/>
      <c r="E57" s="440">
        <f>SUM(C57:D57)</f>
        <v>1348</v>
      </c>
      <c r="F57" s="1081">
        <v>540</v>
      </c>
      <c r="G57" s="327"/>
      <c r="H57" s="440">
        <f>SUM(F57:G57)</f>
        <v>540</v>
      </c>
      <c r="I57" s="1081">
        <v>748</v>
      </c>
      <c r="J57" s="327"/>
      <c r="K57" s="440">
        <f>SUM(I57:J57)</f>
        <v>748</v>
      </c>
      <c r="L57" s="326">
        <v>224</v>
      </c>
      <c r="M57" s="327"/>
      <c r="N57" s="338">
        <f>SUM(L57:M57)</f>
        <v>224</v>
      </c>
      <c r="O57" s="326">
        <v>1</v>
      </c>
      <c r="P57" s="327"/>
      <c r="Q57" s="338">
        <f>SUM(O57:P57)</f>
        <v>1</v>
      </c>
      <c r="R57" s="152"/>
      <c r="S57" s="152"/>
      <c r="T57" s="152"/>
      <c r="U57" s="152"/>
    </row>
    <row r="58" spans="1:21" s="200" customFormat="1" ht="17.25" customHeight="1">
      <c r="A58" s="336" t="s">
        <v>183</v>
      </c>
      <c r="B58" s="337" t="s">
        <v>397</v>
      </c>
      <c r="C58" s="326"/>
      <c r="D58" s="327"/>
      <c r="E58" s="340">
        <f>SUM(C58:D58)</f>
        <v>0</v>
      </c>
      <c r="F58" s="326"/>
      <c r="G58" s="327"/>
      <c r="H58" s="340">
        <f>SUM(F58:G58)</f>
        <v>0</v>
      </c>
      <c r="I58" s="326"/>
      <c r="J58" s="327"/>
      <c r="K58" s="340">
        <f>SUM(I58:J58)</f>
        <v>0</v>
      </c>
      <c r="L58" s="326"/>
      <c r="M58" s="327"/>
      <c r="N58" s="340">
        <f>SUM(L58:M58)</f>
        <v>0</v>
      </c>
      <c r="O58" s="326"/>
      <c r="P58" s="327"/>
      <c r="Q58" s="338">
        <f>SUM(O58:P58)</f>
        <v>0</v>
      </c>
      <c r="R58" s="152"/>
      <c r="S58" s="152"/>
      <c r="T58" s="152"/>
      <c r="U58" s="152"/>
    </row>
    <row r="59" spans="1:21" s="200" customFormat="1" ht="17.25" customHeight="1" thickBot="1">
      <c r="A59" s="351">
        <v>10</v>
      </c>
      <c r="B59" s="352"/>
      <c r="C59" s="353"/>
      <c r="D59" s="354"/>
      <c r="E59" s="355">
        <f>SUM(C59:D59)</f>
        <v>0</v>
      </c>
      <c r="F59" s="353"/>
      <c r="G59" s="354"/>
      <c r="H59" s="355">
        <f>SUM(F59:G59)</f>
        <v>0</v>
      </c>
      <c r="I59" s="353"/>
      <c r="J59" s="354"/>
      <c r="K59" s="355">
        <f>SUM(I59:J59)</f>
        <v>0</v>
      </c>
      <c r="L59" s="353"/>
      <c r="M59" s="354"/>
      <c r="N59" s="355">
        <f>SUM(L59:M59)</f>
        <v>0</v>
      </c>
      <c r="O59" s="356"/>
      <c r="P59" s="354"/>
      <c r="Q59" s="355">
        <f>SUM(O59:P59)</f>
        <v>0</v>
      </c>
      <c r="R59" s="152"/>
      <c r="S59" s="152"/>
      <c r="T59" s="152"/>
      <c r="U59" s="152"/>
    </row>
    <row r="60" spans="1:17" s="152" customFormat="1" ht="17.25" customHeight="1" thickBot="1" thickTop="1">
      <c r="A60" s="343" t="s">
        <v>109</v>
      </c>
      <c r="B60" s="345" t="s">
        <v>182</v>
      </c>
      <c r="C60" s="779">
        <f>C40+C45+C46+C47+C51+C52+C55+C56+C57+C58+C59</f>
        <v>1624885</v>
      </c>
      <c r="D60" s="780">
        <f aca="true" t="shared" si="24" ref="D60:Q60">D40+D45+D46+D47+D51+D52+D55+D56+D57+D58+D59</f>
        <v>3502</v>
      </c>
      <c r="E60" s="363">
        <f t="shared" si="24"/>
        <v>1628387</v>
      </c>
      <c r="F60" s="364">
        <f t="shared" si="24"/>
        <v>572515</v>
      </c>
      <c r="G60" s="344">
        <f t="shared" si="24"/>
        <v>1733</v>
      </c>
      <c r="H60" s="363">
        <f t="shared" si="24"/>
        <v>574248</v>
      </c>
      <c r="I60" s="779">
        <f t="shared" si="24"/>
        <v>311589</v>
      </c>
      <c r="J60" s="780">
        <f t="shared" si="24"/>
        <v>94</v>
      </c>
      <c r="K60" s="363">
        <f t="shared" si="24"/>
        <v>311683</v>
      </c>
      <c r="L60" s="364">
        <f t="shared" si="24"/>
        <v>400615</v>
      </c>
      <c r="M60" s="344">
        <f t="shared" si="24"/>
        <v>573</v>
      </c>
      <c r="N60" s="363">
        <f t="shared" si="24"/>
        <v>401188</v>
      </c>
      <c r="O60" s="364">
        <f t="shared" si="24"/>
        <v>162868</v>
      </c>
      <c r="P60" s="344">
        <f t="shared" si="24"/>
        <v>12592</v>
      </c>
      <c r="Q60" s="374">
        <f t="shared" si="24"/>
        <v>175460</v>
      </c>
    </row>
    <row r="61" spans="1:21" s="88" customFormat="1" ht="13.5" customHeight="1" thickBot="1" thickTop="1">
      <c r="A61" s="163"/>
      <c r="B61" s="164"/>
      <c r="C61" s="165"/>
      <c r="D61" s="165"/>
      <c r="E61" s="166"/>
      <c r="F61" s="165"/>
      <c r="G61" s="165"/>
      <c r="H61" s="166"/>
      <c r="I61" s="165"/>
      <c r="J61" s="165"/>
      <c r="K61" s="166"/>
      <c r="L61" s="165"/>
      <c r="M61" s="165"/>
      <c r="N61" s="166"/>
      <c r="O61" s="165"/>
      <c r="P61" s="165"/>
      <c r="Q61" s="166"/>
      <c r="R61" s="234"/>
      <c r="S61" s="234"/>
      <c r="T61" s="234"/>
      <c r="U61" s="234"/>
    </row>
    <row r="62" spans="1:17" s="173" customFormat="1" ht="17.25" customHeight="1" thickBot="1" thickTop="1">
      <c r="A62" s="167"/>
      <c r="B62" s="168" t="s">
        <v>579</v>
      </c>
      <c r="C62" s="169">
        <v>276</v>
      </c>
      <c r="D62" s="170"/>
      <c r="E62" s="171">
        <f>C62+D62</f>
        <v>276</v>
      </c>
      <c r="F62" s="169">
        <v>103.5</v>
      </c>
      <c r="G62" s="170"/>
      <c r="H62" s="171">
        <f>F62+G62</f>
        <v>103.5</v>
      </c>
      <c r="I62" s="169">
        <v>66</v>
      </c>
      <c r="J62" s="170"/>
      <c r="K62" s="171">
        <f>I62+J62</f>
        <v>66</v>
      </c>
      <c r="L62" s="169">
        <v>67</v>
      </c>
      <c r="M62" s="170"/>
      <c r="N62" s="171">
        <f>L62+M62</f>
        <v>67</v>
      </c>
      <c r="O62" s="169">
        <v>26.25</v>
      </c>
      <c r="P62" s="170"/>
      <c r="Q62" s="172">
        <f>SUM(O62:P62)</f>
        <v>26.25</v>
      </c>
    </row>
    <row r="63" spans="1:17" s="173" customFormat="1" ht="17.25" customHeight="1" thickBot="1" thickTop="1">
      <c r="A63" s="167"/>
      <c r="B63" s="168" t="s">
        <v>580</v>
      </c>
      <c r="C63" s="169">
        <v>0</v>
      </c>
      <c r="D63" s="170"/>
      <c r="E63" s="171">
        <f>C63+D63</f>
        <v>0</v>
      </c>
      <c r="F63" s="169">
        <v>0</v>
      </c>
      <c r="G63" s="170"/>
      <c r="H63" s="171">
        <f>F63+G63</f>
        <v>0</v>
      </c>
      <c r="I63" s="169">
        <v>0</v>
      </c>
      <c r="J63" s="170"/>
      <c r="K63" s="171">
        <f>I63+J63</f>
        <v>0</v>
      </c>
      <c r="L63" s="169">
        <v>0</v>
      </c>
      <c r="M63" s="170"/>
      <c r="N63" s="171">
        <f>L63+M63</f>
        <v>0</v>
      </c>
      <c r="O63" s="169">
        <v>0</v>
      </c>
      <c r="P63" s="170"/>
      <c r="Q63" s="172">
        <f>SUM(O63:P63)</f>
        <v>0</v>
      </c>
    </row>
    <row r="64" ht="16.5" thickTop="1">
      <c r="A64" s="418"/>
    </row>
  </sheetData>
  <sheetProtection/>
  <mergeCells count="5">
    <mergeCell ref="C7:E7"/>
    <mergeCell ref="O7:Q7"/>
    <mergeCell ref="I7:K7"/>
    <mergeCell ref="F7:H7"/>
    <mergeCell ref="L7:N7"/>
  </mergeCells>
  <printOptions horizontalCentered="1" verticalCentered="1"/>
  <pageMargins left="0.31496062992125984" right="0.2362204724409449" top="0.48" bottom="0.6692913385826772" header="0.34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4"/>
  <sheetViews>
    <sheetView showGridLines="0" zoomScale="75" zoomScaleNormal="75" zoomScaleSheetLayoutView="50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3" width="15.875" style="88" customWidth="1"/>
    <col min="4" max="4" width="14.375" style="88" customWidth="1"/>
    <col min="5" max="8" width="15.875" style="88" customWidth="1"/>
    <col min="9" max="9" width="16.625" style="88" customWidth="1"/>
    <col min="10" max="10" width="17.125" style="88" customWidth="1"/>
    <col min="11" max="11" width="17.625" style="200" customWidth="1"/>
    <col min="12" max="12" width="15.875" style="88" customWidth="1"/>
    <col min="13" max="13" width="14.375" style="88" customWidth="1"/>
    <col min="14" max="14" width="15.875" style="88" customWidth="1"/>
    <col min="15" max="15" width="15.875" style="0" customWidth="1"/>
    <col min="16" max="16" width="14.375" style="0" customWidth="1"/>
    <col min="17" max="17" width="15.875" style="0" customWidth="1"/>
    <col min="18" max="18" width="9.625" style="0" customWidth="1"/>
    <col min="19" max="19" width="13.375" style="0" customWidth="1"/>
  </cols>
  <sheetData>
    <row r="1" spans="1:17" ht="10.5" customHeight="1">
      <c r="A1" s="303"/>
      <c r="B1" s="386"/>
      <c r="C1" s="386"/>
      <c r="D1" s="386"/>
      <c r="E1" s="386"/>
      <c r="F1" s="386"/>
      <c r="G1" s="386"/>
      <c r="H1" s="386"/>
      <c r="I1" s="386"/>
      <c r="J1" s="386"/>
      <c r="L1" s="386"/>
      <c r="M1" s="386"/>
      <c r="N1" s="386"/>
      <c r="O1" s="5"/>
      <c r="P1" s="129"/>
      <c r="Q1" s="1525" t="s">
        <v>913</v>
      </c>
    </row>
    <row r="2" spans="1:17" ht="12.75" customHeight="1">
      <c r="A2" s="303"/>
      <c r="B2" s="386"/>
      <c r="C2" s="386"/>
      <c r="D2" s="386"/>
      <c r="E2" s="386"/>
      <c r="F2" s="386"/>
      <c r="G2" s="386"/>
      <c r="H2" s="386"/>
      <c r="I2" s="386"/>
      <c r="J2" s="386"/>
      <c r="L2" s="386"/>
      <c r="M2" s="386"/>
      <c r="N2" s="386"/>
      <c r="O2" s="5"/>
      <c r="P2" s="129"/>
      <c r="Q2" s="1525" t="s">
        <v>93</v>
      </c>
    </row>
    <row r="3" spans="1:17" ht="10.5" customHeight="1">
      <c r="A3" s="303"/>
      <c r="B3" s="386"/>
      <c r="C3" s="386"/>
      <c r="D3" s="386"/>
      <c r="E3" s="386"/>
      <c r="F3" s="386"/>
      <c r="G3" s="386"/>
      <c r="H3" s="386"/>
      <c r="I3" s="386"/>
      <c r="J3" s="386"/>
      <c r="L3" s="386"/>
      <c r="M3" s="386"/>
      <c r="N3" s="386"/>
      <c r="O3" s="5"/>
      <c r="P3" s="175"/>
      <c r="Q3" s="1526" t="s">
        <v>132</v>
      </c>
    </row>
    <row r="4" spans="1:17" ht="20.25">
      <c r="A4" s="894" t="s">
        <v>654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7"/>
      <c r="P4" s="7"/>
      <c r="Q4" s="7"/>
    </row>
    <row r="5" spans="1:17" ht="18">
      <c r="A5" s="895" t="s">
        <v>561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"/>
      <c r="P5" s="8"/>
      <c r="Q5" s="8"/>
    </row>
    <row r="6" spans="1:17" ht="18.75" thickBot="1">
      <c r="A6" s="895"/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"/>
      <c r="P6" s="8"/>
      <c r="Q6" s="123" t="s">
        <v>134</v>
      </c>
    </row>
    <row r="7" spans="1:17" ht="32.25" customHeight="1">
      <c r="A7" s="230" t="s">
        <v>124</v>
      </c>
      <c r="B7" s="87" t="s">
        <v>125</v>
      </c>
      <c r="C7" s="1925" t="s">
        <v>52</v>
      </c>
      <c r="D7" s="1923"/>
      <c r="E7" s="1924"/>
      <c r="F7" s="1932" t="s">
        <v>636</v>
      </c>
      <c r="G7" s="1932"/>
      <c r="H7" s="1932"/>
      <c r="I7" s="1928" t="s">
        <v>194</v>
      </c>
      <c r="J7" s="1929"/>
      <c r="K7" s="1930"/>
      <c r="L7" s="1931" t="s">
        <v>351</v>
      </c>
      <c r="M7" s="1929"/>
      <c r="N7" s="1930"/>
      <c r="O7" s="1926" t="s">
        <v>161</v>
      </c>
      <c r="P7" s="1926"/>
      <c r="Q7" s="1927"/>
    </row>
    <row r="8" spans="1:17" s="26" customFormat="1" ht="27" customHeight="1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83" customFormat="1" ht="12" thickBot="1">
      <c r="A9" s="420">
        <v>1</v>
      </c>
      <c r="B9" s="80">
        <v>2</v>
      </c>
      <c r="C9" s="897">
        <v>6</v>
      </c>
      <c r="D9" s="898">
        <v>7</v>
      </c>
      <c r="E9" s="899">
        <v>8</v>
      </c>
      <c r="F9" s="1207">
        <v>9</v>
      </c>
      <c r="G9" s="898">
        <v>10</v>
      </c>
      <c r="H9" s="1207">
        <v>11</v>
      </c>
      <c r="I9" s="897">
        <v>12</v>
      </c>
      <c r="J9" s="898">
        <v>13</v>
      </c>
      <c r="K9" s="899">
        <v>14</v>
      </c>
      <c r="L9" s="897">
        <v>15</v>
      </c>
      <c r="M9" s="898">
        <v>16</v>
      </c>
      <c r="N9" s="899">
        <v>17</v>
      </c>
      <c r="O9" s="1290">
        <v>18</v>
      </c>
      <c r="P9" s="30">
        <v>19</v>
      </c>
      <c r="Q9" s="31">
        <v>20</v>
      </c>
    </row>
    <row r="10" spans="1:17" s="26" customFormat="1" ht="18.75" thickBot="1">
      <c r="A10" s="380"/>
      <c r="B10" s="425" t="s">
        <v>129</v>
      </c>
      <c r="C10" s="381"/>
      <c r="D10" s="382"/>
      <c r="E10" s="426"/>
      <c r="F10" s="1208"/>
      <c r="G10" s="382"/>
      <c r="H10" s="1208"/>
      <c r="I10" s="381"/>
      <c r="J10" s="382"/>
      <c r="K10" s="949"/>
      <c r="L10" s="381"/>
      <c r="M10" s="382"/>
      <c r="N10" s="426"/>
      <c r="O10" s="1291"/>
      <c r="P10" s="9"/>
      <c r="Q10" s="10"/>
    </row>
    <row r="11" spans="1:17" s="173" customFormat="1" ht="17.25" customHeight="1" thickBot="1">
      <c r="A11" s="313">
        <v>1</v>
      </c>
      <c r="B11" s="305" t="s">
        <v>113</v>
      </c>
      <c r="C11" s="347">
        <v>206101</v>
      </c>
      <c r="D11" s="314">
        <v>1257</v>
      </c>
      <c r="E11" s="315">
        <f>C11+D11</f>
        <v>207358</v>
      </c>
      <c r="F11" s="330">
        <v>135514</v>
      </c>
      <c r="G11" s="314"/>
      <c r="H11" s="1298">
        <f>F11+G11</f>
        <v>135514</v>
      </c>
      <c r="I11" s="347">
        <f>'önállóan működő'!C11+'önállóan működő'!F11+'önállóan működő'!I11+'önállóan működő'!L11+'önállóan működő'!O11+'önállóan gazd.'!C11+'önállóan gazd.'!F11</f>
        <v>2240036</v>
      </c>
      <c r="J11" s="314">
        <f>'önállóan működő'!D11+'önállóan működő'!G11+'önállóan működő'!J11+'önállóan működő'!M11+'önállóan működő'!P11+'önállóan gazd.'!D11+'önállóan gazd.'!G11</f>
        <v>12082</v>
      </c>
      <c r="K11" s="320">
        <f>'önállóan működő'!E11+'önállóan működő'!H11+'önállóan működő'!K11+'önállóan működő'!N11+'önállóan működő'!Q11+'önállóan gazd.'!E11+'önállóan gazd.'!H11</f>
        <v>2252118</v>
      </c>
      <c r="L11" s="319">
        <v>1032776</v>
      </c>
      <c r="M11" s="314">
        <f>184+7709+15368</f>
        <v>23261</v>
      </c>
      <c r="N11" s="315">
        <f>L11+M11</f>
        <v>1056037</v>
      </c>
      <c r="O11" s="432">
        <f aca="true" t="shared" si="0" ref="O11:O34">I11+L11</f>
        <v>3272812</v>
      </c>
      <c r="P11" s="290">
        <f aca="true" t="shared" si="1" ref="P11:P34">J11+M11</f>
        <v>35343</v>
      </c>
      <c r="Q11" s="288">
        <f aca="true" t="shared" si="2" ref="Q11:Q34">K11+N11</f>
        <v>3308155</v>
      </c>
    </row>
    <row r="12" spans="1:18" s="174" customFormat="1" ht="17.25" customHeight="1" thickBot="1">
      <c r="A12" s="317">
        <v>2</v>
      </c>
      <c r="B12" s="325" t="s">
        <v>202</v>
      </c>
      <c r="C12" s="347">
        <v>47479</v>
      </c>
      <c r="D12" s="314">
        <v>203</v>
      </c>
      <c r="E12" s="315">
        <f>SUM(C12:D12)</f>
        <v>47682</v>
      </c>
      <c r="F12" s="314">
        <v>29735</v>
      </c>
      <c r="G12" s="314"/>
      <c r="H12" s="1297">
        <f>SUM(F12:G12)</f>
        <v>29735</v>
      </c>
      <c r="I12" s="347">
        <f>'önállóan működő'!C12+'önállóan működő'!F12+'önállóan működő'!I12+'önállóan működő'!L12+'önállóan működő'!O12+'önállóan gazd.'!C12+'önállóan gazd.'!F12</f>
        <v>514455</v>
      </c>
      <c r="J12" s="314">
        <f>'önállóan működő'!D12+'önállóan működő'!G12+'önállóan működő'!J12+'önállóan működő'!M12+'önállóan működő'!P12+'önállóan gazd.'!D12+'önállóan gazd.'!G12</f>
        <v>2189</v>
      </c>
      <c r="K12" s="320">
        <f>'önállóan működő'!E12+'önállóan működő'!H12+'önállóan működő'!K12+'önállóan működő'!N12+'önállóan működő'!Q12+'önállóan gazd.'!E12+'önállóan gazd.'!H12</f>
        <v>516644</v>
      </c>
      <c r="L12" s="319">
        <v>230319</v>
      </c>
      <c r="M12" s="314">
        <f>33+1444+2689</f>
        <v>4166</v>
      </c>
      <c r="N12" s="315">
        <f>SUM(L12:M12)</f>
        <v>234485</v>
      </c>
      <c r="O12" s="432">
        <f t="shared" si="0"/>
        <v>744774</v>
      </c>
      <c r="P12" s="290">
        <f t="shared" si="1"/>
        <v>6355</v>
      </c>
      <c r="Q12" s="288">
        <f t="shared" si="2"/>
        <v>751129</v>
      </c>
      <c r="R12" s="229"/>
    </row>
    <row r="13" spans="1:17" s="200" customFormat="1" ht="17.25" customHeight="1" thickBot="1">
      <c r="A13" s="317">
        <v>3</v>
      </c>
      <c r="B13" s="305" t="s">
        <v>116</v>
      </c>
      <c r="C13" s="347">
        <v>670481</v>
      </c>
      <c r="D13" s="314">
        <v>15853</v>
      </c>
      <c r="E13" s="315">
        <f>C13+D13</f>
        <v>686334</v>
      </c>
      <c r="F13" s="316">
        <v>266698</v>
      </c>
      <c r="G13" s="314">
        <v>1253</v>
      </c>
      <c r="H13" s="1297">
        <f>F13+G13</f>
        <v>267951</v>
      </c>
      <c r="I13" s="347">
        <f>'önállóan működő'!C13+'önállóan működő'!F13+'önállóan működő'!I13+'önállóan működő'!L13+'önállóan működő'!O13+'önállóan gazd.'!C13+'önállóan gazd.'!F13</f>
        <v>1624116</v>
      </c>
      <c r="J13" s="314">
        <f>'önállóan működő'!D13+'önállóan működő'!G13+'önállóan működő'!J13+'önállóan működő'!M13+'önállóan működő'!P13+'önállóan gazd.'!D13+'önállóan gazd.'!G13</f>
        <v>19872</v>
      </c>
      <c r="K13" s="320">
        <f>'önállóan működő'!E13+'önállóan működő'!H13+'önállóan működő'!K13+'önállóan működő'!N13+'önállóan működő'!Q13+'önállóan gazd.'!E13+'önállóan gazd.'!H13</f>
        <v>1643988</v>
      </c>
      <c r="L13" s="319">
        <v>271713</v>
      </c>
      <c r="M13" s="314">
        <f>-7000+981+1434+87-18057+1468</f>
        <v>-21087</v>
      </c>
      <c r="N13" s="315">
        <f>L13+M13</f>
        <v>250626</v>
      </c>
      <c r="O13" s="432">
        <f t="shared" si="0"/>
        <v>1895829</v>
      </c>
      <c r="P13" s="290">
        <f t="shared" si="1"/>
        <v>-1215</v>
      </c>
      <c r="Q13" s="288">
        <f t="shared" si="2"/>
        <v>1894614</v>
      </c>
    </row>
    <row r="14" spans="1:17" s="200" customFormat="1" ht="17.25" customHeight="1" thickBot="1">
      <c r="A14" s="317">
        <v>4</v>
      </c>
      <c r="B14" s="305" t="s">
        <v>172</v>
      </c>
      <c r="C14" s="316"/>
      <c r="D14" s="316"/>
      <c r="E14" s="320">
        <f>SUM(C14:D14)</f>
        <v>0</v>
      </c>
      <c r="F14" s="316"/>
      <c r="G14" s="316"/>
      <c r="H14" s="330">
        <f>SUM(F14:G14)</f>
        <v>0</v>
      </c>
      <c r="I14" s="347">
        <f>'önállóan működő'!C14+'önállóan működő'!F14+'önállóan működő'!I14+'önállóan működő'!L14+'önállóan működő'!O14+'önállóan gazd.'!C14+'önállóan gazd.'!F14</f>
        <v>0</v>
      </c>
      <c r="J14" s="314">
        <f>'önállóan működő'!D14+'önállóan működő'!G14+'önállóan működő'!J14+'önállóan működő'!M14+'önállóan működő'!P14+'önállóan gazd.'!D14+'önállóan gazd.'!G14</f>
        <v>0</v>
      </c>
      <c r="K14" s="320">
        <f>'önállóan működő'!E14+'önállóan működő'!H14+'önállóan működő'!K14+'önállóan működő'!N14+'önállóan működő'!Q14+'önállóan gazd.'!E14+'önállóan gazd.'!H14</f>
        <v>0</v>
      </c>
      <c r="L14" s="319">
        <v>57</v>
      </c>
      <c r="M14" s="316">
        <f>2652+27</f>
        <v>2679</v>
      </c>
      <c r="N14" s="320">
        <f>SUM(L14:M14)</f>
        <v>2736</v>
      </c>
      <c r="O14" s="432">
        <f t="shared" si="0"/>
        <v>57</v>
      </c>
      <c r="P14" s="290">
        <f t="shared" si="1"/>
        <v>2679</v>
      </c>
      <c r="Q14" s="288">
        <f t="shared" si="2"/>
        <v>2736</v>
      </c>
    </row>
    <row r="15" spans="1:17" s="173" customFormat="1" ht="17.25" customHeight="1">
      <c r="A15" s="156" t="s">
        <v>98</v>
      </c>
      <c r="B15" s="145" t="s">
        <v>383</v>
      </c>
      <c r="C15" s="227"/>
      <c r="D15" s="226"/>
      <c r="E15" s="240">
        <f>C15+D15</f>
        <v>0</v>
      </c>
      <c r="F15" s="239"/>
      <c r="G15" s="226"/>
      <c r="H15" s="1211">
        <f aca="true" t="shared" si="3" ref="H15:H22">F15+G15</f>
        <v>0</v>
      </c>
      <c r="I15" s="1075">
        <f>'önállóan működő'!C15+'önállóan működő'!F15+'önállóan működő'!I15+'önállóan működő'!L15+'önállóan működő'!O15+'önállóan gazd.'!C15+'önállóan gazd.'!F15</f>
        <v>0</v>
      </c>
      <c r="J15" s="226">
        <f>'önállóan működő'!D15+'önállóan működő'!G15+'önállóan működő'!J15+'önállóan működő'!M15+'önállóan működő'!P15+'önállóan gazd.'!D15+'önállóan gazd.'!G15</f>
        <v>0</v>
      </c>
      <c r="K15" s="228">
        <f>'önállóan működő'!E15+'önállóan működő'!H15+'önállóan működő'!K15+'önállóan működő'!N15+'önállóan működő'!Q15+'önállóan gazd.'!E15+'önállóan gazd.'!H15</f>
        <v>0</v>
      </c>
      <c r="L15" s="227"/>
      <c r="M15" s="226"/>
      <c r="N15" s="240">
        <f>L15+M15</f>
        <v>0</v>
      </c>
      <c r="O15" s="1292">
        <f t="shared" si="0"/>
        <v>0</v>
      </c>
      <c r="P15" s="301">
        <f t="shared" si="1"/>
        <v>0</v>
      </c>
      <c r="Q15" s="360">
        <f t="shared" si="2"/>
        <v>0</v>
      </c>
    </row>
    <row r="16" spans="1:17" s="173" customFormat="1" ht="17.25" customHeight="1">
      <c r="A16" s="153" t="s">
        <v>99</v>
      </c>
      <c r="B16" s="149" t="s">
        <v>626</v>
      </c>
      <c r="C16" s="143"/>
      <c r="D16" s="139"/>
      <c r="E16" s="240">
        <f>C16+D16</f>
        <v>0</v>
      </c>
      <c r="F16" s="141"/>
      <c r="G16" s="139"/>
      <c r="H16" s="1211">
        <f t="shared" si="3"/>
        <v>0</v>
      </c>
      <c r="I16" s="1075">
        <f>'önállóan működő'!C16+'önállóan működő'!F16+'önállóan működő'!I16+'önállóan működő'!L16+'önállóan működő'!O16+'önállóan gazd.'!C16+'önállóan gazd.'!F16</f>
        <v>0</v>
      </c>
      <c r="J16" s="226">
        <f>'önállóan működő'!D16+'önállóan működő'!G16+'önállóan működő'!J16+'önállóan működő'!M16+'önállóan működő'!P16+'önállóan gazd.'!D16+'önállóan gazd.'!G16</f>
        <v>0</v>
      </c>
      <c r="K16" s="228">
        <f>'önállóan működő'!E16+'önállóan működő'!H16+'önállóan működő'!K16+'önállóan működő'!N16+'önállóan működő'!Q16+'önállóan gazd.'!E16+'önállóan gazd.'!H16</f>
        <v>0</v>
      </c>
      <c r="L16" s="143"/>
      <c r="M16" s="139"/>
      <c r="N16" s="240">
        <f>L16+M16</f>
        <v>0</v>
      </c>
      <c r="O16" s="1292">
        <f t="shared" si="0"/>
        <v>0</v>
      </c>
      <c r="P16" s="301">
        <f t="shared" si="1"/>
        <v>0</v>
      </c>
      <c r="Q16" s="360">
        <f t="shared" si="2"/>
        <v>0</v>
      </c>
    </row>
    <row r="17" spans="1:17" s="173" customFormat="1" ht="17.25" customHeight="1">
      <c r="A17" s="153" t="s">
        <v>100</v>
      </c>
      <c r="B17" s="149" t="s">
        <v>627</v>
      </c>
      <c r="C17" s="143"/>
      <c r="D17" s="139"/>
      <c r="E17" s="240">
        <f aca="true" t="shared" si="4" ref="E17:E22">C17+D17</f>
        <v>0</v>
      </c>
      <c r="F17" s="141"/>
      <c r="G17" s="139"/>
      <c r="H17" s="1211">
        <f t="shared" si="3"/>
        <v>0</v>
      </c>
      <c r="I17" s="1075">
        <f>'önállóan működő'!C17+'önállóan működő'!F17+'önállóan működő'!I17+'önállóan működő'!L17+'önállóan működő'!O17+'önállóan gazd.'!C17+'önállóan gazd.'!F17</f>
        <v>0</v>
      </c>
      <c r="J17" s="226">
        <f>'önállóan működő'!D17+'önállóan működő'!G17+'önállóan működő'!J17+'önállóan működő'!M17+'önállóan működő'!P17+'önállóan gazd.'!D17+'önállóan gazd.'!G17</f>
        <v>0</v>
      </c>
      <c r="K17" s="228">
        <f>'önállóan működő'!E17+'önállóan működő'!H17+'önállóan működő'!K17+'önállóan működő'!N17+'önállóan működő'!Q17+'önállóan gazd.'!E17+'önállóan gazd.'!H17</f>
        <v>0</v>
      </c>
      <c r="L17" s="143"/>
      <c r="M17" s="139"/>
      <c r="N17" s="240">
        <f aca="true" t="shared" si="5" ref="N17:N22">L17+M17</f>
        <v>0</v>
      </c>
      <c r="O17" s="1292">
        <f t="shared" si="0"/>
        <v>0</v>
      </c>
      <c r="P17" s="301">
        <f t="shared" si="1"/>
        <v>0</v>
      </c>
      <c r="Q17" s="360">
        <f t="shared" si="2"/>
        <v>0</v>
      </c>
    </row>
    <row r="18" spans="1:17" s="173" customFormat="1" ht="17.25" customHeight="1">
      <c r="A18" s="153" t="s">
        <v>101</v>
      </c>
      <c r="B18" s="147" t="s">
        <v>384</v>
      </c>
      <c r="C18" s="143"/>
      <c r="D18" s="139"/>
      <c r="E18" s="240">
        <f t="shared" si="4"/>
        <v>0</v>
      </c>
      <c r="F18" s="141"/>
      <c r="G18" s="139"/>
      <c r="H18" s="1211">
        <f t="shared" si="3"/>
        <v>0</v>
      </c>
      <c r="I18" s="1075">
        <f>'önállóan működő'!C18+'önállóan működő'!F18+'önállóan működő'!I18+'önállóan működő'!L18+'önállóan működő'!O18+'önállóan gazd.'!C18+'önállóan gazd.'!F18</f>
        <v>0</v>
      </c>
      <c r="J18" s="226">
        <f>'önállóan működő'!D18+'önállóan működő'!G18+'önállóan működő'!J18+'önállóan működő'!M18+'önállóan működő'!P18+'önállóan gazd.'!D18+'önállóan gazd.'!G18</f>
        <v>0</v>
      </c>
      <c r="K18" s="228">
        <f>'önállóan működő'!E18+'önállóan működő'!H18+'önállóan működő'!K18+'önállóan működő'!N18+'önállóan működő'!Q18+'önállóan gazd.'!E18+'önállóan gazd.'!H18</f>
        <v>0</v>
      </c>
      <c r="L18" s="143">
        <v>78</v>
      </c>
      <c r="M18" s="139"/>
      <c r="N18" s="240">
        <f t="shared" si="5"/>
        <v>78</v>
      </c>
      <c r="O18" s="1292">
        <f t="shared" si="0"/>
        <v>78</v>
      </c>
      <c r="P18" s="301">
        <f t="shared" si="1"/>
        <v>0</v>
      </c>
      <c r="Q18" s="360">
        <f t="shared" si="2"/>
        <v>78</v>
      </c>
    </row>
    <row r="19" spans="1:17" s="173" customFormat="1" ht="17.25" customHeight="1">
      <c r="A19" s="148" t="s">
        <v>192</v>
      </c>
      <c r="B19" s="149" t="s">
        <v>628</v>
      </c>
      <c r="C19" s="141"/>
      <c r="D19" s="139"/>
      <c r="E19" s="240">
        <f>C19+D19</f>
        <v>0</v>
      </c>
      <c r="F19" s="141"/>
      <c r="G19" s="139"/>
      <c r="H19" s="1211">
        <f t="shared" si="3"/>
        <v>0</v>
      </c>
      <c r="I19" s="1075">
        <f>'önállóan működő'!C19+'önállóan működő'!F19+'önállóan működő'!I19+'önállóan működő'!L19+'önállóan működő'!O19+'önállóan gazd.'!C19+'önállóan gazd.'!F19</f>
        <v>0</v>
      </c>
      <c r="J19" s="226">
        <f>'önállóan működő'!D19+'önállóan működő'!G19+'önállóan működő'!J19+'önállóan működő'!M19+'önállóan működő'!P19+'önállóan gazd.'!D19+'önállóan gazd.'!G19</f>
        <v>0</v>
      </c>
      <c r="K19" s="228">
        <f>'önállóan működő'!E19+'önállóan működő'!H19+'önállóan működő'!K19+'önállóan működő'!N19+'önállóan működő'!Q19+'önállóan gazd.'!E19+'önállóan gazd.'!H19</f>
        <v>0</v>
      </c>
      <c r="L19" s="143"/>
      <c r="M19" s="139"/>
      <c r="N19" s="240">
        <f>L19+M19</f>
        <v>0</v>
      </c>
      <c r="O19" s="1292">
        <f t="shared" si="0"/>
        <v>0</v>
      </c>
      <c r="P19" s="301">
        <f t="shared" si="1"/>
        <v>0</v>
      </c>
      <c r="Q19" s="360">
        <f t="shared" si="2"/>
        <v>0</v>
      </c>
    </row>
    <row r="20" spans="1:17" s="173" customFormat="1" ht="17.25" customHeight="1">
      <c r="A20" s="148" t="s">
        <v>339</v>
      </c>
      <c r="B20" s="149" t="s">
        <v>629</v>
      </c>
      <c r="C20" s="141"/>
      <c r="D20" s="139"/>
      <c r="E20" s="240">
        <f t="shared" si="4"/>
        <v>0</v>
      </c>
      <c r="F20" s="141"/>
      <c r="G20" s="139"/>
      <c r="H20" s="1211">
        <f t="shared" si="3"/>
        <v>0</v>
      </c>
      <c r="I20" s="1075">
        <f>'önállóan működő'!C20+'önállóan működő'!F20+'önállóan működő'!I20+'önállóan működő'!L20+'önállóan működő'!O20+'önállóan gazd.'!C20+'önállóan gazd.'!F20</f>
        <v>0</v>
      </c>
      <c r="J20" s="226">
        <f>'önállóan működő'!D20+'önállóan működő'!G20+'önállóan működő'!J20+'önállóan működő'!M20+'önállóan működő'!P20+'önállóan gazd.'!D20+'önállóan gazd.'!G20</f>
        <v>0</v>
      </c>
      <c r="K20" s="228">
        <f>'önállóan működő'!E20+'önállóan működő'!H20+'önállóan működő'!K20+'önállóan működő'!N20+'önállóan működő'!Q20+'önállóan gazd.'!E20+'önállóan gazd.'!H20</f>
        <v>0</v>
      </c>
      <c r="L20" s="143"/>
      <c r="M20" s="139"/>
      <c r="N20" s="240">
        <f t="shared" si="5"/>
        <v>0</v>
      </c>
      <c r="O20" s="1292">
        <f t="shared" si="0"/>
        <v>0</v>
      </c>
      <c r="P20" s="301">
        <f t="shared" si="1"/>
        <v>0</v>
      </c>
      <c r="Q20" s="360">
        <f t="shared" si="2"/>
        <v>0</v>
      </c>
    </row>
    <row r="21" spans="1:17" s="173" customFormat="1" ht="17.25" customHeight="1">
      <c r="A21" s="148" t="s">
        <v>340</v>
      </c>
      <c r="B21" s="147" t="s">
        <v>385</v>
      </c>
      <c r="C21" s="885"/>
      <c r="D21" s="139"/>
      <c r="E21" s="360">
        <f t="shared" si="4"/>
        <v>0</v>
      </c>
      <c r="F21" s="885"/>
      <c r="G21" s="139"/>
      <c r="H21" s="1209">
        <f t="shared" si="3"/>
        <v>0</v>
      </c>
      <c r="I21" s="1075">
        <f>'önállóan működő'!C21+'önállóan működő'!F21+'önállóan működő'!I21+'önállóan működő'!L21+'önállóan működő'!O21+'önállóan gazd.'!C21+'önállóan gazd.'!F21</f>
        <v>0</v>
      </c>
      <c r="J21" s="226">
        <f>'önállóan működő'!D21+'önállóan működő'!G21+'önállóan működő'!J21+'önállóan működő'!M21+'önállóan működő'!P21+'önállóan gazd.'!D21+'önállóan gazd.'!G21</f>
        <v>0</v>
      </c>
      <c r="K21" s="228">
        <f>'önállóan működő'!E21+'önállóan működő'!H21+'önállóan működő'!K21+'önállóan működő'!N21+'önállóan működő'!Q21+'önállóan gazd.'!E21+'önállóan gazd.'!H21</f>
        <v>0</v>
      </c>
      <c r="L21" s="143">
        <v>336</v>
      </c>
      <c r="M21" s="139"/>
      <c r="N21" s="240">
        <f t="shared" si="5"/>
        <v>336</v>
      </c>
      <c r="O21" s="1292">
        <f t="shared" si="0"/>
        <v>336</v>
      </c>
      <c r="P21" s="301">
        <f t="shared" si="1"/>
        <v>0</v>
      </c>
      <c r="Q21" s="360">
        <f t="shared" si="2"/>
        <v>336</v>
      </c>
    </row>
    <row r="22" spans="1:17" s="173" customFormat="1" ht="15" customHeight="1" thickBot="1">
      <c r="A22" s="16" t="s">
        <v>69</v>
      </c>
      <c r="B22" s="334" t="s">
        <v>386</v>
      </c>
      <c r="C22" s="886"/>
      <c r="D22" s="151"/>
      <c r="E22" s="360">
        <f t="shared" si="4"/>
        <v>0</v>
      </c>
      <c r="F22" s="886"/>
      <c r="G22" s="151"/>
      <c r="H22" s="1209">
        <f t="shared" si="3"/>
        <v>0</v>
      </c>
      <c r="I22" s="1075">
        <f>'önállóan működő'!C22+'önállóan működő'!F22+'önállóan működő'!I22+'önállóan működő'!L22+'önállóan működő'!O22+'önállóan gazd.'!C22+'önállóan gazd.'!F22</f>
        <v>0</v>
      </c>
      <c r="J22" s="226">
        <f>'önállóan működő'!D22+'önállóan működő'!G22+'önállóan működő'!J22+'önállóan működő'!M22+'önállóan működő'!P22+'önállóan gazd.'!D22+'önállóan gazd.'!G22</f>
        <v>0</v>
      </c>
      <c r="K22" s="228">
        <f>'önállóan működő'!E22+'önállóan működő'!H22+'önállóan működő'!K22+'önállóan működő'!N22+'önállóan működő'!Q22+'önállóan gazd.'!E22+'önállóan gazd.'!H22</f>
        <v>0</v>
      </c>
      <c r="L22" s="907"/>
      <c r="M22" s="151"/>
      <c r="N22" s="360">
        <f t="shared" si="5"/>
        <v>0</v>
      </c>
      <c r="O22" s="1292">
        <f t="shared" si="0"/>
        <v>0</v>
      </c>
      <c r="P22" s="301">
        <f t="shared" si="1"/>
        <v>0</v>
      </c>
      <c r="Q22" s="360">
        <f t="shared" si="2"/>
        <v>0</v>
      </c>
    </row>
    <row r="23" spans="1:17" s="200" customFormat="1" ht="17.25" customHeight="1" thickBot="1">
      <c r="A23" s="317">
        <v>5</v>
      </c>
      <c r="B23" s="305" t="s">
        <v>171</v>
      </c>
      <c r="C23" s="330">
        <f aca="true" t="shared" si="6" ref="C23:N23">SUM(C15:C22)</f>
        <v>0</v>
      </c>
      <c r="D23" s="314">
        <f t="shared" si="6"/>
        <v>0</v>
      </c>
      <c r="E23" s="330">
        <f t="shared" si="6"/>
        <v>0</v>
      </c>
      <c r="F23" s="347">
        <f>SUM(F15:F22)</f>
        <v>0</v>
      </c>
      <c r="G23" s="314">
        <f>SUM(G15:G22)</f>
        <v>0</v>
      </c>
      <c r="H23" s="330">
        <f>SUM(H15:H22)</f>
        <v>0</v>
      </c>
      <c r="I23" s="347">
        <f t="shared" si="6"/>
        <v>0</v>
      </c>
      <c r="J23" s="314">
        <f t="shared" si="6"/>
        <v>0</v>
      </c>
      <c r="K23" s="320">
        <f t="shared" si="6"/>
        <v>0</v>
      </c>
      <c r="L23" s="347">
        <f t="shared" si="6"/>
        <v>414</v>
      </c>
      <c r="M23" s="314">
        <f t="shared" si="6"/>
        <v>0</v>
      </c>
      <c r="N23" s="320">
        <f t="shared" si="6"/>
        <v>414</v>
      </c>
      <c r="O23" s="432">
        <f t="shared" si="0"/>
        <v>414</v>
      </c>
      <c r="P23" s="290">
        <f t="shared" si="1"/>
        <v>0</v>
      </c>
      <c r="Q23" s="288">
        <f t="shared" si="2"/>
        <v>414</v>
      </c>
    </row>
    <row r="24" spans="1:17" s="173" customFormat="1" ht="17.25" customHeight="1" thickBot="1">
      <c r="A24" s="313">
        <v>6</v>
      </c>
      <c r="B24" s="305" t="s">
        <v>174</v>
      </c>
      <c r="C24" s="318">
        <v>8571</v>
      </c>
      <c r="D24" s="314"/>
      <c r="E24" s="288">
        <f aca="true" t="shared" si="7" ref="E24:E30">C24+D24</f>
        <v>8571</v>
      </c>
      <c r="F24" s="330">
        <v>24468</v>
      </c>
      <c r="G24" s="314"/>
      <c r="H24" s="1298">
        <f aca="true" t="shared" si="8" ref="H24:H30">F24+G24</f>
        <v>24468</v>
      </c>
      <c r="I24" s="347">
        <f>'önállóan működő'!C24+'önállóan működő'!F24+'önállóan működő'!I24+'önállóan működő'!L24+'önállóan működő'!O24+'önállóan gazd.'!C24+'önállóan gazd.'!F24</f>
        <v>82912</v>
      </c>
      <c r="J24" s="314">
        <f>'önállóan működő'!D24+'önállóan működő'!G24+'önállóan működő'!J24+'önállóan működő'!M24+'önállóan működő'!P24+'önállóan gazd.'!D24+'önállóan gazd.'!G24</f>
        <v>2917</v>
      </c>
      <c r="K24" s="320">
        <f>'önállóan működő'!E24+'önállóan működő'!H24+'önállóan működő'!K24+'önállóan működő'!N24+'önállóan működő'!Q24+'önállóan gazd.'!E24+'önállóan gazd.'!H24</f>
        <v>85829</v>
      </c>
      <c r="L24" s="347">
        <v>44186</v>
      </c>
      <c r="M24" s="314">
        <f>-7061-1468</f>
        <v>-8529</v>
      </c>
      <c r="N24" s="288">
        <f aca="true" t="shared" si="9" ref="N24:N30">L24+M24</f>
        <v>35657</v>
      </c>
      <c r="O24" s="432">
        <f t="shared" si="0"/>
        <v>127098</v>
      </c>
      <c r="P24" s="290">
        <f t="shared" si="1"/>
        <v>-5612</v>
      </c>
      <c r="Q24" s="288">
        <f t="shared" si="2"/>
        <v>121486</v>
      </c>
    </row>
    <row r="25" spans="1:17" s="200" customFormat="1" ht="17.25" customHeight="1" thickBot="1">
      <c r="A25" s="313">
        <v>7</v>
      </c>
      <c r="B25" s="305" t="s">
        <v>435</v>
      </c>
      <c r="C25" s="347"/>
      <c r="D25" s="314"/>
      <c r="E25" s="288">
        <f t="shared" si="7"/>
        <v>0</v>
      </c>
      <c r="F25" s="330"/>
      <c r="G25" s="314"/>
      <c r="H25" s="1298">
        <f t="shared" si="8"/>
        <v>0</v>
      </c>
      <c r="I25" s="347">
        <f>'önállóan működő'!C25+'önállóan működő'!F25+'önállóan működő'!I25+'önállóan működő'!L25+'önállóan működő'!O25+'önállóan gazd.'!C25+'önállóan gazd.'!F25</f>
        <v>0</v>
      </c>
      <c r="J25" s="314">
        <f>'önállóan működő'!D25+'önállóan működő'!G25+'önállóan működő'!J25+'önállóan működő'!M25+'önállóan működő'!P25+'önállóan gazd.'!D25+'önállóan gazd.'!G25</f>
        <v>0</v>
      </c>
      <c r="K25" s="320">
        <f>'önállóan működő'!E25+'önállóan működő'!H25+'önállóan működő'!K25+'önállóan működő'!N25+'önállóan működő'!Q25+'önállóan gazd.'!E25+'önállóan gazd.'!H25</f>
        <v>0</v>
      </c>
      <c r="L25" s="347">
        <v>2540</v>
      </c>
      <c r="M25" s="314"/>
      <c r="N25" s="288">
        <f t="shared" si="9"/>
        <v>2540</v>
      </c>
      <c r="O25" s="432">
        <f t="shared" si="0"/>
        <v>2540</v>
      </c>
      <c r="P25" s="290">
        <f t="shared" si="1"/>
        <v>0</v>
      </c>
      <c r="Q25" s="288">
        <f t="shared" si="2"/>
        <v>2540</v>
      </c>
    </row>
    <row r="26" spans="1:17" s="173" customFormat="1" ht="17.25" customHeight="1">
      <c r="A26" s="156" t="s">
        <v>98</v>
      </c>
      <c r="B26" s="149" t="s">
        <v>632</v>
      </c>
      <c r="C26" s="1075"/>
      <c r="D26" s="226"/>
      <c r="E26" s="360">
        <f t="shared" si="7"/>
        <v>0</v>
      </c>
      <c r="F26" s="887"/>
      <c r="G26" s="226"/>
      <c r="H26" s="1209">
        <f t="shared" si="8"/>
        <v>0</v>
      </c>
      <c r="I26" s="1075">
        <f>'önállóan működő'!C26+'önállóan működő'!F26+'önállóan működő'!I26+'önállóan működő'!L26+'önállóan működő'!O26+'önállóan gazd.'!C26+'önállóan gazd.'!F26</f>
        <v>0</v>
      </c>
      <c r="J26" s="226">
        <f>'önállóan működő'!D26+'önállóan működő'!G26+'önállóan működő'!J26+'önállóan működő'!M26+'önállóan működő'!P26+'önállóan gazd.'!D26+'önállóan gazd.'!G26</f>
        <v>0</v>
      </c>
      <c r="K26" s="228">
        <f>'önállóan működő'!E26+'önállóan működő'!H26+'önállóan működő'!K26+'önállóan működő'!N26+'önállóan működő'!Q26+'önállóan gazd.'!E26+'önállóan gazd.'!H26</f>
        <v>0</v>
      </c>
      <c r="L26" s="1075"/>
      <c r="M26" s="226"/>
      <c r="N26" s="360">
        <f t="shared" si="9"/>
        <v>0</v>
      </c>
      <c r="O26" s="1292">
        <f t="shared" si="0"/>
        <v>0</v>
      </c>
      <c r="P26" s="301">
        <f t="shared" si="1"/>
        <v>0</v>
      </c>
      <c r="Q26" s="360">
        <f t="shared" si="2"/>
        <v>0</v>
      </c>
    </row>
    <row r="27" spans="1:17" s="173" customFormat="1" ht="17.25" customHeight="1">
      <c r="A27" s="156" t="s">
        <v>99</v>
      </c>
      <c r="B27" s="149" t="s">
        <v>630</v>
      </c>
      <c r="C27" s="1075"/>
      <c r="D27" s="226"/>
      <c r="E27" s="360">
        <f t="shared" si="7"/>
        <v>0</v>
      </c>
      <c r="F27" s="887"/>
      <c r="G27" s="226"/>
      <c r="H27" s="1209">
        <f t="shared" si="8"/>
        <v>0</v>
      </c>
      <c r="I27" s="1075">
        <f>'önállóan működő'!C27+'önállóan működő'!F27+'önállóan működő'!I27+'önállóan működő'!L27+'önállóan működő'!O27+'önállóan gazd.'!C27+'önállóan gazd.'!F27</f>
        <v>0</v>
      </c>
      <c r="J27" s="226">
        <f>'önállóan működő'!D27+'önállóan működő'!G27+'önállóan működő'!J27+'önállóan működő'!M27+'önállóan működő'!P27+'önállóan gazd.'!D27+'önállóan gazd.'!G27</f>
        <v>0</v>
      </c>
      <c r="K27" s="228">
        <f>'önállóan működő'!E27+'önállóan működő'!H27+'önállóan működő'!K27+'önállóan működő'!N27+'önállóan működő'!Q27+'önállóan gazd.'!E27+'önállóan gazd.'!H27</f>
        <v>0</v>
      </c>
      <c r="L27" s="1075"/>
      <c r="M27" s="226"/>
      <c r="N27" s="360">
        <f t="shared" si="9"/>
        <v>0</v>
      </c>
      <c r="O27" s="1292">
        <f t="shared" si="0"/>
        <v>0</v>
      </c>
      <c r="P27" s="301">
        <f t="shared" si="1"/>
        <v>0</v>
      </c>
      <c r="Q27" s="360">
        <f t="shared" si="2"/>
        <v>0</v>
      </c>
    </row>
    <row r="28" spans="1:17" s="173" customFormat="1" ht="17.25" customHeight="1">
      <c r="A28" s="156" t="s">
        <v>100</v>
      </c>
      <c r="B28" s="147" t="s">
        <v>387</v>
      </c>
      <c r="C28" s="1075"/>
      <c r="D28" s="226"/>
      <c r="E28" s="360">
        <f t="shared" si="7"/>
        <v>0</v>
      </c>
      <c r="F28" s="887"/>
      <c r="G28" s="226"/>
      <c r="H28" s="1209">
        <f t="shared" si="8"/>
        <v>0</v>
      </c>
      <c r="I28" s="1075">
        <f>'önállóan működő'!C28+'önállóan működő'!F28+'önállóan működő'!I28+'önállóan működő'!L28+'önállóan működő'!O28+'önállóan gazd.'!C28+'önállóan gazd.'!F28</f>
        <v>0</v>
      </c>
      <c r="J28" s="226">
        <f>'önállóan működő'!D28+'önállóan működő'!G28+'önállóan működő'!J28+'önállóan működő'!M28+'önállóan működő'!P28+'önállóan gazd.'!D28+'önállóan gazd.'!G28</f>
        <v>0</v>
      </c>
      <c r="K28" s="228">
        <f>'önállóan működő'!E28+'önállóan működő'!H28+'önállóan működő'!K28+'önállóan működő'!N28+'önállóan működő'!Q28+'önállóan gazd.'!E28+'önállóan gazd.'!H28</f>
        <v>0</v>
      </c>
      <c r="L28" s="1075"/>
      <c r="M28" s="226"/>
      <c r="N28" s="360">
        <f t="shared" si="9"/>
        <v>0</v>
      </c>
      <c r="O28" s="1292">
        <f t="shared" si="0"/>
        <v>0</v>
      </c>
      <c r="P28" s="301">
        <f t="shared" si="1"/>
        <v>0</v>
      </c>
      <c r="Q28" s="360">
        <f t="shared" si="2"/>
        <v>0</v>
      </c>
    </row>
    <row r="29" spans="1:17" s="173" customFormat="1" ht="17.25" customHeight="1">
      <c r="A29" s="156" t="s">
        <v>101</v>
      </c>
      <c r="B29" s="149" t="s">
        <v>631</v>
      </c>
      <c r="C29" s="1075"/>
      <c r="D29" s="226"/>
      <c r="E29" s="1209">
        <f t="shared" si="7"/>
        <v>0</v>
      </c>
      <c r="F29" s="143"/>
      <c r="G29" s="139"/>
      <c r="H29" s="433">
        <f t="shared" si="8"/>
        <v>0</v>
      </c>
      <c r="I29" s="1075">
        <f>'önállóan működő'!C29+'önállóan működő'!F29+'önállóan működő'!I29+'önállóan működő'!L29+'önállóan működő'!O29+'önállóan gazd.'!C29+'önállóan gazd.'!F29</f>
        <v>0</v>
      </c>
      <c r="J29" s="226">
        <f>'önállóan működő'!D29+'önállóan működő'!G29+'önállóan működő'!J29+'önállóan működő'!M29+'önállóan működő'!P29+'önállóan gazd.'!D29+'önállóan gazd.'!G29</f>
        <v>0</v>
      </c>
      <c r="K29" s="228">
        <f>'önállóan működő'!E29+'önállóan működő'!H29+'önállóan működő'!K29+'önállóan működő'!N29+'önállóan működő'!Q29+'önállóan gazd.'!E29+'önállóan gazd.'!H29</f>
        <v>0</v>
      </c>
      <c r="L29" s="1075"/>
      <c r="M29" s="226"/>
      <c r="N29" s="360">
        <f t="shared" si="9"/>
        <v>0</v>
      </c>
      <c r="O29" s="1292">
        <f t="shared" si="0"/>
        <v>0</v>
      </c>
      <c r="P29" s="301">
        <f t="shared" si="1"/>
        <v>0</v>
      </c>
      <c r="Q29" s="360">
        <f t="shared" si="2"/>
        <v>0</v>
      </c>
    </row>
    <row r="30" spans="1:17" s="173" customFormat="1" ht="17.25" customHeight="1" thickBot="1">
      <c r="A30" s="335" t="s">
        <v>192</v>
      </c>
      <c r="B30" s="147" t="s">
        <v>388</v>
      </c>
      <c r="C30" s="1076"/>
      <c r="D30" s="321"/>
      <c r="E30" s="1210">
        <f t="shared" si="7"/>
        <v>0</v>
      </c>
      <c r="F30" s="323"/>
      <c r="G30" s="321"/>
      <c r="H30" s="361">
        <f t="shared" si="8"/>
        <v>0</v>
      </c>
      <c r="I30" s="1075">
        <f>'önállóan működő'!C30+'önállóan működő'!F30+'önállóan működő'!I30+'önállóan működő'!L30+'önállóan működő'!O30+'önállóan gazd.'!C30+'önállóan gazd.'!F30</f>
        <v>0</v>
      </c>
      <c r="J30" s="226">
        <f>'önállóan működő'!D30+'önállóan működő'!G30+'önállóan működő'!J30+'önállóan működő'!M30+'önállóan működő'!P30+'önállóan gazd.'!D30+'önállóan gazd.'!G30</f>
        <v>0</v>
      </c>
      <c r="K30" s="228">
        <f>'önállóan működő'!E30+'önállóan működő'!H30+'önállóan működő'!K30+'önállóan működő'!N30+'önállóan működő'!Q30+'önállóan gazd.'!E30+'önállóan gazd.'!H30</f>
        <v>0</v>
      </c>
      <c r="L30" s="1076"/>
      <c r="M30" s="321"/>
      <c r="N30" s="361">
        <f t="shared" si="9"/>
        <v>0</v>
      </c>
      <c r="O30" s="1292">
        <f t="shared" si="0"/>
        <v>0</v>
      </c>
      <c r="P30" s="301">
        <f t="shared" si="1"/>
        <v>0</v>
      </c>
      <c r="Q30" s="360">
        <f t="shared" si="2"/>
        <v>0</v>
      </c>
    </row>
    <row r="31" spans="1:17" s="200" customFormat="1" ht="17.25" customHeight="1" thickBot="1">
      <c r="A31" s="313">
        <v>8</v>
      </c>
      <c r="B31" s="305" t="s">
        <v>173</v>
      </c>
      <c r="C31" s="347">
        <f aca="true" t="shared" si="10" ref="C31:N31">SUM(C26:C30)</f>
        <v>0</v>
      </c>
      <c r="D31" s="314">
        <f t="shared" si="10"/>
        <v>0</v>
      </c>
      <c r="E31" s="330">
        <f t="shared" si="10"/>
        <v>0</v>
      </c>
      <c r="F31" s="319">
        <f t="shared" si="10"/>
        <v>0</v>
      </c>
      <c r="G31" s="314">
        <f t="shared" si="10"/>
        <v>0</v>
      </c>
      <c r="H31" s="320">
        <f t="shared" si="10"/>
        <v>0</v>
      </c>
      <c r="I31" s="347">
        <f t="shared" si="10"/>
        <v>0</v>
      </c>
      <c r="J31" s="314">
        <f t="shared" si="10"/>
        <v>0</v>
      </c>
      <c r="K31" s="320">
        <f t="shared" si="10"/>
        <v>0</v>
      </c>
      <c r="L31" s="347">
        <f t="shared" si="10"/>
        <v>0</v>
      </c>
      <c r="M31" s="314">
        <f t="shared" si="10"/>
        <v>0</v>
      </c>
      <c r="N31" s="320">
        <f t="shared" si="10"/>
        <v>0</v>
      </c>
      <c r="O31" s="432">
        <f t="shared" si="0"/>
        <v>0</v>
      </c>
      <c r="P31" s="290">
        <f t="shared" si="1"/>
        <v>0</v>
      </c>
      <c r="Q31" s="288">
        <f t="shared" si="2"/>
        <v>0</v>
      </c>
    </row>
    <row r="32" spans="1:17" s="173" customFormat="1" ht="17.25" customHeight="1" thickBot="1">
      <c r="A32" s="313">
        <v>9</v>
      </c>
      <c r="B32" s="305" t="s">
        <v>179</v>
      </c>
      <c r="C32" s="347"/>
      <c r="D32" s="314"/>
      <c r="E32" s="1298">
        <f>C32+D32</f>
        <v>0</v>
      </c>
      <c r="F32" s="319"/>
      <c r="G32" s="314"/>
      <c r="H32" s="288">
        <f>F32+G32</f>
        <v>0</v>
      </c>
      <c r="I32" s="347">
        <f>'önállóan működő'!C32+'önállóan működő'!F32+'önállóan működő'!I32+'önállóan működő'!L32+'önállóan működő'!O32+'önállóan gazd.'!C32+'önállóan gazd.'!F32</f>
        <v>0</v>
      </c>
      <c r="J32" s="314">
        <f>'önállóan működő'!D32+'önállóan működő'!G32+'önállóan működő'!J32+'önállóan működő'!M32+'önállóan működő'!P32+'önállóan gazd.'!D32+'önállóan gazd.'!G32</f>
        <v>0</v>
      </c>
      <c r="K32" s="320">
        <f>'önállóan működő'!E32+'önállóan működő'!H32+'önállóan működő'!K32+'önállóan működő'!N32+'önállóan működő'!Q32+'önállóan gazd.'!E32+'önállóan gazd.'!H32</f>
        <v>0</v>
      </c>
      <c r="L32" s="347"/>
      <c r="M32" s="314"/>
      <c r="N32" s="288">
        <f>L32+M32</f>
        <v>0</v>
      </c>
      <c r="O32" s="432">
        <f t="shared" si="0"/>
        <v>0</v>
      </c>
      <c r="P32" s="290">
        <f t="shared" si="1"/>
        <v>0</v>
      </c>
      <c r="Q32" s="288">
        <f t="shared" si="2"/>
        <v>0</v>
      </c>
    </row>
    <row r="33" spans="1:17" s="152" customFormat="1" ht="17.25" customHeight="1" thickBot="1">
      <c r="A33" s="367">
        <v>10</v>
      </c>
      <c r="B33" s="368"/>
      <c r="C33" s="158"/>
      <c r="D33" s="369"/>
      <c r="E33" s="293">
        <f>SUM(C33:D33)</f>
        <v>0</v>
      </c>
      <c r="F33" s="1308"/>
      <c r="G33" s="369"/>
      <c r="H33" s="1107">
        <f>SUM(F33:G33)</f>
        <v>0</v>
      </c>
      <c r="I33" s="1091">
        <f>'önállóan működő'!C33+'önállóan működő'!F33+'önállóan működő'!I33+'önállóan működő'!L33+'önállóan működő'!O33+'önállóan gazd.'!C33+'önállóan gazd.'!F33</f>
        <v>0</v>
      </c>
      <c r="J33" s="375">
        <f>'önállóan működő'!D33+'önállóan működő'!G33+'önállóan működő'!J33+'önállóan működő'!M33+'önállóan működő'!P33+'önállóan gazd.'!D33+'önállóan gazd.'!G33</f>
        <v>0</v>
      </c>
      <c r="K33" s="376">
        <f>'önállóan működő'!E33+'önállóan működő'!H33+'önállóan működő'!K33+'önállóan működő'!N33+'önállóan működő'!Q33+'önállóan gazd.'!E33+'önállóan gazd.'!H33</f>
        <v>0</v>
      </c>
      <c r="L33" s="158"/>
      <c r="M33" s="369"/>
      <c r="N33" s="1107">
        <f>SUM(L33:M33)</f>
        <v>0</v>
      </c>
      <c r="O33" s="432">
        <f t="shared" si="0"/>
        <v>0</v>
      </c>
      <c r="P33" s="290">
        <f t="shared" si="1"/>
        <v>0</v>
      </c>
      <c r="Q33" s="288">
        <f t="shared" si="2"/>
        <v>0</v>
      </c>
    </row>
    <row r="34" spans="1:18" s="160" customFormat="1" ht="17.25" customHeight="1" thickBot="1" thickTop="1">
      <c r="A34" s="343" t="s">
        <v>108</v>
      </c>
      <c r="B34" s="366" t="s">
        <v>180</v>
      </c>
      <c r="C34" s="365">
        <f aca="true" t="shared" si="11" ref="C34:K34">C11+C12+C13+C23+C14+C31+C25+C24+C32+C33</f>
        <v>932632</v>
      </c>
      <c r="D34" s="344">
        <f t="shared" si="11"/>
        <v>17313</v>
      </c>
      <c r="E34" s="778">
        <f t="shared" si="11"/>
        <v>949945</v>
      </c>
      <c r="F34" s="364">
        <f t="shared" si="11"/>
        <v>456415</v>
      </c>
      <c r="G34" s="344">
        <f t="shared" si="11"/>
        <v>1253</v>
      </c>
      <c r="H34" s="374">
        <f t="shared" si="11"/>
        <v>457668</v>
      </c>
      <c r="I34" s="365">
        <f t="shared" si="11"/>
        <v>4461519</v>
      </c>
      <c r="J34" s="344">
        <f t="shared" si="11"/>
        <v>37060</v>
      </c>
      <c r="K34" s="374">
        <f t="shared" si="11"/>
        <v>4498579</v>
      </c>
      <c r="L34" s="365">
        <f>L11+L12+L13+L23+L14+L31+L25+L24+L32+L33</f>
        <v>1582005</v>
      </c>
      <c r="M34" s="344">
        <f>M11+M12+M13+M23+M14+M31+M25+M24+M32+M33</f>
        <v>490</v>
      </c>
      <c r="N34" s="374">
        <f>N11+N12+N13+N23+N14+N31+N25+N24+N32+N33</f>
        <v>1582495</v>
      </c>
      <c r="O34" s="1293">
        <f t="shared" si="0"/>
        <v>6043524</v>
      </c>
      <c r="P34" s="378">
        <f t="shared" si="1"/>
        <v>37550</v>
      </c>
      <c r="Q34" s="379">
        <f t="shared" si="2"/>
        <v>6081074</v>
      </c>
      <c r="R34" s="159"/>
    </row>
    <row r="35" spans="1:18" s="88" customFormat="1" ht="19.5" customHeight="1" thickBot="1" thickTop="1">
      <c r="A35" s="144"/>
      <c r="B35" s="346" t="s">
        <v>131</v>
      </c>
      <c r="C35" s="1077"/>
      <c r="D35" s="302"/>
      <c r="E35" s="1299"/>
      <c r="F35" s="1309"/>
      <c r="G35" s="302"/>
      <c r="H35" s="1083"/>
      <c r="I35" s="1285"/>
      <c r="J35" s="1286"/>
      <c r="K35" s="1287"/>
      <c r="L35" s="1077"/>
      <c r="M35" s="302"/>
      <c r="N35" s="1083"/>
      <c r="O35" s="1294"/>
      <c r="P35" s="362"/>
      <c r="Q35" s="1099"/>
      <c r="R35" s="161"/>
    </row>
    <row r="36" spans="1:17" s="760" customFormat="1" ht="17.25" customHeight="1">
      <c r="A36" s="769" t="s">
        <v>98</v>
      </c>
      <c r="B36" s="770" t="s">
        <v>389</v>
      </c>
      <c r="C36" s="772"/>
      <c r="D36" s="771"/>
      <c r="E36" s="1300">
        <f>SUM(C36:D36)</f>
        <v>0</v>
      </c>
      <c r="F36" s="1310"/>
      <c r="G36" s="771"/>
      <c r="H36" s="773">
        <f>SUM(F36:G36)</f>
        <v>0</v>
      </c>
      <c r="I36" s="1075">
        <f>'önállóan működő'!C36+'önállóan működő'!F36+'önállóan működő'!I36+'önállóan működő'!L36+'önállóan működő'!O36+'önállóan gazd.'!C36+'önállóan gazd.'!F36</f>
        <v>0</v>
      </c>
      <c r="J36" s="226">
        <f>'önállóan működő'!D36+'önállóan működő'!G36+'önállóan működő'!J36+'önállóan működő'!M36+'önállóan működő'!P36+'önállóan gazd.'!D36+'önállóan gazd.'!G36</f>
        <v>0</v>
      </c>
      <c r="K36" s="228">
        <f>'önállóan működő'!E36+'önállóan működő'!H36+'önállóan működő'!K36+'önállóan működő'!N36+'önállóan működő'!Q36+'önállóan gazd.'!E36+'önállóan gazd.'!H36</f>
        <v>0</v>
      </c>
      <c r="L36" s="1085"/>
      <c r="M36" s="771"/>
      <c r="N36" s="773">
        <f>SUM(L36:M36)</f>
        <v>0</v>
      </c>
      <c r="O36" s="1292">
        <f aca="true" t="shared" si="12" ref="O36:O55">I36+L36</f>
        <v>0</v>
      </c>
      <c r="P36" s="301">
        <f aca="true" t="shared" si="13" ref="P36:P55">J36+M36</f>
        <v>0</v>
      </c>
      <c r="Q36" s="360">
        <f aca="true" t="shared" si="14" ref="Q36:Q55">K36+N36</f>
        <v>0</v>
      </c>
    </row>
    <row r="37" spans="1:17" s="760" customFormat="1" ht="17.25" customHeight="1">
      <c r="A37" s="153" t="s">
        <v>99</v>
      </c>
      <c r="B37" s="149" t="s">
        <v>245</v>
      </c>
      <c r="C37" s="307"/>
      <c r="D37" s="139"/>
      <c r="E37" s="1301">
        <f aca="true" t="shared" si="15" ref="E37:E44">C37+D37</f>
        <v>0</v>
      </c>
      <c r="F37" s="143"/>
      <c r="G37" s="139"/>
      <c r="H37" s="433">
        <f>F37+G37</f>
        <v>0</v>
      </c>
      <c r="I37" s="1075">
        <f>'önállóan működő'!C37+'önállóan működő'!F37+'önállóan működő'!I37+'önállóan működő'!L37+'önállóan működő'!O37+'önállóan gazd.'!C37+'önállóan gazd.'!F37</f>
        <v>0</v>
      </c>
      <c r="J37" s="226">
        <f>'önállóan működő'!D37+'önállóan működő'!G37+'önállóan működő'!J37+'önállóan működő'!M37+'önállóan működő'!P37+'önállóan gazd.'!D37+'önállóan gazd.'!G37</f>
        <v>0</v>
      </c>
      <c r="K37" s="228">
        <f>'önállóan működő'!E37+'önállóan működő'!H37+'önállóan működő'!K37+'önállóan működő'!N37+'önállóan működő'!Q37+'önállóan gazd.'!E37+'önállóan gazd.'!H37</f>
        <v>0</v>
      </c>
      <c r="L37" s="906"/>
      <c r="M37" s="139"/>
      <c r="N37" s="433">
        <f aca="true" t="shared" si="16" ref="N37:N44">L37+M37</f>
        <v>0</v>
      </c>
      <c r="O37" s="1292">
        <f t="shared" si="12"/>
        <v>0</v>
      </c>
      <c r="P37" s="301">
        <f t="shared" si="13"/>
        <v>0</v>
      </c>
      <c r="Q37" s="360">
        <f t="shared" si="14"/>
        <v>0</v>
      </c>
    </row>
    <row r="38" spans="1:17" s="760" customFormat="1" ht="17.25" customHeight="1">
      <c r="A38" s="335" t="s">
        <v>100</v>
      </c>
      <c r="B38" s="142" t="s">
        <v>390</v>
      </c>
      <c r="C38" s="329"/>
      <c r="D38" s="321"/>
      <c r="E38" s="1210">
        <f t="shared" si="15"/>
        <v>0</v>
      </c>
      <c r="F38" s="227"/>
      <c r="G38" s="321"/>
      <c r="H38" s="361">
        <f>F38+G38</f>
        <v>0</v>
      </c>
      <c r="I38" s="1075">
        <f>'önállóan működő'!C38+'önállóan működő'!F38+'önállóan működő'!I38+'önállóan működő'!L38+'önállóan működő'!O38+'önállóan gazd.'!C38+'önállóan gazd.'!F38</f>
        <v>0</v>
      </c>
      <c r="J38" s="226">
        <f>'önállóan működő'!D38+'önállóan működő'!G38+'önállóan működő'!J38+'önállóan működő'!M38+'önállóan működő'!P38+'önállóan gazd.'!D38+'önállóan gazd.'!G38</f>
        <v>0</v>
      </c>
      <c r="K38" s="228">
        <f>'önállóan működő'!E38+'önállóan működő'!H38+'önállóan működő'!K38+'önállóan működő'!N38+'önállóan működő'!Q38+'önállóan gazd.'!E38+'önállóan gazd.'!H38</f>
        <v>0</v>
      </c>
      <c r="L38" s="1076"/>
      <c r="M38" s="321"/>
      <c r="N38" s="361">
        <f t="shared" si="16"/>
        <v>0</v>
      </c>
      <c r="O38" s="1292">
        <f t="shared" si="12"/>
        <v>0</v>
      </c>
      <c r="P38" s="301">
        <f t="shared" si="13"/>
        <v>0</v>
      </c>
      <c r="Q38" s="360">
        <f t="shared" si="14"/>
        <v>0</v>
      </c>
    </row>
    <row r="39" spans="1:17" s="760" customFormat="1" ht="17.25" customHeight="1" thickBot="1">
      <c r="A39" s="154" t="s">
        <v>101</v>
      </c>
      <c r="B39" s="155" t="s">
        <v>394</v>
      </c>
      <c r="C39" s="308"/>
      <c r="D39" s="151"/>
      <c r="E39" s="1302">
        <f t="shared" si="15"/>
        <v>0</v>
      </c>
      <c r="F39" s="907"/>
      <c r="G39" s="151"/>
      <c r="H39" s="435">
        <f>F39+G39</f>
        <v>0</v>
      </c>
      <c r="I39" s="1075">
        <f>'önállóan működő'!C39+'önállóan működő'!F39+'önállóan működő'!I39+'önállóan működő'!L39+'önállóan működő'!O39+'önállóan gazd.'!C39+'önállóan gazd.'!F39</f>
        <v>0</v>
      </c>
      <c r="J39" s="226">
        <f>'önállóan működő'!D39+'önállóan működő'!G39+'önállóan működő'!J39+'önállóan működő'!M39+'önállóan működő'!P39+'önállóan gazd.'!D39+'önállóan gazd.'!G39</f>
        <v>0</v>
      </c>
      <c r="K39" s="228">
        <f>'önállóan működő'!E39+'önállóan működő'!H39+'önállóan működő'!K39+'önállóan működő'!N39+'önállóan működő'!Q39+'önállóan gazd.'!E39+'önállóan gazd.'!H39</f>
        <v>0</v>
      </c>
      <c r="L39" s="907">
        <v>9940</v>
      </c>
      <c r="M39" s="151">
        <v>10134</v>
      </c>
      <c r="N39" s="435">
        <f t="shared" si="16"/>
        <v>20074</v>
      </c>
      <c r="O39" s="1292">
        <f t="shared" si="12"/>
        <v>9940</v>
      </c>
      <c r="P39" s="301">
        <f t="shared" si="13"/>
        <v>10134</v>
      </c>
      <c r="Q39" s="360">
        <f t="shared" si="14"/>
        <v>20074</v>
      </c>
    </row>
    <row r="40" spans="1:17" s="200" customFormat="1" ht="17.25" customHeight="1" thickBot="1">
      <c r="A40" s="313">
        <v>1</v>
      </c>
      <c r="B40" s="305" t="s">
        <v>177</v>
      </c>
      <c r="C40" s="347">
        <f aca="true" t="shared" si="17" ref="C40:N40">SUM(C36:C39)</f>
        <v>0</v>
      </c>
      <c r="D40" s="314">
        <f t="shared" si="17"/>
        <v>0</v>
      </c>
      <c r="E40" s="330">
        <f t="shared" si="17"/>
        <v>0</v>
      </c>
      <c r="F40" s="347">
        <f>SUM(F36:F39)</f>
        <v>0</v>
      </c>
      <c r="G40" s="314">
        <f>SUM(G36:G39)</f>
        <v>0</v>
      </c>
      <c r="H40" s="320">
        <f>SUM(H36:H39)</f>
        <v>0</v>
      </c>
      <c r="I40" s="347">
        <f t="shared" si="17"/>
        <v>0</v>
      </c>
      <c r="J40" s="314">
        <f t="shared" si="17"/>
        <v>0</v>
      </c>
      <c r="K40" s="320">
        <f t="shared" si="17"/>
        <v>0</v>
      </c>
      <c r="L40" s="347">
        <f t="shared" si="17"/>
        <v>9940</v>
      </c>
      <c r="M40" s="314">
        <f t="shared" si="17"/>
        <v>10134</v>
      </c>
      <c r="N40" s="320">
        <f t="shared" si="17"/>
        <v>20074</v>
      </c>
      <c r="O40" s="432">
        <f t="shared" si="12"/>
        <v>9940</v>
      </c>
      <c r="P40" s="290">
        <f t="shared" si="13"/>
        <v>10134</v>
      </c>
      <c r="Q40" s="288">
        <f t="shared" si="14"/>
        <v>20074</v>
      </c>
    </row>
    <row r="41" spans="1:17" s="173" customFormat="1" ht="17.25" customHeight="1">
      <c r="A41" s="156" t="s">
        <v>98</v>
      </c>
      <c r="B41" s="145" t="s">
        <v>416</v>
      </c>
      <c r="C41" s="306"/>
      <c r="D41" s="226"/>
      <c r="E41" s="1210">
        <f t="shared" si="15"/>
        <v>0</v>
      </c>
      <c r="F41" s="1075"/>
      <c r="G41" s="226"/>
      <c r="H41" s="361">
        <f>F41+G41</f>
        <v>0</v>
      </c>
      <c r="I41" s="1075">
        <f>'önállóan működő'!C41+'önállóan működő'!F41+'önállóan működő'!I41+'önállóan működő'!L41+'önállóan működő'!O41+'önállóan gazd.'!C41+'önállóan gazd.'!F41</f>
        <v>0</v>
      </c>
      <c r="J41" s="226">
        <f>'önállóan működő'!D41+'önállóan működő'!G41+'önállóan működő'!J41+'önállóan működő'!M41+'önállóan működő'!P41+'önállóan gazd.'!D41+'önállóan gazd.'!G41</f>
        <v>0</v>
      </c>
      <c r="K41" s="228">
        <f>'önállóan működő'!E41+'önállóan működő'!H41+'önállóan működő'!K41+'önállóan működő'!N41+'önállóan működő'!Q41+'önállóan gazd.'!E41+'önállóan gazd.'!H41</f>
        <v>0</v>
      </c>
      <c r="L41" s="1075"/>
      <c r="M41" s="226"/>
      <c r="N41" s="361">
        <f t="shared" si="16"/>
        <v>0</v>
      </c>
      <c r="O41" s="1292">
        <f t="shared" si="12"/>
        <v>0</v>
      </c>
      <c r="P41" s="301">
        <f t="shared" si="13"/>
        <v>0</v>
      </c>
      <c r="Q41" s="360">
        <f t="shared" si="14"/>
        <v>0</v>
      </c>
    </row>
    <row r="42" spans="1:17" s="173" customFormat="1" ht="17.25" customHeight="1">
      <c r="A42" s="153" t="s">
        <v>99</v>
      </c>
      <c r="B42" s="149" t="s">
        <v>391</v>
      </c>
      <c r="C42" s="307"/>
      <c r="D42" s="139"/>
      <c r="E42" s="1302">
        <f t="shared" si="15"/>
        <v>0</v>
      </c>
      <c r="F42" s="906"/>
      <c r="G42" s="139"/>
      <c r="H42" s="435">
        <f>F42+G42</f>
        <v>0</v>
      </c>
      <c r="I42" s="1075">
        <f>'önállóan működő'!C42+'önállóan működő'!F42+'önállóan működő'!I42+'önállóan működő'!L42+'önállóan működő'!O42+'önállóan gazd.'!C42+'önállóan gazd.'!F42</f>
        <v>0</v>
      </c>
      <c r="J42" s="226">
        <f>'önállóan működő'!D42+'önállóan működő'!G42+'önállóan működő'!J42+'önállóan működő'!M42+'önállóan működő'!P42+'önállóan gazd.'!D42+'önállóan gazd.'!G42</f>
        <v>0</v>
      </c>
      <c r="K42" s="228">
        <f>'önállóan működő'!E42+'önállóan működő'!H42+'önállóan működő'!K42+'önállóan működő'!N42+'önállóan működő'!Q42+'önállóan gazd.'!E42+'önállóan gazd.'!H42</f>
        <v>0</v>
      </c>
      <c r="L42" s="906"/>
      <c r="M42" s="139"/>
      <c r="N42" s="435">
        <f t="shared" si="16"/>
        <v>0</v>
      </c>
      <c r="O42" s="1292">
        <f t="shared" si="12"/>
        <v>0</v>
      </c>
      <c r="P42" s="301">
        <f t="shared" si="13"/>
        <v>0</v>
      </c>
      <c r="Q42" s="360">
        <f t="shared" si="14"/>
        <v>0</v>
      </c>
    </row>
    <row r="43" spans="1:17" s="173" customFormat="1" ht="17.25" customHeight="1">
      <c r="A43" s="153" t="s">
        <v>100</v>
      </c>
      <c r="B43" s="149" t="s">
        <v>392</v>
      </c>
      <c r="C43" s="307"/>
      <c r="D43" s="139"/>
      <c r="E43" s="1302">
        <f t="shared" si="15"/>
        <v>0</v>
      </c>
      <c r="F43" s="906"/>
      <c r="G43" s="139"/>
      <c r="H43" s="435">
        <f>F43+G43</f>
        <v>0</v>
      </c>
      <c r="I43" s="1075">
        <f>'önállóan működő'!C43+'önállóan működő'!F43+'önállóan működő'!I43+'önállóan működő'!L43+'önállóan működő'!O43+'önállóan gazd.'!C43+'önállóan gazd.'!F43</f>
        <v>0</v>
      </c>
      <c r="J43" s="226">
        <f>'önállóan működő'!D43+'önállóan működő'!G43+'önállóan működő'!J43+'önállóan működő'!M43+'önállóan működő'!P43+'önállóan gazd.'!D43+'önállóan gazd.'!G43</f>
        <v>0</v>
      </c>
      <c r="K43" s="228">
        <f>'önállóan működő'!E43+'önállóan működő'!H43+'önállóan működő'!K43+'önállóan működő'!N43+'önállóan működő'!Q43+'önállóan gazd.'!E43+'önállóan gazd.'!H43</f>
        <v>0</v>
      </c>
      <c r="L43" s="906"/>
      <c r="M43" s="139"/>
      <c r="N43" s="435">
        <f t="shared" si="16"/>
        <v>0</v>
      </c>
      <c r="O43" s="1292">
        <f t="shared" si="12"/>
        <v>0</v>
      </c>
      <c r="P43" s="301">
        <f t="shared" si="13"/>
        <v>0</v>
      </c>
      <c r="Q43" s="360">
        <f t="shared" si="14"/>
        <v>0</v>
      </c>
    </row>
    <row r="44" spans="1:17" s="173" customFormat="1" ht="17.25" customHeight="1" thickBot="1">
      <c r="A44" s="154" t="s">
        <v>101</v>
      </c>
      <c r="B44" s="155" t="s">
        <v>175</v>
      </c>
      <c r="C44" s="308"/>
      <c r="D44" s="151"/>
      <c r="E44" s="1302">
        <f t="shared" si="15"/>
        <v>0</v>
      </c>
      <c r="F44" s="907"/>
      <c r="G44" s="151"/>
      <c r="H44" s="435">
        <f>F44+G44</f>
        <v>0</v>
      </c>
      <c r="I44" s="1075">
        <f>'önállóan működő'!C44+'önállóan működő'!F44+'önállóan működő'!I44+'önállóan működő'!L44+'önállóan működő'!O44+'önállóan gazd.'!C44+'önállóan gazd.'!F44</f>
        <v>0</v>
      </c>
      <c r="J44" s="226">
        <f>'önállóan működő'!D44+'önállóan működő'!G44+'önállóan működő'!J44+'önállóan működő'!M44+'önállóan működő'!P44+'önállóan gazd.'!D44+'önállóan gazd.'!G44</f>
        <v>0</v>
      </c>
      <c r="K44" s="228">
        <f>'önállóan működő'!E44+'önállóan működő'!H44+'önállóan működő'!K44+'önállóan működő'!N44+'önállóan működő'!Q44+'önállóan gazd.'!E44+'önállóan gazd.'!H44</f>
        <v>0</v>
      </c>
      <c r="L44" s="907">
        <v>45</v>
      </c>
      <c r="M44" s="151">
        <v>20</v>
      </c>
      <c r="N44" s="435">
        <f t="shared" si="16"/>
        <v>65</v>
      </c>
      <c r="O44" s="1292">
        <f t="shared" si="12"/>
        <v>45</v>
      </c>
      <c r="P44" s="301">
        <f t="shared" si="13"/>
        <v>20</v>
      </c>
      <c r="Q44" s="360">
        <f t="shared" si="14"/>
        <v>65</v>
      </c>
    </row>
    <row r="45" spans="1:17" s="200" customFormat="1" ht="17.25" customHeight="1" thickBot="1">
      <c r="A45" s="313">
        <v>2</v>
      </c>
      <c r="B45" s="305" t="s">
        <v>176</v>
      </c>
      <c r="C45" s="318">
        <f aca="true" t="shared" si="18" ref="C45:N45">SUM(C41:C44)</f>
        <v>0</v>
      </c>
      <c r="D45" s="314">
        <f t="shared" si="18"/>
        <v>0</v>
      </c>
      <c r="E45" s="330">
        <f t="shared" si="18"/>
        <v>0</v>
      </c>
      <c r="F45" s="347">
        <f>SUM(F41:F44)</f>
        <v>0</v>
      </c>
      <c r="G45" s="314">
        <f>SUM(G41:G44)</f>
        <v>0</v>
      </c>
      <c r="H45" s="320">
        <f>SUM(H41:H44)</f>
        <v>0</v>
      </c>
      <c r="I45" s="347">
        <f t="shared" si="18"/>
        <v>0</v>
      </c>
      <c r="J45" s="314">
        <f t="shared" si="18"/>
        <v>0</v>
      </c>
      <c r="K45" s="320">
        <f t="shared" si="18"/>
        <v>0</v>
      </c>
      <c r="L45" s="347">
        <f t="shared" si="18"/>
        <v>45</v>
      </c>
      <c r="M45" s="314">
        <f t="shared" si="18"/>
        <v>20</v>
      </c>
      <c r="N45" s="320">
        <f t="shared" si="18"/>
        <v>65</v>
      </c>
      <c r="O45" s="432">
        <f t="shared" si="12"/>
        <v>45</v>
      </c>
      <c r="P45" s="290">
        <f t="shared" si="13"/>
        <v>20</v>
      </c>
      <c r="Q45" s="288">
        <f t="shared" si="14"/>
        <v>65</v>
      </c>
    </row>
    <row r="46" spans="1:17" s="200" customFormat="1" ht="17.25" customHeight="1" thickBot="1">
      <c r="A46" s="313">
        <v>3</v>
      </c>
      <c r="B46" s="305" t="s">
        <v>264</v>
      </c>
      <c r="C46" s="347">
        <v>243006</v>
      </c>
      <c r="D46" s="314">
        <v>46789</v>
      </c>
      <c r="E46" s="330">
        <f>SUM(C46:D46)</f>
        <v>289795</v>
      </c>
      <c r="F46" s="347">
        <v>110144</v>
      </c>
      <c r="G46" s="314"/>
      <c r="H46" s="320">
        <f>SUM(F46:G46)</f>
        <v>110144</v>
      </c>
      <c r="I46" s="347">
        <f>'önállóan működő'!C46+'önállóan működő'!F46+'önállóan működő'!I46+'önállóan működő'!L46+'önállóan működő'!O46+'önállóan gazd.'!C46+'önállóan gazd.'!F46</f>
        <v>483219</v>
      </c>
      <c r="J46" s="314">
        <f>'önállóan működő'!D46+'önállóan működő'!G46+'önállóan működő'!J46+'önállóan működő'!M46+'önállóan működő'!P46+'önállóan gazd.'!D46+'önállóan gazd.'!G46</f>
        <v>62796</v>
      </c>
      <c r="K46" s="320">
        <f>'önállóan működő'!E46+'önállóan működő'!H46+'önállóan működő'!K46+'önállóan működő'!N46+'önállóan működő'!Q46+'önállóan gazd.'!E46+'önállóan gazd.'!H46</f>
        <v>546015</v>
      </c>
      <c r="L46" s="347">
        <v>5714</v>
      </c>
      <c r="M46" s="314">
        <f>299+15+102+1085</f>
        <v>1501</v>
      </c>
      <c r="N46" s="320">
        <f>SUM(L46:M46)</f>
        <v>7215</v>
      </c>
      <c r="O46" s="432">
        <f t="shared" si="12"/>
        <v>488933</v>
      </c>
      <c r="P46" s="290">
        <f t="shared" si="13"/>
        <v>64297</v>
      </c>
      <c r="Q46" s="288">
        <f t="shared" si="14"/>
        <v>553230</v>
      </c>
    </row>
    <row r="47" spans="1:17" s="173" customFormat="1" ht="17.25" customHeight="1" thickBot="1">
      <c r="A47" s="313">
        <v>4</v>
      </c>
      <c r="B47" s="305" t="s">
        <v>285</v>
      </c>
      <c r="C47" s="347"/>
      <c r="D47" s="314"/>
      <c r="E47" s="330">
        <f>SUM(C47:D47)</f>
        <v>0</v>
      </c>
      <c r="F47" s="347"/>
      <c r="G47" s="314"/>
      <c r="H47" s="320">
        <f>SUM(F47:G47)</f>
        <v>0</v>
      </c>
      <c r="I47" s="347">
        <f>'önállóan működő'!C47+'önállóan működő'!F47+'önállóan működő'!I47+'önállóan működő'!L47+'önállóan működő'!O47+'önállóan gazd.'!C47+'önállóan gazd.'!F47</f>
        <v>0</v>
      </c>
      <c r="J47" s="314">
        <f>'önállóan működő'!D47+'önállóan működő'!G47+'önállóan működő'!J47+'önállóan működő'!M47+'önállóan működő'!P47+'önállóan gazd.'!D47+'önállóan gazd.'!G47</f>
        <v>0</v>
      </c>
      <c r="K47" s="320">
        <f>'önállóan működő'!E47+'önállóan működő'!H47+'önállóan működő'!K47+'önállóan működő'!N47+'önállóan működő'!Q47+'önállóan gazd.'!E47+'önállóan gazd.'!H47</f>
        <v>0</v>
      </c>
      <c r="L47" s="347"/>
      <c r="M47" s="314"/>
      <c r="N47" s="320">
        <f>SUM(L47:M47)</f>
        <v>0</v>
      </c>
      <c r="O47" s="432">
        <f t="shared" si="12"/>
        <v>0</v>
      </c>
      <c r="P47" s="290">
        <f t="shared" si="13"/>
        <v>0</v>
      </c>
      <c r="Q47" s="288">
        <f t="shared" si="14"/>
        <v>0</v>
      </c>
    </row>
    <row r="48" spans="1:17" s="760" customFormat="1" ht="17.25" customHeight="1">
      <c r="A48" s="156" t="s">
        <v>98</v>
      </c>
      <c r="B48" s="142" t="s">
        <v>291</v>
      </c>
      <c r="C48" s="1075"/>
      <c r="D48" s="226"/>
      <c r="E48" s="1210">
        <f>C48+D48</f>
        <v>0</v>
      </c>
      <c r="F48" s="1075"/>
      <c r="G48" s="226"/>
      <c r="H48" s="361">
        <f>F48+G48</f>
        <v>0</v>
      </c>
      <c r="I48" s="1075">
        <f>'önállóan működő'!C48+'önállóan működő'!F48+'önállóan működő'!I48+'önállóan működő'!L48+'önállóan működő'!O48+'önállóan gazd.'!C48+'önállóan gazd.'!F48</f>
        <v>0</v>
      </c>
      <c r="J48" s="226">
        <f>'önállóan működő'!D48+'önállóan működő'!G48+'önállóan működő'!J48+'önállóan működő'!M48+'önállóan működő'!P48+'önállóan gazd.'!D48+'önállóan gazd.'!G48</f>
        <v>0</v>
      </c>
      <c r="K48" s="228">
        <f>'önállóan működő'!E48+'önállóan működő'!H48+'önállóan működő'!K48+'önállóan működő'!N48+'önállóan működő'!Q48+'önállóan gazd.'!E48+'önállóan gazd.'!H48</f>
        <v>0</v>
      </c>
      <c r="L48" s="1075"/>
      <c r="M48" s="226"/>
      <c r="N48" s="361">
        <f>L48+M48</f>
        <v>0</v>
      </c>
      <c r="O48" s="1292">
        <f t="shared" si="12"/>
        <v>0</v>
      </c>
      <c r="P48" s="301">
        <f t="shared" si="13"/>
        <v>0</v>
      </c>
      <c r="Q48" s="360">
        <f t="shared" si="14"/>
        <v>0</v>
      </c>
    </row>
    <row r="49" spans="1:17" s="173" customFormat="1" ht="17.25" customHeight="1">
      <c r="A49" s="154" t="s">
        <v>99</v>
      </c>
      <c r="B49" s="334" t="s">
        <v>393</v>
      </c>
      <c r="C49" s="906"/>
      <c r="D49" s="139"/>
      <c r="E49" s="1301">
        <f>C49+D49</f>
        <v>0</v>
      </c>
      <c r="F49" s="906"/>
      <c r="G49" s="139"/>
      <c r="H49" s="433">
        <f>F49+G49</f>
        <v>0</v>
      </c>
      <c r="I49" s="1075">
        <f>'önállóan működő'!C49+'önállóan működő'!F49+'önállóan működő'!I49+'önállóan működő'!L49+'önállóan működő'!O49+'önállóan gazd.'!C49+'önállóan gazd.'!F49</f>
        <v>0</v>
      </c>
      <c r="J49" s="226">
        <f>'önállóan működő'!D49+'önállóan működő'!G49+'önállóan működő'!J49+'önállóan működő'!M49+'önállóan működő'!P49+'önállóan gazd.'!D49+'önállóan gazd.'!G49</f>
        <v>0</v>
      </c>
      <c r="K49" s="228">
        <f>'önállóan működő'!E49+'önállóan működő'!H49+'önállóan működő'!K49+'önállóan működő'!N49+'önállóan működő'!Q49+'önállóan gazd.'!E49+'önállóan gazd.'!H49</f>
        <v>0</v>
      </c>
      <c r="L49" s="906"/>
      <c r="M49" s="139"/>
      <c r="N49" s="433">
        <f>L49+M49</f>
        <v>0</v>
      </c>
      <c r="O49" s="1292">
        <f t="shared" si="12"/>
        <v>0</v>
      </c>
      <c r="P49" s="301">
        <f t="shared" si="13"/>
        <v>0</v>
      </c>
      <c r="Q49" s="360">
        <f t="shared" si="14"/>
        <v>0</v>
      </c>
    </row>
    <row r="50" spans="1:17" s="173" customFormat="1" ht="17.25" customHeight="1" thickBot="1">
      <c r="A50" s="154" t="s">
        <v>100</v>
      </c>
      <c r="B50" s="334" t="s">
        <v>426</v>
      </c>
      <c r="C50" s="906"/>
      <c r="D50" s="139"/>
      <c r="E50" s="1301">
        <f>C50+D50</f>
        <v>0</v>
      </c>
      <c r="F50" s="906"/>
      <c r="G50" s="139"/>
      <c r="H50" s="433">
        <f>F50+G50</f>
        <v>0</v>
      </c>
      <c r="I50" s="1075">
        <f>'önállóan működő'!C50+'önállóan működő'!F50+'önállóan működő'!I50+'önállóan működő'!L50+'önállóan működő'!O50+'önállóan gazd.'!C50+'önállóan gazd.'!F50</f>
        <v>0</v>
      </c>
      <c r="J50" s="226">
        <f>'önállóan működő'!D50+'önállóan működő'!G50+'önállóan működő'!J50+'önállóan működő'!M50+'önállóan működő'!P50+'önállóan gazd.'!D50+'önállóan gazd.'!G50</f>
        <v>0</v>
      </c>
      <c r="K50" s="228">
        <f>'önállóan működő'!E50+'önállóan működő'!H50+'önállóan működő'!K50+'önállóan működő'!N50+'önállóan működő'!Q50+'önállóan gazd.'!E50+'önállóan gazd.'!H50</f>
        <v>0</v>
      </c>
      <c r="L50" s="906"/>
      <c r="M50" s="139"/>
      <c r="N50" s="433">
        <f>L50+M50</f>
        <v>0</v>
      </c>
      <c r="O50" s="1292">
        <f t="shared" si="12"/>
        <v>0</v>
      </c>
      <c r="P50" s="301">
        <f t="shared" si="13"/>
        <v>0</v>
      </c>
      <c r="Q50" s="360">
        <f t="shared" si="14"/>
        <v>0</v>
      </c>
    </row>
    <row r="51" spans="1:17" s="200" customFormat="1" ht="17.25" customHeight="1" thickBot="1">
      <c r="A51" s="313">
        <v>5</v>
      </c>
      <c r="B51" s="305" t="s">
        <v>178</v>
      </c>
      <c r="C51" s="347">
        <f aca="true" t="shared" si="19" ref="C51:N51">SUM(C48:C50)</f>
        <v>0</v>
      </c>
      <c r="D51" s="314">
        <f t="shared" si="19"/>
        <v>0</v>
      </c>
      <c r="E51" s="330">
        <f t="shared" si="19"/>
        <v>0</v>
      </c>
      <c r="F51" s="347">
        <f>SUM(F48:F50)</f>
        <v>0</v>
      </c>
      <c r="G51" s="314">
        <f>SUM(G48:G50)</f>
        <v>0</v>
      </c>
      <c r="H51" s="320">
        <f>SUM(H48:H50)</f>
        <v>0</v>
      </c>
      <c r="I51" s="347">
        <f t="shared" si="19"/>
        <v>0</v>
      </c>
      <c r="J51" s="314">
        <f t="shared" si="19"/>
        <v>0</v>
      </c>
      <c r="K51" s="320">
        <f t="shared" si="19"/>
        <v>0</v>
      </c>
      <c r="L51" s="347">
        <f t="shared" si="19"/>
        <v>0</v>
      </c>
      <c r="M51" s="314">
        <f t="shared" si="19"/>
        <v>0</v>
      </c>
      <c r="N51" s="320">
        <f t="shared" si="19"/>
        <v>0</v>
      </c>
      <c r="O51" s="432">
        <f t="shared" si="12"/>
        <v>0</v>
      </c>
      <c r="P51" s="290">
        <f t="shared" si="13"/>
        <v>0</v>
      </c>
      <c r="Q51" s="288">
        <f t="shared" si="14"/>
        <v>0</v>
      </c>
    </row>
    <row r="52" spans="1:17" s="200" customFormat="1" ht="17.25" customHeight="1" thickBot="1">
      <c r="A52" s="765">
        <v>6</v>
      </c>
      <c r="B52" s="766" t="s">
        <v>295</v>
      </c>
      <c r="C52" s="1084"/>
      <c r="D52" s="339"/>
      <c r="E52" s="1303">
        <f>C52+D52</f>
        <v>0</v>
      </c>
      <c r="F52" s="1084"/>
      <c r="G52" s="339"/>
      <c r="H52" s="289">
        <f>F52+G52</f>
        <v>0</v>
      </c>
      <c r="I52" s="347">
        <f>'önállóan működő'!C52+'önállóan működő'!F52+'önállóan működő'!I52+'önállóan működő'!L52+'önállóan működő'!O52+'önállóan gazd.'!C52+'önállóan gazd.'!F52</f>
        <v>0</v>
      </c>
      <c r="J52" s="314">
        <f>'önállóan működő'!D52+'önállóan működő'!G52+'önállóan működő'!J52+'önállóan működő'!M52+'önállóan működő'!P52+'önállóan gazd.'!D52+'önállóan gazd.'!G52</f>
        <v>0</v>
      </c>
      <c r="K52" s="320">
        <f>'önállóan működő'!E52+'önállóan működő'!H52+'önállóan működő'!K52+'önállóan működő'!N52+'önállóan működő'!Q52+'önállóan gazd.'!E52+'önállóan gazd.'!H52</f>
        <v>0</v>
      </c>
      <c r="L52" s="1084">
        <v>1194</v>
      </c>
      <c r="M52" s="339"/>
      <c r="N52" s="289">
        <f>L52+M52</f>
        <v>1194</v>
      </c>
      <c r="O52" s="432">
        <f t="shared" si="12"/>
        <v>1194</v>
      </c>
      <c r="P52" s="290">
        <f t="shared" si="13"/>
        <v>0</v>
      </c>
      <c r="Q52" s="288">
        <f t="shared" si="14"/>
        <v>1194</v>
      </c>
    </row>
    <row r="53" spans="1:17" s="173" customFormat="1" ht="17.25" customHeight="1">
      <c r="A53" s="137" t="s">
        <v>98</v>
      </c>
      <c r="B53" s="138" t="s">
        <v>395</v>
      </c>
      <c r="C53" s="1079"/>
      <c r="D53" s="140"/>
      <c r="E53" s="1304">
        <f>C53+D53</f>
        <v>0</v>
      </c>
      <c r="F53" s="1079"/>
      <c r="G53" s="140"/>
      <c r="H53" s="439">
        <f>F53+G53</f>
        <v>0</v>
      </c>
      <c r="I53" s="1075">
        <f>'önállóan működő'!C53+'önállóan működő'!F53+'önállóan működő'!I53+'önállóan működő'!L53+'önállóan működő'!O53+'önállóan gazd.'!C53+'önállóan gazd.'!F53</f>
        <v>0</v>
      </c>
      <c r="J53" s="226">
        <f>'önállóan működő'!D53+'önállóan működő'!G53+'önállóan működő'!J53+'önállóan működő'!M53+'önállóan működő'!P53+'önállóan gazd.'!D53+'önállóan gazd.'!G53</f>
        <v>0</v>
      </c>
      <c r="K53" s="228">
        <f>'önállóan működő'!E53+'önállóan működő'!H53+'önállóan működő'!K53+'önállóan működő'!N53+'önállóan működő'!Q53+'önállóan gazd.'!E53+'önállóan gazd.'!H53</f>
        <v>0</v>
      </c>
      <c r="L53" s="1079"/>
      <c r="M53" s="140"/>
      <c r="N53" s="439">
        <f>L53+M53</f>
        <v>0</v>
      </c>
      <c r="O53" s="1292">
        <f t="shared" si="12"/>
        <v>0</v>
      </c>
      <c r="P53" s="301">
        <f t="shared" si="13"/>
        <v>0</v>
      </c>
      <c r="Q53" s="360">
        <f t="shared" si="14"/>
        <v>0</v>
      </c>
    </row>
    <row r="54" spans="1:17" s="173" customFormat="1" ht="17.25" customHeight="1" thickBot="1">
      <c r="A54" s="335" t="s">
        <v>99</v>
      </c>
      <c r="B54" s="142" t="s">
        <v>396</v>
      </c>
      <c r="C54" s="1076"/>
      <c r="D54" s="321"/>
      <c r="E54" s="1210">
        <f>C54+D54</f>
        <v>0</v>
      </c>
      <c r="F54" s="1076"/>
      <c r="G54" s="321"/>
      <c r="H54" s="361">
        <f>F54+G54</f>
        <v>0</v>
      </c>
      <c r="I54" s="1075">
        <f>'önállóan működő'!C54+'önállóan működő'!F54+'önállóan működő'!I54+'önállóan működő'!L54+'önállóan működő'!O54+'önállóan gazd.'!C54+'önállóan gazd.'!F54</f>
        <v>0</v>
      </c>
      <c r="J54" s="226">
        <f>'önállóan működő'!D54+'önállóan működő'!G54+'önállóan működő'!J54+'önállóan működő'!M54+'önállóan működő'!P54+'önállóan gazd.'!D54+'önállóan gazd.'!G54</f>
        <v>0</v>
      </c>
      <c r="K54" s="228">
        <f>'önállóan működő'!E54+'önállóan működő'!H54+'önállóan működő'!K54+'önállóan működő'!N54+'önállóan működő'!Q54+'önállóan gazd.'!E54+'önállóan gazd.'!H54</f>
        <v>0</v>
      </c>
      <c r="L54" s="1076"/>
      <c r="M54" s="321"/>
      <c r="N54" s="361">
        <f>L54+M54</f>
        <v>0</v>
      </c>
      <c r="O54" s="1292">
        <f t="shared" si="12"/>
        <v>0</v>
      </c>
      <c r="P54" s="301">
        <f t="shared" si="13"/>
        <v>0</v>
      </c>
      <c r="Q54" s="360">
        <f t="shared" si="14"/>
        <v>0</v>
      </c>
    </row>
    <row r="55" spans="1:17" s="200" customFormat="1" ht="17.25" customHeight="1" thickBot="1">
      <c r="A55" s="313">
        <v>7</v>
      </c>
      <c r="B55" s="305" t="s">
        <v>181</v>
      </c>
      <c r="C55" s="347">
        <f aca="true" t="shared" si="20" ref="C55:N55">SUM(C53:C54)</f>
        <v>0</v>
      </c>
      <c r="D55" s="314">
        <f t="shared" si="20"/>
        <v>0</v>
      </c>
      <c r="E55" s="330">
        <f t="shared" si="20"/>
        <v>0</v>
      </c>
      <c r="F55" s="347">
        <f>SUM(F53:F54)</f>
        <v>0</v>
      </c>
      <c r="G55" s="314">
        <f>SUM(G53:G54)</f>
        <v>0</v>
      </c>
      <c r="H55" s="320">
        <f>SUM(H53:H54)</f>
        <v>0</v>
      </c>
      <c r="I55" s="347">
        <f>SUM(I53:I54)</f>
        <v>0</v>
      </c>
      <c r="J55" s="314">
        <f t="shared" si="20"/>
        <v>0</v>
      </c>
      <c r="K55" s="320">
        <f t="shared" si="20"/>
        <v>0</v>
      </c>
      <c r="L55" s="1086">
        <f t="shared" si="20"/>
        <v>0</v>
      </c>
      <c r="M55" s="1088">
        <f t="shared" si="20"/>
        <v>0</v>
      </c>
      <c r="N55" s="1090">
        <f t="shared" si="20"/>
        <v>0</v>
      </c>
      <c r="O55" s="432">
        <f t="shared" si="12"/>
        <v>0</v>
      </c>
      <c r="P55" s="290">
        <f t="shared" si="13"/>
        <v>0</v>
      </c>
      <c r="Q55" s="288">
        <f t="shared" si="14"/>
        <v>0</v>
      </c>
    </row>
    <row r="56" spans="1:19" s="173" customFormat="1" ht="17.25" customHeight="1" thickBot="1">
      <c r="A56" s="349">
        <v>8</v>
      </c>
      <c r="B56" s="350" t="s">
        <v>45</v>
      </c>
      <c r="C56" s="1080">
        <f aca="true" t="shared" si="21" ref="C56:N56">C34-C40-C45-C46-C47-C51-C52-C55-C57-C58-C59</f>
        <v>685560</v>
      </c>
      <c r="D56" s="1082">
        <f t="shared" si="21"/>
        <v>-29476</v>
      </c>
      <c r="E56" s="1305">
        <f t="shared" si="21"/>
        <v>656084</v>
      </c>
      <c r="F56" s="1080">
        <f>F34-F40-F45-F46-F47-F51-F52-F55-F57-F58-F59</f>
        <v>345802</v>
      </c>
      <c r="G56" s="1082">
        <f>G34-G40-G45-G46-G47-G51-G52-G55-G57-G58-G59</f>
        <v>1253</v>
      </c>
      <c r="H56" s="1280">
        <f>H34-H40-H45-H46-H47-H51-H52-H55-H57-H58-H59</f>
        <v>347055</v>
      </c>
      <c r="I56" s="1080">
        <f t="shared" si="21"/>
        <v>3970904</v>
      </c>
      <c r="J56" s="1082">
        <f t="shared" si="21"/>
        <v>-25736</v>
      </c>
      <c r="K56" s="1280">
        <f t="shared" si="21"/>
        <v>3945168</v>
      </c>
      <c r="L56" s="1087">
        <f t="shared" si="21"/>
        <v>1561643</v>
      </c>
      <c r="M56" s="1089">
        <f t="shared" si="21"/>
        <v>-11165</v>
      </c>
      <c r="N56" s="783">
        <f t="shared" si="21"/>
        <v>1550478</v>
      </c>
      <c r="O56" s="1279">
        <f>O34-O40-O45-O46-O47-O51-O52-O55-O57-O58-O59</f>
        <v>5532547</v>
      </c>
      <c r="P56" s="1089">
        <f>P34-P40-P45-P46-P47-P51-P52-P55-P57-P58-P59</f>
        <v>-36901</v>
      </c>
      <c r="Q56" s="783">
        <f>Q34-Q40-Q45-Q46-Q47-Q51-Q52-Q55-Q57-Q58-Q59</f>
        <v>5495646</v>
      </c>
      <c r="R56" s="176"/>
      <c r="S56" s="177">
        <f>SUM(I56:J56)</f>
        <v>3945168</v>
      </c>
    </row>
    <row r="57" spans="1:17" s="200" customFormat="1" ht="17.25" customHeight="1">
      <c r="A57" s="336" t="s">
        <v>398</v>
      </c>
      <c r="B57" s="337" t="s">
        <v>184</v>
      </c>
      <c r="C57" s="1081">
        <v>4066</v>
      </c>
      <c r="D57" s="327"/>
      <c r="E57" s="1306">
        <f>SUM(C57:D57)</f>
        <v>4066</v>
      </c>
      <c r="F57" s="1081">
        <v>469</v>
      </c>
      <c r="G57" s="327"/>
      <c r="H57" s="440">
        <f>SUM(F57:G57)</f>
        <v>469</v>
      </c>
      <c r="I57" s="1282">
        <f>'önállóan működő'!C57+'önállóan működő'!F57+'önállóan működő'!I57+'önállóan működő'!L57+'önállóan működő'!O57+'önállóan gazd.'!C57+'önállóan gazd.'!F57</f>
        <v>7396</v>
      </c>
      <c r="J57" s="1283">
        <f>'önállóan működő'!D57+'önállóan működő'!G57+'önállóan működő'!J57+'önállóan működő'!M57+'önállóan működő'!P57+'önállóan gazd.'!D57+'önállóan gazd.'!G57</f>
        <v>0</v>
      </c>
      <c r="K57" s="1284">
        <f>'önállóan működő'!E57+'önállóan működő'!H57+'önállóan működő'!K57+'önállóan működő'!N57+'önállóan működő'!Q57+'önállóan gazd.'!E57+'önállóan gazd.'!H57</f>
        <v>7396</v>
      </c>
      <c r="L57" s="1282">
        <v>3469</v>
      </c>
      <c r="M57" s="1283"/>
      <c r="N57" s="805">
        <f>SUM(L57:M57)</f>
        <v>3469</v>
      </c>
      <c r="O57" s="1295">
        <f aca="true" t="shared" si="22" ref="O57:Q59">I57+L57</f>
        <v>10865</v>
      </c>
      <c r="P57" s="1165">
        <f t="shared" si="22"/>
        <v>0</v>
      </c>
      <c r="Q57" s="805">
        <f t="shared" si="22"/>
        <v>10865</v>
      </c>
    </row>
    <row r="58" spans="1:17" s="200" customFormat="1" ht="17.25" customHeight="1">
      <c r="A58" s="336" t="s">
        <v>183</v>
      </c>
      <c r="B58" s="337" t="s">
        <v>397</v>
      </c>
      <c r="C58" s="1081"/>
      <c r="D58" s="327"/>
      <c r="E58" s="1303">
        <f>SUM(C58:D58)</f>
        <v>0</v>
      </c>
      <c r="F58" s="1081"/>
      <c r="G58" s="327"/>
      <c r="H58" s="289">
        <f>SUM(F58:G58)</f>
        <v>0</v>
      </c>
      <c r="I58" s="1081">
        <f>'önállóan működő'!C58+'önállóan működő'!F58+'önállóan működő'!I58+'önállóan működő'!L58+'önállóan működő'!O58+'önállóan gazd.'!C58+'önállóan gazd.'!F58</f>
        <v>0</v>
      </c>
      <c r="J58" s="327">
        <f>'önállóan működő'!D58+'önállóan működő'!G58+'önállóan működő'!J58+'önállóan működő'!M58+'önállóan működő'!P58+'önállóan gazd.'!D58+'önállóan gazd.'!G58</f>
        <v>0</v>
      </c>
      <c r="K58" s="1110">
        <f>'önállóan működő'!E58+'önállóan működő'!H58+'önállóan működő'!K58+'önállóan működő'!N58+'önállóan működő'!Q58+'önállóan gazd.'!E58+'önállóan gazd.'!H58</f>
        <v>0</v>
      </c>
      <c r="L58" s="1081"/>
      <c r="M58" s="327"/>
      <c r="N58" s="440">
        <f>SUM(L58:M58)</f>
        <v>0</v>
      </c>
      <c r="O58" s="1296">
        <f t="shared" si="22"/>
        <v>0</v>
      </c>
      <c r="P58" s="292">
        <f t="shared" si="22"/>
        <v>0</v>
      </c>
      <c r="Q58" s="440">
        <f t="shared" si="22"/>
        <v>0</v>
      </c>
    </row>
    <row r="59" spans="1:17" s="200" customFormat="1" ht="17.25" customHeight="1" thickBot="1">
      <c r="A59" s="351">
        <v>10</v>
      </c>
      <c r="B59" s="352"/>
      <c r="C59" s="353"/>
      <c r="D59" s="354"/>
      <c r="E59" s="1307">
        <f>SUM(C59:D59)</f>
        <v>0</v>
      </c>
      <c r="F59" s="353"/>
      <c r="G59" s="354"/>
      <c r="H59" s="355">
        <f>SUM(F59:G59)</f>
        <v>0</v>
      </c>
      <c r="I59" s="1146">
        <f>'önállóan működő'!C59+'önállóan működő'!F59+'önállóan működő'!I59+'önállóan működő'!L59+'önállóan működő'!O59+'önállóan gazd.'!C59+'önállóan gazd.'!F59</f>
        <v>0</v>
      </c>
      <c r="J59" s="354">
        <f>'önállóan működő'!D59+'önállóan működő'!G59+'önállóan működő'!J59+'önállóan működő'!M59+'önállóan működő'!P59+'önállóan gazd.'!D59+'önállóan gazd.'!G59</f>
        <v>0</v>
      </c>
      <c r="K59" s="1288">
        <f>'önállóan működő'!E59+'önállóan működő'!H59+'önállóan működő'!K59+'önállóan működő'!N59+'önállóan működő'!Q59+'önállóan gazd.'!E59+'önállóan gazd.'!H59</f>
        <v>0</v>
      </c>
      <c r="L59" s="353"/>
      <c r="M59" s="354"/>
      <c r="N59" s="355">
        <f>SUM(L59:M59)</f>
        <v>0</v>
      </c>
      <c r="O59" s="445">
        <f t="shared" si="22"/>
        <v>0</v>
      </c>
      <c r="P59" s="1289">
        <f t="shared" si="22"/>
        <v>0</v>
      </c>
      <c r="Q59" s="446">
        <f t="shared" si="22"/>
        <v>0</v>
      </c>
    </row>
    <row r="60" spans="1:17" s="152" customFormat="1" ht="17.25" customHeight="1" thickBot="1" thickTop="1">
      <c r="A60" s="343" t="s">
        <v>109</v>
      </c>
      <c r="B60" s="345" t="s">
        <v>182</v>
      </c>
      <c r="C60" s="364">
        <f aca="true" t="shared" si="23" ref="C60:N60">C40+C45+C46+C47+C51+C52+C55+C56+C57+C58+C59</f>
        <v>932632</v>
      </c>
      <c r="D60" s="344">
        <f t="shared" si="23"/>
        <v>17313</v>
      </c>
      <c r="E60" s="778">
        <f t="shared" si="23"/>
        <v>949945</v>
      </c>
      <c r="F60" s="364">
        <f>F40+F45+F46+F47+F51+F52+F55+F56+F57+F58+F59</f>
        <v>456415</v>
      </c>
      <c r="G60" s="344">
        <f>G40+G45+G46+G47+G51+G52+G55+G56+G57+G58+G59</f>
        <v>1253</v>
      </c>
      <c r="H60" s="374">
        <f>H40+H45+H46+H47+H51+H52+H55+H56+H57+H58+H59</f>
        <v>457668</v>
      </c>
      <c r="I60" s="1278">
        <f t="shared" si="23"/>
        <v>4461519</v>
      </c>
      <c r="J60" s="344">
        <f t="shared" si="23"/>
        <v>37060</v>
      </c>
      <c r="K60" s="374">
        <f t="shared" si="23"/>
        <v>4498579</v>
      </c>
      <c r="L60" s="364">
        <f t="shared" si="23"/>
        <v>1582005</v>
      </c>
      <c r="M60" s="344">
        <f t="shared" si="23"/>
        <v>490</v>
      </c>
      <c r="N60" s="374">
        <f t="shared" si="23"/>
        <v>1582495</v>
      </c>
      <c r="O60" s="778">
        <f>O40+O45+O46+O47+O51+O52+O55+O56+O57+O58+O59</f>
        <v>6043524</v>
      </c>
      <c r="P60" s="780">
        <f>P40+P45+P46+P47+P51+P52+P55+P56+P57+P58+P59</f>
        <v>37550</v>
      </c>
      <c r="Q60" s="374">
        <f>Q40+Q45+Q46+Q47+Q51+Q52+Q55+Q56+Q57+Q58+Q59</f>
        <v>6081074</v>
      </c>
    </row>
    <row r="61" spans="1:17" s="88" customFormat="1" ht="13.5" customHeight="1" thickBot="1" thickTop="1">
      <c r="A61" s="163"/>
      <c r="B61" s="164"/>
      <c r="C61" s="165"/>
      <c r="D61" s="165"/>
      <c r="E61" s="166"/>
      <c r="F61" s="165"/>
      <c r="G61" s="165"/>
      <c r="H61" s="166"/>
      <c r="I61" s="165"/>
      <c r="J61" s="165"/>
      <c r="K61" s="166"/>
      <c r="L61" s="165"/>
      <c r="M61" s="165"/>
      <c r="N61" s="166"/>
      <c r="O61" s="165"/>
      <c r="P61" s="165"/>
      <c r="Q61" s="166"/>
    </row>
    <row r="62" spans="1:17" s="173" customFormat="1" ht="17.25" customHeight="1" thickBot="1" thickTop="1">
      <c r="A62" s="167"/>
      <c r="B62" s="168" t="s">
        <v>579</v>
      </c>
      <c r="C62" s="169">
        <v>63.5</v>
      </c>
      <c r="D62" s="170"/>
      <c r="E62" s="171">
        <f>C62+D62</f>
        <v>63.5</v>
      </c>
      <c r="F62" s="169">
        <v>27.75</v>
      </c>
      <c r="G62" s="170"/>
      <c r="H62" s="171">
        <f>F62+G62</f>
        <v>27.75</v>
      </c>
      <c r="I62" s="1281">
        <f>'önállóan működő'!C62+'önállóan működő'!F62+'önállóan működő'!I62+'önállóan működő'!L62+'önállóan működő'!O62+'önállóan gazd.'!C62+'önállóan gazd.'!F62</f>
        <v>630</v>
      </c>
      <c r="J62" s="197">
        <f>'önállóan működő'!D62+'önállóan működő'!G62+'önállóan működő'!J62+'önállóan működő'!M62+'önállóan működő'!P62+'önállóan gazd.'!D62+'önállóan gazd.'!G62</f>
        <v>0</v>
      </c>
      <c r="K62" s="938">
        <f>'önállóan működő'!E62+'önállóan működő'!H62+'önállóan működő'!K62+'önállóan működő'!N62+'önállóan működő'!Q62+'önállóan gazd.'!E62+'önállóan gazd.'!H62</f>
        <v>630</v>
      </c>
      <c r="L62" s="169">
        <v>184</v>
      </c>
      <c r="M62" s="170"/>
      <c r="N62" s="171">
        <f>L62+M62</f>
        <v>184</v>
      </c>
      <c r="O62" s="196">
        <f aca="true" t="shared" si="24" ref="O62:Q63">I62+L62</f>
        <v>814</v>
      </c>
      <c r="P62" s="197">
        <f t="shared" si="24"/>
        <v>0</v>
      </c>
      <c r="Q62" s="198">
        <f t="shared" si="24"/>
        <v>814</v>
      </c>
    </row>
    <row r="63" spans="1:17" s="173" customFormat="1" ht="17.25" customHeight="1" thickBot="1" thickTop="1">
      <c r="A63" s="167"/>
      <c r="B63" s="168" t="s">
        <v>580</v>
      </c>
      <c r="C63" s="169">
        <v>0</v>
      </c>
      <c r="D63" s="170"/>
      <c r="E63" s="171">
        <f>C63+D63</f>
        <v>0</v>
      </c>
      <c r="F63" s="169">
        <v>0</v>
      </c>
      <c r="G63" s="170"/>
      <c r="H63" s="171">
        <f>F63+G63</f>
        <v>0</v>
      </c>
      <c r="I63" s="1281">
        <f>'önállóan működő'!C63+'önállóan működő'!F63+'önállóan működő'!I63+'önállóan működő'!L63+'önállóan működő'!O63+'önállóan gazd.'!C63+'önállóan gazd.'!F63</f>
        <v>0</v>
      </c>
      <c r="J63" s="197">
        <f>'önállóan működő'!D63+'önállóan működő'!G63+'önállóan működő'!J63+'önállóan működő'!M63+'önállóan működő'!P63+'önállóan gazd.'!D63+'önállóan gazd.'!G63</f>
        <v>0</v>
      </c>
      <c r="K63" s="938">
        <f>'önállóan működő'!E63+'önállóan működő'!H63+'önállóan működő'!K63+'önállóan működő'!N63+'önállóan működő'!Q63+'önállóan gazd.'!E63+'önállóan gazd.'!H63</f>
        <v>0</v>
      </c>
      <c r="L63" s="169">
        <v>0</v>
      </c>
      <c r="M63" s="170"/>
      <c r="N63" s="171">
        <f>L63+M63</f>
        <v>0</v>
      </c>
      <c r="O63" s="196">
        <f t="shared" si="24"/>
        <v>0</v>
      </c>
      <c r="P63" s="197">
        <f t="shared" si="24"/>
        <v>0</v>
      </c>
      <c r="Q63" s="198">
        <f t="shared" si="24"/>
        <v>0</v>
      </c>
    </row>
    <row r="64" ht="16.5" thickTop="1">
      <c r="A64" s="418"/>
    </row>
  </sheetData>
  <sheetProtection/>
  <mergeCells count="5"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5" r:id="rId1"/>
  <headerFooter alignWithMargins="0">
    <oddFooter>&amp;L&amp;F&amp;C&amp;D, 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I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1106" customWidth="1"/>
    <col min="2" max="2" width="78.375" style="760" customWidth="1"/>
    <col min="3" max="14" width="14.875" style="760" customWidth="1"/>
    <col min="15" max="17" width="14.875" style="764" customWidth="1"/>
    <col min="18" max="16384" width="9.375" style="762" customWidth="1"/>
  </cols>
  <sheetData>
    <row r="1" spans="1:17" s="2" customFormat="1" ht="10.5" customHeight="1">
      <c r="A1" s="303"/>
      <c r="B1" s="304"/>
      <c r="C1" s="304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943"/>
      <c r="O1" s="400"/>
      <c r="P1" s="400"/>
      <c r="Q1" s="892" t="s">
        <v>914</v>
      </c>
    </row>
    <row r="2" spans="1:17" s="2" customFormat="1" ht="10.5" customHeight="1">
      <c r="A2" s="303"/>
      <c r="B2" s="304"/>
      <c r="C2" s="304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943"/>
      <c r="O2" s="400"/>
      <c r="P2" s="400"/>
      <c r="Q2" s="892" t="s">
        <v>93</v>
      </c>
    </row>
    <row r="3" spans="1:17" s="2" customFormat="1" ht="15.75">
      <c r="A3" s="303"/>
      <c r="B3" s="304"/>
      <c r="C3" s="304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943"/>
      <c r="O3" s="400"/>
      <c r="P3" s="400"/>
      <c r="Q3" s="892" t="s">
        <v>123</v>
      </c>
    </row>
    <row r="4" spans="1:17" s="3" customFormat="1" ht="20.25">
      <c r="A4" s="1936" t="s">
        <v>648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</row>
    <row r="5" spans="1:17" s="4" customFormat="1" ht="18.75">
      <c r="A5" s="1937" t="s">
        <v>562</v>
      </c>
      <c r="B5" s="1937"/>
      <c r="C5" s="1937"/>
      <c r="D5" s="1937"/>
      <c r="E5" s="1937"/>
      <c r="F5" s="1937"/>
      <c r="G5" s="1937"/>
      <c r="H5" s="1937"/>
      <c r="I5" s="1937"/>
      <c r="J5" s="1937"/>
      <c r="K5" s="1937"/>
      <c r="L5" s="1937"/>
      <c r="M5" s="1937"/>
      <c r="N5" s="1937"/>
      <c r="O5" s="1937"/>
      <c r="P5" s="1937"/>
      <c r="Q5" s="1937"/>
    </row>
    <row r="6" spans="1:62" s="2" customFormat="1" ht="16.5" customHeight="1" thickBot="1">
      <c r="A6" s="303"/>
      <c r="B6" s="304"/>
      <c r="C6" s="304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896"/>
      <c r="O6" s="896"/>
      <c r="P6" s="896"/>
      <c r="Q6" s="896" t="s">
        <v>134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</row>
    <row r="7" spans="1:17" s="57" customFormat="1" ht="18">
      <c r="A7" s="230" t="s">
        <v>124</v>
      </c>
      <c r="B7" s="87" t="s">
        <v>125</v>
      </c>
      <c r="C7" s="1938" t="s">
        <v>354</v>
      </c>
      <c r="D7" s="1939"/>
      <c r="E7" s="1939"/>
      <c r="F7" s="1938" t="s">
        <v>51</v>
      </c>
      <c r="G7" s="1939"/>
      <c r="H7" s="1940"/>
      <c r="I7" s="1922" t="s">
        <v>135</v>
      </c>
      <c r="J7" s="1923"/>
      <c r="K7" s="1924"/>
      <c r="L7" s="1922" t="s">
        <v>136</v>
      </c>
      <c r="M7" s="1923"/>
      <c r="N7" s="1924"/>
      <c r="O7" s="1933" t="s">
        <v>59</v>
      </c>
      <c r="P7" s="1934"/>
      <c r="Q7" s="1935"/>
    </row>
    <row r="8" spans="1:17" s="57" customFormat="1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58" customFormat="1" ht="13.5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2">
        <v>6</v>
      </c>
      <c r="G9" s="422">
        <v>7</v>
      </c>
      <c r="H9" s="422">
        <v>8</v>
      </c>
      <c r="I9" s="421">
        <v>9</v>
      </c>
      <c r="J9" s="422">
        <v>10</v>
      </c>
      <c r="K9" s="424">
        <v>11</v>
      </c>
      <c r="L9" s="422">
        <v>12</v>
      </c>
      <c r="M9" s="422">
        <v>13</v>
      </c>
      <c r="N9" s="424">
        <v>14</v>
      </c>
      <c r="O9" s="422">
        <v>15</v>
      </c>
      <c r="P9" s="422">
        <v>16</v>
      </c>
      <c r="Q9" s="424">
        <v>17</v>
      </c>
    </row>
    <row r="10" spans="1:17" s="59" customFormat="1" ht="16.5" thickBot="1">
      <c r="A10" s="380"/>
      <c r="B10" s="346" t="s">
        <v>129</v>
      </c>
      <c r="C10" s="1100"/>
      <c r="D10" s="1101"/>
      <c r="E10" s="1102"/>
      <c r="F10" s="1103"/>
      <c r="G10" s="1104"/>
      <c r="H10" s="1102"/>
      <c r="I10" s="1103"/>
      <c r="J10" s="1104"/>
      <c r="K10" s="1102"/>
      <c r="L10" s="1105"/>
      <c r="M10" s="1114"/>
      <c r="N10" s="1113"/>
      <c r="O10" s="1105"/>
      <c r="P10" s="1114"/>
      <c r="Q10" s="1115"/>
    </row>
    <row r="11" spans="1:17" s="59" customFormat="1" ht="15" customHeight="1" thickBot="1">
      <c r="A11" s="313">
        <v>1</v>
      </c>
      <c r="B11" s="305" t="s">
        <v>113</v>
      </c>
      <c r="C11" s="314">
        <v>79250</v>
      </c>
      <c r="D11" s="314"/>
      <c r="E11" s="358">
        <f>SUM(C11:D11)</f>
        <v>79250</v>
      </c>
      <c r="F11" s="314">
        <v>78163</v>
      </c>
      <c r="G11" s="314"/>
      <c r="H11" s="358">
        <f>SUM(F11:G11)</f>
        <v>78163</v>
      </c>
      <c r="I11" s="314">
        <v>9544</v>
      </c>
      <c r="J11" s="314">
        <v>-511</v>
      </c>
      <c r="K11" s="358">
        <f aca="true" t="shared" si="0" ref="K11:K16">SUM(I11:J11)</f>
        <v>9033</v>
      </c>
      <c r="L11" s="314">
        <v>27424</v>
      </c>
      <c r="M11" s="314">
        <v>450</v>
      </c>
      <c r="N11" s="318">
        <f aca="true" t="shared" si="1" ref="N11:N16">SUM(L11:M11)</f>
        <v>27874</v>
      </c>
      <c r="O11" s="1129">
        <v>9126</v>
      </c>
      <c r="P11" s="387">
        <v>4125</v>
      </c>
      <c r="Q11" s="1117">
        <f aca="true" t="shared" si="2" ref="Q11:Q16">SUM(O11:P11)</f>
        <v>13251</v>
      </c>
    </row>
    <row r="12" spans="1:17" s="59" customFormat="1" ht="16.5" thickBot="1">
      <c r="A12" s="317">
        <v>2</v>
      </c>
      <c r="B12" s="305" t="s">
        <v>202</v>
      </c>
      <c r="C12" s="316">
        <v>16479</v>
      </c>
      <c r="D12" s="314"/>
      <c r="E12" s="358">
        <f>SUM(C12:D12)</f>
        <v>16479</v>
      </c>
      <c r="F12" s="316">
        <v>16044</v>
      </c>
      <c r="G12" s="314"/>
      <c r="H12" s="358">
        <f>SUM(F12:G12)</f>
        <v>16044</v>
      </c>
      <c r="I12" s="316">
        <v>2879</v>
      </c>
      <c r="J12" s="314">
        <v>58</v>
      </c>
      <c r="K12" s="358">
        <f t="shared" si="0"/>
        <v>2937</v>
      </c>
      <c r="L12" s="316">
        <v>15152</v>
      </c>
      <c r="M12" s="314">
        <v>44</v>
      </c>
      <c r="N12" s="358">
        <f t="shared" si="1"/>
        <v>15196</v>
      </c>
      <c r="O12" s="1129">
        <v>4076</v>
      </c>
      <c r="P12" s="387">
        <v>814</v>
      </c>
      <c r="Q12" s="1117">
        <f t="shared" si="2"/>
        <v>4890</v>
      </c>
    </row>
    <row r="13" spans="1:17" s="63" customFormat="1" ht="16.5" thickBot="1">
      <c r="A13" s="317">
        <v>3</v>
      </c>
      <c r="B13" s="305" t="s">
        <v>116</v>
      </c>
      <c r="C13" s="316">
        <v>510192</v>
      </c>
      <c r="D13" s="314">
        <v>11784</v>
      </c>
      <c r="E13" s="358">
        <f>SUM(C13:D13)</f>
        <v>521976</v>
      </c>
      <c r="F13" s="314">
        <v>2550</v>
      </c>
      <c r="G13" s="314"/>
      <c r="H13" s="358">
        <f>SUM(F13:G13)</f>
        <v>2550</v>
      </c>
      <c r="I13" s="314">
        <v>16825</v>
      </c>
      <c r="J13" s="314">
        <v>-977</v>
      </c>
      <c r="K13" s="358">
        <f t="shared" si="0"/>
        <v>15848</v>
      </c>
      <c r="L13" s="314">
        <v>119750</v>
      </c>
      <c r="M13" s="314">
        <v>-3597</v>
      </c>
      <c r="N13" s="318">
        <f t="shared" si="1"/>
        <v>116153</v>
      </c>
      <c r="O13" s="1129">
        <v>113024</v>
      </c>
      <c r="P13" s="387">
        <v>-4539</v>
      </c>
      <c r="Q13" s="1117">
        <f t="shared" si="2"/>
        <v>108485</v>
      </c>
    </row>
    <row r="14" spans="1:17" s="63" customFormat="1" ht="16.5" thickBot="1">
      <c r="A14" s="317">
        <v>4</v>
      </c>
      <c r="B14" s="305" t="s">
        <v>172</v>
      </c>
      <c r="C14" s="316"/>
      <c r="D14" s="316"/>
      <c r="E14" s="320">
        <f>SUM(C14:D14)</f>
        <v>0</v>
      </c>
      <c r="F14" s="316"/>
      <c r="G14" s="316"/>
      <c r="H14" s="320">
        <f>SUM(F14:G14)</f>
        <v>0</v>
      </c>
      <c r="I14" s="316"/>
      <c r="J14" s="316"/>
      <c r="K14" s="320">
        <f t="shared" si="0"/>
        <v>0</v>
      </c>
      <c r="L14" s="316"/>
      <c r="M14" s="316"/>
      <c r="N14" s="320">
        <f t="shared" si="1"/>
        <v>0</v>
      </c>
      <c r="O14" s="347"/>
      <c r="P14" s="314"/>
      <c r="Q14" s="320">
        <f t="shared" si="2"/>
        <v>0</v>
      </c>
    </row>
    <row r="15" spans="1:17" s="59" customFormat="1" ht="15.75">
      <c r="A15" s="156" t="s">
        <v>98</v>
      </c>
      <c r="B15" s="145" t="s">
        <v>383</v>
      </c>
      <c r="C15" s="226">
        <v>157855</v>
      </c>
      <c r="D15" s="226"/>
      <c r="E15" s="389">
        <f>C15+D15</f>
        <v>157855</v>
      </c>
      <c r="F15" s="226"/>
      <c r="G15" s="226"/>
      <c r="H15" s="389">
        <f>F15+G15</f>
        <v>0</v>
      </c>
      <c r="I15" s="226"/>
      <c r="J15" s="226"/>
      <c r="K15" s="389">
        <f t="shared" si="0"/>
        <v>0</v>
      </c>
      <c r="L15" s="226"/>
      <c r="M15" s="226"/>
      <c r="N15" s="306">
        <f t="shared" si="1"/>
        <v>0</v>
      </c>
      <c r="O15" s="1127"/>
      <c r="P15" s="390"/>
      <c r="Q15" s="1116">
        <f t="shared" si="2"/>
        <v>0</v>
      </c>
    </row>
    <row r="16" spans="1:17" s="59" customFormat="1" ht="15.75">
      <c r="A16" s="153" t="s">
        <v>99</v>
      </c>
      <c r="B16" s="149" t="s">
        <v>626</v>
      </c>
      <c r="C16" s="307"/>
      <c r="D16" s="139"/>
      <c r="E16" s="228">
        <f>C16+D16</f>
        <v>0</v>
      </c>
      <c r="F16" s="139"/>
      <c r="G16" s="139"/>
      <c r="H16" s="389">
        <f>F16+G16</f>
        <v>0</v>
      </c>
      <c r="I16" s="139"/>
      <c r="J16" s="139"/>
      <c r="K16" s="389">
        <f t="shared" si="0"/>
        <v>0</v>
      </c>
      <c r="L16" s="139"/>
      <c r="M16" s="139"/>
      <c r="N16" s="306">
        <f t="shared" si="1"/>
        <v>0</v>
      </c>
      <c r="O16" s="1126"/>
      <c r="P16" s="392"/>
      <c r="Q16" s="1116">
        <f t="shared" si="2"/>
        <v>0</v>
      </c>
    </row>
    <row r="17" spans="1:17" s="59" customFormat="1" ht="15.75">
      <c r="A17" s="153" t="s">
        <v>100</v>
      </c>
      <c r="B17" s="149" t="s">
        <v>627</v>
      </c>
      <c r="C17" s="307"/>
      <c r="D17" s="139"/>
      <c r="E17" s="228">
        <f aca="true" t="shared" si="3" ref="E17:E22">C17+D17</f>
        <v>0</v>
      </c>
      <c r="F17" s="139"/>
      <c r="G17" s="139"/>
      <c r="H17" s="389">
        <f aca="true" t="shared" si="4" ref="H17:H22">F17+G17</f>
        <v>0</v>
      </c>
      <c r="I17" s="139"/>
      <c r="J17" s="139"/>
      <c r="K17" s="389">
        <f aca="true" t="shared" si="5" ref="K17:K22">SUM(I17:J17)</f>
        <v>0</v>
      </c>
      <c r="L17" s="139"/>
      <c r="M17" s="139"/>
      <c r="N17" s="306">
        <f aca="true" t="shared" si="6" ref="N17:N22">SUM(L17:M17)</f>
        <v>0</v>
      </c>
      <c r="O17" s="1126"/>
      <c r="P17" s="392"/>
      <c r="Q17" s="1116">
        <f aca="true" t="shared" si="7" ref="Q17:Q22">SUM(O17:P17)</f>
        <v>0</v>
      </c>
    </row>
    <row r="18" spans="1:87" s="2" customFormat="1" ht="15.75">
      <c r="A18" s="153" t="s">
        <v>101</v>
      </c>
      <c r="B18" s="149" t="s">
        <v>384</v>
      </c>
      <c r="C18" s="906">
        <v>5270</v>
      </c>
      <c r="D18" s="139"/>
      <c r="E18" s="228">
        <f t="shared" si="3"/>
        <v>5270</v>
      </c>
      <c r="F18" s="307"/>
      <c r="G18" s="139"/>
      <c r="H18" s="228">
        <f t="shared" si="4"/>
        <v>0</v>
      </c>
      <c r="I18" s="139">
        <v>17642</v>
      </c>
      <c r="J18" s="139"/>
      <c r="K18" s="389">
        <f t="shared" si="5"/>
        <v>17642</v>
      </c>
      <c r="L18" s="139">
        <v>650</v>
      </c>
      <c r="M18" s="139"/>
      <c r="N18" s="306">
        <f t="shared" si="6"/>
        <v>650</v>
      </c>
      <c r="O18" s="1126"/>
      <c r="P18" s="392"/>
      <c r="Q18" s="1116">
        <f t="shared" si="7"/>
        <v>0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</row>
    <row r="19" spans="1:17" s="59" customFormat="1" ht="15.75">
      <c r="A19" s="148" t="s">
        <v>192</v>
      </c>
      <c r="B19" s="149" t="s">
        <v>628</v>
      </c>
      <c r="C19" s="885"/>
      <c r="D19" s="139"/>
      <c r="E19" s="228">
        <f>C19+D19</f>
        <v>0</v>
      </c>
      <c r="F19" s="307"/>
      <c r="G19" s="139"/>
      <c r="H19" s="228">
        <f>F19+G19</f>
        <v>0</v>
      </c>
      <c r="I19" s="307"/>
      <c r="J19" s="139"/>
      <c r="K19" s="228">
        <f>SUM(I19:J19)</f>
        <v>0</v>
      </c>
      <c r="L19" s="139"/>
      <c r="M19" s="139"/>
      <c r="N19" s="306">
        <f>SUM(L19:M19)</f>
        <v>0</v>
      </c>
      <c r="O19" s="1126"/>
      <c r="P19" s="392"/>
      <c r="Q19" s="1116">
        <f>SUM(O19:P19)</f>
        <v>0</v>
      </c>
    </row>
    <row r="20" spans="1:17" s="59" customFormat="1" ht="15.75">
      <c r="A20" s="148" t="s">
        <v>339</v>
      </c>
      <c r="B20" s="149" t="s">
        <v>629</v>
      </c>
      <c r="C20" s="885"/>
      <c r="D20" s="139"/>
      <c r="E20" s="228">
        <f t="shared" si="3"/>
        <v>0</v>
      </c>
      <c r="F20" s="307"/>
      <c r="G20" s="139"/>
      <c r="H20" s="228">
        <f t="shared" si="4"/>
        <v>0</v>
      </c>
      <c r="I20" s="307"/>
      <c r="J20" s="139"/>
      <c r="K20" s="228">
        <f t="shared" si="5"/>
        <v>0</v>
      </c>
      <c r="L20" s="307"/>
      <c r="M20" s="139"/>
      <c r="N20" s="887">
        <f t="shared" si="6"/>
        <v>0</v>
      </c>
      <c r="O20" s="1126"/>
      <c r="P20" s="392"/>
      <c r="Q20" s="1116">
        <f t="shared" si="7"/>
        <v>0</v>
      </c>
    </row>
    <row r="21" spans="1:17" s="59" customFormat="1" ht="15.75">
      <c r="A21" s="146" t="s">
        <v>340</v>
      </c>
      <c r="B21" s="149" t="s">
        <v>385</v>
      </c>
      <c r="C21" s="887"/>
      <c r="D21" s="226"/>
      <c r="E21" s="228">
        <f>C21+D21</f>
        <v>0</v>
      </c>
      <c r="F21" s="306"/>
      <c r="G21" s="226"/>
      <c r="H21" s="228">
        <f t="shared" si="4"/>
        <v>0</v>
      </c>
      <c r="I21" s="306">
        <v>78164</v>
      </c>
      <c r="J21" s="226">
        <v>-5499</v>
      </c>
      <c r="K21" s="228">
        <f t="shared" si="5"/>
        <v>72665</v>
      </c>
      <c r="L21" s="306">
        <v>37880</v>
      </c>
      <c r="M21" s="226">
        <v>1450</v>
      </c>
      <c r="N21" s="887">
        <f t="shared" si="6"/>
        <v>39330</v>
      </c>
      <c r="O21" s="1127"/>
      <c r="P21" s="390"/>
      <c r="Q21" s="1116">
        <f t="shared" si="7"/>
        <v>0</v>
      </c>
    </row>
    <row r="22" spans="1:17" s="59" customFormat="1" ht="15" customHeight="1" thickBot="1">
      <c r="A22" s="16" t="s">
        <v>69</v>
      </c>
      <c r="B22" s="334" t="s">
        <v>386</v>
      </c>
      <c r="C22" s="886"/>
      <c r="D22" s="151"/>
      <c r="E22" s="228">
        <f t="shared" si="3"/>
        <v>0</v>
      </c>
      <c r="F22" s="308"/>
      <c r="G22" s="151"/>
      <c r="H22" s="228">
        <f t="shared" si="4"/>
        <v>0</v>
      </c>
      <c r="I22" s="1143"/>
      <c r="J22" s="393"/>
      <c r="K22" s="1116">
        <f t="shared" si="5"/>
        <v>0</v>
      </c>
      <c r="L22" s="308"/>
      <c r="M22" s="151"/>
      <c r="N22" s="887">
        <f t="shared" si="6"/>
        <v>0</v>
      </c>
      <c r="O22" s="1128"/>
      <c r="P22" s="393"/>
      <c r="Q22" s="1116">
        <f t="shared" si="7"/>
        <v>0</v>
      </c>
    </row>
    <row r="23" spans="1:17" s="63" customFormat="1" ht="16.5" thickBot="1">
      <c r="A23" s="317">
        <v>5</v>
      </c>
      <c r="B23" s="305" t="s">
        <v>171</v>
      </c>
      <c r="C23" s="347">
        <f aca="true" t="shared" si="8" ref="C23:Q23">SUM(C15:C22)</f>
        <v>163125</v>
      </c>
      <c r="D23" s="314">
        <f t="shared" si="8"/>
        <v>0</v>
      </c>
      <c r="E23" s="320">
        <f t="shared" si="8"/>
        <v>163125</v>
      </c>
      <c r="F23" s="330">
        <f t="shared" si="8"/>
        <v>0</v>
      </c>
      <c r="G23" s="314">
        <f t="shared" si="8"/>
        <v>0</v>
      </c>
      <c r="H23" s="330">
        <f t="shared" si="8"/>
        <v>0</v>
      </c>
      <c r="I23" s="347">
        <f t="shared" si="8"/>
        <v>95806</v>
      </c>
      <c r="J23" s="314">
        <f t="shared" si="8"/>
        <v>-5499</v>
      </c>
      <c r="K23" s="320">
        <f t="shared" si="8"/>
        <v>90307</v>
      </c>
      <c r="L23" s="347">
        <f t="shared" si="8"/>
        <v>38530</v>
      </c>
      <c r="M23" s="314">
        <f t="shared" si="8"/>
        <v>1450</v>
      </c>
      <c r="N23" s="320">
        <f t="shared" si="8"/>
        <v>39980</v>
      </c>
      <c r="O23" s="347">
        <f t="shared" si="8"/>
        <v>0</v>
      </c>
      <c r="P23" s="314">
        <f t="shared" si="8"/>
        <v>0</v>
      </c>
      <c r="Q23" s="320">
        <f t="shared" si="8"/>
        <v>0</v>
      </c>
    </row>
    <row r="24" spans="1:44" s="2" customFormat="1" ht="16.5" thickBot="1">
      <c r="A24" s="313">
        <v>6</v>
      </c>
      <c r="B24" s="305" t="s">
        <v>174</v>
      </c>
      <c r="C24" s="318">
        <v>200</v>
      </c>
      <c r="D24" s="314"/>
      <c r="E24" s="320">
        <f aca="true" t="shared" si="9" ref="E24:E30">SUM(C24:D24)</f>
        <v>200</v>
      </c>
      <c r="F24" s="318"/>
      <c r="G24" s="314"/>
      <c r="H24" s="320">
        <f aca="true" t="shared" si="10" ref="H24:H30">SUM(F24:G24)</f>
        <v>0</v>
      </c>
      <c r="I24" s="318">
        <v>43828</v>
      </c>
      <c r="J24" s="314">
        <v>-483</v>
      </c>
      <c r="K24" s="320">
        <f aca="true" t="shared" si="11" ref="K24:K30">SUM(I24:J24)</f>
        <v>43345</v>
      </c>
      <c r="L24" s="318">
        <v>1500</v>
      </c>
      <c r="M24" s="314">
        <v>2000</v>
      </c>
      <c r="N24" s="330">
        <f aca="true" t="shared" si="12" ref="N24:N30">SUM(L24:M24)</f>
        <v>3500</v>
      </c>
      <c r="O24" s="1129"/>
      <c r="P24" s="387"/>
      <c r="Q24" s="1117">
        <f aca="true" t="shared" si="13" ref="Q24:Q30">SUM(O24:P24)</f>
        <v>0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  <row r="25" spans="1:44" s="131" customFormat="1" ht="16.5" thickBot="1">
      <c r="A25" s="313">
        <v>7</v>
      </c>
      <c r="B25" s="305" t="s">
        <v>435</v>
      </c>
      <c r="C25" s="318"/>
      <c r="D25" s="314"/>
      <c r="E25" s="320">
        <f t="shared" si="9"/>
        <v>0</v>
      </c>
      <c r="F25" s="318"/>
      <c r="G25" s="314"/>
      <c r="H25" s="330">
        <f t="shared" si="10"/>
        <v>0</v>
      </c>
      <c r="I25" s="347">
        <v>10675</v>
      </c>
      <c r="J25" s="314">
        <v>385</v>
      </c>
      <c r="K25" s="320">
        <f t="shared" si="11"/>
        <v>11060</v>
      </c>
      <c r="L25" s="330"/>
      <c r="M25" s="314"/>
      <c r="N25" s="330">
        <f t="shared" si="12"/>
        <v>0</v>
      </c>
      <c r="O25" s="1129"/>
      <c r="P25" s="387"/>
      <c r="Q25" s="1117">
        <f t="shared" si="13"/>
        <v>0</v>
      </c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s="2" customFormat="1" ht="15.75">
      <c r="A26" s="156" t="s">
        <v>98</v>
      </c>
      <c r="B26" s="149" t="s">
        <v>632</v>
      </c>
      <c r="C26" s="306"/>
      <c r="D26" s="226"/>
      <c r="E26" s="228">
        <f t="shared" si="9"/>
        <v>0</v>
      </c>
      <c r="F26" s="306"/>
      <c r="G26" s="226"/>
      <c r="H26" s="228">
        <f t="shared" si="10"/>
        <v>0</v>
      </c>
      <c r="I26" s="306"/>
      <c r="J26" s="226"/>
      <c r="K26" s="228">
        <f t="shared" si="11"/>
        <v>0</v>
      </c>
      <c r="L26" s="306"/>
      <c r="M26" s="226"/>
      <c r="N26" s="887">
        <f t="shared" si="12"/>
        <v>0</v>
      </c>
      <c r="O26" s="1127"/>
      <c r="P26" s="390"/>
      <c r="Q26" s="1116">
        <f t="shared" si="13"/>
        <v>0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</row>
    <row r="27" spans="1:44" s="2" customFormat="1" ht="15.75">
      <c r="A27" s="156" t="s">
        <v>99</v>
      </c>
      <c r="B27" s="149" t="s">
        <v>630</v>
      </c>
      <c r="C27" s="306"/>
      <c r="D27" s="226"/>
      <c r="E27" s="228">
        <f t="shared" si="9"/>
        <v>0</v>
      </c>
      <c r="F27" s="306"/>
      <c r="G27" s="226"/>
      <c r="H27" s="228">
        <f t="shared" si="10"/>
        <v>0</v>
      </c>
      <c r="I27" s="306"/>
      <c r="J27" s="226"/>
      <c r="K27" s="228">
        <f t="shared" si="11"/>
        <v>0</v>
      </c>
      <c r="L27" s="306"/>
      <c r="M27" s="226"/>
      <c r="N27" s="887">
        <f t="shared" si="12"/>
        <v>0</v>
      </c>
      <c r="O27" s="1127"/>
      <c r="P27" s="390"/>
      <c r="Q27" s="1116">
        <f t="shared" si="13"/>
        <v>0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</row>
    <row r="28" spans="1:44" s="2" customFormat="1" ht="15.75">
      <c r="A28" s="156" t="s">
        <v>100</v>
      </c>
      <c r="B28" s="149" t="s">
        <v>387</v>
      </c>
      <c r="C28" s="306"/>
      <c r="D28" s="226"/>
      <c r="E28" s="228">
        <f t="shared" si="9"/>
        <v>0</v>
      </c>
      <c r="F28" s="306"/>
      <c r="G28" s="226"/>
      <c r="H28" s="228">
        <f t="shared" si="10"/>
        <v>0</v>
      </c>
      <c r="I28" s="306"/>
      <c r="J28" s="226"/>
      <c r="K28" s="228">
        <f t="shared" si="11"/>
        <v>0</v>
      </c>
      <c r="L28" s="306"/>
      <c r="M28" s="139"/>
      <c r="N28" s="887">
        <f t="shared" si="12"/>
        <v>0</v>
      </c>
      <c r="O28" s="1127"/>
      <c r="P28" s="390"/>
      <c r="Q28" s="1116">
        <f t="shared" si="13"/>
        <v>0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</row>
    <row r="29" spans="1:44" s="2" customFormat="1" ht="15.75">
      <c r="A29" s="156" t="s">
        <v>101</v>
      </c>
      <c r="B29" s="149" t="s">
        <v>631</v>
      </c>
      <c r="C29" s="306">
        <v>10512</v>
      </c>
      <c r="D29" s="226">
        <v>442</v>
      </c>
      <c r="E29" s="228">
        <f t="shared" si="9"/>
        <v>10954</v>
      </c>
      <c r="F29" s="306"/>
      <c r="G29" s="226"/>
      <c r="H29" s="228">
        <f t="shared" si="10"/>
        <v>0</v>
      </c>
      <c r="I29" s="306"/>
      <c r="J29" s="226"/>
      <c r="K29" s="228">
        <f t="shared" si="11"/>
        <v>0</v>
      </c>
      <c r="L29" s="306"/>
      <c r="M29" s="226"/>
      <c r="N29" s="887">
        <f t="shared" si="12"/>
        <v>0</v>
      </c>
      <c r="O29" s="1127"/>
      <c r="P29" s="390"/>
      <c r="Q29" s="1116">
        <f t="shared" si="13"/>
        <v>0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</row>
    <row r="30" spans="1:44" s="2" customFormat="1" ht="16.5" thickBot="1">
      <c r="A30" s="335" t="s">
        <v>192</v>
      </c>
      <c r="B30" s="149" t="s">
        <v>388</v>
      </c>
      <c r="C30" s="329"/>
      <c r="D30" s="321"/>
      <c r="E30" s="324">
        <f t="shared" si="9"/>
        <v>0</v>
      </c>
      <c r="F30" s="329"/>
      <c r="G30" s="321"/>
      <c r="H30" s="324">
        <f t="shared" si="10"/>
        <v>0</v>
      </c>
      <c r="I30" s="329">
        <v>141256</v>
      </c>
      <c r="J30" s="321">
        <v>6427</v>
      </c>
      <c r="K30" s="324">
        <f t="shared" si="11"/>
        <v>147683</v>
      </c>
      <c r="L30" s="329"/>
      <c r="M30" s="321"/>
      <c r="N30" s="157">
        <f t="shared" si="12"/>
        <v>0</v>
      </c>
      <c r="O30" s="1130"/>
      <c r="P30" s="396"/>
      <c r="Q30" s="1118">
        <f t="shared" si="13"/>
        <v>0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</row>
    <row r="31" spans="1:44" s="131" customFormat="1" ht="16.5" thickBot="1">
      <c r="A31" s="313">
        <v>8</v>
      </c>
      <c r="B31" s="305" t="s">
        <v>173</v>
      </c>
      <c r="C31" s="347">
        <f aca="true" t="shared" si="14" ref="C31:Q31">SUM(C26:C30)</f>
        <v>10512</v>
      </c>
      <c r="D31" s="314">
        <f t="shared" si="14"/>
        <v>442</v>
      </c>
      <c r="E31" s="320">
        <f t="shared" si="14"/>
        <v>10954</v>
      </c>
      <c r="F31" s="330">
        <f t="shared" si="14"/>
        <v>0</v>
      </c>
      <c r="G31" s="314">
        <f t="shared" si="14"/>
        <v>0</v>
      </c>
      <c r="H31" s="330">
        <f t="shared" si="14"/>
        <v>0</v>
      </c>
      <c r="I31" s="347">
        <f t="shared" si="14"/>
        <v>141256</v>
      </c>
      <c r="J31" s="314">
        <f t="shared" si="14"/>
        <v>6427</v>
      </c>
      <c r="K31" s="320">
        <f t="shared" si="14"/>
        <v>147683</v>
      </c>
      <c r="L31" s="347">
        <f t="shared" si="14"/>
        <v>0</v>
      </c>
      <c r="M31" s="314">
        <f t="shared" si="14"/>
        <v>0</v>
      </c>
      <c r="N31" s="330">
        <f t="shared" si="14"/>
        <v>0</v>
      </c>
      <c r="O31" s="347">
        <f t="shared" si="14"/>
        <v>0</v>
      </c>
      <c r="P31" s="314">
        <f t="shared" si="14"/>
        <v>0</v>
      </c>
      <c r="Q31" s="320">
        <f t="shared" si="14"/>
        <v>0</v>
      </c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17" s="2" customFormat="1" ht="16.5" thickBot="1">
      <c r="A32" s="313">
        <v>9</v>
      </c>
      <c r="B32" s="305" t="s">
        <v>179</v>
      </c>
      <c r="C32" s="318">
        <v>38585</v>
      </c>
      <c r="D32" s="314"/>
      <c r="E32" s="320">
        <f>SUM(C32:D32)</f>
        <v>38585</v>
      </c>
      <c r="F32" s="318"/>
      <c r="G32" s="314"/>
      <c r="H32" s="320">
        <f>SUM(F32:G32)</f>
        <v>0</v>
      </c>
      <c r="I32" s="318"/>
      <c r="J32" s="314"/>
      <c r="K32" s="320">
        <f>SUM(I32:J32)</f>
        <v>0</v>
      </c>
      <c r="L32" s="318"/>
      <c r="M32" s="314"/>
      <c r="N32" s="330">
        <f>SUM(L32:M32)</f>
        <v>0</v>
      </c>
      <c r="O32" s="1129"/>
      <c r="P32" s="387"/>
      <c r="Q32" s="1117">
        <f>SUM(O32:P32)</f>
        <v>0</v>
      </c>
    </row>
    <row r="33" spans="1:17" s="35" customFormat="1" ht="16.5" thickBot="1">
      <c r="A33" s="367">
        <v>10</v>
      </c>
      <c r="B33" s="368"/>
      <c r="C33" s="934"/>
      <c r="D33" s="369"/>
      <c r="E33" s="1107">
        <f>SUM(C33:D33)</f>
        <v>0</v>
      </c>
      <c r="F33" s="158"/>
      <c r="G33" s="369"/>
      <c r="H33" s="1107">
        <f>SUM(F33:G33)</f>
        <v>0</v>
      </c>
      <c r="I33" s="158"/>
      <c r="J33" s="369"/>
      <c r="K33" s="1107">
        <f>SUM(I33:J33)</f>
        <v>0</v>
      </c>
      <c r="L33" s="158"/>
      <c r="M33" s="369"/>
      <c r="N33" s="293">
        <f>SUM(L33:M33)</f>
        <v>0</v>
      </c>
      <c r="O33" s="158"/>
      <c r="P33" s="369"/>
      <c r="Q33" s="1107">
        <f>SUM(O33:P33)</f>
        <v>0</v>
      </c>
    </row>
    <row r="34" spans="1:17" s="35" customFormat="1" ht="17.25" thickBot="1" thickTop="1">
      <c r="A34" s="343" t="s">
        <v>108</v>
      </c>
      <c r="B34" s="366" t="s">
        <v>180</v>
      </c>
      <c r="C34" s="365">
        <f aca="true" t="shared" si="15" ref="C34:Q34">C11+C12+C13+C23+C14+C31+C25+C24+C32+C33</f>
        <v>818343</v>
      </c>
      <c r="D34" s="344">
        <f t="shared" si="15"/>
        <v>12226</v>
      </c>
      <c r="E34" s="778">
        <f t="shared" si="15"/>
        <v>830569</v>
      </c>
      <c r="F34" s="365">
        <f t="shared" si="15"/>
        <v>96757</v>
      </c>
      <c r="G34" s="344">
        <f t="shared" si="15"/>
        <v>0</v>
      </c>
      <c r="H34" s="778">
        <f t="shared" si="15"/>
        <v>96757</v>
      </c>
      <c r="I34" s="365">
        <f t="shared" si="15"/>
        <v>320813</v>
      </c>
      <c r="J34" s="344">
        <f t="shared" si="15"/>
        <v>-600</v>
      </c>
      <c r="K34" s="778">
        <f t="shared" si="15"/>
        <v>320213</v>
      </c>
      <c r="L34" s="365">
        <f t="shared" si="15"/>
        <v>202356</v>
      </c>
      <c r="M34" s="344">
        <f t="shared" si="15"/>
        <v>347</v>
      </c>
      <c r="N34" s="778">
        <f t="shared" si="15"/>
        <v>202703</v>
      </c>
      <c r="O34" s="365">
        <f t="shared" si="15"/>
        <v>126226</v>
      </c>
      <c r="P34" s="344">
        <f t="shared" si="15"/>
        <v>400</v>
      </c>
      <c r="Q34" s="374">
        <f t="shared" si="15"/>
        <v>126626</v>
      </c>
    </row>
    <row r="35" spans="1:21" s="2" customFormat="1" ht="17.25" thickBot="1" thickTop="1">
      <c r="A35" s="144"/>
      <c r="B35" s="346" t="s">
        <v>131</v>
      </c>
      <c r="C35" s="1077"/>
      <c r="D35" s="302"/>
      <c r="E35" s="1108"/>
      <c r="F35" s="888"/>
      <c r="G35" s="302"/>
      <c r="H35" s="1108"/>
      <c r="I35" s="935"/>
      <c r="J35" s="302"/>
      <c r="K35" s="1108"/>
      <c r="L35" s="935"/>
      <c r="M35" s="302"/>
      <c r="N35" s="888"/>
      <c r="O35" s="1077"/>
      <c r="P35" s="302"/>
      <c r="Q35" s="1108"/>
      <c r="R35" s="199"/>
      <c r="S35" s="199"/>
      <c r="T35" s="199"/>
      <c r="U35" s="199"/>
    </row>
    <row r="36" spans="1:17" s="2" customFormat="1" ht="15.75">
      <c r="A36" s="769" t="s">
        <v>98</v>
      </c>
      <c r="B36" s="770" t="s">
        <v>389</v>
      </c>
      <c r="C36" s="1085"/>
      <c r="D36" s="771"/>
      <c r="E36" s="776">
        <f aca="true" t="shared" si="16" ref="E36:E44">SUM(C36:D36)</f>
        <v>0</v>
      </c>
      <c r="F36" s="775"/>
      <c r="G36" s="771"/>
      <c r="H36" s="776">
        <f>SUM(F36:G36)</f>
        <v>0</v>
      </c>
      <c r="I36" s="1085"/>
      <c r="J36" s="771"/>
      <c r="K36" s="776">
        <f>SUM(I36:J36)</f>
        <v>0</v>
      </c>
      <c r="L36" s="1085"/>
      <c r="M36" s="771"/>
      <c r="N36" s="775">
        <f>SUM(L36:M36)</f>
        <v>0</v>
      </c>
      <c r="O36" s="1131"/>
      <c r="P36" s="774"/>
      <c r="Q36" s="1119">
        <f>SUM(O36:P36)</f>
        <v>0</v>
      </c>
    </row>
    <row r="37" spans="1:17" s="2" customFormat="1" ht="15.75">
      <c r="A37" s="153" t="s">
        <v>99</v>
      </c>
      <c r="B37" s="149" t="s">
        <v>245</v>
      </c>
      <c r="C37" s="906"/>
      <c r="D37" s="139"/>
      <c r="E37" s="162">
        <f>SUM(C37:D37)</f>
        <v>0</v>
      </c>
      <c r="F37" s="885"/>
      <c r="G37" s="139"/>
      <c r="H37" s="162">
        <f>SUM(F37:G37)</f>
        <v>0</v>
      </c>
      <c r="I37" s="906"/>
      <c r="J37" s="139"/>
      <c r="K37" s="162">
        <f>SUM(I37:J37)</f>
        <v>0</v>
      </c>
      <c r="L37" s="906"/>
      <c r="M37" s="139"/>
      <c r="N37" s="885">
        <f>SUM(L37:M37)</f>
        <v>0</v>
      </c>
      <c r="O37" s="1126"/>
      <c r="P37" s="392"/>
      <c r="Q37" s="1120">
        <f>SUM(O37:P37)</f>
        <v>0</v>
      </c>
    </row>
    <row r="38" spans="1:17" s="2" customFormat="1" ht="15.75">
      <c r="A38" s="335" t="s">
        <v>100</v>
      </c>
      <c r="B38" s="142" t="s">
        <v>390</v>
      </c>
      <c r="C38" s="1076"/>
      <c r="D38" s="321"/>
      <c r="E38" s="324">
        <f t="shared" si="16"/>
        <v>0</v>
      </c>
      <c r="F38" s="157"/>
      <c r="G38" s="321"/>
      <c r="H38" s="324">
        <f>SUM(F38:G38)</f>
        <v>0</v>
      </c>
      <c r="I38" s="1076"/>
      <c r="J38" s="321"/>
      <c r="K38" s="324">
        <f>SUM(I38:J38)</f>
        <v>0</v>
      </c>
      <c r="L38" s="1076"/>
      <c r="M38" s="321"/>
      <c r="N38" s="157">
        <f>SUM(L38:M38)</f>
        <v>0</v>
      </c>
      <c r="O38" s="1130"/>
      <c r="P38" s="396"/>
      <c r="Q38" s="1118">
        <f>SUM(O38:P38)</f>
        <v>0</v>
      </c>
    </row>
    <row r="39" spans="1:17" s="2" customFormat="1" ht="16.5" thickBot="1">
      <c r="A39" s="154" t="s">
        <v>101</v>
      </c>
      <c r="B39" s="155" t="s">
        <v>394</v>
      </c>
      <c r="C39" s="907"/>
      <c r="D39" s="151"/>
      <c r="E39" s="238">
        <f>SUM(C39:D39)</f>
        <v>0</v>
      </c>
      <c r="F39" s="886"/>
      <c r="G39" s="151"/>
      <c r="H39" s="238">
        <f>SUM(F39:G39)</f>
        <v>0</v>
      </c>
      <c r="I39" s="907">
        <v>16</v>
      </c>
      <c r="J39" s="151"/>
      <c r="K39" s="238">
        <f>SUM(I39:J39)</f>
        <v>16</v>
      </c>
      <c r="L39" s="907"/>
      <c r="M39" s="151"/>
      <c r="N39" s="886">
        <f>SUM(L39:M39)</f>
        <v>0</v>
      </c>
      <c r="O39" s="1128"/>
      <c r="P39" s="393"/>
      <c r="Q39" s="1121">
        <f>SUM(O39:P39)</f>
        <v>0</v>
      </c>
    </row>
    <row r="40" spans="1:17" s="131" customFormat="1" ht="16.5" thickBot="1">
      <c r="A40" s="313">
        <v>1</v>
      </c>
      <c r="B40" s="305" t="s">
        <v>177</v>
      </c>
      <c r="C40" s="347">
        <f aca="true" t="shared" si="17" ref="C40:Q40">SUM(C36:C39)</f>
        <v>0</v>
      </c>
      <c r="D40" s="314">
        <f t="shared" si="17"/>
        <v>0</v>
      </c>
      <c r="E40" s="320">
        <f t="shared" si="17"/>
        <v>0</v>
      </c>
      <c r="F40" s="347">
        <f t="shared" si="17"/>
        <v>0</v>
      </c>
      <c r="G40" s="314">
        <f t="shared" si="17"/>
        <v>0</v>
      </c>
      <c r="H40" s="320">
        <f t="shared" si="17"/>
        <v>0</v>
      </c>
      <c r="I40" s="347">
        <f t="shared" si="17"/>
        <v>16</v>
      </c>
      <c r="J40" s="314">
        <f t="shared" si="17"/>
        <v>0</v>
      </c>
      <c r="K40" s="320">
        <f t="shared" si="17"/>
        <v>16</v>
      </c>
      <c r="L40" s="347">
        <f t="shared" si="17"/>
        <v>0</v>
      </c>
      <c r="M40" s="314">
        <f t="shared" si="17"/>
        <v>0</v>
      </c>
      <c r="N40" s="320">
        <f t="shared" si="17"/>
        <v>0</v>
      </c>
      <c r="O40" s="347">
        <f t="shared" si="17"/>
        <v>0</v>
      </c>
      <c r="P40" s="314">
        <f t="shared" si="17"/>
        <v>0</v>
      </c>
      <c r="Q40" s="320">
        <f t="shared" si="17"/>
        <v>0</v>
      </c>
    </row>
    <row r="41" spans="1:17" s="2" customFormat="1" ht="15.75">
      <c r="A41" s="156" t="s">
        <v>98</v>
      </c>
      <c r="B41" s="145" t="s">
        <v>416</v>
      </c>
      <c r="C41" s="1075"/>
      <c r="D41" s="226"/>
      <c r="E41" s="228">
        <f t="shared" si="16"/>
        <v>0</v>
      </c>
      <c r="F41" s="887"/>
      <c r="G41" s="226"/>
      <c r="H41" s="228">
        <f>SUM(F41:G41)</f>
        <v>0</v>
      </c>
      <c r="I41" s="1075"/>
      <c r="J41" s="226"/>
      <c r="K41" s="228">
        <f>SUM(I41:J41)</f>
        <v>0</v>
      </c>
      <c r="L41" s="1075"/>
      <c r="M41" s="226"/>
      <c r="N41" s="887">
        <f>SUM(L41:M41)</f>
        <v>0</v>
      </c>
      <c r="O41" s="1127"/>
      <c r="P41" s="390"/>
      <c r="Q41" s="1116">
        <f>SUM(O41:P41)</f>
        <v>0</v>
      </c>
    </row>
    <row r="42" spans="1:17" s="2" customFormat="1" ht="15.75">
      <c r="A42" s="153" t="s">
        <v>99</v>
      </c>
      <c r="B42" s="149" t="s">
        <v>391</v>
      </c>
      <c r="C42" s="906"/>
      <c r="D42" s="139"/>
      <c r="E42" s="162">
        <f>SUM(C42:D42)</f>
        <v>0</v>
      </c>
      <c r="F42" s="885"/>
      <c r="G42" s="139"/>
      <c r="H42" s="162">
        <f>SUM(F42:G42)</f>
        <v>0</v>
      </c>
      <c r="I42" s="906"/>
      <c r="J42" s="139"/>
      <c r="K42" s="162">
        <f>SUM(I42:J42)</f>
        <v>0</v>
      </c>
      <c r="L42" s="906"/>
      <c r="M42" s="139"/>
      <c r="N42" s="885">
        <f>SUM(L42:M42)</f>
        <v>0</v>
      </c>
      <c r="O42" s="1126"/>
      <c r="P42" s="392"/>
      <c r="Q42" s="1120">
        <f>SUM(O42:P42)</f>
        <v>0</v>
      </c>
    </row>
    <row r="43" spans="1:17" s="2" customFormat="1" ht="15.75">
      <c r="A43" s="153" t="s">
        <v>100</v>
      </c>
      <c r="B43" s="149" t="s">
        <v>392</v>
      </c>
      <c r="C43" s="906"/>
      <c r="D43" s="139"/>
      <c r="E43" s="162">
        <f>SUM(C43:D43)</f>
        <v>0</v>
      </c>
      <c r="F43" s="885"/>
      <c r="G43" s="139"/>
      <c r="H43" s="162">
        <f>SUM(F43:G43)</f>
        <v>0</v>
      </c>
      <c r="I43" s="906"/>
      <c r="J43" s="139"/>
      <c r="K43" s="162">
        <f>SUM(I43:J43)</f>
        <v>0</v>
      </c>
      <c r="L43" s="906"/>
      <c r="M43" s="139"/>
      <c r="N43" s="885">
        <f>SUM(L43:M43)</f>
        <v>0</v>
      </c>
      <c r="O43" s="1126"/>
      <c r="P43" s="392"/>
      <c r="Q43" s="1120">
        <f>SUM(O43:P43)</f>
        <v>0</v>
      </c>
    </row>
    <row r="44" spans="1:17" s="2" customFormat="1" ht="16.5" thickBot="1">
      <c r="A44" s="154" t="s">
        <v>101</v>
      </c>
      <c r="B44" s="155" t="s">
        <v>175</v>
      </c>
      <c r="C44" s="907">
        <v>955</v>
      </c>
      <c r="D44" s="151">
        <v>1212</v>
      </c>
      <c r="E44" s="238">
        <f t="shared" si="16"/>
        <v>2167</v>
      </c>
      <c r="F44" s="886"/>
      <c r="G44" s="151"/>
      <c r="H44" s="238">
        <f>SUM(F44:G44)</f>
        <v>0</v>
      </c>
      <c r="I44" s="907"/>
      <c r="J44" s="151"/>
      <c r="K44" s="238">
        <f>SUM(I44:J44)</f>
        <v>0</v>
      </c>
      <c r="L44" s="907"/>
      <c r="M44" s="151"/>
      <c r="N44" s="886">
        <f>SUM(L44:M44)</f>
        <v>0</v>
      </c>
      <c r="O44" s="1128"/>
      <c r="P44" s="393"/>
      <c r="Q44" s="1121">
        <f>SUM(O44:P44)</f>
        <v>0</v>
      </c>
    </row>
    <row r="45" spans="1:17" s="131" customFormat="1" ht="16.5" thickBot="1">
      <c r="A45" s="313">
        <v>2</v>
      </c>
      <c r="B45" s="305" t="s">
        <v>176</v>
      </c>
      <c r="C45" s="347">
        <f>SUM(C41:C44)</f>
        <v>955</v>
      </c>
      <c r="D45" s="314">
        <f aca="true" t="shared" si="18" ref="D45:Q45">SUM(D41:D44)</f>
        <v>1212</v>
      </c>
      <c r="E45" s="316">
        <f t="shared" si="18"/>
        <v>2167</v>
      </c>
      <c r="F45" s="347">
        <f t="shared" si="18"/>
        <v>0</v>
      </c>
      <c r="G45" s="314">
        <f t="shared" si="18"/>
        <v>0</v>
      </c>
      <c r="H45" s="316">
        <f t="shared" si="18"/>
        <v>0</v>
      </c>
      <c r="I45" s="347">
        <f t="shared" si="18"/>
        <v>0</v>
      </c>
      <c r="J45" s="314">
        <f t="shared" si="18"/>
        <v>0</v>
      </c>
      <c r="K45" s="316">
        <f t="shared" si="18"/>
        <v>0</v>
      </c>
      <c r="L45" s="347">
        <f t="shared" si="18"/>
        <v>0</v>
      </c>
      <c r="M45" s="314">
        <f t="shared" si="18"/>
        <v>0</v>
      </c>
      <c r="N45" s="330">
        <f t="shared" si="18"/>
        <v>0</v>
      </c>
      <c r="O45" s="347">
        <f t="shared" si="18"/>
        <v>0</v>
      </c>
      <c r="P45" s="314">
        <f t="shared" si="18"/>
        <v>0</v>
      </c>
      <c r="Q45" s="320">
        <f t="shared" si="18"/>
        <v>0</v>
      </c>
    </row>
    <row r="46" spans="1:17" s="131" customFormat="1" ht="16.5" thickBot="1">
      <c r="A46" s="313">
        <v>3</v>
      </c>
      <c r="B46" s="305" t="s">
        <v>264</v>
      </c>
      <c r="C46" s="347">
        <v>27441</v>
      </c>
      <c r="D46" s="314">
        <v>32341</v>
      </c>
      <c r="E46" s="316">
        <f>SUM(C46:D46)</f>
        <v>59782</v>
      </c>
      <c r="F46" s="347"/>
      <c r="G46" s="314"/>
      <c r="H46" s="316">
        <f>SUM(F46:G46)</f>
        <v>0</v>
      </c>
      <c r="I46" s="347"/>
      <c r="J46" s="314"/>
      <c r="K46" s="316">
        <f>SUM(I46:J46)</f>
        <v>0</v>
      </c>
      <c r="L46" s="347">
        <v>100</v>
      </c>
      <c r="M46" s="314">
        <v>158</v>
      </c>
      <c r="N46" s="330">
        <f>SUM(L46:M46)</f>
        <v>258</v>
      </c>
      <c r="O46" s="347">
        <v>1372</v>
      </c>
      <c r="P46" s="314"/>
      <c r="Q46" s="320">
        <f>SUM(O46:P46)</f>
        <v>1372</v>
      </c>
    </row>
    <row r="47" spans="1:17" s="2" customFormat="1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>
        <v>48</v>
      </c>
      <c r="J47" s="314"/>
      <c r="K47" s="316">
        <f>SUM(I47:J47)</f>
        <v>48</v>
      </c>
      <c r="L47" s="347">
        <v>113</v>
      </c>
      <c r="M47" s="314"/>
      <c r="N47" s="330">
        <f>SUM(L47:M47)</f>
        <v>113</v>
      </c>
      <c r="O47" s="347"/>
      <c r="P47" s="314"/>
      <c r="Q47" s="320">
        <f>SUM(O47:P47)</f>
        <v>0</v>
      </c>
    </row>
    <row r="48" spans="1:17" s="2" customFormat="1" ht="15.75">
      <c r="A48" s="156" t="s">
        <v>98</v>
      </c>
      <c r="B48" s="142" t="s">
        <v>291</v>
      </c>
      <c r="C48" s="1075"/>
      <c r="D48" s="226"/>
      <c r="E48" s="228">
        <f>SUM(C48:D48)</f>
        <v>0</v>
      </c>
      <c r="F48" s="887"/>
      <c r="G48" s="226"/>
      <c r="H48" s="228">
        <f>SUM(F48:G48)</f>
        <v>0</v>
      </c>
      <c r="I48" s="1075"/>
      <c r="J48" s="226"/>
      <c r="K48" s="228">
        <f>SUM(I48:J48)</f>
        <v>0</v>
      </c>
      <c r="L48" s="1075"/>
      <c r="M48" s="226"/>
      <c r="N48" s="887">
        <f>SUM(L48:M48)</f>
        <v>0</v>
      </c>
      <c r="O48" s="1127"/>
      <c r="P48" s="390"/>
      <c r="Q48" s="1116">
        <f>SUM(O48:P48)</f>
        <v>0</v>
      </c>
    </row>
    <row r="49" spans="1:17" s="2" customFormat="1" ht="15.7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06"/>
      <c r="M49" s="139"/>
      <c r="N49" s="885">
        <f>SUM(L49:M49)</f>
        <v>0</v>
      </c>
      <c r="O49" s="1126"/>
      <c r="P49" s="392"/>
      <c r="Q49" s="1120">
        <f>SUM(O49:P49)</f>
        <v>0</v>
      </c>
    </row>
    <row r="50" spans="1:17" s="2" customFormat="1" ht="16.5" thickBot="1">
      <c r="A50" s="154" t="s">
        <v>100</v>
      </c>
      <c r="B50" s="334" t="s">
        <v>426</v>
      </c>
      <c r="C50" s="906"/>
      <c r="D50" s="139"/>
      <c r="E50" s="162">
        <f>SUM(C50:D50)</f>
        <v>0</v>
      </c>
      <c r="F50" s="885"/>
      <c r="G50" s="139"/>
      <c r="H50" s="162">
        <f>SUM(F50:G50)</f>
        <v>0</v>
      </c>
      <c r="I50" s="906"/>
      <c r="J50" s="139"/>
      <c r="K50" s="162">
        <f>SUM(I50:J50)</f>
        <v>0</v>
      </c>
      <c r="L50" s="906"/>
      <c r="M50" s="139"/>
      <c r="N50" s="885">
        <f>SUM(L50:M50)</f>
        <v>0</v>
      </c>
      <c r="O50" s="1126"/>
      <c r="P50" s="392"/>
      <c r="Q50" s="1120">
        <f>SUM(O50:P50)</f>
        <v>0</v>
      </c>
    </row>
    <row r="51" spans="1:17" s="131" customFormat="1" ht="16.5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16">
        <f aca="true" t="shared" si="19" ref="E51:Q51">SUM(E48:E50)</f>
        <v>0</v>
      </c>
      <c r="F51" s="347">
        <f t="shared" si="19"/>
        <v>0</v>
      </c>
      <c r="G51" s="314">
        <f t="shared" si="19"/>
        <v>0</v>
      </c>
      <c r="H51" s="316">
        <f t="shared" si="19"/>
        <v>0</v>
      </c>
      <c r="I51" s="347">
        <f t="shared" si="19"/>
        <v>0</v>
      </c>
      <c r="J51" s="314">
        <f t="shared" si="19"/>
        <v>0</v>
      </c>
      <c r="K51" s="316">
        <f t="shared" si="19"/>
        <v>0</v>
      </c>
      <c r="L51" s="347">
        <f t="shared" si="19"/>
        <v>0</v>
      </c>
      <c r="M51" s="314">
        <f t="shared" si="19"/>
        <v>0</v>
      </c>
      <c r="N51" s="316">
        <f t="shared" si="19"/>
        <v>0</v>
      </c>
      <c r="O51" s="347">
        <f t="shared" si="19"/>
        <v>0</v>
      </c>
      <c r="P51" s="314">
        <f t="shared" si="19"/>
        <v>0</v>
      </c>
      <c r="Q51" s="320">
        <f t="shared" si="19"/>
        <v>0</v>
      </c>
    </row>
    <row r="52" spans="1:17" s="131" customFormat="1" ht="16.5" thickBot="1">
      <c r="A52" s="765">
        <v>6</v>
      </c>
      <c r="B52" s="766" t="s">
        <v>295</v>
      </c>
      <c r="C52" s="1078"/>
      <c r="D52" s="339"/>
      <c r="E52" s="332">
        <f>SUM(C52:D52)</f>
        <v>0</v>
      </c>
      <c r="F52" s="333"/>
      <c r="G52" s="339"/>
      <c r="H52" s="332">
        <f>SUM(F52:G52)</f>
        <v>0</v>
      </c>
      <c r="I52" s="1084"/>
      <c r="J52" s="339"/>
      <c r="K52" s="332">
        <f>SUM(I52:J52)</f>
        <v>0</v>
      </c>
      <c r="L52" s="1084"/>
      <c r="M52" s="339"/>
      <c r="N52" s="333">
        <f>SUM(L52:M52)</f>
        <v>0</v>
      </c>
      <c r="O52" s="1132"/>
      <c r="P52" s="759"/>
      <c r="Q52" s="1122">
        <f>SUM(O52:P52)</f>
        <v>0</v>
      </c>
    </row>
    <row r="53" spans="1:17" s="2" customFormat="1" ht="15.75">
      <c r="A53" s="137" t="s">
        <v>98</v>
      </c>
      <c r="B53" s="138" t="s">
        <v>395</v>
      </c>
      <c r="C53" s="1079">
        <v>512</v>
      </c>
      <c r="D53" s="140">
        <v>442</v>
      </c>
      <c r="E53" s="195">
        <f>SUM(C53:D53)</f>
        <v>954</v>
      </c>
      <c r="F53" s="889"/>
      <c r="G53" s="140"/>
      <c r="H53" s="195">
        <f>SUM(F53:G53)</f>
        <v>0</v>
      </c>
      <c r="I53" s="1079"/>
      <c r="J53" s="140"/>
      <c r="K53" s="195">
        <f>SUM(I53:J53)</f>
        <v>0</v>
      </c>
      <c r="L53" s="1079"/>
      <c r="M53" s="140"/>
      <c r="N53" s="889">
        <f>SUM(L53:M53)</f>
        <v>0</v>
      </c>
      <c r="O53" s="1133"/>
      <c r="P53" s="401"/>
      <c r="Q53" s="1123">
        <f>SUM(O53:P53)</f>
        <v>0</v>
      </c>
    </row>
    <row r="54" spans="1:17" s="2" customFormat="1" ht="16.5" thickBot="1">
      <c r="A54" s="335" t="s">
        <v>99</v>
      </c>
      <c r="B54" s="142" t="s">
        <v>396</v>
      </c>
      <c r="C54" s="1076"/>
      <c r="D54" s="321"/>
      <c r="E54" s="324">
        <f>SUM(C54:D54)</f>
        <v>0</v>
      </c>
      <c r="F54" s="157"/>
      <c r="G54" s="321"/>
      <c r="H54" s="324">
        <f>SUM(F54:G54)</f>
        <v>0</v>
      </c>
      <c r="I54" s="1076"/>
      <c r="J54" s="321"/>
      <c r="K54" s="324">
        <f>SUM(I54:J54)</f>
        <v>0</v>
      </c>
      <c r="L54" s="1076"/>
      <c r="M54" s="321"/>
      <c r="N54" s="157">
        <f>SUM(L54:M54)</f>
        <v>0</v>
      </c>
      <c r="O54" s="1130"/>
      <c r="P54" s="396"/>
      <c r="Q54" s="1118">
        <f>SUM(O54:P54)</f>
        <v>0</v>
      </c>
    </row>
    <row r="55" spans="1:17" s="131" customFormat="1" ht="17.25" customHeight="1" thickBot="1">
      <c r="A55" s="313">
        <v>7</v>
      </c>
      <c r="B55" s="305" t="s">
        <v>181</v>
      </c>
      <c r="C55" s="347">
        <f>SUM(C53:C54)</f>
        <v>512</v>
      </c>
      <c r="D55" s="314">
        <f aca="true" t="shared" si="20" ref="D55:Q55">SUM(D53:D54)</f>
        <v>442</v>
      </c>
      <c r="E55" s="316">
        <f t="shared" si="20"/>
        <v>954</v>
      </c>
      <c r="F55" s="347">
        <f t="shared" si="20"/>
        <v>0</v>
      </c>
      <c r="G55" s="314">
        <f t="shared" si="20"/>
        <v>0</v>
      </c>
      <c r="H55" s="316">
        <f t="shared" si="20"/>
        <v>0</v>
      </c>
      <c r="I55" s="347">
        <f t="shared" si="20"/>
        <v>0</v>
      </c>
      <c r="J55" s="314">
        <f t="shared" si="20"/>
        <v>0</v>
      </c>
      <c r="K55" s="316">
        <f t="shared" si="20"/>
        <v>0</v>
      </c>
      <c r="L55" s="347">
        <f t="shared" si="20"/>
        <v>0</v>
      </c>
      <c r="M55" s="314">
        <f t="shared" si="20"/>
        <v>0</v>
      </c>
      <c r="N55" s="316">
        <f t="shared" si="20"/>
        <v>0</v>
      </c>
      <c r="O55" s="1086">
        <f t="shared" si="20"/>
        <v>0</v>
      </c>
      <c r="P55" s="1088">
        <f t="shared" si="20"/>
        <v>0</v>
      </c>
      <c r="Q55" s="1090">
        <f t="shared" si="20"/>
        <v>0</v>
      </c>
    </row>
    <row r="56" spans="1:17" s="2" customFormat="1" ht="19.5" customHeight="1" thickBot="1">
      <c r="A56" s="716">
        <v>8</v>
      </c>
      <c r="B56" s="717" t="s">
        <v>46</v>
      </c>
      <c r="C56" s="1111">
        <f>C34-C40-C45-C46-C47-C51-C52-C55-C57-C58-C59</f>
        <v>-1210565</v>
      </c>
      <c r="D56" s="1112">
        <f>D34-D40-D45-D46-D47-D51-D52-D55-D57-D58-D59</f>
        <v>-21769</v>
      </c>
      <c r="E56" s="1109">
        <f aca="true" t="shared" si="21" ref="E56:Q56">E34-E40-E45-E46-E47-E51-E52-E55-E57-E58-E59</f>
        <v>-1232334</v>
      </c>
      <c r="F56" s="1111">
        <f t="shared" si="21"/>
        <v>96757</v>
      </c>
      <c r="G56" s="1112">
        <f t="shared" si="21"/>
        <v>0</v>
      </c>
      <c r="H56" s="1109">
        <f t="shared" si="21"/>
        <v>96757</v>
      </c>
      <c r="I56" s="1111">
        <f t="shared" si="21"/>
        <v>320749</v>
      </c>
      <c r="J56" s="1112">
        <f t="shared" si="21"/>
        <v>-600</v>
      </c>
      <c r="K56" s="1109">
        <f t="shared" si="21"/>
        <v>320149</v>
      </c>
      <c r="L56" s="1111">
        <f t="shared" si="21"/>
        <v>202143</v>
      </c>
      <c r="M56" s="1112">
        <f t="shared" si="21"/>
        <v>189</v>
      </c>
      <c r="N56" s="1109">
        <f t="shared" si="21"/>
        <v>202332</v>
      </c>
      <c r="O56" s="1134">
        <f t="shared" si="21"/>
        <v>124854</v>
      </c>
      <c r="P56" s="1136">
        <f t="shared" si="21"/>
        <v>400</v>
      </c>
      <c r="Q56" s="1124">
        <f t="shared" si="21"/>
        <v>125254</v>
      </c>
    </row>
    <row r="57" spans="1:17" s="131" customFormat="1" ht="15.75">
      <c r="A57" s="336" t="s">
        <v>398</v>
      </c>
      <c r="B57" s="337" t="s">
        <v>184</v>
      </c>
      <c r="C57" s="1081"/>
      <c r="D57" s="327"/>
      <c r="E57" s="1110">
        <f>SUM(C57:D57)</f>
        <v>0</v>
      </c>
      <c r="F57" s="890"/>
      <c r="G57" s="327"/>
      <c r="H57" s="1110">
        <f>SUM(F57:G57)</f>
        <v>0</v>
      </c>
      <c r="I57" s="1081"/>
      <c r="J57" s="327"/>
      <c r="K57" s="1110">
        <f>SUM(I57:J57)</f>
        <v>0</v>
      </c>
      <c r="L57" s="1081"/>
      <c r="M57" s="327"/>
      <c r="N57" s="890">
        <f>SUM(L57:M57)</f>
        <v>0</v>
      </c>
      <c r="O57" s="1135"/>
      <c r="P57" s="404"/>
      <c r="Q57" s="1125">
        <f>SUM(O57:P57)</f>
        <v>0</v>
      </c>
    </row>
    <row r="58" spans="1:17" s="131" customFormat="1" ht="15.75">
      <c r="A58" s="336" t="s">
        <v>183</v>
      </c>
      <c r="B58" s="337" t="s">
        <v>397</v>
      </c>
      <c r="C58" s="326">
        <v>2000000</v>
      </c>
      <c r="D58" s="327"/>
      <c r="E58" s="402">
        <f>SUM(C58:D58)</f>
        <v>2000000</v>
      </c>
      <c r="F58" s="331"/>
      <c r="G58" s="327"/>
      <c r="H58" s="402">
        <f>SUM(F58:G58)</f>
        <v>0</v>
      </c>
      <c r="I58" s="1081"/>
      <c r="J58" s="327"/>
      <c r="K58" s="1110">
        <f>SUM(I58:J58)</f>
        <v>0</v>
      </c>
      <c r="L58" s="1081"/>
      <c r="M58" s="327"/>
      <c r="N58" s="890">
        <f>SUM(L58:M58)</f>
        <v>0</v>
      </c>
      <c r="O58" s="1135"/>
      <c r="P58" s="404"/>
      <c r="Q58" s="1125">
        <f>SUM(O58:P58)</f>
        <v>0</v>
      </c>
    </row>
    <row r="59" spans="1:17" s="131" customFormat="1" ht="16.5" thickBot="1">
      <c r="A59" s="351">
        <v>10</v>
      </c>
      <c r="B59" s="352"/>
      <c r="C59" s="353"/>
      <c r="D59" s="354"/>
      <c r="E59" s="406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353"/>
      <c r="M59" s="354"/>
      <c r="N59" s="945">
        <f>SUM(L59:M59)</f>
        <v>0</v>
      </c>
      <c r="O59" s="408"/>
      <c r="P59" s="409"/>
      <c r="Q59" s="410">
        <f>SUM(O59:P59)</f>
        <v>0</v>
      </c>
    </row>
    <row r="60" spans="1:17" s="35" customFormat="1" ht="17.25" thickBot="1" thickTop="1">
      <c r="A60" s="343" t="s">
        <v>109</v>
      </c>
      <c r="B60" s="345" t="s">
        <v>182</v>
      </c>
      <c r="C60" s="779">
        <f>C40+C45+C46+C47+C51+C52+C55+C56+C57+C58+C59</f>
        <v>818343</v>
      </c>
      <c r="D60" s="780">
        <f aca="true" t="shared" si="22" ref="D60:Q60">D40+D45+D46+D47+D51+D52+D55+D56+D57+D58+D59</f>
        <v>12226</v>
      </c>
      <c r="E60" s="363">
        <f t="shared" si="22"/>
        <v>830569</v>
      </c>
      <c r="F60" s="364">
        <f t="shared" si="22"/>
        <v>96757</v>
      </c>
      <c r="G60" s="344">
        <f t="shared" si="22"/>
        <v>0</v>
      </c>
      <c r="H60" s="363">
        <f t="shared" si="22"/>
        <v>96757</v>
      </c>
      <c r="I60" s="779">
        <f t="shared" si="22"/>
        <v>320813</v>
      </c>
      <c r="J60" s="780">
        <f t="shared" si="22"/>
        <v>-600</v>
      </c>
      <c r="K60" s="363">
        <f t="shared" si="22"/>
        <v>320213</v>
      </c>
      <c r="L60" s="364">
        <f t="shared" si="22"/>
        <v>202356</v>
      </c>
      <c r="M60" s="344">
        <f t="shared" si="22"/>
        <v>347</v>
      </c>
      <c r="N60" s="363">
        <f t="shared" si="22"/>
        <v>202703</v>
      </c>
      <c r="O60" s="364">
        <f t="shared" si="22"/>
        <v>126226</v>
      </c>
      <c r="P60" s="344">
        <f t="shared" si="22"/>
        <v>400</v>
      </c>
      <c r="Q60" s="374">
        <f t="shared" si="22"/>
        <v>126626</v>
      </c>
    </row>
    <row r="61" spans="1:17" s="2" customFormat="1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411"/>
      <c r="P61" s="411"/>
      <c r="Q61" s="411"/>
    </row>
    <row r="62" spans="1:17" s="2" customFormat="1" ht="17.25" thickBot="1" thickTop="1">
      <c r="A62" s="167"/>
      <c r="B62" s="168" t="s">
        <v>579</v>
      </c>
      <c r="C62" s="946">
        <v>4</v>
      </c>
      <c r="D62" s="414"/>
      <c r="E62" s="413">
        <f>SUM(C62:D62)</f>
        <v>4</v>
      </c>
      <c r="F62" s="196">
        <v>29</v>
      </c>
      <c r="G62" s="412"/>
      <c r="H62" s="413">
        <f>SUM(F62:G62)</f>
        <v>29</v>
      </c>
      <c r="I62" s="196"/>
      <c r="J62" s="412"/>
      <c r="K62" s="413">
        <f>SUM(I62:J62)</f>
        <v>0</v>
      </c>
      <c r="L62" s="196"/>
      <c r="M62" s="412"/>
      <c r="N62" s="413">
        <f>SUM(L62:M62)</f>
        <v>0</v>
      </c>
      <c r="O62" s="415"/>
      <c r="P62" s="939"/>
      <c r="Q62" s="417">
        <f>SUM(O62:P62)</f>
        <v>0</v>
      </c>
    </row>
    <row r="63" spans="1:17" s="2" customFormat="1" ht="17.25" thickBot="1" thickTop="1">
      <c r="A63" s="167"/>
      <c r="B63" s="168" t="s">
        <v>580</v>
      </c>
      <c r="C63" s="946"/>
      <c r="D63" s="414"/>
      <c r="E63" s="413">
        <f>SUM(C63:D63)</f>
        <v>0</v>
      </c>
      <c r="F63" s="196"/>
      <c r="G63" s="412"/>
      <c r="H63" s="413">
        <f>SUM(F63:G63)</f>
        <v>0</v>
      </c>
      <c r="I63" s="196"/>
      <c r="J63" s="412"/>
      <c r="K63" s="413">
        <f>SUM(I63:J63)</f>
        <v>0</v>
      </c>
      <c r="L63" s="196"/>
      <c r="M63" s="412"/>
      <c r="N63" s="413">
        <f>SUM(L63:M63)</f>
        <v>0</v>
      </c>
      <c r="O63" s="415"/>
      <c r="P63" s="939"/>
      <c r="Q63" s="417">
        <f>SUM(O63:P63)</f>
        <v>0</v>
      </c>
    </row>
    <row r="64" spans="1:17" s="2" customFormat="1" ht="16.5" thickTop="1">
      <c r="A64" s="418"/>
      <c r="B64" s="943"/>
      <c r="C64" s="943"/>
      <c r="D64" s="943"/>
      <c r="E64" s="943"/>
      <c r="F64" s="943"/>
      <c r="G64" s="943"/>
      <c r="H64" s="943"/>
      <c r="I64" s="943"/>
      <c r="J64" s="943"/>
      <c r="K64" s="943"/>
      <c r="L64" s="947"/>
      <c r="M64" s="943"/>
      <c r="N64" s="943"/>
      <c r="O64" s="948"/>
      <c r="P64" s="948"/>
      <c r="Q64" s="948"/>
    </row>
    <row r="65" spans="1:17" s="2" customFormat="1" ht="15.75">
      <c r="A65" s="418"/>
      <c r="B65" s="943"/>
      <c r="C65" s="943"/>
      <c r="D65" s="943"/>
      <c r="E65" s="943"/>
      <c r="F65" s="943"/>
      <c r="G65" s="943"/>
      <c r="H65" s="943"/>
      <c r="I65" s="943"/>
      <c r="J65" s="943"/>
      <c r="K65" s="943"/>
      <c r="L65" s="943"/>
      <c r="M65" s="943"/>
      <c r="N65" s="943"/>
      <c r="O65" s="948"/>
      <c r="P65" s="948"/>
      <c r="Q65" s="948"/>
    </row>
  </sheetData>
  <sheetProtection/>
  <mergeCells count="7">
    <mergeCell ref="O7:Q7"/>
    <mergeCell ref="A4:Q4"/>
    <mergeCell ref="A5:Q5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I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11" width="14.625" style="88" customWidth="1"/>
    <col min="12" max="12" width="14.875" style="88" customWidth="1"/>
    <col min="13" max="17" width="14.625" style="88" customWidth="1"/>
  </cols>
  <sheetData>
    <row r="1" spans="1:17" ht="10.5" customHeight="1">
      <c r="A1" s="303"/>
      <c r="B1" s="304"/>
      <c r="C1" s="304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893"/>
      <c r="O1" s="893"/>
      <c r="P1" s="893"/>
      <c r="Q1" s="892" t="s">
        <v>915</v>
      </c>
    </row>
    <row r="2" spans="1:17" ht="10.5" customHeight="1">
      <c r="A2" s="303"/>
      <c r="B2" s="304"/>
      <c r="C2" s="304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893"/>
      <c r="O2" s="893"/>
      <c r="P2" s="893"/>
      <c r="Q2" s="892" t="s">
        <v>93</v>
      </c>
    </row>
    <row r="3" spans="1:17" ht="15">
      <c r="A3" s="303"/>
      <c r="B3" s="304"/>
      <c r="C3" s="304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893"/>
      <c r="O3" s="893"/>
      <c r="P3" s="893"/>
      <c r="Q3" s="893" t="s">
        <v>132</v>
      </c>
    </row>
    <row r="4" spans="1:17" ht="20.25">
      <c r="A4" s="1936" t="s">
        <v>648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</row>
    <row r="5" spans="1:17" ht="18">
      <c r="A5" s="1937" t="s">
        <v>562</v>
      </c>
      <c r="B5" s="1937"/>
      <c r="C5" s="1937"/>
      <c r="D5" s="1937"/>
      <c r="E5" s="1937"/>
      <c r="F5" s="1937"/>
      <c r="G5" s="1937"/>
      <c r="H5" s="1937"/>
      <c r="I5" s="1937"/>
      <c r="J5" s="1937"/>
      <c r="K5" s="1937"/>
      <c r="L5" s="1937"/>
      <c r="M5" s="1937"/>
      <c r="N5" s="1937"/>
      <c r="O5" s="1937"/>
      <c r="P5" s="1937"/>
      <c r="Q5" s="1937"/>
    </row>
    <row r="6" spans="1:17" ht="39.75" customHeight="1" thickBot="1">
      <c r="A6" s="303"/>
      <c r="B6" s="304"/>
      <c r="C6" s="304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905"/>
      <c r="O6" s="931"/>
      <c r="P6" s="386"/>
      <c r="Q6" s="13" t="s">
        <v>134</v>
      </c>
    </row>
    <row r="7" spans="1:17" s="88" customFormat="1" ht="34.5" customHeight="1">
      <c r="A7" s="230" t="s">
        <v>124</v>
      </c>
      <c r="B7" s="87" t="s">
        <v>125</v>
      </c>
      <c r="C7" s="1933" t="s">
        <v>137</v>
      </c>
      <c r="D7" s="1934"/>
      <c r="E7" s="1935"/>
      <c r="F7" s="1944" t="s">
        <v>138</v>
      </c>
      <c r="G7" s="1945"/>
      <c r="H7" s="1946"/>
      <c r="I7" s="1944" t="s">
        <v>140</v>
      </c>
      <c r="J7" s="1945"/>
      <c r="K7" s="1946"/>
      <c r="L7" s="1933" t="s">
        <v>141</v>
      </c>
      <c r="M7" s="1934"/>
      <c r="N7" s="1935"/>
      <c r="O7" s="1941" t="s">
        <v>425</v>
      </c>
      <c r="P7" s="1942"/>
      <c r="Q7" s="1943"/>
    </row>
    <row r="8" spans="1:17" s="29" customFormat="1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42" customFormat="1" ht="12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2">
        <v>6</v>
      </c>
      <c r="G9" s="422">
        <v>7</v>
      </c>
      <c r="H9" s="422">
        <v>8</v>
      </c>
      <c r="I9" s="421">
        <v>9</v>
      </c>
      <c r="J9" s="422">
        <v>10</v>
      </c>
      <c r="K9" s="424">
        <v>11</v>
      </c>
      <c r="L9" s="422">
        <v>12</v>
      </c>
      <c r="M9" s="422">
        <v>13</v>
      </c>
      <c r="N9" s="424">
        <v>14</v>
      </c>
      <c r="O9" s="422">
        <v>15</v>
      </c>
      <c r="P9" s="422">
        <v>16</v>
      </c>
      <c r="Q9" s="424">
        <v>17</v>
      </c>
    </row>
    <row r="10" spans="1:17" s="29" customFormat="1" ht="16.5" thickBot="1">
      <c r="A10" s="380"/>
      <c r="B10" s="346" t="s">
        <v>129</v>
      </c>
      <c r="C10" s="381"/>
      <c r="D10" s="382"/>
      <c r="E10" s="383"/>
      <c r="F10" s="384"/>
      <c r="G10" s="385"/>
      <c r="H10" s="383"/>
      <c r="I10" s="384"/>
      <c r="J10" s="385"/>
      <c r="K10" s="383"/>
      <c r="L10" s="944"/>
      <c r="M10" s="1139"/>
      <c r="N10" s="915"/>
      <c r="O10" s="944"/>
      <c r="P10" s="385"/>
      <c r="Q10" s="915"/>
    </row>
    <row r="11" spans="1:17" s="29" customFormat="1" ht="16.5" thickBot="1">
      <c r="A11" s="313">
        <v>1</v>
      </c>
      <c r="B11" s="305" t="s">
        <v>113</v>
      </c>
      <c r="C11" s="314">
        <v>1124</v>
      </c>
      <c r="D11" s="314"/>
      <c r="E11" s="358">
        <f>SUM(C11:D11)</f>
        <v>1124</v>
      </c>
      <c r="F11" s="314"/>
      <c r="G11" s="314"/>
      <c r="H11" s="358">
        <f>SUM(F11:G11)</f>
        <v>0</v>
      </c>
      <c r="I11" s="314">
        <v>7800</v>
      </c>
      <c r="J11" s="314"/>
      <c r="K11" s="358">
        <f aca="true" t="shared" si="0" ref="K11:K16">SUM(I11:J11)</f>
        <v>7800</v>
      </c>
      <c r="L11" s="314">
        <v>842</v>
      </c>
      <c r="M11" s="314"/>
      <c r="N11" s="358">
        <f aca="true" t="shared" si="1" ref="N11:N16">SUM(L11:M11)</f>
        <v>842</v>
      </c>
      <c r="O11" s="318">
        <v>2430</v>
      </c>
      <c r="P11" s="314">
        <v>51</v>
      </c>
      <c r="Q11" s="320">
        <f aca="true" t="shared" si="2" ref="Q11:Q16">SUM(O11:P11)</f>
        <v>2481</v>
      </c>
    </row>
    <row r="12" spans="1:17" ht="16.5" thickBot="1">
      <c r="A12" s="317">
        <v>2</v>
      </c>
      <c r="B12" s="305" t="s">
        <v>202</v>
      </c>
      <c r="C12" s="316">
        <v>197</v>
      </c>
      <c r="D12" s="314"/>
      <c r="E12" s="358">
        <f>SUM(C12:D12)</f>
        <v>197</v>
      </c>
      <c r="F12" s="316"/>
      <c r="G12" s="314"/>
      <c r="H12" s="358">
        <f>SUM(F12:G12)</f>
        <v>0</v>
      </c>
      <c r="I12" s="316">
        <v>1916</v>
      </c>
      <c r="J12" s="314"/>
      <c r="K12" s="358">
        <f t="shared" si="0"/>
        <v>1916</v>
      </c>
      <c r="L12" s="316">
        <v>151</v>
      </c>
      <c r="M12" s="314">
        <v>8</v>
      </c>
      <c r="N12" s="358">
        <f t="shared" si="1"/>
        <v>159</v>
      </c>
      <c r="O12" s="318">
        <v>416</v>
      </c>
      <c r="P12" s="314"/>
      <c r="Q12" s="320">
        <f t="shared" si="2"/>
        <v>416</v>
      </c>
    </row>
    <row r="13" spans="1:17" s="15" customFormat="1" ht="16.5" thickBot="1">
      <c r="A13" s="317">
        <v>3</v>
      </c>
      <c r="B13" s="305" t="s">
        <v>116</v>
      </c>
      <c r="C13" s="330">
        <v>143419</v>
      </c>
      <c r="D13" s="314"/>
      <c r="E13" s="320">
        <f>SUM(C13:D13)</f>
        <v>143419</v>
      </c>
      <c r="F13" s="318">
        <v>19039</v>
      </c>
      <c r="G13" s="314"/>
      <c r="H13" s="320">
        <f>SUM(F13:G13)</f>
        <v>19039</v>
      </c>
      <c r="I13" s="314"/>
      <c r="J13" s="314"/>
      <c r="K13" s="358">
        <f t="shared" si="0"/>
        <v>0</v>
      </c>
      <c r="L13" s="314"/>
      <c r="M13" s="314">
        <v>95</v>
      </c>
      <c r="N13" s="358">
        <f t="shared" si="1"/>
        <v>95</v>
      </c>
      <c r="O13" s="318">
        <v>32182</v>
      </c>
      <c r="P13" s="314">
        <v>5949</v>
      </c>
      <c r="Q13" s="320">
        <f t="shared" si="2"/>
        <v>38131</v>
      </c>
    </row>
    <row r="14" spans="1:17" s="15" customFormat="1" ht="16.5" thickBot="1">
      <c r="A14" s="317">
        <v>4</v>
      </c>
      <c r="B14" s="305" t="s">
        <v>172</v>
      </c>
      <c r="C14" s="330"/>
      <c r="D14" s="314"/>
      <c r="E14" s="320">
        <f>SUM(C14:D14)</f>
        <v>0</v>
      </c>
      <c r="F14" s="330"/>
      <c r="G14" s="314"/>
      <c r="H14" s="320">
        <f>SUM(F14:G14)</f>
        <v>0</v>
      </c>
      <c r="I14" s="316"/>
      <c r="J14" s="316"/>
      <c r="K14" s="320">
        <f t="shared" si="0"/>
        <v>0</v>
      </c>
      <c r="L14" s="316"/>
      <c r="M14" s="316"/>
      <c r="N14" s="320">
        <f t="shared" si="1"/>
        <v>0</v>
      </c>
      <c r="O14" s="330"/>
      <c r="P14" s="314"/>
      <c r="Q14" s="320">
        <f t="shared" si="2"/>
        <v>0</v>
      </c>
    </row>
    <row r="15" spans="1:17" ht="15">
      <c r="A15" s="156" t="s">
        <v>98</v>
      </c>
      <c r="B15" s="145" t="s">
        <v>383</v>
      </c>
      <c r="C15" s="306"/>
      <c r="D15" s="226"/>
      <c r="E15" s="228">
        <f>C15+D15</f>
        <v>0</v>
      </c>
      <c r="F15" s="306"/>
      <c r="G15" s="226"/>
      <c r="H15" s="228">
        <f>F15+G15</f>
        <v>0</v>
      </c>
      <c r="I15" s="226"/>
      <c r="J15" s="226"/>
      <c r="K15" s="389">
        <f t="shared" si="0"/>
        <v>0</v>
      </c>
      <c r="L15" s="226"/>
      <c r="M15" s="226"/>
      <c r="N15" s="389">
        <f t="shared" si="1"/>
        <v>0</v>
      </c>
      <c r="O15" s="306"/>
      <c r="P15" s="226"/>
      <c r="Q15" s="228">
        <f t="shared" si="2"/>
        <v>0</v>
      </c>
    </row>
    <row r="16" spans="1:17" ht="15">
      <c r="A16" s="153" t="s">
        <v>99</v>
      </c>
      <c r="B16" s="149" t="s">
        <v>626</v>
      </c>
      <c r="C16" s="307"/>
      <c r="D16" s="139"/>
      <c r="E16" s="228">
        <f>C16+D16</f>
        <v>0</v>
      </c>
      <c r="F16" s="307"/>
      <c r="G16" s="139"/>
      <c r="H16" s="228">
        <f>F16+G16</f>
        <v>0</v>
      </c>
      <c r="I16" s="139"/>
      <c r="J16" s="139"/>
      <c r="K16" s="389">
        <f t="shared" si="0"/>
        <v>0</v>
      </c>
      <c r="L16" s="139"/>
      <c r="M16" s="139"/>
      <c r="N16" s="389">
        <f t="shared" si="1"/>
        <v>0</v>
      </c>
      <c r="O16" s="307"/>
      <c r="P16" s="139"/>
      <c r="Q16" s="228">
        <f t="shared" si="2"/>
        <v>0</v>
      </c>
    </row>
    <row r="17" spans="1:17" ht="15">
      <c r="A17" s="153" t="s">
        <v>100</v>
      </c>
      <c r="B17" s="149" t="s">
        <v>627</v>
      </c>
      <c r="C17" s="307"/>
      <c r="D17" s="139"/>
      <c r="E17" s="228">
        <f aca="true" t="shared" si="3" ref="E17:E22">C17+D17</f>
        <v>0</v>
      </c>
      <c r="F17" s="307"/>
      <c r="G17" s="139"/>
      <c r="H17" s="228">
        <f aca="true" t="shared" si="4" ref="H17:H22">F17+G17</f>
        <v>0</v>
      </c>
      <c r="I17" s="139"/>
      <c r="J17" s="139"/>
      <c r="K17" s="389">
        <f aca="true" t="shared" si="5" ref="K17:K22">SUM(I17:J17)</f>
        <v>0</v>
      </c>
      <c r="L17" s="139"/>
      <c r="M17" s="139"/>
      <c r="N17" s="389">
        <f aca="true" t="shared" si="6" ref="N17:N22">SUM(L17:M17)</f>
        <v>0</v>
      </c>
      <c r="O17" s="307"/>
      <c r="P17" s="139"/>
      <c r="Q17" s="228">
        <f aca="true" t="shared" si="7" ref="Q17:Q22">SUM(O17:P17)</f>
        <v>0</v>
      </c>
    </row>
    <row r="18" spans="1:17" ht="15">
      <c r="A18" s="153" t="s">
        <v>101</v>
      </c>
      <c r="B18" s="149" t="s">
        <v>384</v>
      </c>
      <c r="C18" s="906"/>
      <c r="D18" s="139"/>
      <c r="E18" s="228">
        <f t="shared" si="3"/>
        <v>0</v>
      </c>
      <c r="F18" s="307"/>
      <c r="G18" s="139"/>
      <c r="H18" s="228">
        <f t="shared" si="4"/>
        <v>0</v>
      </c>
      <c r="I18" s="307"/>
      <c r="J18" s="139"/>
      <c r="K18" s="228">
        <f t="shared" si="5"/>
        <v>0</v>
      </c>
      <c r="L18" s="139"/>
      <c r="M18" s="139"/>
      <c r="N18" s="389">
        <f t="shared" si="6"/>
        <v>0</v>
      </c>
      <c r="O18" s="307"/>
      <c r="P18" s="139"/>
      <c r="Q18" s="228">
        <f t="shared" si="7"/>
        <v>0</v>
      </c>
    </row>
    <row r="19" spans="1:17" ht="15">
      <c r="A19" s="148" t="s">
        <v>192</v>
      </c>
      <c r="B19" s="149" t="s">
        <v>628</v>
      </c>
      <c r="C19" s="885"/>
      <c r="D19" s="139"/>
      <c r="E19" s="228">
        <f>C19+D19</f>
        <v>0</v>
      </c>
      <c r="F19" s="307"/>
      <c r="G19" s="139"/>
      <c r="H19" s="228">
        <f>F19+G19</f>
        <v>0</v>
      </c>
      <c r="I19" s="307"/>
      <c r="J19" s="139"/>
      <c r="K19" s="228">
        <f>SUM(I19:J19)</f>
        <v>0</v>
      </c>
      <c r="L19" s="139"/>
      <c r="M19" s="139"/>
      <c r="N19" s="389">
        <f>SUM(L19:M19)</f>
        <v>0</v>
      </c>
      <c r="O19" s="307"/>
      <c r="P19" s="139"/>
      <c r="Q19" s="228">
        <f>SUM(O19:P19)</f>
        <v>0</v>
      </c>
    </row>
    <row r="20" spans="1:17" ht="15">
      <c r="A20" s="148" t="s">
        <v>339</v>
      </c>
      <c r="B20" s="149" t="s">
        <v>629</v>
      </c>
      <c r="C20" s="885"/>
      <c r="D20" s="139"/>
      <c r="E20" s="228">
        <f t="shared" si="3"/>
        <v>0</v>
      </c>
      <c r="F20" s="307"/>
      <c r="G20" s="139"/>
      <c r="H20" s="228">
        <f t="shared" si="4"/>
        <v>0</v>
      </c>
      <c r="I20" s="307"/>
      <c r="J20" s="139"/>
      <c r="K20" s="228">
        <f t="shared" si="5"/>
        <v>0</v>
      </c>
      <c r="L20" s="307"/>
      <c r="M20" s="139"/>
      <c r="N20" s="228">
        <f t="shared" si="6"/>
        <v>0</v>
      </c>
      <c r="O20" s="307"/>
      <c r="P20" s="139"/>
      <c r="Q20" s="228">
        <f t="shared" si="7"/>
        <v>0</v>
      </c>
    </row>
    <row r="21" spans="1:17" ht="15">
      <c r="A21" s="146" t="s">
        <v>340</v>
      </c>
      <c r="B21" s="149" t="s">
        <v>385</v>
      </c>
      <c r="C21" s="887"/>
      <c r="D21" s="226"/>
      <c r="E21" s="228">
        <f>C21+D21</f>
        <v>0</v>
      </c>
      <c r="F21" s="306">
        <v>1000</v>
      </c>
      <c r="G21" s="226"/>
      <c r="H21" s="228">
        <f t="shared" si="4"/>
        <v>1000</v>
      </c>
      <c r="I21" s="306">
        <v>430</v>
      </c>
      <c r="J21" s="226"/>
      <c r="K21" s="228">
        <f t="shared" si="5"/>
        <v>430</v>
      </c>
      <c r="L21" s="306">
        <v>9522</v>
      </c>
      <c r="M21" s="226">
        <v>2750</v>
      </c>
      <c r="N21" s="228">
        <f t="shared" si="6"/>
        <v>12272</v>
      </c>
      <c r="O21" s="306">
        <v>5000</v>
      </c>
      <c r="P21" s="226"/>
      <c r="Q21" s="228">
        <f t="shared" si="7"/>
        <v>5000</v>
      </c>
    </row>
    <row r="22" spans="1:17" ht="15" customHeight="1" thickBot="1">
      <c r="A22" s="16" t="s">
        <v>69</v>
      </c>
      <c r="B22" s="334" t="s">
        <v>386</v>
      </c>
      <c r="C22" s="886"/>
      <c r="D22" s="151"/>
      <c r="E22" s="228">
        <f t="shared" si="3"/>
        <v>0</v>
      </c>
      <c r="F22" s="308"/>
      <c r="G22" s="151"/>
      <c r="H22" s="228">
        <f t="shared" si="4"/>
        <v>0</v>
      </c>
      <c r="I22" s="308"/>
      <c r="J22" s="151"/>
      <c r="K22" s="228">
        <f t="shared" si="5"/>
        <v>0</v>
      </c>
      <c r="L22" s="308"/>
      <c r="M22" s="151"/>
      <c r="N22" s="228">
        <f t="shared" si="6"/>
        <v>0</v>
      </c>
      <c r="O22" s="308"/>
      <c r="P22" s="151"/>
      <c r="Q22" s="228">
        <f t="shared" si="7"/>
        <v>0</v>
      </c>
    </row>
    <row r="23" spans="1:17" s="15" customFormat="1" ht="16.5" thickBot="1">
      <c r="A23" s="317">
        <v>5</v>
      </c>
      <c r="B23" s="305" t="s">
        <v>171</v>
      </c>
      <c r="C23" s="347">
        <f aca="true" t="shared" si="8" ref="C23:Q23">SUM(C15:C22)</f>
        <v>0</v>
      </c>
      <c r="D23" s="314">
        <f t="shared" si="8"/>
        <v>0</v>
      </c>
      <c r="E23" s="320">
        <f t="shared" si="8"/>
        <v>0</v>
      </c>
      <c r="F23" s="330">
        <f t="shared" si="8"/>
        <v>1000</v>
      </c>
      <c r="G23" s="314">
        <f t="shared" si="8"/>
        <v>0</v>
      </c>
      <c r="H23" s="330">
        <f t="shared" si="8"/>
        <v>1000</v>
      </c>
      <c r="I23" s="347">
        <f t="shared" si="8"/>
        <v>430</v>
      </c>
      <c r="J23" s="314">
        <f t="shared" si="8"/>
        <v>0</v>
      </c>
      <c r="K23" s="320">
        <f t="shared" si="8"/>
        <v>430</v>
      </c>
      <c r="L23" s="347">
        <f t="shared" si="8"/>
        <v>9522</v>
      </c>
      <c r="M23" s="314">
        <f t="shared" si="8"/>
        <v>2750</v>
      </c>
      <c r="N23" s="320">
        <f t="shared" si="8"/>
        <v>12272</v>
      </c>
      <c r="O23" s="347">
        <f t="shared" si="8"/>
        <v>5000</v>
      </c>
      <c r="P23" s="314">
        <f t="shared" si="8"/>
        <v>0</v>
      </c>
      <c r="Q23" s="320">
        <f t="shared" si="8"/>
        <v>5000</v>
      </c>
    </row>
    <row r="24" spans="1:17" ht="16.5" thickBot="1">
      <c r="A24" s="313">
        <v>6</v>
      </c>
      <c r="B24" s="305" t="s">
        <v>174</v>
      </c>
      <c r="C24" s="318"/>
      <c r="D24" s="314"/>
      <c r="E24" s="320">
        <f aca="true" t="shared" si="9" ref="E24:E30">SUM(C24:D24)</f>
        <v>0</v>
      </c>
      <c r="F24" s="318">
        <v>9727</v>
      </c>
      <c r="G24" s="314"/>
      <c r="H24" s="320">
        <f aca="true" t="shared" si="10" ref="H24:H30">SUM(F24:G24)</f>
        <v>9727</v>
      </c>
      <c r="I24" s="318"/>
      <c r="J24" s="314"/>
      <c r="K24" s="320">
        <f aca="true" t="shared" si="11" ref="K24:K30">SUM(I24:J24)</f>
        <v>0</v>
      </c>
      <c r="L24" s="318"/>
      <c r="M24" s="314"/>
      <c r="N24" s="320">
        <f aca="true" t="shared" si="12" ref="N24:N30">SUM(L24:M24)</f>
        <v>0</v>
      </c>
      <c r="O24" s="347">
        <v>2000</v>
      </c>
      <c r="P24" s="314"/>
      <c r="Q24" s="320">
        <f aca="true" t="shared" si="13" ref="Q24:Q30">SUM(O24:P24)</f>
        <v>2000</v>
      </c>
    </row>
    <row r="25" spans="1:17" s="15" customFormat="1" ht="16.5" thickBot="1">
      <c r="A25" s="313">
        <v>7</v>
      </c>
      <c r="B25" s="305" t="s">
        <v>435</v>
      </c>
      <c r="C25" s="318"/>
      <c r="D25" s="314"/>
      <c r="E25" s="320">
        <f t="shared" si="9"/>
        <v>0</v>
      </c>
      <c r="F25" s="318"/>
      <c r="G25" s="314"/>
      <c r="H25" s="330">
        <f t="shared" si="10"/>
        <v>0</v>
      </c>
      <c r="I25" s="347"/>
      <c r="J25" s="314"/>
      <c r="K25" s="320">
        <f t="shared" si="11"/>
        <v>0</v>
      </c>
      <c r="L25" s="330"/>
      <c r="M25" s="314"/>
      <c r="N25" s="320">
        <f t="shared" si="12"/>
        <v>0</v>
      </c>
      <c r="O25" s="318"/>
      <c r="P25" s="314"/>
      <c r="Q25" s="320">
        <f t="shared" si="13"/>
        <v>0</v>
      </c>
    </row>
    <row r="26" spans="1:17" ht="15">
      <c r="A26" s="156" t="s">
        <v>98</v>
      </c>
      <c r="B26" s="149" t="s">
        <v>632</v>
      </c>
      <c r="C26" s="306"/>
      <c r="D26" s="226"/>
      <c r="E26" s="228">
        <f t="shared" si="9"/>
        <v>0</v>
      </c>
      <c r="F26" s="306"/>
      <c r="G26" s="226"/>
      <c r="H26" s="228">
        <f t="shared" si="10"/>
        <v>0</v>
      </c>
      <c r="I26" s="306"/>
      <c r="J26" s="226"/>
      <c r="K26" s="228">
        <f t="shared" si="11"/>
        <v>0</v>
      </c>
      <c r="L26" s="306"/>
      <c r="M26" s="226"/>
      <c r="N26" s="228">
        <f t="shared" si="12"/>
        <v>0</v>
      </c>
      <c r="O26" s="306"/>
      <c r="P26" s="226"/>
      <c r="Q26" s="228">
        <f t="shared" si="13"/>
        <v>0</v>
      </c>
    </row>
    <row r="27" spans="1:17" ht="15">
      <c r="A27" s="156" t="s">
        <v>99</v>
      </c>
      <c r="B27" s="149" t="s">
        <v>630</v>
      </c>
      <c r="C27" s="306"/>
      <c r="D27" s="226"/>
      <c r="E27" s="228">
        <f t="shared" si="9"/>
        <v>0</v>
      </c>
      <c r="F27" s="306"/>
      <c r="G27" s="226"/>
      <c r="H27" s="228">
        <f t="shared" si="10"/>
        <v>0</v>
      </c>
      <c r="I27" s="306"/>
      <c r="J27" s="226"/>
      <c r="K27" s="228">
        <f t="shared" si="11"/>
        <v>0</v>
      </c>
      <c r="L27" s="306"/>
      <c r="M27" s="226"/>
      <c r="N27" s="228">
        <f t="shared" si="12"/>
        <v>0</v>
      </c>
      <c r="O27" s="306"/>
      <c r="P27" s="226"/>
      <c r="Q27" s="228">
        <f t="shared" si="13"/>
        <v>0</v>
      </c>
    </row>
    <row r="28" spans="1:17" ht="15">
      <c r="A28" s="156" t="s">
        <v>100</v>
      </c>
      <c r="B28" s="149" t="s">
        <v>387</v>
      </c>
      <c r="C28" s="306"/>
      <c r="D28" s="226"/>
      <c r="E28" s="228">
        <f t="shared" si="9"/>
        <v>0</v>
      </c>
      <c r="F28" s="306"/>
      <c r="G28" s="226"/>
      <c r="H28" s="228">
        <f t="shared" si="10"/>
        <v>0</v>
      </c>
      <c r="I28" s="306"/>
      <c r="J28" s="226"/>
      <c r="K28" s="228">
        <f t="shared" si="11"/>
        <v>0</v>
      </c>
      <c r="L28" s="306"/>
      <c r="M28" s="226"/>
      <c r="N28" s="228">
        <f t="shared" si="12"/>
        <v>0</v>
      </c>
      <c r="O28" s="306"/>
      <c r="P28" s="226"/>
      <c r="Q28" s="228">
        <f t="shared" si="13"/>
        <v>0</v>
      </c>
    </row>
    <row r="29" spans="1:17" ht="15">
      <c r="A29" s="156" t="s">
        <v>101</v>
      </c>
      <c r="B29" s="149" t="s">
        <v>631</v>
      </c>
      <c r="C29" s="306"/>
      <c r="D29" s="226"/>
      <c r="E29" s="228">
        <f t="shared" si="9"/>
        <v>0</v>
      </c>
      <c r="F29" s="306"/>
      <c r="G29" s="226"/>
      <c r="H29" s="228">
        <f t="shared" si="10"/>
        <v>0</v>
      </c>
      <c r="I29" s="306"/>
      <c r="J29" s="226"/>
      <c r="K29" s="228">
        <f t="shared" si="11"/>
        <v>0</v>
      </c>
      <c r="L29" s="306"/>
      <c r="M29" s="226"/>
      <c r="N29" s="228">
        <f t="shared" si="12"/>
        <v>0</v>
      </c>
      <c r="O29" s="306"/>
      <c r="P29" s="226"/>
      <c r="Q29" s="228">
        <f t="shared" si="13"/>
        <v>0</v>
      </c>
    </row>
    <row r="30" spans="1:17" ht="15.75" thickBot="1">
      <c r="A30" s="335" t="s">
        <v>192</v>
      </c>
      <c r="B30" s="149" t="s">
        <v>388</v>
      </c>
      <c r="C30" s="329"/>
      <c r="D30" s="321"/>
      <c r="E30" s="324">
        <f t="shared" si="9"/>
        <v>0</v>
      </c>
      <c r="F30" s="329">
        <v>300</v>
      </c>
      <c r="G30" s="321"/>
      <c r="H30" s="324">
        <f t="shared" si="10"/>
        <v>300</v>
      </c>
      <c r="I30" s="329"/>
      <c r="J30" s="321"/>
      <c r="K30" s="324">
        <f t="shared" si="11"/>
        <v>0</v>
      </c>
      <c r="L30" s="329">
        <v>5000</v>
      </c>
      <c r="M30" s="321"/>
      <c r="N30" s="324">
        <f t="shared" si="12"/>
        <v>5000</v>
      </c>
      <c r="O30" s="329">
        <v>19173</v>
      </c>
      <c r="P30" s="321">
        <v>-6132</v>
      </c>
      <c r="Q30" s="324">
        <f t="shared" si="13"/>
        <v>13041</v>
      </c>
    </row>
    <row r="31" spans="1:17" s="15" customFormat="1" ht="16.5" thickBot="1">
      <c r="A31" s="313">
        <v>8</v>
      </c>
      <c r="B31" s="305" t="s">
        <v>173</v>
      </c>
      <c r="C31" s="347">
        <f aca="true" t="shared" si="14" ref="C31:Q31">SUM(C26:C30)</f>
        <v>0</v>
      </c>
      <c r="D31" s="314">
        <f t="shared" si="14"/>
        <v>0</v>
      </c>
      <c r="E31" s="320">
        <f t="shared" si="14"/>
        <v>0</v>
      </c>
      <c r="F31" s="330">
        <f t="shared" si="14"/>
        <v>300</v>
      </c>
      <c r="G31" s="314">
        <f t="shared" si="14"/>
        <v>0</v>
      </c>
      <c r="H31" s="330">
        <f t="shared" si="14"/>
        <v>300</v>
      </c>
      <c r="I31" s="347">
        <f t="shared" si="14"/>
        <v>0</v>
      </c>
      <c r="J31" s="314">
        <f t="shared" si="14"/>
        <v>0</v>
      </c>
      <c r="K31" s="320">
        <f t="shared" si="14"/>
        <v>0</v>
      </c>
      <c r="L31" s="347">
        <f t="shared" si="14"/>
        <v>5000</v>
      </c>
      <c r="M31" s="314">
        <f t="shared" si="14"/>
        <v>0</v>
      </c>
      <c r="N31" s="330">
        <f t="shared" si="14"/>
        <v>5000</v>
      </c>
      <c r="O31" s="347">
        <f t="shared" si="14"/>
        <v>19173</v>
      </c>
      <c r="P31" s="314">
        <f t="shared" si="14"/>
        <v>-6132</v>
      </c>
      <c r="Q31" s="320">
        <f t="shared" si="14"/>
        <v>13041</v>
      </c>
    </row>
    <row r="32" spans="1:17" ht="16.5" thickBot="1">
      <c r="A32" s="313">
        <v>9</v>
      </c>
      <c r="B32" s="305" t="s">
        <v>179</v>
      </c>
      <c r="C32" s="318"/>
      <c r="D32" s="314"/>
      <c r="E32" s="320">
        <f>SUM(C32:D32)</f>
        <v>0</v>
      </c>
      <c r="F32" s="318"/>
      <c r="G32" s="314"/>
      <c r="H32" s="320">
        <f>SUM(F32:G32)</f>
        <v>0</v>
      </c>
      <c r="I32" s="318"/>
      <c r="J32" s="314"/>
      <c r="K32" s="320">
        <f>SUM(I32:J32)</f>
        <v>0</v>
      </c>
      <c r="L32" s="318"/>
      <c r="M32" s="314"/>
      <c r="N32" s="320">
        <f>SUM(L32:M32)</f>
        <v>0</v>
      </c>
      <c r="O32" s="347"/>
      <c r="P32" s="314"/>
      <c r="Q32" s="320">
        <f>SUM(O32:P32)</f>
        <v>0</v>
      </c>
    </row>
    <row r="33" spans="1:17" s="32" customFormat="1" ht="16.5" thickBot="1">
      <c r="A33" s="367">
        <v>10</v>
      </c>
      <c r="B33" s="368"/>
      <c r="C33" s="158"/>
      <c r="D33" s="369"/>
      <c r="E33" s="1107">
        <f>SUM(C33:D33)</f>
        <v>0</v>
      </c>
      <c r="F33" s="158"/>
      <c r="G33" s="369"/>
      <c r="H33" s="1107">
        <f>SUM(F33:G33)</f>
        <v>0</v>
      </c>
      <c r="I33" s="158"/>
      <c r="J33" s="369"/>
      <c r="K33" s="1107">
        <f>SUM(I33:J33)</f>
        <v>0</v>
      </c>
      <c r="L33" s="158"/>
      <c r="M33" s="369"/>
      <c r="N33" s="1107">
        <f>SUM(L33:M33)</f>
        <v>0</v>
      </c>
      <c r="O33" s="158"/>
      <c r="P33" s="369"/>
      <c r="Q33" s="1107">
        <f>SUM(O33:P33)</f>
        <v>0</v>
      </c>
    </row>
    <row r="34" spans="1:113" s="35" customFormat="1" ht="17.25" thickBot="1" thickTop="1">
      <c r="A34" s="343" t="s">
        <v>108</v>
      </c>
      <c r="B34" s="366" t="s">
        <v>180</v>
      </c>
      <c r="C34" s="365">
        <f aca="true" t="shared" si="15" ref="C34:Q34">C11+C12+C13+C23+C14+C31+C25+C24+C32+C33</f>
        <v>144740</v>
      </c>
      <c r="D34" s="344">
        <f t="shared" si="15"/>
        <v>0</v>
      </c>
      <c r="E34" s="778">
        <f t="shared" si="15"/>
        <v>144740</v>
      </c>
      <c r="F34" s="365">
        <f t="shared" si="15"/>
        <v>30066</v>
      </c>
      <c r="G34" s="344">
        <f t="shared" si="15"/>
        <v>0</v>
      </c>
      <c r="H34" s="778">
        <f t="shared" si="15"/>
        <v>30066</v>
      </c>
      <c r="I34" s="365">
        <f t="shared" si="15"/>
        <v>10146</v>
      </c>
      <c r="J34" s="344">
        <f t="shared" si="15"/>
        <v>0</v>
      </c>
      <c r="K34" s="778">
        <f t="shared" si="15"/>
        <v>10146</v>
      </c>
      <c r="L34" s="365">
        <f t="shared" si="15"/>
        <v>15515</v>
      </c>
      <c r="M34" s="344">
        <f t="shared" si="15"/>
        <v>2853</v>
      </c>
      <c r="N34" s="778">
        <f t="shared" si="15"/>
        <v>18368</v>
      </c>
      <c r="O34" s="365">
        <f t="shared" si="15"/>
        <v>61201</v>
      </c>
      <c r="P34" s="344">
        <f t="shared" si="15"/>
        <v>-132</v>
      </c>
      <c r="Q34" s="374">
        <f t="shared" si="15"/>
        <v>61069</v>
      </c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</row>
    <row r="35" spans="1:113" ht="17.25" thickBot="1" thickTop="1">
      <c r="A35" s="144"/>
      <c r="B35" s="346" t="s">
        <v>131</v>
      </c>
      <c r="C35" s="1077"/>
      <c r="D35" s="302"/>
      <c r="E35" s="1108"/>
      <c r="F35" s="888"/>
      <c r="G35" s="302"/>
      <c r="H35" s="1108"/>
      <c r="I35" s="935"/>
      <c r="J35" s="302"/>
      <c r="K35" s="1108"/>
      <c r="L35" s="935"/>
      <c r="M35" s="302"/>
      <c r="N35" s="1108"/>
      <c r="O35" s="1077"/>
      <c r="P35" s="302"/>
      <c r="Q35" s="1108"/>
      <c r="R35" s="26"/>
      <c r="S35" s="26"/>
      <c r="T35" s="26"/>
      <c r="U35" s="26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</row>
    <row r="36" spans="1:17" s="762" customFormat="1" ht="15">
      <c r="A36" s="769" t="s">
        <v>98</v>
      </c>
      <c r="B36" s="770" t="s">
        <v>389</v>
      </c>
      <c r="C36" s="1085"/>
      <c r="D36" s="771"/>
      <c r="E36" s="776">
        <f>SUM(C36:D36)</f>
        <v>0</v>
      </c>
      <c r="F36" s="775"/>
      <c r="G36" s="771"/>
      <c r="H36" s="776">
        <f>SUM(F36:G36)</f>
        <v>0</v>
      </c>
      <c r="I36" s="1085"/>
      <c r="J36" s="771"/>
      <c r="K36" s="776">
        <f>SUM(I36:J36)</f>
        <v>0</v>
      </c>
      <c r="L36" s="1085"/>
      <c r="M36" s="771"/>
      <c r="N36" s="776">
        <f>SUM(L36:M36)</f>
        <v>0</v>
      </c>
      <c r="O36" s="1085"/>
      <c r="P36" s="771"/>
      <c r="Q36" s="776">
        <f>SUM(O36:P36)</f>
        <v>0</v>
      </c>
    </row>
    <row r="37" spans="1:17" s="762" customFormat="1" ht="15">
      <c r="A37" s="153" t="s">
        <v>99</v>
      </c>
      <c r="B37" s="149" t="s">
        <v>245</v>
      </c>
      <c r="C37" s="906"/>
      <c r="D37" s="139"/>
      <c r="E37" s="162">
        <f>SUM(C37:D37)</f>
        <v>0</v>
      </c>
      <c r="F37" s="885"/>
      <c r="G37" s="139"/>
      <c r="H37" s="162">
        <f>SUM(F37:G37)</f>
        <v>0</v>
      </c>
      <c r="I37" s="906"/>
      <c r="J37" s="139"/>
      <c r="K37" s="162">
        <f>SUM(I37:J37)</f>
        <v>0</v>
      </c>
      <c r="L37" s="906"/>
      <c r="M37" s="139"/>
      <c r="N37" s="162">
        <f>SUM(L37:M37)</f>
        <v>0</v>
      </c>
      <c r="O37" s="906"/>
      <c r="P37" s="139"/>
      <c r="Q37" s="162">
        <f>SUM(O37:P37)</f>
        <v>0</v>
      </c>
    </row>
    <row r="38" spans="1:17" s="762" customFormat="1" ht="15">
      <c r="A38" s="335" t="s">
        <v>100</v>
      </c>
      <c r="B38" s="142" t="s">
        <v>390</v>
      </c>
      <c r="C38" s="1076"/>
      <c r="D38" s="321"/>
      <c r="E38" s="324">
        <f>SUM(C38:D38)</f>
        <v>0</v>
      </c>
      <c r="F38" s="157"/>
      <c r="G38" s="321"/>
      <c r="H38" s="324">
        <f>SUM(F38:G38)</f>
        <v>0</v>
      </c>
      <c r="I38" s="1076"/>
      <c r="J38" s="321"/>
      <c r="K38" s="324">
        <f>SUM(I38:J38)</f>
        <v>0</v>
      </c>
      <c r="L38" s="1076"/>
      <c r="M38" s="321"/>
      <c r="N38" s="324">
        <f>SUM(L38:M38)</f>
        <v>0</v>
      </c>
      <c r="O38" s="1076"/>
      <c r="P38" s="321"/>
      <c r="Q38" s="324">
        <f>SUM(O38:P38)</f>
        <v>0</v>
      </c>
    </row>
    <row r="39" spans="1:17" s="762" customFormat="1" ht="15.75" thickBot="1">
      <c r="A39" s="154" t="s">
        <v>101</v>
      </c>
      <c r="B39" s="155" t="s">
        <v>394</v>
      </c>
      <c r="C39" s="907"/>
      <c r="D39" s="151"/>
      <c r="E39" s="238">
        <f>SUM(C39:D39)</f>
        <v>0</v>
      </c>
      <c r="F39" s="886"/>
      <c r="G39" s="151"/>
      <c r="H39" s="238">
        <f>SUM(F39:G39)</f>
        <v>0</v>
      </c>
      <c r="I39" s="907"/>
      <c r="J39" s="151"/>
      <c r="K39" s="238">
        <f>SUM(I39:J39)</f>
        <v>0</v>
      </c>
      <c r="L39" s="907"/>
      <c r="M39" s="151"/>
      <c r="N39" s="238">
        <f>SUM(L39:M39)</f>
        <v>0</v>
      </c>
      <c r="O39" s="907"/>
      <c r="P39" s="151"/>
      <c r="Q39" s="238">
        <f>SUM(O39:P39)</f>
        <v>0</v>
      </c>
    </row>
    <row r="40" spans="1:17" s="15" customFormat="1" ht="16.5" thickBot="1">
      <c r="A40" s="313">
        <v>1</v>
      </c>
      <c r="B40" s="305" t="s">
        <v>177</v>
      </c>
      <c r="C40" s="347">
        <f aca="true" t="shared" si="16" ref="C40:Q40">SUM(C36:C39)</f>
        <v>0</v>
      </c>
      <c r="D40" s="314">
        <f t="shared" si="16"/>
        <v>0</v>
      </c>
      <c r="E40" s="320">
        <f t="shared" si="16"/>
        <v>0</v>
      </c>
      <c r="F40" s="347">
        <f t="shared" si="16"/>
        <v>0</v>
      </c>
      <c r="G40" s="314">
        <f t="shared" si="16"/>
        <v>0</v>
      </c>
      <c r="H40" s="320">
        <f t="shared" si="16"/>
        <v>0</v>
      </c>
      <c r="I40" s="347">
        <f t="shared" si="16"/>
        <v>0</v>
      </c>
      <c r="J40" s="314">
        <f t="shared" si="16"/>
        <v>0</v>
      </c>
      <c r="K40" s="320">
        <f t="shared" si="16"/>
        <v>0</v>
      </c>
      <c r="L40" s="347">
        <f t="shared" si="16"/>
        <v>0</v>
      </c>
      <c r="M40" s="314">
        <f t="shared" si="16"/>
        <v>0</v>
      </c>
      <c r="N40" s="320">
        <f t="shared" si="16"/>
        <v>0</v>
      </c>
      <c r="O40" s="347">
        <f t="shared" si="16"/>
        <v>0</v>
      </c>
      <c r="P40" s="314">
        <f t="shared" si="16"/>
        <v>0</v>
      </c>
      <c r="Q40" s="320">
        <f t="shared" si="16"/>
        <v>0</v>
      </c>
    </row>
    <row r="41" spans="1:17" ht="15">
      <c r="A41" s="156" t="s">
        <v>98</v>
      </c>
      <c r="B41" s="145" t="s">
        <v>416</v>
      </c>
      <c r="C41" s="1075"/>
      <c r="D41" s="226"/>
      <c r="E41" s="228">
        <f>SUM(C41:D41)</f>
        <v>0</v>
      </c>
      <c r="F41" s="887"/>
      <c r="G41" s="226"/>
      <c r="H41" s="228">
        <f>SUM(F41:G41)</f>
        <v>0</v>
      </c>
      <c r="I41" s="1075"/>
      <c r="J41" s="226"/>
      <c r="K41" s="228">
        <f>SUM(I41:J41)</f>
        <v>0</v>
      </c>
      <c r="L41" s="1075"/>
      <c r="M41" s="226"/>
      <c r="N41" s="228">
        <f>SUM(L41:M41)</f>
        <v>0</v>
      </c>
      <c r="O41" s="1075"/>
      <c r="P41" s="226"/>
      <c r="Q41" s="228">
        <f>SUM(O41:P41)</f>
        <v>0</v>
      </c>
    </row>
    <row r="42" spans="1:17" ht="15">
      <c r="A42" s="153" t="s">
        <v>99</v>
      </c>
      <c r="B42" s="149" t="s">
        <v>391</v>
      </c>
      <c r="C42" s="906"/>
      <c r="D42" s="139"/>
      <c r="E42" s="162">
        <f>SUM(C42:D42)</f>
        <v>0</v>
      </c>
      <c r="F42" s="885"/>
      <c r="G42" s="139"/>
      <c r="H42" s="162">
        <f>SUM(F42:G42)</f>
        <v>0</v>
      </c>
      <c r="I42" s="906"/>
      <c r="J42" s="139"/>
      <c r="K42" s="162">
        <f>SUM(I42:J42)</f>
        <v>0</v>
      </c>
      <c r="L42" s="906"/>
      <c r="M42" s="139"/>
      <c r="N42" s="162">
        <f>SUM(L42:M42)</f>
        <v>0</v>
      </c>
      <c r="O42" s="906"/>
      <c r="P42" s="139"/>
      <c r="Q42" s="162">
        <f>SUM(O42:P42)</f>
        <v>0</v>
      </c>
    </row>
    <row r="43" spans="1:17" ht="15">
      <c r="A43" s="153" t="s">
        <v>100</v>
      </c>
      <c r="B43" s="149" t="s">
        <v>392</v>
      </c>
      <c r="C43" s="906"/>
      <c r="D43" s="139"/>
      <c r="E43" s="162">
        <f>SUM(C43:D43)</f>
        <v>0</v>
      </c>
      <c r="F43" s="885"/>
      <c r="G43" s="139"/>
      <c r="H43" s="162">
        <f>SUM(F43:G43)</f>
        <v>0</v>
      </c>
      <c r="I43" s="906"/>
      <c r="J43" s="139"/>
      <c r="K43" s="162">
        <f>SUM(I43:J43)</f>
        <v>0</v>
      </c>
      <c r="L43" s="906"/>
      <c r="M43" s="139"/>
      <c r="N43" s="162">
        <f>SUM(L43:M43)</f>
        <v>0</v>
      </c>
      <c r="O43" s="906"/>
      <c r="P43" s="139"/>
      <c r="Q43" s="162">
        <f>SUM(O43:P43)</f>
        <v>0</v>
      </c>
    </row>
    <row r="44" spans="1:17" ht="15.75" thickBot="1">
      <c r="A44" s="154" t="s">
        <v>101</v>
      </c>
      <c r="B44" s="155" t="s">
        <v>175</v>
      </c>
      <c r="C44" s="907"/>
      <c r="D44" s="151"/>
      <c r="E44" s="238">
        <f>SUM(C44:D44)</f>
        <v>0</v>
      </c>
      <c r="F44" s="886"/>
      <c r="G44" s="151"/>
      <c r="H44" s="238">
        <f>SUM(F44:G44)</f>
        <v>0</v>
      </c>
      <c r="I44" s="907"/>
      <c r="J44" s="151"/>
      <c r="K44" s="238">
        <f>SUM(I44:J44)</f>
        <v>0</v>
      </c>
      <c r="L44" s="907"/>
      <c r="M44" s="151"/>
      <c r="N44" s="238">
        <f>SUM(L44:M44)</f>
        <v>0</v>
      </c>
      <c r="O44" s="907"/>
      <c r="P44" s="151"/>
      <c r="Q44" s="238">
        <f>SUM(O44:P44)</f>
        <v>0</v>
      </c>
    </row>
    <row r="45" spans="1:17" s="15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7" ref="D45:Q45">SUM(D41:D44)</f>
        <v>0</v>
      </c>
      <c r="E45" s="316">
        <f t="shared" si="17"/>
        <v>0</v>
      </c>
      <c r="F45" s="347">
        <f t="shared" si="17"/>
        <v>0</v>
      </c>
      <c r="G45" s="314">
        <f t="shared" si="17"/>
        <v>0</v>
      </c>
      <c r="H45" s="316">
        <f t="shared" si="17"/>
        <v>0</v>
      </c>
      <c r="I45" s="347">
        <f t="shared" si="17"/>
        <v>0</v>
      </c>
      <c r="J45" s="314">
        <f t="shared" si="17"/>
        <v>0</v>
      </c>
      <c r="K45" s="316">
        <f t="shared" si="17"/>
        <v>0</v>
      </c>
      <c r="L45" s="347">
        <f t="shared" si="17"/>
        <v>0</v>
      </c>
      <c r="M45" s="314">
        <f t="shared" si="17"/>
        <v>0</v>
      </c>
      <c r="N45" s="330">
        <f t="shared" si="17"/>
        <v>0</v>
      </c>
      <c r="O45" s="347">
        <f t="shared" si="17"/>
        <v>0</v>
      </c>
      <c r="P45" s="314">
        <f t="shared" si="17"/>
        <v>0</v>
      </c>
      <c r="Q45" s="320">
        <f t="shared" si="17"/>
        <v>0</v>
      </c>
    </row>
    <row r="46" spans="1:17" s="15" customFormat="1" ht="16.5" thickBot="1">
      <c r="A46" s="313">
        <v>3</v>
      </c>
      <c r="B46" s="305" t="s">
        <v>264</v>
      </c>
      <c r="C46" s="347">
        <v>1270</v>
      </c>
      <c r="D46" s="314"/>
      <c r="E46" s="316">
        <f>SUM(C46:D46)</f>
        <v>1270</v>
      </c>
      <c r="F46" s="347">
        <v>9205</v>
      </c>
      <c r="G46" s="314"/>
      <c r="H46" s="316">
        <f>SUM(F46:G46)</f>
        <v>9205</v>
      </c>
      <c r="I46" s="347"/>
      <c r="J46" s="314"/>
      <c r="K46" s="316">
        <f>SUM(I46:J46)</f>
        <v>0</v>
      </c>
      <c r="L46" s="347"/>
      <c r="M46" s="314"/>
      <c r="N46" s="330">
        <f>SUM(L46:M46)</f>
        <v>0</v>
      </c>
      <c r="O46" s="347"/>
      <c r="P46" s="314"/>
      <c r="Q46" s="320">
        <f>SUM(O46:P46)</f>
        <v>0</v>
      </c>
    </row>
    <row r="47" spans="1:17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16">
        <f>SUM(I47:J47)</f>
        <v>0</v>
      </c>
      <c r="L47" s="347">
        <v>200</v>
      </c>
      <c r="M47" s="314"/>
      <c r="N47" s="330">
        <f>SUM(L47:M47)</f>
        <v>200</v>
      </c>
      <c r="O47" s="347"/>
      <c r="P47" s="314"/>
      <c r="Q47" s="320">
        <f>SUM(O47:P47)</f>
        <v>0</v>
      </c>
    </row>
    <row r="48" spans="1:17" s="762" customFormat="1" ht="15">
      <c r="A48" s="156" t="s">
        <v>98</v>
      </c>
      <c r="B48" s="142" t="s">
        <v>291</v>
      </c>
      <c r="C48" s="1075"/>
      <c r="D48" s="226"/>
      <c r="E48" s="228">
        <f>SUM(C48:D48)</f>
        <v>0</v>
      </c>
      <c r="F48" s="887"/>
      <c r="G48" s="226"/>
      <c r="H48" s="228">
        <f>SUM(F48:G48)</f>
        <v>0</v>
      </c>
      <c r="I48" s="1075"/>
      <c r="J48" s="226"/>
      <c r="K48" s="228">
        <f>SUM(I48:J48)</f>
        <v>0</v>
      </c>
      <c r="L48" s="1075"/>
      <c r="M48" s="226"/>
      <c r="N48" s="228">
        <f>SUM(L48:M48)</f>
        <v>0</v>
      </c>
      <c r="O48" s="1075"/>
      <c r="P48" s="226"/>
      <c r="Q48" s="228">
        <f>SUM(O48:P48)</f>
        <v>0</v>
      </c>
    </row>
    <row r="49" spans="1:17" ht="1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06"/>
      <c r="M49" s="139"/>
      <c r="N49" s="162">
        <f>SUM(L49:M49)</f>
        <v>0</v>
      </c>
      <c r="O49" s="906"/>
      <c r="P49" s="139"/>
      <c r="Q49" s="162">
        <f>SUM(O49:P49)</f>
        <v>0</v>
      </c>
    </row>
    <row r="50" spans="1:17" ht="15.75" thickBot="1">
      <c r="A50" s="154" t="s">
        <v>100</v>
      </c>
      <c r="B50" s="334" t="s">
        <v>426</v>
      </c>
      <c r="C50" s="906"/>
      <c r="D50" s="139"/>
      <c r="E50" s="162">
        <f>SUM(C50:D50)</f>
        <v>0</v>
      </c>
      <c r="F50" s="885"/>
      <c r="G50" s="139"/>
      <c r="H50" s="162">
        <f>SUM(F50:G50)</f>
        <v>0</v>
      </c>
      <c r="I50" s="906"/>
      <c r="J50" s="139"/>
      <c r="K50" s="162">
        <f>SUM(I50:J50)</f>
        <v>0</v>
      </c>
      <c r="L50" s="906"/>
      <c r="M50" s="139"/>
      <c r="N50" s="162">
        <f>SUM(L50:M50)</f>
        <v>0</v>
      </c>
      <c r="O50" s="906"/>
      <c r="P50" s="139"/>
      <c r="Q50" s="162">
        <f>SUM(O50:P50)</f>
        <v>0</v>
      </c>
    </row>
    <row r="51" spans="1:17" s="15" customFormat="1" ht="16.5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16">
        <f aca="true" t="shared" si="18" ref="E51:Q51">SUM(E48:E50)</f>
        <v>0</v>
      </c>
      <c r="F51" s="347">
        <f t="shared" si="18"/>
        <v>0</v>
      </c>
      <c r="G51" s="314">
        <f t="shared" si="18"/>
        <v>0</v>
      </c>
      <c r="H51" s="316">
        <f t="shared" si="18"/>
        <v>0</v>
      </c>
      <c r="I51" s="347">
        <f t="shared" si="18"/>
        <v>0</v>
      </c>
      <c r="J51" s="314">
        <f t="shared" si="18"/>
        <v>0</v>
      </c>
      <c r="K51" s="316">
        <f t="shared" si="18"/>
        <v>0</v>
      </c>
      <c r="L51" s="347">
        <f t="shared" si="18"/>
        <v>0</v>
      </c>
      <c r="M51" s="314">
        <f t="shared" si="18"/>
        <v>0</v>
      </c>
      <c r="N51" s="316">
        <f t="shared" si="18"/>
        <v>0</v>
      </c>
      <c r="O51" s="347">
        <f t="shared" si="18"/>
        <v>0</v>
      </c>
      <c r="P51" s="314">
        <f t="shared" si="18"/>
        <v>0</v>
      </c>
      <c r="Q51" s="320">
        <f t="shared" si="18"/>
        <v>0</v>
      </c>
    </row>
    <row r="52" spans="1:17" s="15" customFormat="1" ht="16.5" thickBot="1">
      <c r="A52" s="765">
        <v>6</v>
      </c>
      <c r="B52" s="766" t="s">
        <v>295</v>
      </c>
      <c r="C52" s="1078"/>
      <c r="D52" s="339"/>
      <c r="E52" s="332">
        <f>SUM(C52:D52)</f>
        <v>0</v>
      </c>
      <c r="F52" s="333"/>
      <c r="G52" s="339"/>
      <c r="H52" s="332">
        <f>SUM(F52:G52)</f>
        <v>0</v>
      </c>
      <c r="I52" s="1084"/>
      <c r="J52" s="339"/>
      <c r="K52" s="332">
        <f>SUM(I52:J52)</f>
        <v>0</v>
      </c>
      <c r="L52" s="1084"/>
      <c r="M52" s="339"/>
      <c r="N52" s="332">
        <f>SUM(L52:M52)</f>
        <v>0</v>
      </c>
      <c r="O52" s="1084"/>
      <c r="P52" s="339"/>
      <c r="Q52" s="332">
        <f>SUM(O52:P52)</f>
        <v>0</v>
      </c>
    </row>
    <row r="53" spans="1:17" ht="15">
      <c r="A53" s="137" t="s">
        <v>98</v>
      </c>
      <c r="B53" s="138" t="s">
        <v>395</v>
      </c>
      <c r="C53" s="1079"/>
      <c r="D53" s="140"/>
      <c r="E53" s="195">
        <f>SUM(C53:D53)</f>
        <v>0</v>
      </c>
      <c r="F53" s="889">
        <v>828</v>
      </c>
      <c r="G53" s="140">
        <v>174</v>
      </c>
      <c r="H53" s="195">
        <f>SUM(F53:G53)</f>
        <v>1002</v>
      </c>
      <c r="I53" s="1079"/>
      <c r="J53" s="140"/>
      <c r="K53" s="195">
        <f>SUM(I53:J53)</f>
        <v>0</v>
      </c>
      <c r="L53" s="1079"/>
      <c r="M53" s="140"/>
      <c r="N53" s="195">
        <f>SUM(L53:M53)</f>
        <v>0</v>
      </c>
      <c r="O53" s="1079"/>
      <c r="P53" s="140"/>
      <c r="Q53" s="195">
        <f>SUM(O53:P53)</f>
        <v>0</v>
      </c>
    </row>
    <row r="54" spans="1:17" ht="15.75" thickBot="1">
      <c r="A54" s="335" t="s">
        <v>99</v>
      </c>
      <c r="B54" s="142" t="s">
        <v>396</v>
      </c>
      <c r="C54" s="1076"/>
      <c r="D54" s="321"/>
      <c r="E54" s="324">
        <f>SUM(C54:D54)</f>
        <v>0</v>
      </c>
      <c r="F54" s="157"/>
      <c r="G54" s="321"/>
      <c r="H54" s="324">
        <f>SUM(F54:G54)</f>
        <v>0</v>
      </c>
      <c r="I54" s="1076"/>
      <c r="J54" s="321"/>
      <c r="K54" s="324">
        <f>SUM(I54:J54)</f>
        <v>0</v>
      </c>
      <c r="L54" s="1076"/>
      <c r="M54" s="321"/>
      <c r="N54" s="324">
        <f>SUM(L54:M54)</f>
        <v>0</v>
      </c>
      <c r="O54" s="1076"/>
      <c r="P54" s="321"/>
      <c r="Q54" s="324">
        <f>SUM(O54:P54)</f>
        <v>0</v>
      </c>
    </row>
    <row r="55" spans="1:17" s="15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>
        <f aca="true" t="shared" si="19" ref="D55:Q55">SUM(D53:D54)</f>
        <v>0</v>
      </c>
      <c r="E55" s="316">
        <f t="shared" si="19"/>
        <v>0</v>
      </c>
      <c r="F55" s="347">
        <f t="shared" si="19"/>
        <v>828</v>
      </c>
      <c r="G55" s="314">
        <f t="shared" si="19"/>
        <v>174</v>
      </c>
      <c r="H55" s="316">
        <f t="shared" si="19"/>
        <v>1002</v>
      </c>
      <c r="I55" s="347">
        <f t="shared" si="19"/>
        <v>0</v>
      </c>
      <c r="J55" s="314">
        <f t="shared" si="19"/>
        <v>0</v>
      </c>
      <c r="K55" s="316">
        <f t="shared" si="19"/>
        <v>0</v>
      </c>
      <c r="L55" s="347">
        <f t="shared" si="19"/>
        <v>0</v>
      </c>
      <c r="M55" s="314">
        <f t="shared" si="19"/>
        <v>0</v>
      </c>
      <c r="N55" s="316">
        <f t="shared" si="19"/>
        <v>0</v>
      </c>
      <c r="O55" s="1086">
        <f t="shared" si="19"/>
        <v>0</v>
      </c>
      <c r="P55" s="1088">
        <f t="shared" si="19"/>
        <v>0</v>
      </c>
      <c r="Q55" s="1090">
        <f t="shared" si="19"/>
        <v>0</v>
      </c>
    </row>
    <row r="56" spans="1:17" s="268" customFormat="1" ht="19.5" customHeight="1" thickBot="1">
      <c r="A56" s="716">
        <v>8</v>
      </c>
      <c r="B56" s="717" t="s">
        <v>46</v>
      </c>
      <c r="C56" s="1111">
        <f>C34-C40-C45-C46-C47-C51-C52-C55-C57-C58-C59</f>
        <v>143470</v>
      </c>
      <c r="D56" s="1112">
        <f>D34-D40-D45-D46-D47-D51-D52-D55-D57-D58-D59</f>
        <v>0</v>
      </c>
      <c r="E56" s="1109">
        <f aca="true" t="shared" si="20" ref="E56:Q56">E34-E40-E45-E46-E47-E51-E52-E55-E57-E58-E59</f>
        <v>143470</v>
      </c>
      <c r="F56" s="1111">
        <f t="shared" si="20"/>
        <v>20033</v>
      </c>
      <c r="G56" s="1112">
        <f t="shared" si="20"/>
        <v>-174</v>
      </c>
      <c r="H56" s="1109">
        <f t="shared" si="20"/>
        <v>19859</v>
      </c>
      <c r="I56" s="1111">
        <f t="shared" si="20"/>
        <v>10146</v>
      </c>
      <c r="J56" s="1112">
        <f t="shared" si="20"/>
        <v>0</v>
      </c>
      <c r="K56" s="1109">
        <f t="shared" si="20"/>
        <v>10146</v>
      </c>
      <c r="L56" s="1111">
        <f t="shared" si="20"/>
        <v>15315</v>
      </c>
      <c r="M56" s="1112">
        <f t="shared" si="20"/>
        <v>2853</v>
      </c>
      <c r="N56" s="1109">
        <f t="shared" si="20"/>
        <v>18168</v>
      </c>
      <c r="O56" s="1134">
        <f t="shared" si="20"/>
        <v>61201</v>
      </c>
      <c r="P56" s="1136">
        <f t="shared" si="20"/>
        <v>-132</v>
      </c>
      <c r="Q56" s="1124">
        <f t="shared" si="20"/>
        <v>61069</v>
      </c>
    </row>
    <row r="57" spans="1:17" s="15" customFormat="1" ht="15.75">
      <c r="A57" s="336" t="s">
        <v>398</v>
      </c>
      <c r="B57" s="337" t="s">
        <v>184</v>
      </c>
      <c r="C57" s="1081"/>
      <c r="D57" s="327"/>
      <c r="E57" s="1110">
        <f>SUM(C57:D57)</f>
        <v>0</v>
      </c>
      <c r="F57" s="890"/>
      <c r="G57" s="327"/>
      <c r="H57" s="1110">
        <f>SUM(F57:G57)</f>
        <v>0</v>
      </c>
      <c r="I57" s="1081"/>
      <c r="J57" s="327"/>
      <c r="K57" s="1110">
        <f>SUM(I57:J57)</f>
        <v>0</v>
      </c>
      <c r="L57" s="1081"/>
      <c r="M57" s="327"/>
      <c r="N57" s="1110">
        <f>SUM(L57:M57)</f>
        <v>0</v>
      </c>
      <c r="O57" s="1081"/>
      <c r="P57" s="327"/>
      <c r="Q57" s="1110">
        <f>SUM(O57:P57)</f>
        <v>0</v>
      </c>
    </row>
    <row r="58" spans="1:17" s="15" customFormat="1" ht="15.75">
      <c r="A58" s="336" t="s">
        <v>183</v>
      </c>
      <c r="B58" s="337" t="s">
        <v>397</v>
      </c>
      <c r="C58" s="326"/>
      <c r="D58" s="327"/>
      <c r="E58" s="402">
        <f>SUM(C58:D58)</f>
        <v>0</v>
      </c>
      <c r="F58" s="331"/>
      <c r="G58" s="327"/>
      <c r="H58" s="402">
        <f>SUM(F58:G58)</f>
        <v>0</v>
      </c>
      <c r="I58" s="1081"/>
      <c r="J58" s="327"/>
      <c r="K58" s="1110">
        <f>SUM(I58:J58)</f>
        <v>0</v>
      </c>
      <c r="L58" s="1081"/>
      <c r="M58" s="327"/>
      <c r="N58" s="1110">
        <f>SUM(L58:M58)</f>
        <v>0</v>
      </c>
      <c r="O58" s="326"/>
      <c r="P58" s="327"/>
      <c r="Q58" s="402">
        <f>SUM(O58:P58)</f>
        <v>0</v>
      </c>
    </row>
    <row r="59" spans="1:17" s="15" customFormat="1" ht="16.5" thickBot="1">
      <c r="A59" s="351">
        <v>10</v>
      </c>
      <c r="B59" s="352"/>
      <c r="C59" s="353"/>
      <c r="D59" s="354"/>
      <c r="E59" s="406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353"/>
      <c r="M59" s="354"/>
      <c r="N59" s="407">
        <f>SUM(L59:M59)</f>
        <v>0</v>
      </c>
      <c r="O59" s="353"/>
      <c r="P59" s="354"/>
      <c r="Q59" s="407">
        <f>SUM(O59:P59)</f>
        <v>0</v>
      </c>
    </row>
    <row r="60" spans="1:17" s="32" customFormat="1" ht="17.25" thickBot="1" thickTop="1">
      <c r="A60" s="343" t="s">
        <v>109</v>
      </c>
      <c r="B60" s="345" t="s">
        <v>182</v>
      </c>
      <c r="C60" s="779">
        <f>C40+C45+C46+C47+C51+C52+C55+C56+C57+C58+C59</f>
        <v>144740</v>
      </c>
      <c r="D60" s="780">
        <f aca="true" t="shared" si="21" ref="D60:Q60">D40+D45+D46+D47+D51+D52+D55+D56+D57+D58+D59</f>
        <v>0</v>
      </c>
      <c r="E60" s="778">
        <f t="shared" si="21"/>
        <v>144740</v>
      </c>
      <c r="F60" s="364">
        <f t="shared" si="21"/>
        <v>30066</v>
      </c>
      <c r="G60" s="344">
        <f t="shared" si="21"/>
        <v>0</v>
      </c>
      <c r="H60" s="778">
        <f t="shared" si="21"/>
        <v>30066</v>
      </c>
      <c r="I60" s="779">
        <f t="shared" si="21"/>
        <v>10146</v>
      </c>
      <c r="J60" s="780">
        <f t="shared" si="21"/>
        <v>0</v>
      </c>
      <c r="K60" s="778">
        <f t="shared" si="21"/>
        <v>10146</v>
      </c>
      <c r="L60" s="364">
        <f t="shared" si="21"/>
        <v>15515</v>
      </c>
      <c r="M60" s="344">
        <f t="shared" si="21"/>
        <v>2853</v>
      </c>
      <c r="N60" s="778">
        <f t="shared" si="21"/>
        <v>18368</v>
      </c>
      <c r="O60" s="364">
        <f t="shared" si="21"/>
        <v>61201</v>
      </c>
      <c r="P60" s="344">
        <f t="shared" si="21"/>
        <v>-132</v>
      </c>
      <c r="Q60" s="374">
        <f t="shared" si="21"/>
        <v>61069</v>
      </c>
    </row>
    <row r="61" spans="1:17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</row>
    <row r="62" spans="1:17" ht="16.5" thickBot="1" thickTop="1">
      <c r="A62" s="167"/>
      <c r="B62" s="168" t="s">
        <v>579</v>
      </c>
      <c r="C62" s="196"/>
      <c r="D62" s="412"/>
      <c r="E62" s="413">
        <f>SUM(C62:D62)</f>
        <v>0</v>
      </c>
      <c r="F62" s="196"/>
      <c r="G62" s="412"/>
      <c r="H62" s="413">
        <f>SUM(F62:G62)</f>
        <v>0</v>
      </c>
      <c r="I62" s="196"/>
      <c r="J62" s="412"/>
      <c r="K62" s="413">
        <f>SUM(I62:J62)</f>
        <v>0</v>
      </c>
      <c r="L62" s="196"/>
      <c r="M62" s="412"/>
      <c r="N62" s="413">
        <f>SUM(L62:M62)</f>
        <v>0</v>
      </c>
      <c r="O62" s="196"/>
      <c r="P62" s="414"/>
      <c r="Q62" s="413">
        <f>SUM(O62:P62)</f>
        <v>0</v>
      </c>
    </row>
    <row r="63" spans="1:17" ht="16.5" thickBot="1" thickTop="1">
      <c r="A63" s="167"/>
      <c r="B63" s="168" t="s">
        <v>580</v>
      </c>
      <c r="C63" s="196"/>
      <c r="D63" s="412"/>
      <c r="E63" s="413">
        <f>SUM(C63:D63)</f>
        <v>0</v>
      </c>
      <c r="F63" s="196"/>
      <c r="G63" s="412"/>
      <c r="H63" s="413">
        <f>SUM(F63:G63)</f>
        <v>0</v>
      </c>
      <c r="I63" s="196"/>
      <c r="J63" s="412"/>
      <c r="K63" s="413">
        <f>SUM(I63:J63)</f>
        <v>0</v>
      </c>
      <c r="L63" s="196"/>
      <c r="M63" s="412"/>
      <c r="N63" s="413">
        <f>SUM(L63:M63)</f>
        <v>0</v>
      </c>
      <c r="O63" s="196"/>
      <c r="P63" s="414"/>
      <c r="Q63" s="413">
        <f>SUM(O63:P63)</f>
        <v>0</v>
      </c>
    </row>
    <row r="64" ht="16.5" thickTop="1">
      <c r="A64" s="418"/>
    </row>
    <row r="65" ht="15.75">
      <c r="A65" s="418"/>
    </row>
  </sheetData>
  <sheetProtection/>
  <mergeCells count="7">
    <mergeCell ref="A4:Q4"/>
    <mergeCell ref="A5:Q5"/>
    <mergeCell ref="O7:Q7"/>
    <mergeCell ref="L7:N7"/>
    <mergeCell ref="C7:E7"/>
    <mergeCell ref="F7:H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S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17" width="14.625" style="88" customWidth="1"/>
  </cols>
  <sheetData>
    <row r="1" spans="1:17" ht="10.5" customHeight="1">
      <c r="A1" s="303"/>
      <c r="B1" s="304"/>
      <c r="C1" s="304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892" t="s">
        <v>915</v>
      </c>
    </row>
    <row r="2" spans="1:17" ht="10.5" customHeight="1">
      <c r="A2" s="303"/>
      <c r="B2" s="304"/>
      <c r="C2" s="304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892" t="s">
        <v>93</v>
      </c>
    </row>
    <row r="3" spans="1:17" ht="15">
      <c r="A3" s="303"/>
      <c r="B3" s="304"/>
      <c r="C3" s="304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893" t="s">
        <v>139</v>
      </c>
    </row>
    <row r="4" spans="1:17" ht="20.25">
      <c r="A4" s="1936" t="s">
        <v>648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</row>
    <row r="5" spans="1:17" ht="18">
      <c r="A5" s="1937" t="s">
        <v>562</v>
      </c>
      <c r="B5" s="1937"/>
      <c r="C5" s="1937"/>
      <c r="D5" s="1937"/>
      <c r="E5" s="1937"/>
      <c r="F5" s="1937"/>
      <c r="G5" s="1937"/>
      <c r="H5" s="1937"/>
      <c r="I5" s="1937"/>
      <c r="J5" s="1937"/>
      <c r="K5" s="1937"/>
      <c r="L5" s="1937"/>
      <c r="M5" s="1937"/>
      <c r="N5" s="1937"/>
      <c r="O5" s="1937"/>
      <c r="P5" s="1937"/>
      <c r="Q5" s="1937"/>
    </row>
    <row r="6" spans="1:17" ht="34.5" customHeight="1" thickBot="1">
      <c r="A6" s="303"/>
      <c r="B6" s="304"/>
      <c r="C6" s="304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905" t="s">
        <v>134</v>
      </c>
    </row>
    <row r="7" spans="1:17" s="88" customFormat="1" ht="42" customHeight="1">
      <c r="A7" s="230" t="s">
        <v>124</v>
      </c>
      <c r="B7" s="87" t="s">
        <v>125</v>
      </c>
      <c r="C7" s="1925" t="s">
        <v>441</v>
      </c>
      <c r="D7" s="1923"/>
      <c r="E7" s="1924"/>
      <c r="F7" s="1922" t="s">
        <v>60</v>
      </c>
      <c r="G7" s="1923"/>
      <c r="H7" s="1924"/>
      <c r="I7" s="1922" t="s">
        <v>78</v>
      </c>
      <c r="J7" s="1923"/>
      <c r="K7" s="1924"/>
      <c r="L7" s="1922" t="s">
        <v>193</v>
      </c>
      <c r="M7" s="1923"/>
      <c r="N7" s="1924"/>
      <c r="O7" s="1925" t="s">
        <v>637</v>
      </c>
      <c r="P7" s="1947"/>
      <c r="Q7" s="1948"/>
    </row>
    <row r="8" spans="1:201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</row>
    <row r="9" spans="1:201" s="33" customFormat="1" ht="13.5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2">
        <v>6</v>
      </c>
      <c r="G9" s="422">
        <v>7</v>
      </c>
      <c r="H9" s="422">
        <v>8</v>
      </c>
      <c r="I9" s="421">
        <v>9</v>
      </c>
      <c r="J9" s="422">
        <v>10</v>
      </c>
      <c r="K9" s="424">
        <v>11</v>
      </c>
      <c r="L9" s="421">
        <v>9</v>
      </c>
      <c r="M9" s="422">
        <v>10</v>
      </c>
      <c r="N9" s="424">
        <v>11</v>
      </c>
      <c r="O9" s="422">
        <v>12</v>
      </c>
      <c r="P9" s="422">
        <v>13</v>
      </c>
      <c r="Q9" s="424">
        <v>14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</row>
    <row r="10" spans="1:17" ht="16.5" thickBot="1">
      <c r="A10" s="380"/>
      <c r="B10" s="346" t="s">
        <v>129</v>
      </c>
      <c r="C10" s="381"/>
      <c r="D10" s="382"/>
      <c r="E10" s="383"/>
      <c r="F10" s="384"/>
      <c r="G10" s="385"/>
      <c r="H10" s="383"/>
      <c r="I10" s="384"/>
      <c r="J10" s="385"/>
      <c r="K10" s="383"/>
      <c r="L10" s="944"/>
      <c r="M10" s="1139"/>
      <c r="N10" s="915"/>
      <c r="O10" s="944"/>
      <c r="P10" s="385"/>
      <c r="Q10" s="915"/>
    </row>
    <row r="11" spans="1:17" ht="16.5" thickBot="1">
      <c r="A11" s="313">
        <v>1</v>
      </c>
      <c r="B11" s="305" t="s">
        <v>113</v>
      </c>
      <c r="C11" s="314"/>
      <c r="D11" s="314"/>
      <c r="E11" s="358">
        <f>SUM(C11:D11)</f>
        <v>0</v>
      </c>
      <c r="F11" s="314"/>
      <c r="G11" s="314">
        <v>75</v>
      </c>
      <c r="H11" s="358">
        <f>SUM(F11:G11)</f>
        <v>75</v>
      </c>
      <c r="I11" s="314"/>
      <c r="J11" s="314"/>
      <c r="K11" s="358">
        <f aca="true" t="shared" si="0" ref="K11:K16">SUM(I11:J11)</f>
        <v>0</v>
      </c>
      <c r="L11" s="314"/>
      <c r="M11" s="314"/>
      <c r="N11" s="358">
        <f aca="true" t="shared" si="1" ref="N11:N16">SUM(L11:M11)</f>
        <v>0</v>
      </c>
      <c r="O11" s="318"/>
      <c r="P11" s="314"/>
      <c r="Q11" s="320">
        <f aca="true" t="shared" si="2" ref="Q11:Q16">SUM(O11:P11)</f>
        <v>0</v>
      </c>
    </row>
    <row r="12" spans="1:17" ht="16.5" thickBot="1">
      <c r="A12" s="317">
        <v>2</v>
      </c>
      <c r="B12" s="305" t="s">
        <v>202</v>
      </c>
      <c r="C12" s="316"/>
      <c r="D12" s="314"/>
      <c r="E12" s="358">
        <f>SUM(C12:D12)</f>
        <v>0</v>
      </c>
      <c r="F12" s="330"/>
      <c r="G12" s="314"/>
      <c r="H12" s="320">
        <f>SUM(F12:G12)</f>
        <v>0</v>
      </c>
      <c r="I12" s="316"/>
      <c r="J12" s="314"/>
      <c r="K12" s="358">
        <f t="shared" si="0"/>
        <v>0</v>
      </c>
      <c r="L12" s="316"/>
      <c r="M12" s="314"/>
      <c r="N12" s="358">
        <f t="shared" si="1"/>
        <v>0</v>
      </c>
      <c r="O12" s="318"/>
      <c r="P12" s="314"/>
      <c r="Q12" s="320">
        <f t="shared" si="2"/>
        <v>0</v>
      </c>
    </row>
    <row r="13" spans="1:17" s="15" customFormat="1" ht="16.5" thickBot="1">
      <c r="A13" s="317">
        <v>3</v>
      </c>
      <c r="B13" s="305" t="s">
        <v>116</v>
      </c>
      <c r="C13" s="330">
        <v>6454</v>
      </c>
      <c r="D13" s="314"/>
      <c r="E13" s="320">
        <f>SUM(C13:D13)</f>
        <v>6454</v>
      </c>
      <c r="F13" s="330">
        <v>52215</v>
      </c>
      <c r="G13" s="314">
        <v>7455</v>
      </c>
      <c r="H13" s="320">
        <f>SUM(F13:G13)</f>
        <v>59670</v>
      </c>
      <c r="I13" s="314"/>
      <c r="J13" s="314"/>
      <c r="K13" s="358">
        <f t="shared" si="0"/>
        <v>0</v>
      </c>
      <c r="L13" s="318"/>
      <c r="M13" s="314"/>
      <c r="N13" s="320">
        <f t="shared" si="1"/>
        <v>0</v>
      </c>
      <c r="O13" s="318">
        <v>2000</v>
      </c>
      <c r="P13" s="314"/>
      <c r="Q13" s="320">
        <f t="shared" si="2"/>
        <v>2000</v>
      </c>
    </row>
    <row r="14" spans="1:17" s="15" customFormat="1" ht="16.5" thickBot="1">
      <c r="A14" s="317">
        <v>4</v>
      </c>
      <c r="B14" s="305" t="s">
        <v>172</v>
      </c>
      <c r="C14" s="330">
        <v>122287</v>
      </c>
      <c r="D14" s="314">
        <v>-600</v>
      </c>
      <c r="E14" s="320">
        <f>SUM(C14:D14)</f>
        <v>121687</v>
      </c>
      <c r="F14" s="330"/>
      <c r="G14" s="314"/>
      <c r="H14" s="320">
        <f>SUM(F14:G14)</f>
        <v>0</v>
      </c>
      <c r="I14" s="330"/>
      <c r="J14" s="314"/>
      <c r="K14" s="320">
        <f t="shared" si="0"/>
        <v>0</v>
      </c>
      <c r="L14" s="330"/>
      <c r="M14" s="314"/>
      <c r="N14" s="320">
        <f t="shared" si="1"/>
        <v>0</v>
      </c>
      <c r="O14" s="330"/>
      <c r="P14" s="314"/>
      <c r="Q14" s="320">
        <f t="shared" si="2"/>
        <v>0</v>
      </c>
    </row>
    <row r="15" spans="1:17" ht="15">
      <c r="A15" s="156" t="s">
        <v>98</v>
      </c>
      <c r="B15" s="145" t="s">
        <v>383</v>
      </c>
      <c r="C15" s="306"/>
      <c r="D15" s="226"/>
      <c r="E15" s="228">
        <f>C15+D15</f>
        <v>0</v>
      </c>
      <c r="F15" s="306"/>
      <c r="G15" s="226"/>
      <c r="H15" s="228">
        <f>F15+G15</f>
        <v>0</v>
      </c>
      <c r="I15" s="306"/>
      <c r="J15" s="226"/>
      <c r="K15" s="389">
        <f t="shared" si="0"/>
        <v>0</v>
      </c>
      <c r="L15" s="306"/>
      <c r="M15" s="226"/>
      <c r="N15" s="228">
        <f t="shared" si="1"/>
        <v>0</v>
      </c>
      <c r="O15" s="306"/>
      <c r="P15" s="226"/>
      <c r="Q15" s="228">
        <f t="shared" si="2"/>
        <v>0</v>
      </c>
    </row>
    <row r="16" spans="1:17" ht="15">
      <c r="A16" s="153" t="s">
        <v>99</v>
      </c>
      <c r="B16" s="149" t="s">
        <v>626</v>
      </c>
      <c r="C16" s="307"/>
      <c r="D16" s="139"/>
      <c r="E16" s="228">
        <f>C16+D16</f>
        <v>0</v>
      </c>
      <c r="F16" s="1138"/>
      <c r="G16" s="139"/>
      <c r="H16" s="228">
        <f>F16+G16</f>
        <v>0</v>
      </c>
      <c r="I16" s="307"/>
      <c r="J16" s="139"/>
      <c r="K16" s="228">
        <f t="shared" si="0"/>
        <v>0</v>
      </c>
      <c r="L16" s="307"/>
      <c r="M16" s="139"/>
      <c r="N16" s="228">
        <f t="shared" si="1"/>
        <v>0</v>
      </c>
      <c r="O16" s="307"/>
      <c r="P16" s="139"/>
      <c r="Q16" s="228">
        <f t="shared" si="2"/>
        <v>0</v>
      </c>
    </row>
    <row r="17" spans="1:17" ht="15">
      <c r="A17" s="153" t="s">
        <v>100</v>
      </c>
      <c r="B17" s="149" t="s">
        <v>627</v>
      </c>
      <c r="C17" s="307"/>
      <c r="D17" s="139"/>
      <c r="E17" s="228">
        <f aca="true" t="shared" si="3" ref="E17:E22">C17+D17</f>
        <v>0</v>
      </c>
      <c r="G17" s="139"/>
      <c r="H17" s="228">
        <f aca="true" t="shared" si="4" ref="H17:H22">F17+G17</f>
        <v>0</v>
      </c>
      <c r="I17" s="307"/>
      <c r="J17" s="139"/>
      <c r="K17" s="228">
        <f aca="true" t="shared" si="5" ref="K17:K22">SUM(I17:J17)</f>
        <v>0</v>
      </c>
      <c r="L17" s="307"/>
      <c r="M17" s="139"/>
      <c r="N17" s="228">
        <f aca="true" t="shared" si="6" ref="N17:N22">SUM(L17:M17)</f>
        <v>0</v>
      </c>
      <c r="O17" s="307"/>
      <c r="P17" s="139"/>
      <c r="Q17" s="228">
        <f aca="true" t="shared" si="7" ref="Q17:Q22">SUM(O17:P17)</f>
        <v>0</v>
      </c>
    </row>
    <row r="18" spans="1:17" ht="15">
      <c r="A18" s="153" t="s">
        <v>101</v>
      </c>
      <c r="B18" s="149" t="s">
        <v>384</v>
      </c>
      <c r="C18" s="307">
        <v>8215</v>
      </c>
      <c r="D18" s="139"/>
      <c r="E18" s="228">
        <f t="shared" si="3"/>
        <v>8215</v>
      </c>
      <c r="F18" s="906"/>
      <c r="G18" s="139"/>
      <c r="H18" s="228">
        <f t="shared" si="4"/>
        <v>0</v>
      </c>
      <c r="I18" s="307"/>
      <c r="J18" s="139"/>
      <c r="K18" s="228">
        <f t="shared" si="5"/>
        <v>0</v>
      </c>
      <c r="L18" s="307"/>
      <c r="M18" s="139"/>
      <c r="N18" s="228">
        <f t="shared" si="6"/>
        <v>0</v>
      </c>
      <c r="O18" s="307">
        <v>5991</v>
      </c>
      <c r="P18" s="139"/>
      <c r="Q18" s="228">
        <f t="shared" si="7"/>
        <v>5991</v>
      </c>
    </row>
    <row r="19" spans="1:17" ht="15">
      <c r="A19" s="148" t="s">
        <v>192</v>
      </c>
      <c r="B19" s="149" t="s">
        <v>628</v>
      </c>
      <c r="C19" s="885"/>
      <c r="D19" s="139"/>
      <c r="E19" s="228">
        <f>C19+D19</f>
        <v>0</v>
      </c>
      <c r="F19" s="307"/>
      <c r="G19" s="139"/>
      <c r="H19" s="228">
        <f>F19+G19</f>
        <v>0</v>
      </c>
      <c r="I19" s="307"/>
      <c r="J19" s="139"/>
      <c r="K19" s="228">
        <f>SUM(I19:J19)</f>
        <v>0</v>
      </c>
      <c r="L19" s="307"/>
      <c r="M19" s="139"/>
      <c r="N19" s="228">
        <f>SUM(L19:M19)</f>
        <v>0</v>
      </c>
      <c r="O19" s="307"/>
      <c r="P19" s="139"/>
      <c r="Q19" s="228">
        <f>SUM(O19:P19)</f>
        <v>0</v>
      </c>
    </row>
    <row r="20" spans="1:17" ht="15">
      <c r="A20" s="148" t="s">
        <v>339</v>
      </c>
      <c r="B20" s="149" t="s">
        <v>629</v>
      </c>
      <c r="C20" s="885"/>
      <c r="D20" s="139"/>
      <c r="E20" s="228">
        <f t="shared" si="3"/>
        <v>0</v>
      </c>
      <c r="F20" s="307"/>
      <c r="G20" s="139"/>
      <c r="H20" s="228">
        <f t="shared" si="4"/>
        <v>0</v>
      </c>
      <c r="I20" s="307"/>
      <c r="J20" s="139"/>
      <c r="K20" s="228">
        <f t="shared" si="5"/>
        <v>0</v>
      </c>
      <c r="L20" s="307"/>
      <c r="M20" s="139"/>
      <c r="N20" s="228">
        <f t="shared" si="6"/>
        <v>0</v>
      </c>
      <c r="O20" s="307"/>
      <c r="P20" s="139"/>
      <c r="Q20" s="228">
        <f t="shared" si="7"/>
        <v>0</v>
      </c>
    </row>
    <row r="21" spans="1:17" ht="15">
      <c r="A21" s="146" t="s">
        <v>340</v>
      </c>
      <c r="B21" s="149" t="s">
        <v>385</v>
      </c>
      <c r="C21" s="887"/>
      <c r="D21" s="226"/>
      <c r="E21" s="228">
        <f>C21+D21</f>
        <v>0</v>
      </c>
      <c r="F21" s="306">
        <v>52117</v>
      </c>
      <c r="G21" s="226">
        <v>-6930</v>
      </c>
      <c r="H21" s="228">
        <f t="shared" si="4"/>
        <v>45187</v>
      </c>
      <c r="I21" s="306">
        <v>6200</v>
      </c>
      <c r="J21" s="226"/>
      <c r="K21" s="228">
        <f t="shared" si="5"/>
        <v>6200</v>
      </c>
      <c r="L21" s="306"/>
      <c r="M21" s="226"/>
      <c r="N21" s="228">
        <f t="shared" si="6"/>
        <v>0</v>
      </c>
      <c r="O21" s="306"/>
      <c r="P21" s="226"/>
      <c r="Q21" s="228">
        <f t="shared" si="7"/>
        <v>0</v>
      </c>
    </row>
    <row r="22" spans="1:17" ht="15" customHeight="1" thickBot="1">
      <c r="A22" s="16" t="s">
        <v>69</v>
      </c>
      <c r="B22" s="334" t="s">
        <v>386</v>
      </c>
      <c r="C22" s="886"/>
      <c r="D22" s="151"/>
      <c r="E22" s="228">
        <f t="shared" si="3"/>
        <v>0</v>
      </c>
      <c r="F22" s="308"/>
      <c r="G22" s="151"/>
      <c r="H22" s="228">
        <f t="shared" si="4"/>
        <v>0</v>
      </c>
      <c r="I22" s="308"/>
      <c r="J22" s="151"/>
      <c r="K22" s="228">
        <f t="shared" si="5"/>
        <v>0</v>
      </c>
      <c r="L22" s="308"/>
      <c r="M22" s="151"/>
      <c r="N22" s="228">
        <f t="shared" si="6"/>
        <v>0</v>
      </c>
      <c r="O22" s="308"/>
      <c r="P22" s="151"/>
      <c r="Q22" s="228">
        <f t="shared" si="7"/>
        <v>0</v>
      </c>
    </row>
    <row r="23" spans="1:17" s="15" customFormat="1" ht="16.5" thickBot="1">
      <c r="A23" s="317">
        <v>5</v>
      </c>
      <c r="B23" s="305" t="s">
        <v>171</v>
      </c>
      <c r="C23" s="347">
        <f aca="true" t="shared" si="8" ref="C23:Q23">SUM(C15:C22)</f>
        <v>8215</v>
      </c>
      <c r="D23" s="314">
        <f t="shared" si="8"/>
        <v>0</v>
      </c>
      <c r="E23" s="320">
        <f t="shared" si="8"/>
        <v>8215</v>
      </c>
      <c r="F23" s="330">
        <f t="shared" si="8"/>
        <v>52117</v>
      </c>
      <c r="G23" s="314">
        <f t="shared" si="8"/>
        <v>-6930</v>
      </c>
      <c r="H23" s="330">
        <f t="shared" si="8"/>
        <v>45187</v>
      </c>
      <c r="I23" s="347">
        <f t="shared" si="8"/>
        <v>6200</v>
      </c>
      <c r="J23" s="314">
        <f t="shared" si="8"/>
        <v>0</v>
      </c>
      <c r="K23" s="320">
        <f t="shared" si="8"/>
        <v>6200</v>
      </c>
      <c r="L23" s="347">
        <f t="shared" si="8"/>
        <v>0</v>
      </c>
      <c r="M23" s="314">
        <f t="shared" si="8"/>
        <v>0</v>
      </c>
      <c r="N23" s="320">
        <f t="shared" si="8"/>
        <v>0</v>
      </c>
      <c r="O23" s="347">
        <f t="shared" si="8"/>
        <v>5991</v>
      </c>
      <c r="P23" s="314">
        <f t="shared" si="8"/>
        <v>0</v>
      </c>
      <c r="Q23" s="320">
        <f t="shared" si="8"/>
        <v>5991</v>
      </c>
    </row>
    <row r="24" spans="1:17" ht="16.5" thickBot="1">
      <c r="A24" s="313">
        <v>6</v>
      </c>
      <c r="B24" s="305" t="s">
        <v>174</v>
      </c>
      <c r="C24" s="318"/>
      <c r="D24" s="314"/>
      <c r="E24" s="320">
        <f aca="true" t="shared" si="9" ref="E24:E30">SUM(C24:D24)</f>
        <v>0</v>
      </c>
      <c r="F24" s="318"/>
      <c r="G24" s="314"/>
      <c r="H24" s="320">
        <f aca="true" t="shared" si="10" ref="H24:H30">SUM(F24:G24)</f>
        <v>0</v>
      </c>
      <c r="I24" s="318"/>
      <c r="J24" s="314"/>
      <c r="K24" s="320">
        <f aca="true" t="shared" si="11" ref="K24:K30">SUM(I24:J24)</f>
        <v>0</v>
      </c>
      <c r="L24" s="318"/>
      <c r="M24" s="314"/>
      <c r="N24" s="320">
        <f aca="true" t="shared" si="12" ref="N24:N30">SUM(L24:M24)</f>
        <v>0</v>
      </c>
      <c r="O24" s="347"/>
      <c r="P24" s="314"/>
      <c r="Q24" s="320">
        <f aca="true" t="shared" si="13" ref="Q24:Q30">SUM(O24:P24)</f>
        <v>0</v>
      </c>
    </row>
    <row r="25" spans="1:17" s="15" customFormat="1" ht="16.5" thickBot="1">
      <c r="A25" s="313">
        <v>7</v>
      </c>
      <c r="B25" s="305" t="s">
        <v>435</v>
      </c>
      <c r="C25" s="318"/>
      <c r="D25" s="314"/>
      <c r="E25" s="320">
        <f t="shared" si="9"/>
        <v>0</v>
      </c>
      <c r="F25" s="318"/>
      <c r="G25" s="314"/>
      <c r="H25" s="330">
        <f t="shared" si="10"/>
        <v>0</v>
      </c>
      <c r="I25" s="347"/>
      <c r="J25" s="314"/>
      <c r="K25" s="320">
        <f t="shared" si="11"/>
        <v>0</v>
      </c>
      <c r="L25" s="330"/>
      <c r="M25" s="314"/>
      <c r="N25" s="320">
        <f t="shared" si="12"/>
        <v>0</v>
      </c>
      <c r="O25" s="318"/>
      <c r="P25" s="314"/>
      <c r="Q25" s="320">
        <f t="shared" si="13"/>
        <v>0</v>
      </c>
    </row>
    <row r="26" spans="1:17" ht="15">
      <c r="A26" s="156" t="s">
        <v>98</v>
      </c>
      <c r="B26" s="149" t="s">
        <v>632</v>
      </c>
      <c r="C26" s="306"/>
      <c r="D26" s="226"/>
      <c r="E26" s="228">
        <f t="shared" si="9"/>
        <v>0</v>
      </c>
      <c r="F26" s="306"/>
      <c r="G26" s="226"/>
      <c r="H26" s="228">
        <f t="shared" si="10"/>
        <v>0</v>
      </c>
      <c r="I26" s="306"/>
      <c r="J26" s="226"/>
      <c r="K26" s="228">
        <f t="shared" si="11"/>
        <v>0</v>
      </c>
      <c r="L26" s="306"/>
      <c r="M26" s="226"/>
      <c r="N26" s="228">
        <f t="shared" si="12"/>
        <v>0</v>
      </c>
      <c r="O26" s="306"/>
      <c r="P26" s="226"/>
      <c r="Q26" s="228">
        <f t="shared" si="13"/>
        <v>0</v>
      </c>
    </row>
    <row r="27" spans="1:17" ht="15">
      <c r="A27" s="156" t="s">
        <v>99</v>
      </c>
      <c r="B27" s="149" t="s">
        <v>630</v>
      </c>
      <c r="C27" s="306"/>
      <c r="D27" s="226"/>
      <c r="E27" s="228">
        <f t="shared" si="9"/>
        <v>0</v>
      </c>
      <c r="F27" s="306"/>
      <c r="G27" s="226"/>
      <c r="H27" s="228">
        <f t="shared" si="10"/>
        <v>0</v>
      </c>
      <c r="I27" s="306"/>
      <c r="J27" s="226"/>
      <c r="K27" s="228">
        <f t="shared" si="11"/>
        <v>0</v>
      </c>
      <c r="L27" s="306"/>
      <c r="M27" s="226"/>
      <c r="N27" s="228">
        <f t="shared" si="12"/>
        <v>0</v>
      </c>
      <c r="O27" s="306"/>
      <c r="P27" s="226"/>
      <c r="Q27" s="228">
        <f t="shared" si="13"/>
        <v>0</v>
      </c>
    </row>
    <row r="28" spans="1:17" ht="15">
      <c r="A28" s="156" t="s">
        <v>100</v>
      </c>
      <c r="B28" s="149" t="s">
        <v>387</v>
      </c>
      <c r="C28" s="306"/>
      <c r="D28" s="226"/>
      <c r="E28" s="228">
        <f t="shared" si="9"/>
        <v>0</v>
      </c>
      <c r="F28" s="306"/>
      <c r="G28" s="226"/>
      <c r="H28" s="228">
        <f t="shared" si="10"/>
        <v>0</v>
      </c>
      <c r="I28" s="306"/>
      <c r="J28" s="226"/>
      <c r="K28" s="228">
        <f t="shared" si="11"/>
        <v>0</v>
      </c>
      <c r="L28" s="306"/>
      <c r="M28" s="226"/>
      <c r="N28" s="228">
        <f t="shared" si="12"/>
        <v>0</v>
      </c>
      <c r="O28" s="306"/>
      <c r="P28" s="226"/>
      <c r="Q28" s="228">
        <f t="shared" si="13"/>
        <v>0</v>
      </c>
    </row>
    <row r="29" spans="1:17" ht="15">
      <c r="A29" s="156" t="s">
        <v>101</v>
      </c>
      <c r="B29" s="149" t="s">
        <v>631</v>
      </c>
      <c r="C29" s="306"/>
      <c r="D29" s="226"/>
      <c r="E29" s="228">
        <f t="shared" si="9"/>
        <v>0</v>
      </c>
      <c r="F29" s="306"/>
      <c r="G29" s="226"/>
      <c r="H29" s="228">
        <f t="shared" si="10"/>
        <v>0</v>
      </c>
      <c r="I29" s="306"/>
      <c r="J29" s="226"/>
      <c r="K29" s="228">
        <f t="shared" si="11"/>
        <v>0</v>
      </c>
      <c r="L29" s="306"/>
      <c r="M29" s="226"/>
      <c r="N29" s="228">
        <f t="shared" si="12"/>
        <v>0</v>
      </c>
      <c r="O29" s="306"/>
      <c r="P29" s="226"/>
      <c r="Q29" s="228">
        <f t="shared" si="13"/>
        <v>0</v>
      </c>
    </row>
    <row r="30" spans="1:17" ht="15.75" thickBot="1">
      <c r="A30" s="335" t="s">
        <v>192</v>
      </c>
      <c r="B30" s="149" t="s">
        <v>388</v>
      </c>
      <c r="C30" s="329"/>
      <c r="D30" s="321"/>
      <c r="E30" s="324">
        <f t="shared" si="9"/>
        <v>0</v>
      </c>
      <c r="F30" s="329"/>
      <c r="G30" s="321"/>
      <c r="H30" s="324">
        <f t="shared" si="10"/>
        <v>0</v>
      </c>
      <c r="I30" s="329"/>
      <c r="J30" s="321"/>
      <c r="K30" s="324">
        <f t="shared" si="11"/>
        <v>0</v>
      </c>
      <c r="L30" s="329">
        <v>15000</v>
      </c>
      <c r="M30" s="321"/>
      <c r="N30" s="324">
        <f t="shared" si="12"/>
        <v>15000</v>
      </c>
      <c r="O30" s="329"/>
      <c r="P30" s="321"/>
      <c r="Q30" s="324">
        <f t="shared" si="13"/>
        <v>0</v>
      </c>
    </row>
    <row r="31" spans="1:17" s="15" customFormat="1" ht="16.5" thickBot="1">
      <c r="A31" s="313">
        <v>8</v>
      </c>
      <c r="B31" s="305" t="s">
        <v>173</v>
      </c>
      <c r="C31" s="347">
        <f aca="true" t="shared" si="14" ref="C31:Q31">SUM(C26:C30)</f>
        <v>0</v>
      </c>
      <c r="D31" s="314">
        <f t="shared" si="14"/>
        <v>0</v>
      </c>
      <c r="E31" s="320">
        <f t="shared" si="14"/>
        <v>0</v>
      </c>
      <c r="F31" s="330">
        <f t="shared" si="14"/>
        <v>0</v>
      </c>
      <c r="G31" s="314">
        <f t="shared" si="14"/>
        <v>0</v>
      </c>
      <c r="H31" s="330">
        <f t="shared" si="14"/>
        <v>0</v>
      </c>
      <c r="I31" s="347">
        <f t="shared" si="14"/>
        <v>0</v>
      </c>
      <c r="J31" s="314">
        <f t="shared" si="14"/>
        <v>0</v>
      </c>
      <c r="K31" s="320">
        <f t="shared" si="14"/>
        <v>0</v>
      </c>
      <c r="L31" s="347">
        <f t="shared" si="14"/>
        <v>15000</v>
      </c>
      <c r="M31" s="314">
        <f t="shared" si="14"/>
        <v>0</v>
      </c>
      <c r="N31" s="330">
        <f t="shared" si="14"/>
        <v>15000</v>
      </c>
      <c r="O31" s="347">
        <f t="shared" si="14"/>
        <v>0</v>
      </c>
      <c r="P31" s="314">
        <f t="shared" si="14"/>
        <v>0</v>
      </c>
      <c r="Q31" s="320">
        <f t="shared" si="14"/>
        <v>0</v>
      </c>
    </row>
    <row r="32" spans="1:17" ht="16.5" thickBot="1">
      <c r="A32" s="313">
        <v>9</v>
      </c>
      <c r="B32" s="305" t="s">
        <v>179</v>
      </c>
      <c r="C32" s="318"/>
      <c r="D32" s="314"/>
      <c r="E32" s="320">
        <f>SUM(C32:D32)</f>
        <v>0</v>
      </c>
      <c r="F32" s="318"/>
      <c r="G32" s="314"/>
      <c r="H32" s="320">
        <f>SUM(F32:G32)</f>
        <v>0</v>
      </c>
      <c r="I32" s="318"/>
      <c r="J32" s="314"/>
      <c r="K32" s="320">
        <f>SUM(I32:J32)</f>
        <v>0</v>
      </c>
      <c r="L32" s="318"/>
      <c r="M32" s="314"/>
      <c r="N32" s="320">
        <f>SUM(L32:M32)</f>
        <v>0</v>
      </c>
      <c r="O32" s="347"/>
      <c r="P32" s="314"/>
      <c r="Q32" s="320">
        <f>SUM(O32:P32)</f>
        <v>0</v>
      </c>
    </row>
    <row r="33" spans="1:17" s="32" customFormat="1" ht="16.5" thickBot="1">
      <c r="A33" s="367">
        <v>10</v>
      </c>
      <c r="B33" s="368"/>
      <c r="C33" s="1137"/>
      <c r="D33" s="369"/>
      <c r="E33" s="1107">
        <f>SUM(C33:D33)</f>
        <v>0</v>
      </c>
      <c r="F33" s="158"/>
      <c r="G33" s="369"/>
      <c r="H33" s="1107">
        <f>SUM(F33:G33)</f>
        <v>0</v>
      </c>
      <c r="I33" s="158"/>
      <c r="J33" s="369"/>
      <c r="K33" s="1107">
        <f>SUM(I33:J33)</f>
        <v>0</v>
      </c>
      <c r="L33" s="158"/>
      <c r="M33" s="369"/>
      <c r="N33" s="1107">
        <f>SUM(L33:M33)</f>
        <v>0</v>
      </c>
      <c r="O33" s="158"/>
      <c r="P33" s="369"/>
      <c r="Q33" s="1107">
        <f>SUM(O33:P33)</f>
        <v>0</v>
      </c>
    </row>
    <row r="34" spans="1:21" s="35" customFormat="1" ht="17.25" thickBot="1" thickTop="1">
      <c r="A34" s="343" t="s">
        <v>108</v>
      </c>
      <c r="B34" s="366" t="s">
        <v>180</v>
      </c>
      <c r="C34" s="365">
        <f aca="true" t="shared" si="15" ref="C34:Q34">C11+C12+C13+C23+C14+C31+C25+C24+C32+C33</f>
        <v>136956</v>
      </c>
      <c r="D34" s="344">
        <f t="shared" si="15"/>
        <v>-600</v>
      </c>
      <c r="E34" s="778">
        <f t="shared" si="15"/>
        <v>136356</v>
      </c>
      <c r="F34" s="365">
        <f t="shared" si="15"/>
        <v>104332</v>
      </c>
      <c r="G34" s="344">
        <f t="shared" si="15"/>
        <v>600</v>
      </c>
      <c r="H34" s="778">
        <f t="shared" si="15"/>
        <v>104932</v>
      </c>
      <c r="I34" s="365">
        <f t="shared" si="15"/>
        <v>6200</v>
      </c>
      <c r="J34" s="344">
        <f t="shared" si="15"/>
        <v>0</v>
      </c>
      <c r="K34" s="778">
        <f t="shared" si="15"/>
        <v>6200</v>
      </c>
      <c r="L34" s="365">
        <f t="shared" si="15"/>
        <v>15000</v>
      </c>
      <c r="M34" s="344">
        <f t="shared" si="15"/>
        <v>0</v>
      </c>
      <c r="N34" s="778">
        <f t="shared" si="15"/>
        <v>15000</v>
      </c>
      <c r="O34" s="365">
        <f t="shared" si="15"/>
        <v>7991</v>
      </c>
      <c r="P34" s="344">
        <f t="shared" si="15"/>
        <v>0</v>
      </c>
      <c r="Q34" s="374">
        <f t="shared" si="15"/>
        <v>7991</v>
      </c>
      <c r="R34" s="63"/>
      <c r="S34" s="63"/>
      <c r="T34" s="63"/>
      <c r="U34" s="63"/>
    </row>
    <row r="35" spans="1:21" ht="17.25" thickBot="1" thickTop="1">
      <c r="A35" s="144"/>
      <c r="B35" s="346" t="s">
        <v>131</v>
      </c>
      <c r="C35" s="1077"/>
      <c r="D35" s="302"/>
      <c r="E35" s="1108"/>
      <c r="F35" s="888"/>
      <c r="G35" s="302"/>
      <c r="H35" s="1108"/>
      <c r="I35" s="935"/>
      <c r="J35" s="302"/>
      <c r="K35" s="1108"/>
      <c r="L35" s="935"/>
      <c r="M35" s="302"/>
      <c r="N35" s="1108"/>
      <c r="O35" s="1077"/>
      <c r="P35" s="302"/>
      <c r="Q35" s="1108"/>
      <c r="R35" s="29"/>
      <c r="S35" s="29"/>
      <c r="T35" s="29"/>
      <c r="U35" s="29"/>
    </row>
    <row r="36" spans="1:17" s="762" customFormat="1" ht="15">
      <c r="A36" s="769" t="s">
        <v>98</v>
      </c>
      <c r="B36" s="770" t="s">
        <v>389</v>
      </c>
      <c r="C36" s="1085"/>
      <c r="D36" s="771"/>
      <c r="E36" s="776">
        <f>SUM(C36:D36)</f>
        <v>0</v>
      </c>
      <c r="F36" s="775"/>
      <c r="G36" s="771"/>
      <c r="H36" s="776">
        <f>SUM(F36:G36)</f>
        <v>0</v>
      </c>
      <c r="I36" s="1085"/>
      <c r="J36" s="771"/>
      <c r="K36" s="776">
        <f>SUM(I36:J36)</f>
        <v>0</v>
      </c>
      <c r="L36" s="1085"/>
      <c r="M36" s="771"/>
      <c r="N36" s="776">
        <f>SUM(L36:M36)</f>
        <v>0</v>
      </c>
      <c r="O36" s="1085"/>
      <c r="P36" s="771"/>
      <c r="Q36" s="776">
        <f>SUM(O36:P36)</f>
        <v>0</v>
      </c>
    </row>
    <row r="37" spans="1:17" s="762" customFormat="1" ht="15">
      <c r="A37" s="153" t="s">
        <v>99</v>
      </c>
      <c r="B37" s="149" t="s">
        <v>245</v>
      </c>
      <c r="C37" s="906"/>
      <c r="D37" s="139"/>
      <c r="E37" s="162">
        <f>SUM(C37:D37)</f>
        <v>0</v>
      </c>
      <c r="F37" s="885"/>
      <c r="G37" s="139"/>
      <c r="H37" s="162">
        <f>SUM(F37:G37)</f>
        <v>0</v>
      </c>
      <c r="I37" s="906"/>
      <c r="J37" s="139"/>
      <c r="K37" s="162">
        <f>SUM(I37:J37)</f>
        <v>0</v>
      </c>
      <c r="L37" s="906"/>
      <c r="M37" s="139"/>
      <c r="N37" s="162">
        <f>SUM(L37:M37)</f>
        <v>0</v>
      </c>
      <c r="O37" s="906"/>
      <c r="P37" s="139"/>
      <c r="Q37" s="162">
        <f>SUM(O37:P37)</f>
        <v>0</v>
      </c>
    </row>
    <row r="38" spans="1:17" s="762" customFormat="1" ht="15">
      <c r="A38" s="335" t="s">
        <v>100</v>
      </c>
      <c r="B38" s="142" t="s">
        <v>390</v>
      </c>
      <c r="C38" s="1076"/>
      <c r="D38" s="321"/>
      <c r="E38" s="324">
        <f>SUM(C38:D38)</f>
        <v>0</v>
      </c>
      <c r="F38" s="157"/>
      <c r="G38" s="321"/>
      <c r="H38" s="324">
        <f>SUM(F38:G38)</f>
        <v>0</v>
      </c>
      <c r="I38" s="1076"/>
      <c r="J38" s="321"/>
      <c r="K38" s="324">
        <f>SUM(I38:J38)</f>
        <v>0</v>
      </c>
      <c r="L38" s="1076"/>
      <c r="M38" s="321"/>
      <c r="N38" s="324">
        <f>SUM(L38:M38)</f>
        <v>0</v>
      </c>
      <c r="O38" s="1076"/>
      <c r="P38" s="321"/>
      <c r="Q38" s="324">
        <f>SUM(O38:P38)</f>
        <v>0</v>
      </c>
    </row>
    <row r="39" spans="1:17" s="762" customFormat="1" ht="15.75" thickBot="1">
      <c r="A39" s="154" t="s">
        <v>101</v>
      </c>
      <c r="B39" s="155" t="s">
        <v>394</v>
      </c>
      <c r="C39" s="907">
        <v>210</v>
      </c>
      <c r="D39" s="151"/>
      <c r="E39" s="238">
        <f>SUM(C39:D39)</f>
        <v>210</v>
      </c>
      <c r="F39" s="886"/>
      <c r="G39" s="151"/>
      <c r="H39" s="238">
        <f>SUM(F39:G39)</f>
        <v>0</v>
      </c>
      <c r="I39" s="907"/>
      <c r="J39" s="151"/>
      <c r="K39" s="238">
        <f>SUM(I39:J39)</f>
        <v>0</v>
      </c>
      <c r="L39" s="907"/>
      <c r="M39" s="151"/>
      <c r="N39" s="238">
        <f>SUM(L39:M39)</f>
        <v>0</v>
      </c>
      <c r="O39" s="907"/>
      <c r="P39" s="151"/>
      <c r="Q39" s="238">
        <f>SUM(O39:P39)</f>
        <v>0</v>
      </c>
    </row>
    <row r="40" spans="1:17" s="15" customFormat="1" ht="16.5" thickBot="1">
      <c r="A40" s="313">
        <v>1</v>
      </c>
      <c r="B40" s="305" t="s">
        <v>177</v>
      </c>
      <c r="C40" s="347">
        <f aca="true" t="shared" si="16" ref="C40:Q40">SUM(C36:C39)</f>
        <v>210</v>
      </c>
      <c r="D40" s="314">
        <f t="shared" si="16"/>
        <v>0</v>
      </c>
      <c r="E40" s="320">
        <f t="shared" si="16"/>
        <v>210</v>
      </c>
      <c r="F40" s="347">
        <f t="shared" si="16"/>
        <v>0</v>
      </c>
      <c r="G40" s="314">
        <f t="shared" si="16"/>
        <v>0</v>
      </c>
      <c r="H40" s="320">
        <f t="shared" si="16"/>
        <v>0</v>
      </c>
      <c r="I40" s="347">
        <f t="shared" si="16"/>
        <v>0</v>
      </c>
      <c r="J40" s="314">
        <f t="shared" si="16"/>
        <v>0</v>
      </c>
      <c r="K40" s="320">
        <f t="shared" si="16"/>
        <v>0</v>
      </c>
      <c r="L40" s="347">
        <f t="shared" si="16"/>
        <v>0</v>
      </c>
      <c r="M40" s="314">
        <f t="shared" si="16"/>
        <v>0</v>
      </c>
      <c r="N40" s="320">
        <f t="shared" si="16"/>
        <v>0</v>
      </c>
      <c r="O40" s="347">
        <f t="shared" si="16"/>
        <v>0</v>
      </c>
      <c r="P40" s="314">
        <f t="shared" si="16"/>
        <v>0</v>
      </c>
      <c r="Q40" s="320">
        <f t="shared" si="16"/>
        <v>0</v>
      </c>
    </row>
    <row r="41" spans="1:17" ht="15">
      <c r="A41" s="156" t="s">
        <v>98</v>
      </c>
      <c r="B41" s="145" t="s">
        <v>416</v>
      </c>
      <c r="C41" s="1075"/>
      <c r="D41" s="226"/>
      <c r="E41" s="228">
        <f>SUM(C41:D41)</f>
        <v>0</v>
      </c>
      <c r="F41" s="887"/>
      <c r="G41" s="226"/>
      <c r="H41" s="228">
        <f>SUM(F41:G41)</f>
        <v>0</v>
      </c>
      <c r="I41" s="1075"/>
      <c r="J41" s="226"/>
      <c r="K41" s="228">
        <f>SUM(I41:J41)</f>
        <v>0</v>
      </c>
      <c r="L41" s="1075"/>
      <c r="M41" s="226"/>
      <c r="N41" s="228">
        <f>SUM(L41:M41)</f>
        <v>0</v>
      </c>
      <c r="O41" s="1075"/>
      <c r="P41" s="226"/>
      <c r="Q41" s="228">
        <f>SUM(O41:P41)</f>
        <v>0</v>
      </c>
    </row>
    <row r="42" spans="1:17" ht="15">
      <c r="A42" s="153" t="s">
        <v>99</v>
      </c>
      <c r="B42" s="149" t="s">
        <v>391</v>
      </c>
      <c r="C42" s="906"/>
      <c r="D42" s="139"/>
      <c r="E42" s="162">
        <f>SUM(C42:D42)</f>
        <v>0</v>
      </c>
      <c r="F42" s="885"/>
      <c r="G42" s="139"/>
      <c r="H42" s="162">
        <f>SUM(F42:G42)</f>
        <v>0</v>
      </c>
      <c r="I42" s="906"/>
      <c r="J42" s="139"/>
      <c r="K42" s="162">
        <f>SUM(I42:J42)</f>
        <v>0</v>
      </c>
      <c r="L42" s="906"/>
      <c r="M42" s="139"/>
      <c r="N42" s="162">
        <f>SUM(L42:M42)</f>
        <v>0</v>
      </c>
      <c r="O42" s="906"/>
      <c r="P42" s="139"/>
      <c r="Q42" s="162">
        <f>SUM(O42:P42)</f>
        <v>0</v>
      </c>
    </row>
    <row r="43" spans="1:17" ht="15">
      <c r="A43" s="153" t="s">
        <v>100</v>
      </c>
      <c r="B43" s="149" t="s">
        <v>392</v>
      </c>
      <c r="C43" s="906"/>
      <c r="D43" s="139"/>
      <c r="E43" s="162">
        <f>SUM(C43:D43)</f>
        <v>0</v>
      </c>
      <c r="F43" s="885"/>
      <c r="G43" s="139"/>
      <c r="H43" s="162">
        <f>SUM(F43:G43)</f>
        <v>0</v>
      </c>
      <c r="I43" s="906"/>
      <c r="J43" s="139"/>
      <c r="K43" s="162">
        <f>SUM(I43:J43)</f>
        <v>0</v>
      </c>
      <c r="L43" s="906"/>
      <c r="M43" s="139"/>
      <c r="N43" s="162">
        <f>SUM(L43:M43)</f>
        <v>0</v>
      </c>
      <c r="O43" s="906"/>
      <c r="P43" s="139"/>
      <c r="Q43" s="162">
        <f>SUM(O43:P43)</f>
        <v>0</v>
      </c>
    </row>
    <row r="44" spans="1:17" ht="15.75" thickBot="1">
      <c r="A44" s="154" t="s">
        <v>101</v>
      </c>
      <c r="B44" s="155" t="s">
        <v>175</v>
      </c>
      <c r="C44" s="907"/>
      <c r="D44" s="151"/>
      <c r="E44" s="238">
        <f>SUM(C44:D44)</f>
        <v>0</v>
      </c>
      <c r="F44" s="886"/>
      <c r="G44" s="151"/>
      <c r="H44" s="238">
        <f>SUM(F44:G44)</f>
        <v>0</v>
      </c>
      <c r="I44" s="907"/>
      <c r="J44" s="151"/>
      <c r="K44" s="238">
        <f>SUM(I44:J44)</f>
        <v>0</v>
      </c>
      <c r="L44" s="907"/>
      <c r="M44" s="151"/>
      <c r="N44" s="238">
        <f>SUM(L44:M44)</f>
        <v>0</v>
      </c>
      <c r="O44" s="907"/>
      <c r="P44" s="151"/>
      <c r="Q44" s="238">
        <f>SUM(O44:P44)</f>
        <v>0</v>
      </c>
    </row>
    <row r="45" spans="1:17" s="15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7" ref="D45:Q45">SUM(D41:D44)</f>
        <v>0</v>
      </c>
      <c r="E45" s="316">
        <f t="shared" si="17"/>
        <v>0</v>
      </c>
      <c r="F45" s="347">
        <f t="shared" si="17"/>
        <v>0</v>
      </c>
      <c r="G45" s="314">
        <f t="shared" si="17"/>
        <v>0</v>
      </c>
      <c r="H45" s="316">
        <f t="shared" si="17"/>
        <v>0</v>
      </c>
      <c r="I45" s="347">
        <f t="shared" si="17"/>
        <v>0</v>
      </c>
      <c r="J45" s="314">
        <f t="shared" si="17"/>
        <v>0</v>
      </c>
      <c r="K45" s="316">
        <f t="shared" si="17"/>
        <v>0</v>
      </c>
      <c r="L45" s="347">
        <f t="shared" si="17"/>
        <v>0</v>
      </c>
      <c r="M45" s="314">
        <f t="shared" si="17"/>
        <v>0</v>
      </c>
      <c r="N45" s="330">
        <f t="shared" si="17"/>
        <v>0</v>
      </c>
      <c r="O45" s="347">
        <f t="shared" si="17"/>
        <v>0</v>
      </c>
      <c r="P45" s="314">
        <f t="shared" si="17"/>
        <v>0</v>
      </c>
      <c r="Q45" s="320">
        <f t="shared" si="17"/>
        <v>0</v>
      </c>
    </row>
    <row r="46" spans="1:17" s="15" customFormat="1" ht="16.5" thickBot="1">
      <c r="A46" s="313">
        <v>3</v>
      </c>
      <c r="B46" s="305" t="s">
        <v>264</v>
      </c>
      <c r="C46" s="347">
        <v>183</v>
      </c>
      <c r="D46" s="314">
        <v>415</v>
      </c>
      <c r="E46" s="316">
        <f>SUM(C46:D46)</f>
        <v>598</v>
      </c>
      <c r="F46" s="347"/>
      <c r="G46" s="314"/>
      <c r="H46" s="316">
        <f>SUM(F46:G46)</f>
        <v>0</v>
      </c>
      <c r="I46" s="347"/>
      <c r="J46" s="314"/>
      <c r="K46" s="316">
        <f>SUM(I46:J46)</f>
        <v>0</v>
      </c>
      <c r="L46" s="347"/>
      <c r="M46" s="314"/>
      <c r="N46" s="330">
        <f>SUM(L46:M46)</f>
        <v>0</v>
      </c>
      <c r="O46" s="347"/>
      <c r="P46" s="314"/>
      <c r="Q46" s="320">
        <f>SUM(O46:P46)</f>
        <v>0</v>
      </c>
    </row>
    <row r="47" spans="1:17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16">
        <f>SUM(I47:J47)</f>
        <v>0</v>
      </c>
      <c r="L47" s="347"/>
      <c r="M47" s="314"/>
      <c r="N47" s="330">
        <f>SUM(L47:M47)</f>
        <v>0</v>
      </c>
      <c r="O47" s="347"/>
      <c r="P47" s="314"/>
      <c r="Q47" s="320">
        <f>SUM(O47:P47)</f>
        <v>0</v>
      </c>
    </row>
    <row r="48" spans="1:17" s="762" customFormat="1" ht="15">
      <c r="A48" s="156" t="s">
        <v>98</v>
      </c>
      <c r="B48" s="142" t="s">
        <v>291</v>
      </c>
      <c r="C48" s="1075"/>
      <c r="D48" s="226"/>
      <c r="E48" s="228">
        <f>SUM(C48:D48)</f>
        <v>0</v>
      </c>
      <c r="F48" s="887"/>
      <c r="G48" s="226"/>
      <c r="H48" s="228">
        <f>SUM(F48:G48)</f>
        <v>0</v>
      </c>
      <c r="I48" s="1075"/>
      <c r="J48" s="226"/>
      <c r="K48" s="228">
        <f>SUM(I48:J48)</f>
        <v>0</v>
      </c>
      <c r="L48" s="1075"/>
      <c r="M48" s="226"/>
      <c r="N48" s="228">
        <f>SUM(L48:M48)</f>
        <v>0</v>
      </c>
      <c r="O48" s="1075"/>
      <c r="P48" s="226"/>
      <c r="Q48" s="228">
        <f>SUM(O48:P48)</f>
        <v>0</v>
      </c>
    </row>
    <row r="49" spans="1:17" ht="1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06"/>
      <c r="M49" s="139"/>
      <c r="N49" s="162">
        <f>SUM(L49:M49)</f>
        <v>0</v>
      </c>
      <c r="O49" s="906"/>
      <c r="P49" s="139"/>
      <c r="Q49" s="162">
        <f>SUM(O49:P49)</f>
        <v>0</v>
      </c>
    </row>
    <row r="50" spans="1:17" ht="15.75" thickBot="1">
      <c r="A50" s="154" t="s">
        <v>100</v>
      </c>
      <c r="B50" s="334" t="s">
        <v>426</v>
      </c>
      <c r="C50" s="906"/>
      <c r="D50" s="139"/>
      <c r="E50" s="162">
        <f>SUM(C50:D50)</f>
        <v>0</v>
      </c>
      <c r="F50" s="885"/>
      <c r="G50" s="139"/>
      <c r="H50" s="162">
        <f>SUM(F50:G50)</f>
        <v>0</v>
      </c>
      <c r="I50" s="906"/>
      <c r="J50" s="139"/>
      <c r="K50" s="162">
        <f>SUM(I50:J50)</f>
        <v>0</v>
      </c>
      <c r="L50" s="906"/>
      <c r="M50" s="139"/>
      <c r="N50" s="162">
        <f>SUM(L50:M50)</f>
        <v>0</v>
      </c>
      <c r="O50" s="906"/>
      <c r="P50" s="139"/>
      <c r="Q50" s="162">
        <f>SUM(O50:P50)</f>
        <v>0</v>
      </c>
    </row>
    <row r="51" spans="1:17" s="15" customFormat="1" ht="16.5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16">
        <f aca="true" t="shared" si="18" ref="E51:Q51">SUM(E48:E50)</f>
        <v>0</v>
      </c>
      <c r="F51" s="347">
        <f t="shared" si="18"/>
        <v>0</v>
      </c>
      <c r="G51" s="314">
        <f t="shared" si="18"/>
        <v>0</v>
      </c>
      <c r="H51" s="316">
        <f t="shared" si="18"/>
        <v>0</v>
      </c>
      <c r="I51" s="347">
        <f t="shared" si="18"/>
        <v>0</v>
      </c>
      <c r="J51" s="314">
        <f t="shared" si="18"/>
        <v>0</v>
      </c>
      <c r="K51" s="316">
        <f t="shared" si="18"/>
        <v>0</v>
      </c>
      <c r="L51" s="347">
        <f t="shared" si="18"/>
        <v>0</v>
      </c>
      <c r="M51" s="314">
        <f t="shared" si="18"/>
        <v>0</v>
      </c>
      <c r="N51" s="316">
        <f t="shared" si="18"/>
        <v>0</v>
      </c>
      <c r="O51" s="347">
        <f t="shared" si="18"/>
        <v>0</v>
      </c>
      <c r="P51" s="314">
        <f t="shared" si="18"/>
        <v>0</v>
      </c>
      <c r="Q51" s="320">
        <f t="shared" si="18"/>
        <v>0</v>
      </c>
    </row>
    <row r="52" spans="1:17" s="15" customFormat="1" ht="16.5" thickBot="1">
      <c r="A52" s="765">
        <v>6</v>
      </c>
      <c r="B52" s="766" t="s">
        <v>295</v>
      </c>
      <c r="C52" s="1078"/>
      <c r="D52" s="339"/>
      <c r="E52" s="332">
        <f>SUM(C52:D52)</f>
        <v>0</v>
      </c>
      <c r="F52" s="333"/>
      <c r="G52" s="339"/>
      <c r="H52" s="332">
        <f>SUM(F52:G52)</f>
        <v>0</v>
      </c>
      <c r="I52" s="1084"/>
      <c r="J52" s="339"/>
      <c r="K52" s="332">
        <f>SUM(I52:J52)</f>
        <v>0</v>
      </c>
      <c r="L52" s="1084"/>
      <c r="M52" s="339"/>
      <c r="N52" s="332">
        <f>SUM(L52:M52)</f>
        <v>0</v>
      </c>
      <c r="O52" s="1084"/>
      <c r="P52" s="339"/>
      <c r="Q52" s="332">
        <f>SUM(O52:P52)</f>
        <v>0</v>
      </c>
    </row>
    <row r="53" spans="1:17" ht="15">
      <c r="A53" s="137" t="s">
        <v>98</v>
      </c>
      <c r="B53" s="138" t="s">
        <v>395</v>
      </c>
      <c r="C53" s="1079"/>
      <c r="D53" s="140"/>
      <c r="E53" s="195">
        <f>SUM(C53:D53)</f>
        <v>0</v>
      </c>
      <c r="F53" s="889"/>
      <c r="G53" s="140"/>
      <c r="H53" s="195">
        <f>SUM(F53:G53)</f>
        <v>0</v>
      </c>
      <c r="I53" s="1079"/>
      <c r="J53" s="140"/>
      <c r="K53" s="195">
        <f>SUM(I53:J53)</f>
        <v>0</v>
      </c>
      <c r="L53" s="1079"/>
      <c r="M53" s="140"/>
      <c r="N53" s="195">
        <f>SUM(L53:M53)</f>
        <v>0</v>
      </c>
      <c r="O53" s="1079"/>
      <c r="P53" s="140"/>
      <c r="Q53" s="195">
        <f>SUM(O53:P53)</f>
        <v>0</v>
      </c>
    </row>
    <row r="54" spans="1:17" ht="15.75" thickBot="1">
      <c r="A54" s="335" t="s">
        <v>99</v>
      </c>
      <c r="B54" s="142" t="s">
        <v>396</v>
      </c>
      <c r="C54" s="1076"/>
      <c r="D54" s="321"/>
      <c r="E54" s="324">
        <f>SUM(C54:D54)</f>
        <v>0</v>
      </c>
      <c r="F54" s="157"/>
      <c r="G54" s="321"/>
      <c r="H54" s="324">
        <f>SUM(F54:G54)</f>
        <v>0</v>
      </c>
      <c r="I54" s="1076"/>
      <c r="J54" s="321"/>
      <c r="K54" s="324">
        <f>SUM(I54:J54)</f>
        <v>0</v>
      </c>
      <c r="L54" s="1076"/>
      <c r="M54" s="321"/>
      <c r="N54" s="324">
        <f>SUM(L54:M54)</f>
        <v>0</v>
      </c>
      <c r="O54" s="1076"/>
      <c r="P54" s="321"/>
      <c r="Q54" s="324">
        <f>SUM(O54:P54)</f>
        <v>0</v>
      </c>
    </row>
    <row r="55" spans="1:17" s="15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>
        <f aca="true" t="shared" si="19" ref="D55:Q55">SUM(D53:D54)</f>
        <v>0</v>
      </c>
      <c r="E55" s="316">
        <f t="shared" si="19"/>
        <v>0</v>
      </c>
      <c r="F55" s="347">
        <f t="shared" si="19"/>
        <v>0</v>
      </c>
      <c r="G55" s="314">
        <f t="shared" si="19"/>
        <v>0</v>
      </c>
      <c r="H55" s="316">
        <f t="shared" si="19"/>
        <v>0</v>
      </c>
      <c r="I55" s="347">
        <f t="shared" si="19"/>
        <v>0</v>
      </c>
      <c r="J55" s="314">
        <f t="shared" si="19"/>
        <v>0</v>
      </c>
      <c r="K55" s="316">
        <f t="shared" si="19"/>
        <v>0</v>
      </c>
      <c r="L55" s="347">
        <f t="shared" si="19"/>
        <v>0</v>
      </c>
      <c r="M55" s="314">
        <f t="shared" si="19"/>
        <v>0</v>
      </c>
      <c r="N55" s="316">
        <f t="shared" si="19"/>
        <v>0</v>
      </c>
      <c r="O55" s="1086">
        <f t="shared" si="19"/>
        <v>0</v>
      </c>
      <c r="P55" s="1088">
        <f t="shared" si="19"/>
        <v>0</v>
      </c>
      <c r="Q55" s="1090">
        <f t="shared" si="19"/>
        <v>0</v>
      </c>
    </row>
    <row r="56" spans="1:17" s="28" customFormat="1" ht="19.5" customHeight="1" thickBot="1">
      <c r="A56" s="716">
        <v>8</v>
      </c>
      <c r="B56" s="717" t="s">
        <v>46</v>
      </c>
      <c r="C56" s="1111">
        <f>C34-C40-C45-C46-C47-C51-C52-C55-C57-C58-C59</f>
        <v>136563</v>
      </c>
      <c r="D56" s="1112">
        <f>D34-D40-D45-D46-D47-D51-D52-D55-D57-D58-D59</f>
        <v>-1015</v>
      </c>
      <c r="E56" s="1109">
        <f aca="true" t="shared" si="20" ref="E56:Q56">E34-E40-E45-E46-E47-E51-E52-E55-E57-E58-E59</f>
        <v>135548</v>
      </c>
      <c r="F56" s="1111">
        <f t="shared" si="20"/>
        <v>104332</v>
      </c>
      <c r="G56" s="1112">
        <f t="shared" si="20"/>
        <v>600</v>
      </c>
      <c r="H56" s="1109">
        <f t="shared" si="20"/>
        <v>104932</v>
      </c>
      <c r="I56" s="1111">
        <f t="shared" si="20"/>
        <v>6200</v>
      </c>
      <c r="J56" s="1112">
        <f t="shared" si="20"/>
        <v>0</v>
      </c>
      <c r="K56" s="1109">
        <f t="shared" si="20"/>
        <v>6200</v>
      </c>
      <c r="L56" s="1111">
        <f t="shared" si="20"/>
        <v>15000</v>
      </c>
      <c r="M56" s="1112">
        <f t="shared" si="20"/>
        <v>0</v>
      </c>
      <c r="N56" s="1109">
        <f t="shared" si="20"/>
        <v>15000</v>
      </c>
      <c r="O56" s="1134">
        <f t="shared" si="20"/>
        <v>7991</v>
      </c>
      <c r="P56" s="1136">
        <f t="shared" si="20"/>
        <v>0</v>
      </c>
      <c r="Q56" s="1124">
        <f t="shared" si="20"/>
        <v>7991</v>
      </c>
    </row>
    <row r="57" spans="1:17" s="15" customFormat="1" ht="15.75">
      <c r="A57" s="336" t="s">
        <v>398</v>
      </c>
      <c r="B57" s="337" t="s">
        <v>184</v>
      </c>
      <c r="C57" s="1081"/>
      <c r="D57" s="327"/>
      <c r="E57" s="1110">
        <f>SUM(C57:D57)</f>
        <v>0</v>
      </c>
      <c r="F57" s="890"/>
      <c r="G57" s="327"/>
      <c r="H57" s="1110">
        <f>SUM(F57:G57)</f>
        <v>0</v>
      </c>
      <c r="I57" s="1081"/>
      <c r="J57" s="327"/>
      <c r="K57" s="1110">
        <f>SUM(I57:J57)</f>
        <v>0</v>
      </c>
      <c r="L57" s="1081"/>
      <c r="M57" s="327"/>
      <c r="N57" s="1110">
        <f>SUM(L57:M57)</f>
        <v>0</v>
      </c>
      <c r="O57" s="1081"/>
      <c r="P57" s="327"/>
      <c r="Q57" s="1110">
        <f>SUM(O57:P57)</f>
        <v>0</v>
      </c>
    </row>
    <row r="58" spans="1:17" s="15" customFormat="1" ht="15.75">
      <c r="A58" s="336" t="s">
        <v>183</v>
      </c>
      <c r="B58" s="337" t="s">
        <v>397</v>
      </c>
      <c r="C58" s="326"/>
      <c r="D58" s="327"/>
      <c r="E58" s="402">
        <f>SUM(C58:D58)</f>
        <v>0</v>
      </c>
      <c r="F58" s="890"/>
      <c r="G58" s="327"/>
      <c r="H58" s="1110">
        <f>SUM(F58:G58)</f>
        <v>0</v>
      </c>
      <c r="I58" s="1081"/>
      <c r="J58" s="327"/>
      <c r="K58" s="1110">
        <f>SUM(I58:J58)</f>
        <v>0</v>
      </c>
      <c r="L58" s="1081"/>
      <c r="M58" s="327"/>
      <c r="N58" s="1110">
        <f>SUM(L58:M58)</f>
        <v>0</v>
      </c>
      <c r="O58" s="326"/>
      <c r="P58" s="327"/>
      <c r="Q58" s="402">
        <f>SUM(O58:P58)</f>
        <v>0</v>
      </c>
    </row>
    <row r="59" spans="1:17" s="15" customFormat="1" ht="16.5" thickBot="1">
      <c r="A59" s="351">
        <v>10</v>
      </c>
      <c r="B59" s="352"/>
      <c r="C59" s="353"/>
      <c r="D59" s="354"/>
      <c r="E59" s="406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353"/>
      <c r="M59" s="354"/>
      <c r="N59" s="407">
        <f>SUM(L59:M59)</f>
        <v>0</v>
      </c>
      <c r="O59" s="353"/>
      <c r="P59" s="354"/>
      <c r="Q59" s="407">
        <f>SUM(O59:P59)</f>
        <v>0</v>
      </c>
    </row>
    <row r="60" spans="1:17" s="32" customFormat="1" ht="17.25" thickBot="1" thickTop="1">
      <c r="A60" s="343" t="s">
        <v>109</v>
      </c>
      <c r="B60" s="345" t="s">
        <v>182</v>
      </c>
      <c r="C60" s="779">
        <f>C40+C45+C46+C47+C51+C52+C55+C56+C57+C58+C59</f>
        <v>136956</v>
      </c>
      <c r="D60" s="780">
        <f aca="true" t="shared" si="21" ref="D60:Q60">D40+D45+D46+D47+D51+D52+D55+D56+D57+D58+D59</f>
        <v>-600</v>
      </c>
      <c r="E60" s="778">
        <f t="shared" si="21"/>
        <v>136356</v>
      </c>
      <c r="F60" s="364">
        <f t="shared" si="21"/>
        <v>104332</v>
      </c>
      <c r="G60" s="344">
        <f t="shared" si="21"/>
        <v>600</v>
      </c>
      <c r="H60" s="778">
        <f t="shared" si="21"/>
        <v>104932</v>
      </c>
      <c r="I60" s="779">
        <f t="shared" si="21"/>
        <v>6200</v>
      </c>
      <c r="J60" s="780">
        <f t="shared" si="21"/>
        <v>0</v>
      </c>
      <c r="K60" s="778">
        <f t="shared" si="21"/>
        <v>6200</v>
      </c>
      <c r="L60" s="364">
        <f t="shared" si="21"/>
        <v>15000</v>
      </c>
      <c r="M60" s="344">
        <f t="shared" si="21"/>
        <v>0</v>
      </c>
      <c r="N60" s="778">
        <f t="shared" si="21"/>
        <v>15000</v>
      </c>
      <c r="O60" s="364">
        <f t="shared" si="21"/>
        <v>7991</v>
      </c>
      <c r="P60" s="344">
        <f t="shared" si="21"/>
        <v>0</v>
      </c>
      <c r="Q60" s="374">
        <f t="shared" si="21"/>
        <v>7991</v>
      </c>
    </row>
    <row r="61" spans="1:17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</row>
    <row r="62" spans="1:17" ht="16.5" thickBot="1" thickTop="1">
      <c r="A62" s="167"/>
      <c r="B62" s="168" t="s">
        <v>579</v>
      </c>
      <c r="C62" s="196"/>
      <c r="D62" s="412"/>
      <c r="E62" s="413">
        <f>SUM(C62:D62)</f>
        <v>0</v>
      </c>
      <c r="F62" s="196"/>
      <c r="G62" s="414"/>
      <c r="H62" s="413">
        <f>SUM(F62:G62)</f>
        <v>0</v>
      </c>
      <c r="I62" s="196"/>
      <c r="J62" s="414"/>
      <c r="K62" s="413">
        <f>SUM(I62:J62)</f>
        <v>0</v>
      </c>
      <c r="L62" s="196"/>
      <c r="M62" s="414"/>
      <c r="N62" s="413">
        <f>SUM(L62:M62)</f>
        <v>0</v>
      </c>
      <c r="O62" s="196"/>
      <c r="P62" s="414"/>
      <c r="Q62" s="413">
        <f>SUM(O62:P62)</f>
        <v>0</v>
      </c>
    </row>
    <row r="63" spans="1:17" ht="16.5" thickBot="1" thickTop="1">
      <c r="A63" s="167"/>
      <c r="B63" s="168" t="s">
        <v>580</v>
      </c>
      <c r="C63" s="196"/>
      <c r="D63" s="412"/>
      <c r="E63" s="413">
        <f>SUM(C63:D63)</f>
        <v>0</v>
      </c>
      <c r="F63" s="196"/>
      <c r="G63" s="414"/>
      <c r="H63" s="413">
        <f>SUM(F63:G63)</f>
        <v>0</v>
      </c>
      <c r="I63" s="196"/>
      <c r="J63" s="414"/>
      <c r="K63" s="413">
        <f>SUM(I63:J63)</f>
        <v>0</v>
      </c>
      <c r="L63" s="196"/>
      <c r="M63" s="414"/>
      <c r="N63" s="413">
        <f>SUM(L63:M63)</f>
        <v>0</v>
      </c>
      <c r="O63" s="196"/>
      <c r="P63" s="414"/>
      <c r="Q63" s="413">
        <f>SUM(O63:P63)</f>
        <v>0</v>
      </c>
    </row>
    <row r="64" ht="16.5" thickTop="1">
      <c r="A64" s="418"/>
    </row>
    <row r="65" ht="15.75">
      <c r="A65" s="418"/>
    </row>
  </sheetData>
  <sheetProtection/>
  <mergeCells count="7">
    <mergeCell ref="A4:Q4"/>
    <mergeCell ref="A5:Q5"/>
    <mergeCell ref="O7:Q7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7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386" customWidth="1"/>
    <col min="3" max="14" width="14.625" style="386" customWidth="1"/>
    <col min="15" max="17" width="14.625" style="400" customWidth="1"/>
    <col min="18" max="16384" width="9.375" style="5" customWidth="1"/>
  </cols>
  <sheetData>
    <row r="1" spans="1:17" ht="10.5" customHeight="1">
      <c r="A1" s="303"/>
      <c r="B1" s="304"/>
      <c r="C1" s="304"/>
      <c r="K1" s="893"/>
      <c r="Q1" s="892" t="s">
        <v>915</v>
      </c>
    </row>
    <row r="2" spans="1:17" ht="12.75" customHeight="1">
      <c r="A2" s="303"/>
      <c r="B2" s="304"/>
      <c r="C2" s="304"/>
      <c r="K2" s="893"/>
      <c r="Q2" s="892" t="s">
        <v>93</v>
      </c>
    </row>
    <row r="3" spans="1:17" ht="15">
      <c r="A3" s="303"/>
      <c r="B3" s="304"/>
      <c r="C3" s="304"/>
      <c r="K3" s="893"/>
      <c r="Q3" s="893" t="s">
        <v>142</v>
      </c>
    </row>
    <row r="4" spans="1:17" s="84" customFormat="1" ht="20.25">
      <c r="A4" s="1936" t="s">
        <v>648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</row>
    <row r="5" spans="1:17" s="85" customFormat="1" ht="18">
      <c r="A5" s="1937" t="s">
        <v>562</v>
      </c>
      <c r="B5" s="1937"/>
      <c r="C5" s="1937"/>
      <c r="D5" s="1937"/>
      <c r="E5" s="1937"/>
      <c r="F5" s="1937"/>
      <c r="G5" s="1937"/>
      <c r="H5" s="1937"/>
      <c r="I5" s="1937"/>
      <c r="J5" s="1937"/>
      <c r="K5" s="1937"/>
      <c r="L5" s="1937"/>
      <c r="M5" s="1937"/>
      <c r="N5" s="1937"/>
      <c r="O5" s="1937"/>
      <c r="P5" s="1937"/>
      <c r="Q5" s="1937"/>
    </row>
    <row r="6" spans="1:17" ht="45" customHeight="1" thickBot="1">
      <c r="A6" s="303"/>
      <c r="B6" s="304"/>
      <c r="C6" s="304"/>
      <c r="K6" s="940"/>
      <c r="L6" s="931"/>
      <c r="M6" s="931"/>
      <c r="O6" s="941"/>
      <c r="P6" s="941"/>
      <c r="Q6" s="942" t="s">
        <v>134</v>
      </c>
    </row>
    <row r="7" spans="1:17" s="243" customFormat="1" ht="37.5" customHeight="1">
      <c r="A7" s="120" t="s">
        <v>124</v>
      </c>
      <c r="B7" s="242" t="s">
        <v>125</v>
      </c>
      <c r="C7" s="1925" t="s">
        <v>442</v>
      </c>
      <c r="D7" s="1947"/>
      <c r="E7" s="1948"/>
      <c r="F7" s="1925" t="s">
        <v>64</v>
      </c>
      <c r="G7" s="1949"/>
      <c r="H7" s="1948"/>
      <c r="I7" s="1925" t="s">
        <v>79</v>
      </c>
      <c r="J7" s="1949"/>
      <c r="K7" s="1948"/>
      <c r="L7" s="1922" t="s">
        <v>61</v>
      </c>
      <c r="M7" s="1923"/>
      <c r="N7" s="1924"/>
      <c r="O7" s="1925" t="s">
        <v>62</v>
      </c>
      <c r="P7" s="1949"/>
      <c r="Q7" s="1948"/>
    </row>
    <row r="8" spans="1:17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86" customFormat="1" ht="13.5" customHeight="1" thickBot="1">
      <c r="A9" s="420">
        <v>1</v>
      </c>
      <c r="B9" s="420">
        <v>2</v>
      </c>
      <c r="C9" s="421">
        <v>3</v>
      </c>
      <c r="D9" s="422">
        <v>4</v>
      </c>
      <c r="E9" s="424">
        <v>5</v>
      </c>
      <c r="F9" s="422">
        <v>6</v>
      </c>
      <c r="G9" s="422">
        <v>7</v>
      </c>
      <c r="H9" s="422">
        <v>8</v>
      </c>
      <c r="I9" s="421">
        <v>9</v>
      </c>
      <c r="J9" s="422">
        <v>10</v>
      </c>
      <c r="K9" s="424">
        <v>11</v>
      </c>
      <c r="L9" s="422">
        <v>12</v>
      </c>
      <c r="M9" s="422">
        <v>13</v>
      </c>
      <c r="N9" s="424">
        <v>14</v>
      </c>
      <c r="O9" s="422">
        <v>15</v>
      </c>
      <c r="P9" s="422">
        <v>16</v>
      </c>
      <c r="Q9" s="424">
        <v>17</v>
      </c>
    </row>
    <row r="10" spans="1:17" s="386" customFormat="1" ht="16.5" thickBot="1">
      <c r="A10" s="380"/>
      <c r="B10" s="346" t="s">
        <v>129</v>
      </c>
      <c r="C10" s="381"/>
      <c r="D10" s="382"/>
      <c r="E10" s="383"/>
      <c r="F10" s="384"/>
      <c r="G10" s="385"/>
      <c r="H10" s="383"/>
      <c r="I10" s="384"/>
      <c r="J10" s="385"/>
      <c r="K10" s="383"/>
      <c r="L10" s="944"/>
      <c r="M10" s="1139"/>
      <c r="N10" s="916"/>
      <c r="O10" s="944"/>
      <c r="P10" s="385"/>
      <c r="Q10" s="915"/>
    </row>
    <row r="11" spans="1:17" s="386" customFormat="1" ht="16.5" thickBot="1">
      <c r="A11" s="313">
        <v>1</v>
      </c>
      <c r="B11" s="305" t="s">
        <v>113</v>
      </c>
      <c r="C11" s="314"/>
      <c r="D11" s="314">
        <v>764</v>
      </c>
      <c r="E11" s="358">
        <f>SUM(C11:D11)</f>
        <v>764</v>
      </c>
      <c r="F11" s="314">
        <v>2025</v>
      </c>
      <c r="G11" s="314"/>
      <c r="H11" s="358">
        <f>SUM(F11:G11)</f>
        <v>2025</v>
      </c>
      <c r="I11" s="314"/>
      <c r="J11" s="314"/>
      <c r="K11" s="358">
        <f aca="true" t="shared" si="0" ref="K11:K16">SUM(I11:J11)</f>
        <v>0</v>
      </c>
      <c r="L11" s="314"/>
      <c r="M11" s="314"/>
      <c r="N11" s="358">
        <f aca="true" t="shared" si="1" ref="N11:N16">SUM(L11:M11)</f>
        <v>0</v>
      </c>
      <c r="O11" s="1140"/>
      <c r="P11" s="387"/>
      <c r="Q11" s="1117">
        <f aca="true" t="shared" si="2" ref="Q11:Q16">SUM(O11:P11)</f>
        <v>0</v>
      </c>
    </row>
    <row r="12" spans="1:17" s="386" customFormat="1" ht="16.5" thickBot="1">
      <c r="A12" s="317">
        <v>2</v>
      </c>
      <c r="B12" s="305" t="s">
        <v>202</v>
      </c>
      <c r="C12" s="316"/>
      <c r="D12" s="314">
        <v>120</v>
      </c>
      <c r="E12" s="358">
        <f>SUM(C12:D12)</f>
        <v>120</v>
      </c>
      <c r="F12" s="316">
        <v>389</v>
      </c>
      <c r="G12" s="314"/>
      <c r="H12" s="358">
        <f>SUM(F12:G12)</f>
        <v>389</v>
      </c>
      <c r="I12" s="316"/>
      <c r="J12" s="314"/>
      <c r="K12" s="358">
        <f t="shared" si="0"/>
        <v>0</v>
      </c>
      <c r="L12" s="316"/>
      <c r="M12" s="314"/>
      <c r="N12" s="358">
        <f t="shared" si="1"/>
        <v>0</v>
      </c>
      <c r="O12" s="1140"/>
      <c r="P12" s="387"/>
      <c r="Q12" s="1117">
        <f t="shared" si="2"/>
        <v>0</v>
      </c>
    </row>
    <row r="13" spans="1:17" s="394" customFormat="1" ht="16.5" thickBot="1">
      <c r="A13" s="317">
        <v>3</v>
      </c>
      <c r="B13" s="305" t="s">
        <v>116</v>
      </c>
      <c r="C13" s="316">
        <v>15502</v>
      </c>
      <c r="D13" s="314">
        <v>7061</v>
      </c>
      <c r="E13" s="358">
        <f>SUM(C13:D13)</f>
        <v>22563</v>
      </c>
      <c r="F13" s="316">
        <v>40806</v>
      </c>
      <c r="G13" s="314"/>
      <c r="H13" s="358">
        <f>SUM(F13:G13)</f>
        <v>40806</v>
      </c>
      <c r="I13" s="314">
        <v>23278</v>
      </c>
      <c r="J13" s="314">
        <v>5283</v>
      </c>
      <c r="K13" s="358">
        <f t="shared" si="0"/>
        <v>28561</v>
      </c>
      <c r="L13" s="314">
        <v>385517</v>
      </c>
      <c r="M13" s="314">
        <v>1297</v>
      </c>
      <c r="N13" s="358">
        <f t="shared" si="1"/>
        <v>386814</v>
      </c>
      <c r="O13" s="1140"/>
      <c r="P13" s="387"/>
      <c r="Q13" s="1117">
        <f t="shared" si="2"/>
        <v>0</v>
      </c>
    </row>
    <row r="14" spans="1:17" s="394" customFormat="1" ht="16.5" thickBot="1">
      <c r="A14" s="317">
        <v>4</v>
      </c>
      <c r="B14" s="305" t="s">
        <v>172</v>
      </c>
      <c r="C14" s="316"/>
      <c r="D14" s="316"/>
      <c r="E14" s="320">
        <f>SUM(C14:D14)</f>
        <v>0</v>
      </c>
      <c r="F14" s="316"/>
      <c r="G14" s="316"/>
      <c r="H14" s="320">
        <f>SUM(F14:G14)</f>
        <v>0</v>
      </c>
      <c r="I14" s="316"/>
      <c r="J14" s="316"/>
      <c r="K14" s="320">
        <f t="shared" si="0"/>
        <v>0</v>
      </c>
      <c r="L14" s="316"/>
      <c r="M14" s="316"/>
      <c r="N14" s="320">
        <f t="shared" si="1"/>
        <v>0</v>
      </c>
      <c r="O14" s="330"/>
      <c r="P14" s="314"/>
      <c r="Q14" s="320">
        <f t="shared" si="2"/>
        <v>0</v>
      </c>
    </row>
    <row r="15" spans="1:17" s="386" customFormat="1" ht="15">
      <c r="A15" s="156" t="s">
        <v>98</v>
      </c>
      <c r="B15" s="145" t="s">
        <v>383</v>
      </c>
      <c r="C15" s="226"/>
      <c r="D15" s="226"/>
      <c r="E15" s="389">
        <f>C15+D15</f>
        <v>0</v>
      </c>
      <c r="F15" s="226"/>
      <c r="G15" s="226"/>
      <c r="H15" s="389">
        <f>F15+G15</f>
        <v>0</v>
      </c>
      <c r="I15" s="226"/>
      <c r="J15" s="226"/>
      <c r="K15" s="389">
        <f t="shared" si="0"/>
        <v>0</v>
      </c>
      <c r="L15" s="226"/>
      <c r="M15" s="226"/>
      <c r="N15" s="389">
        <f t="shared" si="1"/>
        <v>0</v>
      </c>
      <c r="O15" s="1141"/>
      <c r="P15" s="390"/>
      <c r="Q15" s="1116">
        <f t="shared" si="2"/>
        <v>0</v>
      </c>
    </row>
    <row r="16" spans="1:17" s="386" customFormat="1" ht="15">
      <c r="A16" s="153" t="s">
        <v>99</v>
      </c>
      <c r="B16" s="149" t="s">
        <v>626</v>
      </c>
      <c r="C16" s="307"/>
      <c r="D16" s="139"/>
      <c r="E16" s="228">
        <f>C16+D16</f>
        <v>0</v>
      </c>
      <c r="F16" s="139"/>
      <c r="G16" s="139"/>
      <c r="H16" s="389">
        <f>F16+G16</f>
        <v>0</v>
      </c>
      <c r="I16" s="139"/>
      <c r="J16" s="139"/>
      <c r="K16" s="389">
        <f t="shared" si="0"/>
        <v>0</v>
      </c>
      <c r="L16" s="139"/>
      <c r="M16" s="139"/>
      <c r="N16" s="389">
        <f t="shared" si="1"/>
        <v>0</v>
      </c>
      <c r="O16" s="1142"/>
      <c r="P16" s="392"/>
      <c r="Q16" s="1116">
        <f t="shared" si="2"/>
        <v>0</v>
      </c>
    </row>
    <row r="17" spans="1:17" s="386" customFormat="1" ht="15">
      <c r="A17" s="153" t="s">
        <v>100</v>
      </c>
      <c r="B17" s="149" t="s">
        <v>627</v>
      </c>
      <c r="C17" s="307"/>
      <c r="D17" s="139"/>
      <c r="E17" s="228">
        <f aca="true" t="shared" si="3" ref="E17:E22">C17+D17</f>
        <v>0</v>
      </c>
      <c r="F17" s="139"/>
      <c r="G17" s="139"/>
      <c r="H17" s="389">
        <f aca="true" t="shared" si="4" ref="H17:H22">F17+G17</f>
        <v>0</v>
      </c>
      <c r="I17" s="139"/>
      <c r="J17" s="139"/>
      <c r="K17" s="389">
        <f aca="true" t="shared" si="5" ref="K17:K22">SUM(I17:J17)</f>
        <v>0</v>
      </c>
      <c r="L17" s="139"/>
      <c r="M17" s="139"/>
      <c r="N17" s="389">
        <f aca="true" t="shared" si="6" ref="N17:N22">SUM(L17:M17)</f>
        <v>0</v>
      </c>
      <c r="O17" s="1142"/>
      <c r="P17" s="392"/>
      <c r="Q17" s="1116">
        <f aca="true" t="shared" si="7" ref="Q17:Q22">SUM(O17:P17)</f>
        <v>0</v>
      </c>
    </row>
    <row r="18" spans="1:17" s="386" customFormat="1" ht="15">
      <c r="A18" s="153" t="s">
        <v>101</v>
      </c>
      <c r="B18" s="149" t="s">
        <v>384</v>
      </c>
      <c r="C18" s="906"/>
      <c r="D18" s="139"/>
      <c r="E18" s="228">
        <f t="shared" si="3"/>
        <v>0</v>
      </c>
      <c r="F18" s="307"/>
      <c r="G18" s="139"/>
      <c r="H18" s="228">
        <f t="shared" si="4"/>
        <v>0</v>
      </c>
      <c r="I18" s="139"/>
      <c r="J18" s="139"/>
      <c r="K18" s="389">
        <f t="shared" si="5"/>
        <v>0</v>
      </c>
      <c r="L18" s="139"/>
      <c r="M18" s="139"/>
      <c r="N18" s="389">
        <f t="shared" si="6"/>
        <v>0</v>
      </c>
      <c r="O18" s="1142"/>
      <c r="P18" s="392"/>
      <c r="Q18" s="1116">
        <f t="shared" si="7"/>
        <v>0</v>
      </c>
    </row>
    <row r="19" spans="1:17" s="386" customFormat="1" ht="15">
      <c r="A19" s="148" t="s">
        <v>192</v>
      </c>
      <c r="B19" s="149" t="s">
        <v>628</v>
      </c>
      <c r="C19" s="887"/>
      <c r="D19" s="226"/>
      <c r="E19" s="228">
        <f>C19+D19</f>
        <v>0</v>
      </c>
      <c r="F19" s="306"/>
      <c r="G19" s="226"/>
      <c r="H19" s="228">
        <f>F19+G19</f>
        <v>0</v>
      </c>
      <c r="I19" s="306"/>
      <c r="J19" s="139"/>
      <c r="K19" s="228">
        <f>SUM(I19:J19)</f>
        <v>0</v>
      </c>
      <c r="L19" s="226"/>
      <c r="M19" s="226"/>
      <c r="N19" s="389">
        <f>SUM(L19:M19)</f>
        <v>0</v>
      </c>
      <c r="O19" s="1141"/>
      <c r="P19" s="390"/>
      <c r="Q19" s="1116">
        <f>SUM(O19:P19)</f>
        <v>0</v>
      </c>
    </row>
    <row r="20" spans="1:17" s="386" customFormat="1" ht="15">
      <c r="A20" s="148" t="s">
        <v>339</v>
      </c>
      <c r="B20" s="149" t="s">
        <v>629</v>
      </c>
      <c r="C20" s="887"/>
      <c r="D20" s="226"/>
      <c r="E20" s="228">
        <f t="shared" si="3"/>
        <v>0</v>
      </c>
      <c r="F20" s="306"/>
      <c r="G20" s="226"/>
      <c r="H20" s="228">
        <f t="shared" si="4"/>
        <v>0</v>
      </c>
      <c r="I20" s="306"/>
      <c r="J20" s="226"/>
      <c r="K20" s="228">
        <f t="shared" si="5"/>
        <v>0</v>
      </c>
      <c r="L20" s="306"/>
      <c r="M20" s="139"/>
      <c r="N20" s="228">
        <f t="shared" si="6"/>
        <v>0</v>
      </c>
      <c r="O20" s="1141"/>
      <c r="P20" s="390"/>
      <c r="Q20" s="1116">
        <f t="shared" si="7"/>
        <v>0</v>
      </c>
    </row>
    <row r="21" spans="1:17" s="386" customFormat="1" ht="15">
      <c r="A21" s="148" t="s">
        <v>340</v>
      </c>
      <c r="B21" s="149" t="s">
        <v>385</v>
      </c>
      <c r="C21" s="887"/>
      <c r="D21" s="226"/>
      <c r="E21" s="228">
        <f>C21+D21</f>
        <v>0</v>
      </c>
      <c r="F21" s="306"/>
      <c r="G21" s="226"/>
      <c r="H21" s="228">
        <f t="shared" si="4"/>
        <v>0</v>
      </c>
      <c r="I21" s="306"/>
      <c r="J21" s="226"/>
      <c r="K21" s="228">
        <f t="shared" si="5"/>
        <v>0</v>
      </c>
      <c r="L21" s="306"/>
      <c r="M21" s="226"/>
      <c r="N21" s="228">
        <f t="shared" si="6"/>
        <v>0</v>
      </c>
      <c r="O21" s="1141"/>
      <c r="P21" s="390"/>
      <c r="Q21" s="1116">
        <f t="shared" si="7"/>
        <v>0</v>
      </c>
    </row>
    <row r="22" spans="1:17" s="386" customFormat="1" ht="15" customHeight="1" thickBot="1">
      <c r="A22" s="16" t="s">
        <v>69</v>
      </c>
      <c r="B22" s="334" t="s">
        <v>386</v>
      </c>
      <c r="C22" s="886"/>
      <c r="D22" s="151"/>
      <c r="E22" s="228">
        <f t="shared" si="3"/>
        <v>0</v>
      </c>
      <c r="F22" s="308"/>
      <c r="G22" s="151"/>
      <c r="H22" s="228">
        <f t="shared" si="4"/>
        <v>0</v>
      </c>
      <c r="I22" s="308"/>
      <c r="J22" s="151"/>
      <c r="K22" s="228">
        <f t="shared" si="5"/>
        <v>0</v>
      </c>
      <c r="L22" s="308"/>
      <c r="M22" s="151"/>
      <c r="N22" s="228">
        <f t="shared" si="6"/>
        <v>0</v>
      </c>
      <c r="O22" s="1143"/>
      <c r="P22" s="393"/>
      <c r="Q22" s="1116">
        <f t="shared" si="7"/>
        <v>0</v>
      </c>
    </row>
    <row r="23" spans="1:17" s="394" customFormat="1" ht="16.5" thickBot="1">
      <c r="A23" s="317">
        <v>5</v>
      </c>
      <c r="B23" s="305" t="s">
        <v>171</v>
      </c>
      <c r="C23" s="347">
        <f aca="true" t="shared" si="8" ref="C23:Q23">SUM(C15:C22)</f>
        <v>0</v>
      </c>
      <c r="D23" s="314">
        <f t="shared" si="8"/>
        <v>0</v>
      </c>
      <c r="E23" s="320">
        <f t="shared" si="8"/>
        <v>0</v>
      </c>
      <c r="F23" s="330">
        <f t="shared" si="8"/>
        <v>0</v>
      </c>
      <c r="G23" s="314">
        <f t="shared" si="8"/>
        <v>0</v>
      </c>
      <c r="H23" s="330">
        <f t="shared" si="8"/>
        <v>0</v>
      </c>
      <c r="I23" s="347">
        <f t="shared" si="8"/>
        <v>0</v>
      </c>
      <c r="J23" s="314">
        <f t="shared" si="8"/>
        <v>0</v>
      </c>
      <c r="K23" s="320">
        <f t="shared" si="8"/>
        <v>0</v>
      </c>
      <c r="L23" s="347">
        <f t="shared" si="8"/>
        <v>0</v>
      </c>
      <c r="M23" s="314">
        <f t="shared" si="8"/>
        <v>0</v>
      </c>
      <c r="N23" s="320">
        <f t="shared" si="8"/>
        <v>0</v>
      </c>
      <c r="O23" s="347">
        <f t="shared" si="8"/>
        <v>0</v>
      </c>
      <c r="P23" s="314">
        <f t="shared" si="8"/>
        <v>0</v>
      </c>
      <c r="Q23" s="320">
        <f t="shared" si="8"/>
        <v>0</v>
      </c>
    </row>
    <row r="24" spans="1:17" s="386" customFormat="1" ht="16.5" thickBot="1">
      <c r="A24" s="313">
        <v>6</v>
      </c>
      <c r="B24" s="305" t="s">
        <v>174</v>
      </c>
      <c r="C24" s="318">
        <v>3768</v>
      </c>
      <c r="D24" s="314">
        <v>-884</v>
      </c>
      <c r="E24" s="320">
        <f aca="true" t="shared" si="9" ref="E24:E30">SUM(C24:D24)</f>
        <v>2884</v>
      </c>
      <c r="F24" s="318">
        <v>26576</v>
      </c>
      <c r="G24" s="314"/>
      <c r="H24" s="320">
        <f aca="true" t="shared" si="10" ref="H24:H30">SUM(F24:G24)</f>
        <v>26576</v>
      </c>
      <c r="I24" s="330">
        <v>165052</v>
      </c>
      <c r="J24" s="314">
        <v>-5283</v>
      </c>
      <c r="K24" s="320">
        <f aca="true" t="shared" si="11" ref="K24:K30">SUM(I24:J24)</f>
        <v>159769</v>
      </c>
      <c r="L24" s="318">
        <v>167121</v>
      </c>
      <c r="M24" s="314">
        <v>3070</v>
      </c>
      <c r="N24" s="320">
        <f aca="true" t="shared" si="12" ref="N24:N30">SUM(L24:M24)</f>
        <v>170191</v>
      </c>
      <c r="O24" s="1129"/>
      <c r="P24" s="387"/>
      <c r="Q24" s="1117">
        <f aca="true" t="shared" si="13" ref="Q24:Q30">SUM(O24:P24)</f>
        <v>0</v>
      </c>
    </row>
    <row r="25" spans="1:17" s="394" customFormat="1" ht="16.5" thickBot="1">
      <c r="A25" s="313">
        <v>7</v>
      </c>
      <c r="B25" s="305" t="s">
        <v>435</v>
      </c>
      <c r="C25" s="318"/>
      <c r="D25" s="314"/>
      <c r="E25" s="320">
        <f t="shared" si="9"/>
        <v>0</v>
      </c>
      <c r="F25" s="318"/>
      <c r="G25" s="314"/>
      <c r="H25" s="330">
        <f t="shared" si="10"/>
        <v>0</v>
      </c>
      <c r="I25" s="347"/>
      <c r="J25" s="314"/>
      <c r="K25" s="320">
        <f t="shared" si="11"/>
        <v>0</v>
      </c>
      <c r="L25" s="330">
        <v>420512</v>
      </c>
      <c r="M25" s="314">
        <v>-4367</v>
      </c>
      <c r="N25" s="320">
        <f t="shared" si="12"/>
        <v>416145</v>
      </c>
      <c r="O25" s="1140"/>
      <c r="P25" s="387"/>
      <c r="Q25" s="1117">
        <f t="shared" si="13"/>
        <v>0</v>
      </c>
    </row>
    <row r="26" spans="1:17" s="386" customFormat="1" ht="15">
      <c r="A26" s="156" t="s">
        <v>98</v>
      </c>
      <c r="B26" s="149" t="s">
        <v>632</v>
      </c>
      <c r="C26" s="306"/>
      <c r="D26" s="226"/>
      <c r="E26" s="228">
        <f t="shared" si="9"/>
        <v>0</v>
      </c>
      <c r="F26" s="306"/>
      <c r="G26" s="226"/>
      <c r="H26" s="228">
        <f t="shared" si="10"/>
        <v>0</v>
      </c>
      <c r="I26" s="306"/>
      <c r="J26" s="226"/>
      <c r="K26" s="228">
        <f t="shared" si="11"/>
        <v>0</v>
      </c>
      <c r="L26" s="306"/>
      <c r="M26" s="226"/>
      <c r="N26" s="228">
        <f t="shared" si="12"/>
        <v>0</v>
      </c>
      <c r="O26" s="1141"/>
      <c r="P26" s="390"/>
      <c r="Q26" s="1116">
        <f t="shared" si="13"/>
        <v>0</v>
      </c>
    </row>
    <row r="27" spans="1:17" s="386" customFormat="1" ht="15">
      <c r="A27" s="156" t="s">
        <v>99</v>
      </c>
      <c r="B27" s="149" t="s">
        <v>630</v>
      </c>
      <c r="C27" s="306"/>
      <c r="D27" s="226"/>
      <c r="E27" s="228">
        <f t="shared" si="9"/>
        <v>0</v>
      </c>
      <c r="F27" s="306"/>
      <c r="G27" s="226"/>
      <c r="H27" s="228">
        <f t="shared" si="10"/>
        <v>0</v>
      </c>
      <c r="I27" s="306"/>
      <c r="J27" s="226"/>
      <c r="K27" s="228">
        <f t="shared" si="11"/>
        <v>0</v>
      </c>
      <c r="L27" s="306"/>
      <c r="M27" s="226"/>
      <c r="N27" s="228">
        <f t="shared" si="12"/>
        <v>0</v>
      </c>
      <c r="O27" s="1141"/>
      <c r="P27" s="390"/>
      <c r="Q27" s="1116">
        <f t="shared" si="13"/>
        <v>0</v>
      </c>
    </row>
    <row r="28" spans="1:17" s="386" customFormat="1" ht="15">
      <c r="A28" s="156" t="s">
        <v>100</v>
      </c>
      <c r="B28" s="149" t="s">
        <v>387</v>
      </c>
      <c r="C28" s="306"/>
      <c r="D28" s="226"/>
      <c r="E28" s="228">
        <f t="shared" si="9"/>
        <v>0</v>
      </c>
      <c r="F28" s="306"/>
      <c r="G28" s="226"/>
      <c r="H28" s="228">
        <f t="shared" si="10"/>
        <v>0</v>
      </c>
      <c r="I28" s="306"/>
      <c r="J28" s="226"/>
      <c r="K28" s="228">
        <f t="shared" si="11"/>
        <v>0</v>
      </c>
      <c r="L28" s="306"/>
      <c r="M28" s="226"/>
      <c r="N28" s="228">
        <f t="shared" si="12"/>
        <v>0</v>
      </c>
      <c r="O28" s="1141"/>
      <c r="P28" s="390"/>
      <c r="Q28" s="1116">
        <f t="shared" si="13"/>
        <v>0</v>
      </c>
    </row>
    <row r="29" spans="1:17" s="386" customFormat="1" ht="15">
      <c r="A29" s="156" t="s">
        <v>101</v>
      </c>
      <c r="B29" s="149" t="s">
        <v>631</v>
      </c>
      <c r="C29" s="306"/>
      <c r="D29" s="226"/>
      <c r="E29" s="228">
        <f t="shared" si="9"/>
        <v>0</v>
      </c>
      <c r="F29" s="306"/>
      <c r="G29" s="226"/>
      <c r="H29" s="228">
        <f t="shared" si="10"/>
        <v>0</v>
      </c>
      <c r="I29" s="306"/>
      <c r="J29" s="226"/>
      <c r="K29" s="228">
        <f t="shared" si="11"/>
        <v>0</v>
      </c>
      <c r="L29" s="306"/>
      <c r="M29" s="226"/>
      <c r="N29" s="228">
        <f t="shared" si="12"/>
        <v>0</v>
      </c>
      <c r="O29" s="1141"/>
      <c r="P29" s="390"/>
      <c r="Q29" s="1116">
        <f t="shared" si="13"/>
        <v>0</v>
      </c>
    </row>
    <row r="30" spans="1:17" s="386" customFormat="1" ht="15.75" thickBot="1">
      <c r="A30" s="335" t="s">
        <v>192</v>
      </c>
      <c r="B30" s="149" t="s">
        <v>388</v>
      </c>
      <c r="C30" s="329"/>
      <c r="D30" s="321"/>
      <c r="E30" s="324">
        <f t="shared" si="9"/>
        <v>0</v>
      </c>
      <c r="F30" s="329"/>
      <c r="G30" s="321"/>
      <c r="H30" s="324">
        <f t="shared" si="10"/>
        <v>0</v>
      </c>
      <c r="I30" s="329"/>
      <c r="J30" s="321"/>
      <c r="K30" s="324">
        <f t="shared" si="11"/>
        <v>0</v>
      </c>
      <c r="L30" s="329">
        <v>30485</v>
      </c>
      <c r="M30" s="321"/>
      <c r="N30" s="324">
        <f t="shared" si="12"/>
        <v>30485</v>
      </c>
      <c r="O30" s="1144"/>
      <c r="P30" s="396"/>
      <c r="Q30" s="1118">
        <f t="shared" si="13"/>
        <v>0</v>
      </c>
    </row>
    <row r="31" spans="1:17" s="394" customFormat="1" ht="16.5" thickBot="1">
      <c r="A31" s="313">
        <v>8</v>
      </c>
      <c r="B31" s="305" t="s">
        <v>173</v>
      </c>
      <c r="C31" s="347">
        <f aca="true" t="shared" si="14" ref="C31:Q31">SUM(C26:C30)</f>
        <v>0</v>
      </c>
      <c r="D31" s="314">
        <f t="shared" si="14"/>
        <v>0</v>
      </c>
      <c r="E31" s="320">
        <f t="shared" si="14"/>
        <v>0</v>
      </c>
      <c r="F31" s="330">
        <f t="shared" si="14"/>
        <v>0</v>
      </c>
      <c r="G31" s="314">
        <f t="shared" si="14"/>
        <v>0</v>
      </c>
      <c r="H31" s="330">
        <f t="shared" si="14"/>
        <v>0</v>
      </c>
      <c r="I31" s="347">
        <f t="shared" si="14"/>
        <v>0</v>
      </c>
      <c r="J31" s="314">
        <f t="shared" si="14"/>
        <v>0</v>
      </c>
      <c r="K31" s="320">
        <f t="shared" si="14"/>
        <v>0</v>
      </c>
      <c r="L31" s="347">
        <f t="shared" si="14"/>
        <v>30485</v>
      </c>
      <c r="M31" s="314">
        <f t="shared" si="14"/>
        <v>0</v>
      </c>
      <c r="N31" s="330">
        <f t="shared" si="14"/>
        <v>30485</v>
      </c>
      <c r="O31" s="347">
        <f t="shared" si="14"/>
        <v>0</v>
      </c>
      <c r="P31" s="314">
        <f t="shared" si="14"/>
        <v>0</v>
      </c>
      <c r="Q31" s="320">
        <f t="shared" si="14"/>
        <v>0</v>
      </c>
    </row>
    <row r="32" spans="1:17" s="386" customFormat="1" ht="16.5" thickBot="1">
      <c r="A32" s="313">
        <v>9</v>
      </c>
      <c r="B32" s="305" t="s">
        <v>179</v>
      </c>
      <c r="C32" s="318"/>
      <c r="D32" s="314"/>
      <c r="E32" s="320">
        <f>SUM(C32:D32)</f>
        <v>0</v>
      </c>
      <c r="F32" s="318"/>
      <c r="G32" s="314"/>
      <c r="H32" s="320">
        <f>SUM(F32:G32)</f>
        <v>0</v>
      </c>
      <c r="I32" s="318"/>
      <c r="J32" s="314"/>
      <c r="K32" s="320">
        <f>SUM(I32:J32)</f>
        <v>0</v>
      </c>
      <c r="L32" s="318"/>
      <c r="M32" s="314"/>
      <c r="N32" s="320">
        <f>SUM(L32:M32)</f>
        <v>0</v>
      </c>
      <c r="O32" s="1129"/>
      <c r="P32" s="387"/>
      <c r="Q32" s="1117">
        <f>SUM(O32:P32)</f>
        <v>0</v>
      </c>
    </row>
    <row r="33" spans="1:21" s="399" customFormat="1" ht="16.5" thickBot="1">
      <c r="A33" s="367">
        <v>10</v>
      </c>
      <c r="B33" s="397"/>
      <c r="C33" s="1137"/>
      <c r="D33" s="369"/>
      <c r="E33" s="1107">
        <f>SUM(C33:D33)</f>
        <v>0</v>
      </c>
      <c r="F33" s="158"/>
      <c r="G33" s="369"/>
      <c r="H33" s="1107">
        <f>SUM(F33:G33)</f>
        <v>0</v>
      </c>
      <c r="I33" s="158"/>
      <c r="J33" s="369"/>
      <c r="K33" s="1107">
        <f>SUM(I33:J33)</f>
        <v>0</v>
      </c>
      <c r="L33" s="158"/>
      <c r="M33" s="369"/>
      <c r="N33" s="1107">
        <f>SUM(L33:M33)</f>
        <v>0</v>
      </c>
      <c r="O33" s="158"/>
      <c r="P33" s="369"/>
      <c r="Q33" s="1107">
        <f>SUM(O33:P33)</f>
        <v>0</v>
      </c>
      <c r="R33" s="398"/>
      <c r="S33" s="398"/>
      <c r="T33" s="398"/>
      <c r="U33" s="398"/>
    </row>
    <row r="34" spans="1:17" s="160" customFormat="1" ht="17.25" thickBot="1" thickTop="1">
      <c r="A34" s="343" t="s">
        <v>108</v>
      </c>
      <c r="B34" s="366" t="s">
        <v>180</v>
      </c>
      <c r="C34" s="365">
        <f aca="true" t="shared" si="15" ref="C34:Q34">C11+C12+C13+C23+C14+C31+C25+C24+C32+C33</f>
        <v>19270</v>
      </c>
      <c r="D34" s="344">
        <f t="shared" si="15"/>
        <v>7061</v>
      </c>
      <c r="E34" s="778">
        <f t="shared" si="15"/>
        <v>26331</v>
      </c>
      <c r="F34" s="365">
        <f t="shared" si="15"/>
        <v>69796</v>
      </c>
      <c r="G34" s="344">
        <f t="shared" si="15"/>
        <v>0</v>
      </c>
      <c r="H34" s="778">
        <f t="shared" si="15"/>
        <v>69796</v>
      </c>
      <c r="I34" s="365">
        <f t="shared" si="15"/>
        <v>188330</v>
      </c>
      <c r="J34" s="344">
        <f t="shared" si="15"/>
        <v>0</v>
      </c>
      <c r="K34" s="778">
        <f t="shared" si="15"/>
        <v>188330</v>
      </c>
      <c r="L34" s="365">
        <f t="shared" si="15"/>
        <v>1003635</v>
      </c>
      <c r="M34" s="344">
        <f t="shared" si="15"/>
        <v>0</v>
      </c>
      <c r="N34" s="778">
        <f t="shared" si="15"/>
        <v>1003635</v>
      </c>
      <c r="O34" s="365">
        <f t="shared" si="15"/>
        <v>0</v>
      </c>
      <c r="P34" s="344">
        <f t="shared" si="15"/>
        <v>0</v>
      </c>
      <c r="Q34" s="374">
        <f t="shared" si="15"/>
        <v>0</v>
      </c>
    </row>
    <row r="35" spans="1:21" s="386" customFormat="1" ht="17.25" thickBot="1" thickTop="1">
      <c r="A35" s="144"/>
      <c r="B35" s="346" t="s">
        <v>131</v>
      </c>
      <c r="C35" s="1077"/>
      <c r="D35" s="302"/>
      <c r="E35" s="1108"/>
      <c r="F35" s="888"/>
      <c r="G35" s="302"/>
      <c r="H35" s="1108"/>
      <c r="I35" s="935"/>
      <c r="J35" s="302"/>
      <c r="K35" s="1108"/>
      <c r="L35" s="935"/>
      <c r="M35" s="302"/>
      <c r="N35" s="1108"/>
      <c r="O35" s="1077"/>
      <c r="P35" s="302"/>
      <c r="Q35" s="1108"/>
      <c r="R35" s="400"/>
      <c r="S35" s="400"/>
      <c r="T35" s="400"/>
      <c r="U35" s="400"/>
    </row>
    <row r="36" spans="1:17" s="386" customFormat="1" ht="15">
      <c r="A36" s="769" t="s">
        <v>98</v>
      </c>
      <c r="B36" s="770" t="s">
        <v>389</v>
      </c>
      <c r="C36" s="1085"/>
      <c r="D36" s="771"/>
      <c r="E36" s="776">
        <f>SUM(C36:D36)</f>
        <v>0</v>
      </c>
      <c r="F36" s="775"/>
      <c r="G36" s="771"/>
      <c r="H36" s="776">
        <f>SUM(F36:G36)</f>
        <v>0</v>
      </c>
      <c r="I36" s="1085"/>
      <c r="J36" s="771"/>
      <c r="K36" s="776">
        <f>SUM(I36:J36)</f>
        <v>0</v>
      </c>
      <c r="L36" s="1085"/>
      <c r="M36" s="771"/>
      <c r="N36" s="776">
        <f>SUM(L36:M36)</f>
        <v>0</v>
      </c>
      <c r="O36" s="1131"/>
      <c r="P36" s="774"/>
      <c r="Q36" s="1119">
        <f>SUM(O36:P36)</f>
        <v>0</v>
      </c>
    </row>
    <row r="37" spans="1:17" s="386" customFormat="1" ht="15">
      <c r="A37" s="153" t="s">
        <v>99</v>
      </c>
      <c r="B37" s="149" t="s">
        <v>245</v>
      </c>
      <c r="C37" s="906"/>
      <c r="D37" s="139"/>
      <c r="E37" s="162">
        <f>SUM(C37:D37)</f>
        <v>0</v>
      </c>
      <c r="F37" s="885"/>
      <c r="G37" s="139"/>
      <c r="H37" s="162">
        <f>SUM(F37:G37)</f>
        <v>0</v>
      </c>
      <c r="I37" s="906"/>
      <c r="J37" s="139"/>
      <c r="K37" s="162">
        <f>SUM(I37:J37)</f>
        <v>0</v>
      </c>
      <c r="L37" s="906"/>
      <c r="M37" s="139"/>
      <c r="N37" s="162">
        <f>SUM(L37:M37)</f>
        <v>0</v>
      </c>
      <c r="O37" s="1126"/>
      <c r="P37" s="392"/>
      <c r="Q37" s="1120">
        <f>SUM(O37:P37)</f>
        <v>0</v>
      </c>
    </row>
    <row r="38" spans="1:17" s="386" customFormat="1" ht="15">
      <c r="A38" s="335" t="s">
        <v>100</v>
      </c>
      <c r="B38" s="142" t="s">
        <v>390</v>
      </c>
      <c r="C38" s="1076"/>
      <c r="D38" s="321"/>
      <c r="E38" s="324">
        <f>SUM(C38:D38)</f>
        <v>0</v>
      </c>
      <c r="F38" s="157"/>
      <c r="G38" s="321"/>
      <c r="H38" s="324">
        <f>SUM(F38:G38)</f>
        <v>0</v>
      </c>
      <c r="I38" s="1076"/>
      <c r="J38" s="321"/>
      <c r="K38" s="324">
        <f>SUM(I38:J38)</f>
        <v>0</v>
      </c>
      <c r="L38" s="1076"/>
      <c r="M38" s="321"/>
      <c r="N38" s="324">
        <f>SUM(L38:M38)</f>
        <v>0</v>
      </c>
      <c r="O38" s="1130"/>
      <c r="P38" s="396"/>
      <c r="Q38" s="1118">
        <f>SUM(O38:P38)</f>
        <v>0</v>
      </c>
    </row>
    <row r="39" spans="1:17" s="386" customFormat="1" ht="15.75" thickBot="1">
      <c r="A39" s="154" t="s">
        <v>101</v>
      </c>
      <c r="B39" s="155" t="s">
        <v>394</v>
      </c>
      <c r="C39" s="907"/>
      <c r="D39" s="151"/>
      <c r="E39" s="238">
        <f>SUM(C39:D39)</f>
        <v>0</v>
      </c>
      <c r="F39" s="886"/>
      <c r="G39" s="151"/>
      <c r="H39" s="238">
        <f>SUM(F39:G39)</f>
        <v>0</v>
      </c>
      <c r="I39" s="907"/>
      <c r="J39" s="151"/>
      <c r="K39" s="238">
        <f>SUM(I39:J39)</f>
        <v>0</v>
      </c>
      <c r="L39" s="907"/>
      <c r="M39" s="151"/>
      <c r="N39" s="238">
        <f>SUM(L39:M39)</f>
        <v>0</v>
      </c>
      <c r="O39" s="1128"/>
      <c r="P39" s="393"/>
      <c r="Q39" s="1121">
        <f>SUM(O39:P39)</f>
        <v>0</v>
      </c>
    </row>
    <row r="40" spans="1:17" s="394" customFormat="1" ht="16.5" thickBot="1">
      <c r="A40" s="313">
        <v>1</v>
      </c>
      <c r="B40" s="305" t="s">
        <v>177</v>
      </c>
      <c r="C40" s="347">
        <f aca="true" t="shared" si="16" ref="C40:Q40">SUM(C36:C39)</f>
        <v>0</v>
      </c>
      <c r="D40" s="314">
        <f t="shared" si="16"/>
        <v>0</v>
      </c>
      <c r="E40" s="320">
        <f t="shared" si="16"/>
        <v>0</v>
      </c>
      <c r="F40" s="347">
        <f t="shared" si="16"/>
        <v>0</v>
      </c>
      <c r="G40" s="314">
        <f t="shared" si="16"/>
        <v>0</v>
      </c>
      <c r="H40" s="320">
        <f t="shared" si="16"/>
        <v>0</v>
      </c>
      <c r="I40" s="347">
        <f t="shared" si="16"/>
        <v>0</v>
      </c>
      <c r="J40" s="314">
        <f t="shared" si="16"/>
        <v>0</v>
      </c>
      <c r="K40" s="320">
        <f t="shared" si="16"/>
        <v>0</v>
      </c>
      <c r="L40" s="347">
        <f t="shared" si="16"/>
        <v>0</v>
      </c>
      <c r="M40" s="314">
        <f t="shared" si="16"/>
        <v>0</v>
      </c>
      <c r="N40" s="320">
        <f t="shared" si="16"/>
        <v>0</v>
      </c>
      <c r="O40" s="347">
        <f t="shared" si="16"/>
        <v>0</v>
      </c>
      <c r="P40" s="314">
        <f t="shared" si="16"/>
        <v>0</v>
      </c>
      <c r="Q40" s="320">
        <f t="shared" si="16"/>
        <v>0</v>
      </c>
    </row>
    <row r="41" spans="1:17" s="386" customFormat="1" ht="15">
      <c r="A41" s="156" t="s">
        <v>98</v>
      </c>
      <c r="B41" s="145" t="s">
        <v>416</v>
      </c>
      <c r="C41" s="1075"/>
      <c r="D41" s="226"/>
      <c r="E41" s="228">
        <f>SUM(C41:D41)</f>
        <v>0</v>
      </c>
      <c r="F41" s="887"/>
      <c r="G41" s="226"/>
      <c r="H41" s="228">
        <f>SUM(F41:G41)</f>
        <v>0</v>
      </c>
      <c r="I41" s="1075"/>
      <c r="J41" s="226"/>
      <c r="K41" s="228">
        <f>SUM(I41:J41)</f>
        <v>0</v>
      </c>
      <c r="L41" s="1075"/>
      <c r="M41" s="226"/>
      <c r="N41" s="228">
        <f>SUM(L41:M41)</f>
        <v>0</v>
      </c>
      <c r="O41" s="1127"/>
      <c r="P41" s="390"/>
      <c r="Q41" s="1116">
        <f>SUM(O41:P41)</f>
        <v>0</v>
      </c>
    </row>
    <row r="42" spans="1:17" s="386" customFormat="1" ht="15">
      <c r="A42" s="153" t="s">
        <v>99</v>
      </c>
      <c r="B42" s="149" t="s">
        <v>391</v>
      </c>
      <c r="C42" s="906"/>
      <c r="D42" s="139"/>
      <c r="E42" s="162">
        <f>SUM(C42:D42)</f>
        <v>0</v>
      </c>
      <c r="F42" s="885"/>
      <c r="G42" s="139"/>
      <c r="H42" s="162">
        <f>SUM(F42:G42)</f>
        <v>0</v>
      </c>
      <c r="I42" s="906"/>
      <c r="J42" s="139"/>
      <c r="K42" s="162">
        <f>SUM(I42:J42)</f>
        <v>0</v>
      </c>
      <c r="L42" s="906"/>
      <c r="M42" s="139"/>
      <c r="N42" s="162">
        <f>SUM(L42:M42)</f>
        <v>0</v>
      </c>
      <c r="O42" s="1126"/>
      <c r="P42" s="392"/>
      <c r="Q42" s="1120">
        <f>SUM(O42:P42)</f>
        <v>0</v>
      </c>
    </row>
    <row r="43" spans="1:17" s="386" customFormat="1" ht="15">
      <c r="A43" s="153" t="s">
        <v>100</v>
      </c>
      <c r="B43" s="149" t="s">
        <v>392</v>
      </c>
      <c r="C43" s="906"/>
      <c r="D43" s="139"/>
      <c r="E43" s="162">
        <f>SUM(C43:D43)</f>
        <v>0</v>
      </c>
      <c r="F43" s="885"/>
      <c r="G43" s="139"/>
      <c r="H43" s="162">
        <f>SUM(F43:G43)</f>
        <v>0</v>
      </c>
      <c r="I43" s="906"/>
      <c r="J43" s="139"/>
      <c r="K43" s="162">
        <f>SUM(I43:J43)</f>
        <v>0</v>
      </c>
      <c r="L43" s="906"/>
      <c r="M43" s="139"/>
      <c r="N43" s="162">
        <f>SUM(L43:M43)</f>
        <v>0</v>
      </c>
      <c r="O43" s="1126"/>
      <c r="P43" s="392"/>
      <c r="Q43" s="1120">
        <f>SUM(O43:P43)</f>
        <v>0</v>
      </c>
    </row>
    <row r="44" spans="1:17" s="386" customFormat="1" ht="15.75" thickBot="1">
      <c r="A44" s="154" t="s">
        <v>101</v>
      </c>
      <c r="B44" s="155" t="s">
        <v>175</v>
      </c>
      <c r="C44" s="907"/>
      <c r="D44" s="151"/>
      <c r="E44" s="238">
        <f>SUM(C44:D44)</f>
        <v>0</v>
      </c>
      <c r="F44" s="886"/>
      <c r="G44" s="151"/>
      <c r="H44" s="238">
        <f>SUM(F44:G44)</f>
        <v>0</v>
      </c>
      <c r="I44" s="907"/>
      <c r="J44" s="151"/>
      <c r="K44" s="238">
        <f>SUM(I44:J44)</f>
        <v>0</v>
      </c>
      <c r="L44" s="907"/>
      <c r="M44" s="151"/>
      <c r="N44" s="238">
        <f>SUM(L44:M44)</f>
        <v>0</v>
      </c>
      <c r="O44" s="1128"/>
      <c r="P44" s="393"/>
      <c r="Q44" s="1121">
        <f>SUM(O44:P44)</f>
        <v>0</v>
      </c>
    </row>
    <row r="45" spans="1:17" s="394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7" ref="D45:Q45">SUM(D41:D44)</f>
        <v>0</v>
      </c>
      <c r="E45" s="316">
        <f t="shared" si="17"/>
        <v>0</v>
      </c>
      <c r="F45" s="347">
        <f t="shared" si="17"/>
        <v>0</v>
      </c>
      <c r="G45" s="314">
        <f t="shared" si="17"/>
        <v>0</v>
      </c>
      <c r="H45" s="316">
        <f t="shared" si="17"/>
        <v>0</v>
      </c>
      <c r="I45" s="347">
        <f t="shared" si="17"/>
        <v>0</v>
      </c>
      <c r="J45" s="314">
        <f t="shared" si="17"/>
        <v>0</v>
      </c>
      <c r="K45" s="316">
        <f t="shared" si="17"/>
        <v>0</v>
      </c>
      <c r="L45" s="347">
        <f t="shared" si="17"/>
        <v>0</v>
      </c>
      <c r="M45" s="314">
        <f t="shared" si="17"/>
        <v>0</v>
      </c>
      <c r="N45" s="330">
        <f t="shared" si="17"/>
        <v>0</v>
      </c>
      <c r="O45" s="347">
        <f t="shared" si="17"/>
        <v>0</v>
      </c>
      <c r="P45" s="314">
        <f t="shared" si="17"/>
        <v>0</v>
      </c>
      <c r="Q45" s="320">
        <f t="shared" si="17"/>
        <v>0</v>
      </c>
    </row>
    <row r="46" spans="1:17" s="200" customFormat="1" ht="16.5" thickBot="1">
      <c r="A46" s="313">
        <v>3</v>
      </c>
      <c r="B46" s="305" t="s">
        <v>264</v>
      </c>
      <c r="C46" s="347"/>
      <c r="D46" s="314"/>
      <c r="E46" s="316">
        <f>SUM(C46:D46)</f>
        <v>0</v>
      </c>
      <c r="F46" s="347"/>
      <c r="G46" s="314"/>
      <c r="H46" s="316">
        <f>SUM(F46:G46)</f>
        <v>0</v>
      </c>
      <c r="I46" s="347"/>
      <c r="J46" s="314"/>
      <c r="K46" s="316">
        <f>SUM(I46:J46)</f>
        <v>0</v>
      </c>
      <c r="L46" s="347">
        <v>677432</v>
      </c>
      <c r="M46" s="314">
        <v>40387</v>
      </c>
      <c r="N46" s="330">
        <f>SUM(L46:M46)</f>
        <v>717819</v>
      </c>
      <c r="O46" s="347"/>
      <c r="P46" s="314"/>
      <c r="Q46" s="320">
        <f>SUM(O46:P46)</f>
        <v>0</v>
      </c>
    </row>
    <row r="47" spans="1:17" s="88" customFormat="1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16">
        <f>SUM(I47:J47)</f>
        <v>0</v>
      </c>
      <c r="L47" s="347"/>
      <c r="M47" s="314"/>
      <c r="N47" s="330">
        <f>SUM(L47:M47)</f>
        <v>0</v>
      </c>
      <c r="O47" s="347"/>
      <c r="P47" s="314"/>
      <c r="Q47" s="320">
        <f>SUM(O47:P47)</f>
        <v>0</v>
      </c>
    </row>
    <row r="48" spans="1:17" s="760" customFormat="1" ht="15">
      <c r="A48" s="156" t="s">
        <v>98</v>
      </c>
      <c r="B48" s="142" t="s">
        <v>291</v>
      </c>
      <c r="C48" s="1075"/>
      <c r="D48" s="226"/>
      <c r="E48" s="228">
        <f>SUM(C48:D48)</f>
        <v>0</v>
      </c>
      <c r="F48" s="887"/>
      <c r="G48" s="226"/>
      <c r="H48" s="228">
        <f>SUM(F48:G48)</f>
        <v>0</v>
      </c>
      <c r="I48" s="1075"/>
      <c r="J48" s="226"/>
      <c r="K48" s="228">
        <f>SUM(I48:J48)</f>
        <v>0</v>
      </c>
      <c r="L48" s="1075"/>
      <c r="M48" s="226"/>
      <c r="N48" s="228">
        <f>SUM(L48:M48)</f>
        <v>0</v>
      </c>
      <c r="O48" s="1127"/>
      <c r="P48" s="390"/>
      <c r="Q48" s="1116">
        <f>SUM(O48:P48)</f>
        <v>0</v>
      </c>
    </row>
    <row r="49" spans="1:17" s="88" customFormat="1" ht="1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06"/>
      <c r="M49" s="139"/>
      <c r="N49" s="162">
        <f>SUM(L49:M49)</f>
        <v>0</v>
      </c>
      <c r="O49" s="1126"/>
      <c r="P49" s="392"/>
      <c r="Q49" s="1120">
        <f>SUM(O49:P49)</f>
        <v>0</v>
      </c>
    </row>
    <row r="50" spans="1:17" s="88" customFormat="1" ht="15.75" thickBot="1">
      <c r="A50" s="154" t="s">
        <v>100</v>
      </c>
      <c r="B50" s="334" t="s">
        <v>426</v>
      </c>
      <c r="C50" s="906"/>
      <c r="D50" s="139"/>
      <c r="E50" s="162">
        <f>SUM(C50:D50)</f>
        <v>0</v>
      </c>
      <c r="F50" s="885"/>
      <c r="G50" s="139"/>
      <c r="H50" s="162">
        <f>SUM(F50:G50)</f>
        <v>0</v>
      </c>
      <c r="I50" s="906"/>
      <c r="J50" s="139"/>
      <c r="K50" s="162">
        <f>SUM(I50:J50)</f>
        <v>0</v>
      </c>
      <c r="L50" s="906"/>
      <c r="M50" s="139"/>
      <c r="N50" s="162">
        <f>SUM(L50:M50)</f>
        <v>0</v>
      </c>
      <c r="O50" s="1126"/>
      <c r="P50" s="392"/>
      <c r="Q50" s="1120">
        <f>SUM(O50:P50)</f>
        <v>0</v>
      </c>
    </row>
    <row r="51" spans="1:17" s="200" customFormat="1" ht="16.5" thickBot="1">
      <c r="A51" s="313">
        <v>5</v>
      </c>
      <c r="B51" s="305" t="s">
        <v>178</v>
      </c>
      <c r="C51" s="347">
        <f>SUM(C48:C50)</f>
        <v>0</v>
      </c>
      <c r="D51" s="314">
        <f>SUM(D48:D50)</f>
        <v>0</v>
      </c>
      <c r="E51" s="316">
        <f aca="true" t="shared" si="18" ref="E51:Q51">SUM(E48:E50)</f>
        <v>0</v>
      </c>
      <c r="F51" s="347">
        <f t="shared" si="18"/>
        <v>0</v>
      </c>
      <c r="G51" s="314">
        <f t="shared" si="18"/>
        <v>0</v>
      </c>
      <c r="H51" s="316">
        <f t="shared" si="18"/>
        <v>0</v>
      </c>
      <c r="I51" s="347">
        <f t="shared" si="18"/>
        <v>0</v>
      </c>
      <c r="J51" s="314">
        <f t="shared" si="18"/>
        <v>0</v>
      </c>
      <c r="K51" s="316">
        <f t="shared" si="18"/>
        <v>0</v>
      </c>
      <c r="L51" s="347">
        <f t="shared" si="18"/>
        <v>0</v>
      </c>
      <c r="M51" s="314">
        <f t="shared" si="18"/>
        <v>0</v>
      </c>
      <c r="N51" s="316">
        <f t="shared" si="18"/>
        <v>0</v>
      </c>
      <c r="O51" s="347">
        <f t="shared" si="18"/>
        <v>0</v>
      </c>
      <c r="P51" s="314">
        <f t="shared" si="18"/>
        <v>0</v>
      </c>
      <c r="Q51" s="320">
        <f t="shared" si="18"/>
        <v>0</v>
      </c>
    </row>
    <row r="52" spans="1:17" s="200" customFormat="1" ht="16.5" thickBot="1">
      <c r="A52" s="765">
        <v>6</v>
      </c>
      <c r="B52" s="766" t="s">
        <v>295</v>
      </c>
      <c r="C52" s="1078"/>
      <c r="D52" s="339"/>
      <c r="E52" s="332">
        <f>SUM(C52:D52)</f>
        <v>0</v>
      </c>
      <c r="F52" s="333"/>
      <c r="G52" s="339"/>
      <c r="H52" s="332">
        <f>SUM(F52:G52)</f>
        <v>0</v>
      </c>
      <c r="I52" s="1084"/>
      <c r="J52" s="339"/>
      <c r="K52" s="332">
        <f>SUM(I52:J52)</f>
        <v>0</v>
      </c>
      <c r="L52" s="1084">
        <v>602602</v>
      </c>
      <c r="M52" s="339">
        <v>-38611</v>
      </c>
      <c r="N52" s="332">
        <f>SUM(L52:M52)</f>
        <v>563991</v>
      </c>
      <c r="O52" s="1132"/>
      <c r="P52" s="759"/>
      <c r="Q52" s="1122">
        <f>SUM(O52:P52)</f>
        <v>0</v>
      </c>
    </row>
    <row r="53" spans="1:17" s="88" customFormat="1" ht="15">
      <c r="A53" s="137" t="s">
        <v>98</v>
      </c>
      <c r="B53" s="138" t="s">
        <v>395</v>
      </c>
      <c r="C53" s="1079"/>
      <c r="D53" s="140"/>
      <c r="E53" s="195">
        <f>SUM(C53:D53)</f>
        <v>0</v>
      </c>
      <c r="F53" s="889"/>
      <c r="G53" s="140"/>
      <c r="H53" s="195">
        <f>SUM(F53:G53)</f>
        <v>0</v>
      </c>
      <c r="I53" s="1079"/>
      <c r="J53" s="140"/>
      <c r="K53" s="195">
        <f>SUM(I53:J53)</f>
        <v>0</v>
      </c>
      <c r="L53" s="1079"/>
      <c r="M53" s="140"/>
      <c r="N53" s="195">
        <f>SUM(L53:M53)</f>
        <v>0</v>
      </c>
      <c r="O53" s="1133"/>
      <c r="P53" s="401"/>
      <c r="Q53" s="1123">
        <f>SUM(O53:P53)</f>
        <v>0</v>
      </c>
    </row>
    <row r="54" spans="1:17" s="88" customFormat="1" ht="15.75" thickBot="1">
      <c r="A54" s="335" t="s">
        <v>99</v>
      </c>
      <c r="B54" s="142" t="s">
        <v>396</v>
      </c>
      <c r="C54" s="1076"/>
      <c r="D54" s="321"/>
      <c r="E54" s="324">
        <f>SUM(C54:D54)</f>
        <v>0</v>
      </c>
      <c r="F54" s="157"/>
      <c r="G54" s="321"/>
      <c r="H54" s="324">
        <f>SUM(F54:G54)</f>
        <v>0</v>
      </c>
      <c r="I54" s="1076"/>
      <c r="J54" s="321"/>
      <c r="K54" s="324">
        <f>SUM(I54:J54)</f>
        <v>0</v>
      </c>
      <c r="L54" s="1076"/>
      <c r="M54" s="321"/>
      <c r="N54" s="324">
        <f>SUM(L54:M54)</f>
        <v>0</v>
      </c>
      <c r="O54" s="1130"/>
      <c r="P54" s="396"/>
      <c r="Q54" s="1118">
        <f>SUM(O54:P54)</f>
        <v>0</v>
      </c>
    </row>
    <row r="55" spans="1:17" s="200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>
        <f aca="true" t="shared" si="19" ref="D55:Q55">SUM(D53:D54)</f>
        <v>0</v>
      </c>
      <c r="E55" s="316">
        <f t="shared" si="19"/>
        <v>0</v>
      </c>
      <c r="F55" s="347">
        <f t="shared" si="19"/>
        <v>0</v>
      </c>
      <c r="G55" s="314">
        <f t="shared" si="19"/>
        <v>0</v>
      </c>
      <c r="H55" s="316">
        <f t="shared" si="19"/>
        <v>0</v>
      </c>
      <c r="I55" s="347">
        <f t="shared" si="19"/>
        <v>0</v>
      </c>
      <c r="J55" s="314">
        <f t="shared" si="19"/>
        <v>0</v>
      </c>
      <c r="K55" s="316">
        <f t="shared" si="19"/>
        <v>0</v>
      </c>
      <c r="L55" s="347">
        <f t="shared" si="19"/>
        <v>0</v>
      </c>
      <c r="M55" s="314">
        <f t="shared" si="19"/>
        <v>0</v>
      </c>
      <c r="N55" s="316">
        <f t="shared" si="19"/>
        <v>0</v>
      </c>
      <c r="O55" s="1086">
        <f t="shared" si="19"/>
        <v>0</v>
      </c>
      <c r="P55" s="1088">
        <f t="shared" si="19"/>
        <v>0</v>
      </c>
      <c r="Q55" s="1090">
        <f t="shared" si="19"/>
        <v>0</v>
      </c>
    </row>
    <row r="56" spans="1:17" s="268" customFormat="1" ht="19.5" customHeight="1" thickBot="1">
      <c r="A56" s="716">
        <v>8</v>
      </c>
      <c r="B56" s="717" t="s">
        <v>46</v>
      </c>
      <c r="C56" s="1111">
        <f>C34-C40-C45-C46-C47-C51-C52-C55-C57-C58-C59</f>
        <v>19270</v>
      </c>
      <c r="D56" s="1112">
        <f>D34-D40-D45-D46-D47-D51-D52-D55-D57-D58-D59</f>
        <v>7061</v>
      </c>
      <c r="E56" s="1109">
        <f aca="true" t="shared" si="20" ref="E56:Q56">E34-E40-E45-E46-E47-E51-E52-E55-E57-E58-E59</f>
        <v>26331</v>
      </c>
      <c r="F56" s="1111">
        <f t="shared" si="20"/>
        <v>69796</v>
      </c>
      <c r="G56" s="1112">
        <f t="shared" si="20"/>
        <v>0</v>
      </c>
      <c r="H56" s="1109">
        <f t="shared" si="20"/>
        <v>69796</v>
      </c>
      <c r="I56" s="1111">
        <f t="shared" si="20"/>
        <v>188330</v>
      </c>
      <c r="J56" s="1112">
        <f t="shared" si="20"/>
        <v>0</v>
      </c>
      <c r="K56" s="1109">
        <f t="shared" si="20"/>
        <v>188330</v>
      </c>
      <c r="L56" s="1111">
        <f t="shared" si="20"/>
        <v>-276399</v>
      </c>
      <c r="M56" s="1112">
        <f t="shared" si="20"/>
        <v>-1776</v>
      </c>
      <c r="N56" s="1109">
        <f t="shared" si="20"/>
        <v>-278175</v>
      </c>
      <c r="O56" s="1134">
        <f t="shared" si="20"/>
        <v>0</v>
      </c>
      <c r="P56" s="1136">
        <f t="shared" si="20"/>
        <v>0</v>
      </c>
      <c r="Q56" s="1124">
        <f t="shared" si="20"/>
        <v>0</v>
      </c>
    </row>
    <row r="57" spans="1:17" s="200" customFormat="1" ht="15.75">
      <c r="A57" s="336" t="s">
        <v>398</v>
      </c>
      <c r="B57" s="337" t="s">
        <v>184</v>
      </c>
      <c r="C57" s="1081"/>
      <c r="D57" s="327"/>
      <c r="E57" s="1110">
        <f>SUM(C57:D57)</f>
        <v>0</v>
      </c>
      <c r="F57" s="890"/>
      <c r="G57" s="327"/>
      <c r="H57" s="1110">
        <f>SUM(F57:G57)</f>
        <v>0</v>
      </c>
      <c r="I57" s="1081"/>
      <c r="J57" s="327"/>
      <c r="K57" s="1110">
        <f>SUM(I57:J57)</f>
        <v>0</v>
      </c>
      <c r="L57" s="1081"/>
      <c r="M57" s="327"/>
      <c r="N57" s="1110">
        <f>SUM(L57:M57)</f>
        <v>0</v>
      </c>
      <c r="O57" s="1135"/>
      <c r="P57" s="404"/>
      <c r="Q57" s="1125">
        <f>SUM(O57:P57)</f>
        <v>0</v>
      </c>
    </row>
    <row r="58" spans="1:17" s="200" customFormat="1" ht="15.75">
      <c r="A58" s="336" t="s">
        <v>183</v>
      </c>
      <c r="B58" s="337" t="s">
        <v>397</v>
      </c>
      <c r="C58" s="326"/>
      <c r="D58" s="327"/>
      <c r="E58" s="402">
        <f>SUM(C58:D58)</f>
        <v>0</v>
      </c>
      <c r="F58" s="331"/>
      <c r="G58" s="327"/>
      <c r="H58" s="402">
        <f>SUM(F58:G58)</f>
        <v>0</v>
      </c>
      <c r="I58" s="1081"/>
      <c r="J58" s="327"/>
      <c r="K58" s="1110">
        <f>SUM(I58:J58)</f>
        <v>0</v>
      </c>
      <c r="L58" s="1081"/>
      <c r="M58" s="327"/>
      <c r="N58" s="1110">
        <f>SUM(L58:M58)</f>
        <v>0</v>
      </c>
      <c r="O58" s="403"/>
      <c r="P58" s="404"/>
      <c r="Q58" s="405">
        <f>SUM(O58:P58)</f>
        <v>0</v>
      </c>
    </row>
    <row r="59" spans="1:17" s="200" customFormat="1" ht="16.5" thickBot="1">
      <c r="A59" s="351">
        <v>10</v>
      </c>
      <c r="B59" s="352"/>
      <c r="C59" s="353"/>
      <c r="D59" s="354"/>
      <c r="E59" s="406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353"/>
      <c r="M59" s="354"/>
      <c r="N59" s="407">
        <f>SUM(L59:M59)</f>
        <v>0</v>
      </c>
      <c r="O59" s="408"/>
      <c r="P59" s="409"/>
      <c r="Q59" s="410">
        <f>SUM(O59:P59)</f>
        <v>0</v>
      </c>
    </row>
    <row r="60" spans="1:17" s="152" customFormat="1" ht="17.25" thickBot="1" thickTop="1">
      <c r="A60" s="343" t="s">
        <v>109</v>
      </c>
      <c r="B60" s="345" t="s">
        <v>182</v>
      </c>
      <c r="C60" s="779">
        <f>C40+C45+C46+C47+C51+C52+C55+C56+C57+C58+C59</f>
        <v>19270</v>
      </c>
      <c r="D60" s="780">
        <f aca="true" t="shared" si="21" ref="D60:Q60">D40+D45+D46+D47+D51+D52+D55+D56+D57+D58+D59</f>
        <v>7061</v>
      </c>
      <c r="E60" s="778">
        <f t="shared" si="21"/>
        <v>26331</v>
      </c>
      <c r="F60" s="364">
        <f t="shared" si="21"/>
        <v>69796</v>
      </c>
      <c r="G60" s="344">
        <f t="shared" si="21"/>
        <v>0</v>
      </c>
      <c r="H60" s="778">
        <f t="shared" si="21"/>
        <v>69796</v>
      </c>
      <c r="I60" s="779">
        <f t="shared" si="21"/>
        <v>188330</v>
      </c>
      <c r="J60" s="780">
        <f t="shared" si="21"/>
        <v>0</v>
      </c>
      <c r="K60" s="778">
        <f t="shared" si="21"/>
        <v>188330</v>
      </c>
      <c r="L60" s="364">
        <f t="shared" si="21"/>
        <v>1003635</v>
      </c>
      <c r="M60" s="344">
        <f t="shared" si="21"/>
        <v>0</v>
      </c>
      <c r="N60" s="778">
        <f t="shared" si="21"/>
        <v>1003635</v>
      </c>
      <c r="O60" s="364">
        <f t="shared" si="21"/>
        <v>0</v>
      </c>
      <c r="P60" s="344">
        <f t="shared" si="21"/>
        <v>0</v>
      </c>
      <c r="Q60" s="374">
        <f t="shared" si="21"/>
        <v>0</v>
      </c>
    </row>
    <row r="61" spans="1:17" s="386" customFormat="1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411"/>
      <c r="P61" s="411"/>
      <c r="Q61" s="411"/>
    </row>
    <row r="62" spans="1:17" s="386" customFormat="1" ht="16.5" thickBot="1" thickTop="1">
      <c r="A62" s="167"/>
      <c r="B62" s="168" t="s">
        <v>579</v>
      </c>
      <c r="C62" s="196"/>
      <c r="D62" s="412"/>
      <c r="E62" s="413">
        <f>SUM(C62:D62)</f>
        <v>0</v>
      </c>
      <c r="F62" s="196"/>
      <c r="G62" s="414"/>
      <c r="H62" s="413">
        <f>SUM(F62:G62)</f>
        <v>0</v>
      </c>
      <c r="I62" s="196"/>
      <c r="J62" s="414"/>
      <c r="K62" s="413">
        <f>SUM(I62:J62)</f>
        <v>0</v>
      </c>
      <c r="L62" s="196"/>
      <c r="M62" s="414"/>
      <c r="N62" s="413">
        <f>SUM(L62:M62)</f>
        <v>0</v>
      </c>
      <c r="O62" s="415"/>
      <c r="P62" s="416"/>
      <c r="Q62" s="417">
        <f>SUM(O62:P62)</f>
        <v>0</v>
      </c>
    </row>
    <row r="63" spans="1:17" s="386" customFormat="1" ht="16.5" thickBot="1" thickTop="1">
      <c r="A63" s="167"/>
      <c r="B63" s="168" t="s">
        <v>580</v>
      </c>
      <c r="C63" s="196"/>
      <c r="D63" s="412"/>
      <c r="E63" s="413">
        <f>SUM(C63:D63)</f>
        <v>0</v>
      </c>
      <c r="F63" s="196"/>
      <c r="G63" s="414"/>
      <c r="H63" s="413">
        <f>SUM(F63:G63)</f>
        <v>0</v>
      </c>
      <c r="I63" s="196"/>
      <c r="J63" s="414"/>
      <c r="K63" s="413">
        <f>SUM(I63:J63)</f>
        <v>0</v>
      </c>
      <c r="L63" s="196"/>
      <c r="M63" s="414"/>
      <c r="N63" s="413">
        <f>SUM(L63:M63)</f>
        <v>0</v>
      </c>
      <c r="O63" s="415"/>
      <c r="P63" s="416"/>
      <c r="Q63" s="417">
        <f>SUM(O63:P63)</f>
        <v>0</v>
      </c>
    </row>
    <row r="64" spans="1:17" s="386" customFormat="1" ht="16.5" thickTop="1">
      <c r="A64" s="418"/>
      <c r="O64" s="400"/>
      <c r="P64" s="400"/>
      <c r="Q64" s="400"/>
    </row>
    <row r="65" spans="1:17" s="386" customFormat="1" ht="15.75">
      <c r="A65" s="418"/>
      <c r="O65" s="400"/>
      <c r="P65" s="400"/>
      <c r="Q65" s="400"/>
    </row>
    <row r="66" spans="1:17" s="386" customFormat="1" ht="15">
      <c r="A66" s="419"/>
      <c r="O66" s="400"/>
      <c r="P66" s="400"/>
      <c r="Q66" s="400"/>
    </row>
    <row r="67" spans="1:17" s="386" customFormat="1" ht="15">
      <c r="A67" s="419"/>
      <c r="O67" s="400"/>
      <c r="P67" s="400"/>
      <c r="Q67" s="400"/>
    </row>
  </sheetData>
  <sheetProtection/>
  <mergeCells count="7">
    <mergeCell ref="A4:Q4"/>
    <mergeCell ref="A5:Q5"/>
    <mergeCell ref="I7:K7"/>
    <mergeCell ref="L7:N7"/>
    <mergeCell ref="O7:Q7"/>
    <mergeCell ref="C7:E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R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P47" sqref="P47"/>
      <selection pane="topRight" activeCell="P47" sqref="P47"/>
      <selection pane="bottomLeft" activeCell="P47" sqref="P47"/>
      <selection pane="bottomRight" activeCell="Q1" sqref="Q1"/>
    </sheetView>
  </sheetViews>
  <sheetFormatPr defaultColWidth="9.00390625" defaultRowHeight="12.75"/>
  <cols>
    <col min="1" max="1" width="5.375" style="419" customWidth="1"/>
    <col min="2" max="2" width="78.375" style="88" customWidth="1"/>
    <col min="3" max="14" width="14.625" style="88" customWidth="1"/>
    <col min="15" max="17" width="14.625" style="234" customWidth="1"/>
  </cols>
  <sheetData>
    <row r="1" spans="1:17" ht="10.5" customHeight="1">
      <c r="A1" s="303"/>
      <c r="B1" s="304"/>
      <c r="C1" s="304"/>
      <c r="D1" s="386"/>
      <c r="E1" s="386"/>
      <c r="F1" s="386"/>
      <c r="G1" s="386"/>
      <c r="H1" s="386"/>
      <c r="I1" s="386"/>
      <c r="J1" s="386"/>
      <c r="K1" s="386"/>
      <c r="L1" s="386"/>
      <c r="M1" s="386"/>
      <c r="O1" s="892"/>
      <c r="P1" s="892"/>
      <c r="Q1" s="892" t="s">
        <v>915</v>
      </c>
    </row>
    <row r="2" spans="1:17" ht="13.5" customHeight="1">
      <c r="A2" s="303"/>
      <c r="B2" s="304"/>
      <c r="C2" s="304"/>
      <c r="D2" s="386"/>
      <c r="E2" s="386"/>
      <c r="F2" s="386"/>
      <c r="G2" s="386"/>
      <c r="H2" s="386"/>
      <c r="I2" s="386"/>
      <c r="J2" s="386"/>
      <c r="K2" s="386"/>
      <c r="L2" s="386"/>
      <c r="M2" s="386"/>
      <c r="O2" s="892"/>
      <c r="P2" s="892"/>
      <c r="Q2" s="892" t="s">
        <v>93</v>
      </c>
    </row>
    <row r="3" spans="1:17" ht="15">
      <c r="A3" s="303"/>
      <c r="B3" s="304"/>
      <c r="C3" s="304"/>
      <c r="D3" s="386"/>
      <c r="E3" s="386"/>
      <c r="F3" s="386"/>
      <c r="G3" s="386"/>
      <c r="H3" s="386"/>
      <c r="I3" s="386"/>
      <c r="J3" s="386"/>
      <c r="K3" s="386"/>
      <c r="L3" s="386"/>
      <c r="M3" s="386"/>
      <c r="O3" s="892"/>
      <c r="P3" s="892"/>
      <c r="Q3" s="893" t="s">
        <v>143</v>
      </c>
    </row>
    <row r="4" spans="1:17" s="15" customFormat="1" ht="20.25">
      <c r="A4" s="1936" t="s">
        <v>648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</row>
    <row r="5" spans="1:17" s="15" customFormat="1" ht="18">
      <c r="A5" s="1937" t="s">
        <v>562</v>
      </c>
      <c r="B5" s="1937"/>
      <c r="C5" s="1937"/>
      <c r="D5" s="1937"/>
      <c r="E5" s="1937"/>
      <c r="F5" s="1937"/>
      <c r="G5" s="1937"/>
      <c r="H5" s="1937"/>
      <c r="I5" s="1937"/>
      <c r="J5" s="1937"/>
      <c r="K5" s="1937"/>
      <c r="L5" s="1937"/>
      <c r="M5" s="1937"/>
      <c r="N5" s="1937"/>
      <c r="O5" s="1937"/>
      <c r="P5" s="1937"/>
      <c r="Q5" s="1937"/>
    </row>
    <row r="6" spans="1:17" ht="45" customHeight="1" thickBot="1">
      <c r="A6" s="303"/>
      <c r="B6" s="304"/>
      <c r="C6" s="304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896"/>
      <c r="Q6" s="123" t="s">
        <v>134</v>
      </c>
    </row>
    <row r="7" spans="1:17" s="88" customFormat="1" ht="34.5" customHeight="1">
      <c r="A7" s="230" t="s">
        <v>124</v>
      </c>
      <c r="B7" s="87" t="s">
        <v>125</v>
      </c>
      <c r="C7" s="1922" t="s">
        <v>639</v>
      </c>
      <c r="D7" s="1923"/>
      <c r="E7" s="1924"/>
      <c r="F7" s="1925" t="s">
        <v>63</v>
      </c>
      <c r="G7" s="1947"/>
      <c r="H7" s="1948"/>
      <c r="I7" s="1925" t="s">
        <v>446</v>
      </c>
      <c r="J7" s="1949"/>
      <c r="K7" s="1948"/>
      <c r="L7" s="1925" t="s">
        <v>464</v>
      </c>
      <c r="M7" s="1949"/>
      <c r="N7" s="1948"/>
      <c r="O7" s="1925" t="s">
        <v>638</v>
      </c>
      <c r="P7" s="1949"/>
      <c r="Q7" s="1948"/>
    </row>
    <row r="8" spans="1:17" s="88" customFormat="1" ht="24.75" thickBot="1">
      <c r="A8" s="241" t="s">
        <v>126</v>
      </c>
      <c r="B8" s="16" t="s">
        <v>127</v>
      </c>
      <c r="C8" s="24" t="s">
        <v>434</v>
      </c>
      <c r="D8" s="23" t="s">
        <v>128</v>
      </c>
      <c r="E8" s="11" t="s">
        <v>658</v>
      </c>
      <c r="F8" s="24" t="s">
        <v>434</v>
      </c>
      <c r="G8" s="23" t="s">
        <v>128</v>
      </c>
      <c r="H8" s="11" t="s">
        <v>658</v>
      </c>
      <c r="I8" s="24" t="s">
        <v>434</v>
      </c>
      <c r="J8" s="23" t="s">
        <v>128</v>
      </c>
      <c r="K8" s="11" t="s">
        <v>658</v>
      </c>
      <c r="L8" s="24" t="s">
        <v>434</v>
      </c>
      <c r="M8" s="23" t="s">
        <v>128</v>
      </c>
      <c r="N8" s="11" t="s">
        <v>658</v>
      </c>
      <c r="O8" s="24" t="s">
        <v>434</v>
      </c>
      <c r="P8" s="23" t="s">
        <v>128</v>
      </c>
      <c r="Q8" s="11" t="s">
        <v>658</v>
      </c>
    </row>
    <row r="9" spans="1:17" s="29" customFormat="1" ht="13.5" thickBot="1">
      <c r="A9" s="420">
        <v>1</v>
      </c>
      <c r="B9" s="420">
        <v>2</v>
      </c>
      <c r="C9" s="422">
        <v>3</v>
      </c>
      <c r="D9" s="422">
        <v>4</v>
      </c>
      <c r="E9" s="423">
        <v>5</v>
      </c>
      <c r="F9" s="421">
        <v>6</v>
      </c>
      <c r="G9" s="422">
        <v>7</v>
      </c>
      <c r="H9" s="424">
        <v>8</v>
      </c>
      <c r="I9" s="421">
        <v>9</v>
      </c>
      <c r="J9" s="422">
        <v>10</v>
      </c>
      <c r="K9" s="424">
        <v>11</v>
      </c>
      <c r="L9" s="422">
        <v>12</v>
      </c>
      <c r="M9" s="422">
        <v>13</v>
      </c>
      <c r="N9" s="424">
        <v>14</v>
      </c>
      <c r="O9" s="422">
        <v>15</v>
      </c>
      <c r="P9" s="422">
        <v>16</v>
      </c>
      <c r="Q9" s="424">
        <v>17</v>
      </c>
    </row>
    <row r="10" spans="1:17" s="29" customFormat="1" ht="16.5" thickBot="1">
      <c r="A10" s="380"/>
      <c r="B10" s="346" t="s">
        <v>129</v>
      </c>
      <c r="C10" s="384"/>
      <c r="D10" s="385"/>
      <c r="E10" s="936"/>
      <c r="F10" s="384"/>
      <c r="G10" s="385"/>
      <c r="H10" s="383"/>
      <c r="I10" s="384"/>
      <c r="J10" s="385"/>
      <c r="K10" s="383"/>
      <c r="L10" s="384"/>
      <c r="M10" s="385"/>
      <c r="N10" s="383"/>
      <c r="O10" s="384"/>
      <c r="P10" s="385"/>
      <c r="Q10" s="383"/>
    </row>
    <row r="11" spans="1:17" ht="16.5" thickBot="1">
      <c r="A11" s="313">
        <v>1</v>
      </c>
      <c r="B11" s="305" t="s">
        <v>113</v>
      </c>
      <c r="C11" s="314">
        <v>9700</v>
      </c>
      <c r="D11" s="314">
        <v>263</v>
      </c>
      <c r="E11" s="314">
        <f>SUM(C11:D11)</f>
        <v>9963</v>
      </c>
      <c r="F11" s="319">
        <v>20000</v>
      </c>
      <c r="G11" s="314"/>
      <c r="H11" s="358">
        <f>SUM(F11:G11)</f>
        <v>20000</v>
      </c>
      <c r="I11" s="314"/>
      <c r="J11" s="314"/>
      <c r="K11" s="358">
        <f aca="true" t="shared" si="0" ref="K11:K16">SUM(I11:J11)</f>
        <v>0</v>
      </c>
      <c r="L11" s="314"/>
      <c r="M11" s="314"/>
      <c r="N11" s="358">
        <f aca="true" t="shared" si="1" ref="N11:N16">SUM(L11:M11)</f>
        <v>0</v>
      </c>
      <c r="O11" s="314"/>
      <c r="P11" s="387"/>
      <c r="Q11" s="388">
        <f aca="true" t="shared" si="2" ref="Q11:Q16">SUM(O11:P11)</f>
        <v>0</v>
      </c>
    </row>
    <row r="12" spans="1:17" s="61" customFormat="1" ht="16.5" thickBot="1">
      <c r="A12" s="317">
        <v>2</v>
      </c>
      <c r="B12" s="932" t="s">
        <v>202</v>
      </c>
      <c r="C12" s="319">
        <v>1700</v>
      </c>
      <c r="D12" s="314">
        <v>92</v>
      </c>
      <c r="E12" s="314">
        <f>SUM(C12:D12)</f>
        <v>1792</v>
      </c>
      <c r="F12" s="319">
        <v>2700</v>
      </c>
      <c r="G12" s="314"/>
      <c r="H12" s="358">
        <f>SUM(F12:G12)</f>
        <v>2700</v>
      </c>
      <c r="I12" s="319"/>
      <c r="J12" s="314"/>
      <c r="K12" s="358">
        <f t="shared" si="0"/>
        <v>0</v>
      </c>
      <c r="L12" s="319"/>
      <c r="M12" s="314"/>
      <c r="N12" s="358">
        <f t="shared" si="1"/>
        <v>0</v>
      </c>
      <c r="O12" s="387"/>
      <c r="P12" s="387"/>
      <c r="Q12" s="388">
        <f t="shared" si="2"/>
        <v>0</v>
      </c>
    </row>
    <row r="13" spans="1:17" s="15" customFormat="1" ht="16.5" thickBot="1">
      <c r="A13" s="317">
        <v>3</v>
      </c>
      <c r="B13" s="305" t="s">
        <v>116</v>
      </c>
      <c r="C13" s="314">
        <v>1521859</v>
      </c>
      <c r="D13" s="314">
        <v>201598</v>
      </c>
      <c r="E13" s="314">
        <f>SUM(C13:D13)</f>
        <v>1723457</v>
      </c>
      <c r="F13" s="319">
        <v>1270</v>
      </c>
      <c r="G13" s="314"/>
      <c r="H13" s="358">
        <f>SUM(F13:G13)</f>
        <v>1270</v>
      </c>
      <c r="I13" s="319">
        <v>32400</v>
      </c>
      <c r="J13" s="314">
        <v>26163</v>
      </c>
      <c r="K13" s="358">
        <f t="shared" si="0"/>
        <v>58563</v>
      </c>
      <c r="L13" s="314"/>
      <c r="M13" s="314"/>
      <c r="N13" s="358">
        <f t="shared" si="1"/>
        <v>0</v>
      </c>
      <c r="O13" s="314">
        <v>12269</v>
      </c>
      <c r="P13" s="387"/>
      <c r="Q13" s="388">
        <f t="shared" si="2"/>
        <v>12269</v>
      </c>
    </row>
    <row r="14" spans="1:17" s="15" customFormat="1" ht="16.5" thickBot="1">
      <c r="A14" s="317">
        <v>4</v>
      </c>
      <c r="B14" s="305" t="s">
        <v>172</v>
      </c>
      <c r="C14" s="319"/>
      <c r="D14" s="314"/>
      <c r="E14" s="358">
        <f>SUM(C14:D14)</f>
        <v>0</v>
      </c>
      <c r="F14" s="316"/>
      <c r="G14" s="314"/>
      <c r="H14" s="318">
        <f>SUM(F14:G14)</f>
        <v>0</v>
      </c>
      <c r="I14" s="319"/>
      <c r="J14" s="314"/>
      <c r="K14" s="358">
        <f t="shared" si="0"/>
        <v>0</v>
      </c>
      <c r="L14" s="319"/>
      <c r="M14" s="314"/>
      <c r="N14" s="358">
        <f t="shared" si="1"/>
        <v>0</v>
      </c>
      <c r="O14" s="319"/>
      <c r="P14" s="314"/>
      <c r="Q14" s="358">
        <f t="shared" si="2"/>
        <v>0</v>
      </c>
    </row>
    <row r="15" spans="1:17" ht="15">
      <c r="A15" s="156" t="s">
        <v>98</v>
      </c>
      <c r="B15" s="145" t="s">
        <v>383</v>
      </c>
      <c r="C15" s="226"/>
      <c r="D15" s="226"/>
      <c r="E15" s="226">
        <f>C15+D15</f>
        <v>0</v>
      </c>
      <c r="F15" s="227"/>
      <c r="G15" s="226"/>
      <c r="H15" s="389">
        <f>F15+G15</f>
        <v>0</v>
      </c>
      <c r="I15" s="226"/>
      <c r="J15" s="226"/>
      <c r="K15" s="389">
        <f t="shared" si="0"/>
        <v>0</v>
      </c>
      <c r="L15" s="226"/>
      <c r="M15" s="226"/>
      <c r="N15" s="389">
        <f t="shared" si="1"/>
        <v>0</v>
      </c>
      <c r="O15" s="390"/>
      <c r="P15" s="390"/>
      <c r="Q15" s="391">
        <f t="shared" si="2"/>
        <v>0</v>
      </c>
    </row>
    <row r="16" spans="1:17" ht="15">
      <c r="A16" s="153" t="s">
        <v>99</v>
      </c>
      <c r="B16" s="149" t="s">
        <v>626</v>
      </c>
      <c r="C16" s="139"/>
      <c r="D16" s="139"/>
      <c r="E16" s="226">
        <f>C16+D16</f>
        <v>0</v>
      </c>
      <c r="F16" s="143"/>
      <c r="G16" s="139"/>
      <c r="H16" s="389">
        <f>F16+G16</f>
        <v>0</v>
      </c>
      <c r="I16" s="139"/>
      <c r="J16" s="139"/>
      <c r="K16" s="389">
        <f t="shared" si="0"/>
        <v>0</v>
      </c>
      <c r="L16" s="139"/>
      <c r="M16" s="139"/>
      <c r="N16" s="389">
        <f t="shared" si="1"/>
        <v>0</v>
      </c>
      <c r="O16" s="392"/>
      <c r="P16" s="392"/>
      <c r="Q16" s="391">
        <f t="shared" si="2"/>
        <v>0</v>
      </c>
    </row>
    <row r="17" spans="1:17" ht="15">
      <c r="A17" s="153" t="s">
        <v>100</v>
      </c>
      <c r="B17" s="149" t="s">
        <v>627</v>
      </c>
      <c r="C17" s="139"/>
      <c r="D17" s="139"/>
      <c r="E17" s="226">
        <f aca="true" t="shared" si="3" ref="E17:E22">C17+D17</f>
        <v>0</v>
      </c>
      <c r="F17" s="143"/>
      <c r="G17" s="139"/>
      <c r="H17" s="389">
        <f aca="true" t="shared" si="4" ref="H17:H22">F17+G17</f>
        <v>0</v>
      </c>
      <c r="I17" s="139"/>
      <c r="J17" s="139"/>
      <c r="K17" s="389">
        <f aca="true" t="shared" si="5" ref="K17:K22">SUM(I17:J17)</f>
        <v>0</v>
      </c>
      <c r="L17" s="139"/>
      <c r="M17" s="139"/>
      <c r="N17" s="389">
        <f aca="true" t="shared" si="6" ref="N17:N22">SUM(L17:M17)</f>
        <v>0</v>
      </c>
      <c r="O17" s="392"/>
      <c r="P17" s="392"/>
      <c r="Q17" s="391">
        <f aca="true" t="shared" si="7" ref="Q17:Q22">SUM(O17:P17)</f>
        <v>0</v>
      </c>
    </row>
    <row r="18" spans="1:17" ht="15">
      <c r="A18" s="153" t="s">
        <v>101</v>
      </c>
      <c r="B18" s="155" t="s">
        <v>384</v>
      </c>
      <c r="C18" s="307"/>
      <c r="D18" s="139"/>
      <c r="E18" s="239">
        <f t="shared" si="3"/>
        <v>0</v>
      </c>
      <c r="F18" s="906"/>
      <c r="G18" s="139"/>
      <c r="H18" s="228">
        <f t="shared" si="4"/>
        <v>0</v>
      </c>
      <c r="I18" s="139"/>
      <c r="J18" s="139"/>
      <c r="K18" s="389">
        <f t="shared" si="5"/>
        <v>0</v>
      </c>
      <c r="L18" s="139"/>
      <c r="M18" s="139"/>
      <c r="N18" s="389">
        <f t="shared" si="6"/>
        <v>0</v>
      </c>
      <c r="O18" s="392"/>
      <c r="P18" s="392"/>
      <c r="Q18" s="391">
        <f t="shared" si="7"/>
        <v>0</v>
      </c>
    </row>
    <row r="19" spans="1:17" ht="15">
      <c r="A19" s="148" t="s">
        <v>192</v>
      </c>
      <c r="B19" s="149" t="s">
        <v>628</v>
      </c>
      <c r="C19" s="906"/>
      <c r="D19" s="139"/>
      <c r="E19" s="239">
        <f>C19+D19</f>
        <v>0</v>
      </c>
      <c r="F19" s="906"/>
      <c r="G19" s="139"/>
      <c r="H19" s="228">
        <f>F19+G19</f>
        <v>0</v>
      </c>
      <c r="I19" s="139"/>
      <c r="J19" s="139"/>
      <c r="K19" s="389">
        <f>SUM(I19:J19)</f>
        <v>0</v>
      </c>
      <c r="L19" s="139"/>
      <c r="M19" s="139"/>
      <c r="N19" s="389">
        <f>SUM(L19:M19)</f>
        <v>0</v>
      </c>
      <c r="O19" s="392"/>
      <c r="P19" s="392"/>
      <c r="Q19" s="391">
        <f>SUM(O19:P19)</f>
        <v>0</v>
      </c>
    </row>
    <row r="20" spans="1:17" ht="15">
      <c r="A20" s="148" t="s">
        <v>339</v>
      </c>
      <c r="B20" s="149" t="s">
        <v>629</v>
      </c>
      <c r="C20" s="906"/>
      <c r="D20" s="139"/>
      <c r="E20" s="239">
        <f t="shared" si="3"/>
        <v>0</v>
      </c>
      <c r="F20" s="906"/>
      <c r="G20" s="139"/>
      <c r="H20" s="228">
        <f t="shared" si="4"/>
        <v>0</v>
      </c>
      <c r="I20" s="307"/>
      <c r="J20" s="139"/>
      <c r="K20" s="228">
        <f t="shared" si="5"/>
        <v>0</v>
      </c>
      <c r="L20" s="307"/>
      <c r="M20" s="139"/>
      <c r="N20" s="228">
        <f t="shared" si="6"/>
        <v>0</v>
      </c>
      <c r="O20" s="392"/>
      <c r="P20" s="392"/>
      <c r="Q20" s="391">
        <f t="shared" si="7"/>
        <v>0</v>
      </c>
    </row>
    <row r="21" spans="1:17" ht="15">
      <c r="A21" s="148" t="s">
        <v>340</v>
      </c>
      <c r="B21" s="155" t="s">
        <v>385</v>
      </c>
      <c r="C21" s="306"/>
      <c r="D21" s="226"/>
      <c r="E21" s="239">
        <f>C21+D21</f>
        <v>0</v>
      </c>
      <c r="F21" s="1075"/>
      <c r="G21" s="226"/>
      <c r="H21" s="228">
        <f t="shared" si="4"/>
        <v>0</v>
      </c>
      <c r="I21" s="306"/>
      <c r="J21" s="226"/>
      <c r="K21" s="228">
        <f t="shared" si="5"/>
        <v>0</v>
      </c>
      <c r="L21" s="306"/>
      <c r="M21" s="226"/>
      <c r="N21" s="228">
        <f t="shared" si="6"/>
        <v>0</v>
      </c>
      <c r="O21" s="1141"/>
      <c r="P21" s="392"/>
      <c r="Q21" s="1116">
        <f t="shared" si="7"/>
        <v>0</v>
      </c>
    </row>
    <row r="22" spans="1:17" ht="15" customHeight="1" thickBot="1">
      <c r="A22" s="16" t="s">
        <v>69</v>
      </c>
      <c r="B22" s="334" t="s">
        <v>386</v>
      </c>
      <c r="C22" s="308"/>
      <c r="D22" s="151"/>
      <c r="E22" s="239">
        <f t="shared" si="3"/>
        <v>0</v>
      </c>
      <c r="F22" s="907"/>
      <c r="G22" s="151"/>
      <c r="H22" s="228">
        <f t="shared" si="4"/>
        <v>0</v>
      </c>
      <c r="I22" s="886"/>
      <c r="J22" s="151"/>
      <c r="K22" s="228">
        <f t="shared" si="5"/>
        <v>0</v>
      </c>
      <c r="L22" s="308"/>
      <c r="M22" s="151"/>
      <c r="N22" s="228">
        <f t="shared" si="6"/>
        <v>0</v>
      </c>
      <c r="O22" s="1143"/>
      <c r="P22" s="393"/>
      <c r="Q22" s="1116">
        <f t="shared" si="7"/>
        <v>0</v>
      </c>
    </row>
    <row r="23" spans="1:17" s="15" customFormat="1" ht="16.5" thickBot="1">
      <c r="A23" s="317">
        <v>5</v>
      </c>
      <c r="B23" s="305" t="s">
        <v>171</v>
      </c>
      <c r="C23" s="347">
        <f aca="true" t="shared" si="8" ref="C23:Q23">SUM(C15:C22)</f>
        <v>0</v>
      </c>
      <c r="D23" s="314">
        <f t="shared" si="8"/>
        <v>0</v>
      </c>
      <c r="E23" s="320">
        <f t="shared" si="8"/>
        <v>0</v>
      </c>
      <c r="F23" s="330">
        <f t="shared" si="8"/>
        <v>0</v>
      </c>
      <c r="G23" s="314">
        <f t="shared" si="8"/>
        <v>0</v>
      </c>
      <c r="H23" s="330">
        <f t="shared" si="8"/>
        <v>0</v>
      </c>
      <c r="I23" s="347">
        <f t="shared" si="8"/>
        <v>0</v>
      </c>
      <c r="J23" s="314">
        <f t="shared" si="8"/>
        <v>0</v>
      </c>
      <c r="K23" s="320">
        <f t="shared" si="8"/>
        <v>0</v>
      </c>
      <c r="L23" s="347">
        <f t="shared" si="8"/>
        <v>0</v>
      </c>
      <c r="M23" s="314">
        <f t="shared" si="8"/>
        <v>0</v>
      </c>
      <c r="N23" s="320">
        <f t="shared" si="8"/>
        <v>0</v>
      </c>
      <c r="O23" s="347">
        <f t="shared" si="8"/>
        <v>0</v>
      </c>
      <c r="P23" s="314">
        <f t="shared" si="8"/>
        <v>0</v>
      </c>
      <c r="Q23" s="320">
        <f t="shared" si="8"/>
        <v>0</v>
      </c>
    </row>
    <row r="24" spans="1:17" ht="16.5" thickBot="1">
      <c r="A24" s="313">
        <v>6</v>
      </c>
      <c r="B24" s="305" t="s">
        <v>174</v>
      </c>
      <c r="C24" s="318">
        <v>2484475</v>
      </c>
      <c r="D24" s="314">
        <v>730662</v>
      </c>
      <c r="E24" s="316">
        <f aca="true" t="shared" si="9" ref="E24:E30">SUM(C24:D24)</f>
        <v>3215137</v>
      </c>
      <c r="F24" s="347"/>
      <c r="G24" s="314"/>
      <c r="H24" s="320">
        <f aca="true" t="shared" si="10" ref="H24:H30">SUM(F24:G24)</f>
        <v>0</v>
      </c>
      <c r="I24" s="318">
        <v>214476</v>
      </c>
      <c r="J24" s="314">
        <v>96900</v>
      </c>
      <c r="K24" s="320">
        <f aca="true" t="shared" si="11" ref="K24:K30">SUM(I24:J24)</f>
        <v>311376</v>
      </c>
      <c r="L24" s="318"/>
      <c r="M24" s="314"/>
      <c r="N24" s="320">
        <f aca="true" t="shared" si="12" ref="N24:N30">SUM(L24:M24)</f>
        <v>0</v>
      </c>
      <c r="O24" s="347">
        <v>2432</v>
      </c>
      <c r="P24" s="387"/>
      <c r="Q24" s="1117">
        <f aca="true" t="shared" si="13" ref="Q24:Q30">SUM(O24:P24)</f>
        <v>2432</v>
      </c>
    </row>
    <row r="25" spans="1:17" s="15" customFormat="1" ht="16.5" thickBot="1">
      <c r="A25" s="313">
        <v>7</v>
      </c>
      <c r="B25" s="305" t="s">
        <v>435</v>
      </c>
      <c r="C25" s="318">
        <v>1385810</v>
      </c>
      <c r="D25" s="314">
        <v>-42611</v>
      </c>
      <c r="E25" s="316">
        <f t="shared" si="9"/>
        <v>1343199</v>
      </c>
      <c r="F25" s="347"/>
      <c r="G25" s="314"/>
      <c r="H25" s="330">
        <f t="shared" si="10"/>
        <v>0</v>
      </c>
      <c r="I25" s="347"/>
      <c r="J25" s="314"/>
      <c r="K25" s="320">
        <f t="shared" si="11"/>
        <v>0</v>
      </c>
      <c r="L25" s="330"/>
      <c r="M25" s="314"/>
      <c r="N25" s="320">
        <f t="shared" si="12"/>
        <v>0</v>
      </c>
      <c r="O25" s="318"/>
      <c r="P25" s="387"/>
      <c r="Q25" s="1117">
        <f t="shared" si="13"/>
        <v>0</v>
      </c>
    </row>
    <row r="26" spans="1:17" ht="15">
      <c r="A26" s="156" t="s">
        <v>98</v>
      </c>
      <c r="B26" s="149" t="s">
        <v>632</v>
      </c>
      <c r="C26" s="306"/>
      <c r="D26" s="226"/>
      <c r="E26" s="239">
        <f t="shared" si="9"/>
        <v>0</v>
      </c>
      <c r="F26" s="1075"/>
      <c r="G26" s="226"/>
      <c r="H26" s="228">
        <f t="shared" si="10"/>
        <v>0</v>
      </c>
      <c r="I26" s="1075"/>
      <c r="J26" s="226"/>
      <c r="K26" s="228">
        <f t="shared" si="11"/>
        <v>0</v>
      </c>
      <c r="L26" s="306"/>
      <c r="M26" s="226"/>
      <c r="N26" s="228">
        <f t="shared" si="12"/>
        <v>0</v>
      </c>
      <c r="O26" s="306"/>
      <c r="P26" s="390"/>
      <c r="Q26" s="1116">
        <f t="shared" si="13"/>
        <v>0</v>
      </c>
    </row>
    <row r="27" spans="1:17" ht="15">
      <c r="A27" s="156" t="s">
        <v>99</v>
      </c>
      <c r="B27" s="149" t="s">
        <v>630</v>
      </c>
      <c r="C27" s="306"/>
      <c r="D27" s="226"/>
      <c r="E27" s="239">
        <f t="shared" si="9"/>
        <v>0</v>
      </c>
      <c r="F27" s="1075"/>
      <c r="G27" s="226"/>
      <c r="H27" s="228">
        <f t="shared" si="10"/>
        <v>0</v>
      </c>
      <c r="I27" s="1075"/>
      <c r="J27" s="226"/>
      <c r="K27" s="228">
        <f t="shared" si="11"/>
        <v>0</v>
      </c>
      <c r="L27" s="306"/>
      <c r="M27" s="226"/>
      <c r="N27" s="228">
        <f t="shared" si="12"/>
        <v>0</v>
      </c>
      <c r="O27" s="306"/>
      <c r="P27" s="390"/>
      <c r="Q27" s="1116">
        <f t="shared" si="13"/>
        <v>0</v>
      </c>
    </row>
    <row r="28" spans="1:17" ht="15">
      <c r="A28" s="156" t="s">
        <v>100</v>
      </c>
      <c r="B28" s="155" t="s">
        <v>387</v>
      </c>
      <c r="C28" s="306"/>
      <c r="D28" s="226"/>
      <c r="E28" s="239">
        <f t="shared" si="9"/>
        <v>0</v>
      </c>
      <c r="F28" s="1075"/>
      <c r="G28" s="226"/>
      <c r="H28" s="228">
        <f t="shared" si="10"/>
        <v>0</v>
      </c>
      <c r="I28" s="1075"/>
      <c r="J28" s="226"/>
      <c r="K28" s="228">
        <f t="shared" si="11"/>
        <v>0</v>
      </c>
      <c r="L28" s="306"/>
      <c r="M28" s="226"/>
      <c r="N28" s="228">
        <f t="shared" si="12"/>
        <v>0</v>
      </c>
      <c r="O28" s="306"/>
      <c r="P28" s="390"/>
      <c r="Q28" s="1116">
        <f t="shared" si="13"/>
        <v>0</v>
      </c>
    </row>
    <row r="29" spans="1:17" ht="15">
      <c r="A29" s="156" t="s">
        <v>101</v>
      </c>
      <c r="B29" s="149" t="s">
        <v>631</v>
      </c>
      <c r="C29" s="306"/>
      <c r="D29" s="226"/>
      <c r="E29" s="239">
        <f t="shared" si="9"/>
        <v>0</v>
      </c>
      <c r="F29" s="1075"/>
      <c r="G29" s="226"/>
      <c r="H29" s="228">
        <f t="shared" si="10"/>
        <v>0</v>
      </c>
      <c r="I29" s="1075"/>
      <c r="J29" s="226"/>
      <c r="K29" s="228">
        <f t="shared" si="11"/>
        <v>0</v>
      </c>
      <c r="L29" s="306"/>
      <c r="M29" s="226"/>
      <c r="N29" s="228">
        <f t="shared" si="12"/>
        <v>0</v>
      </c>
      <c r="O29" s="306"/>
      <c r="P29" s="390"/>
      <c r="Q29" s="1116">
        <f t="shared" si="13"/>
        <v>0</v>
      </c>
    </row>
    <row r="30" spans="1:17" ht="15.75" thickBot="1">
      <c r="A30" s="335" t="s">
        <v>192</v>
      </c>
      <c r="B30" s="155" t="s">
        <v>388</v>
      </c>
      <c r="C30" s="329"/>
      <c r="D30" s="321"/>
      <c r="E30" s="322">
        <f t="shared" si="9"/>
        <v>0</v>
      </c>
      <c r="F30" s="1076"/>
      <c r="G30" s="321"/>
      <c r="H30" s="324">
        <f t="shared" si="10"/>
        <v>0</v>
      </c>
      <c r="I30" s="1076"/>
      <c r="J30" s="321"/>
      <c r="K30" s="324">
        <f t="shared" si="11"/>
        <v>0</v>
      </c>
      <c r="L30" s="329"/>
      <c r="M30" s="321"/>
      <c r="N30" s="324">
        <f t="shared" si="12"/>
        <v>0</v>
      </c>
      <c r="O30" s="329"/>
      <c r="P30" s="396"/>
      <c r="Q30" s="1118">
        <f t="shared" si="13"/>
        <v>0</v>
      </c>
    </row>
    <row r="31" spans="1:17" s="15" customFormat="1" ht="16.5" thickBot="1">
      <c r="A31" s="313">
        <v>8</v>
      </c>
      <c r="B31" s="305" t="s">
        <v>173</v>
      </c>
      <c r="C31" s="347">
        <f aca="true" t="shared" si="14" ref="C31:Q31">SUM(C26:C30)</f>
        <v>0</v>
      </c>
      <c r="D31" s="314">
        <f t="shared" si="14"/>
        <v>0</v>
      </c>
      <c r="E31" s="320">
        <f t="shared" si="14"/>
        <v>0</v>
      </c>
      <c r="F31" s="330">
        <f t="shared" si="14"/>
        <v>0</v>
      </c>
      <c r="G31" s="314">
        <f t="shared" si="14"/>
        <v>0</v>
      </c>
      <c r="H31" s="330">
        <f t="shared" si="14"/>
        <v>0</v>
      </c>
      <c r="I31" s="347">
        <f t="shared" si="14"/>
        <v>0</v>
      </c>
      <c r="J31" s="314">
        <f t="shared" si="14"/>
        <v>0</v>
      </c>
      <c r="K31" s="320">
        <f t="shared" si="14"/>
        <v>0</v>
      </c>
      <c r="L31" s="347">
        <f t="shared" si="14"/>
        <v>0</v>
      </c>
      <c r="M31" s="314">
        <f t="shared" si="14"/>
        <v>0</v>
      </c>
      <c r="N31" s="330">
        <f t="shared" si="14"/>
        <v>0</v>
      </c>
      <c r="O31" s="347">
        <f t="shared" si="14"/>
        <v>0</v>
      </c>
      <c r="P31" s="314">
        <f t="shared" si="14"/>
        <v>0</v>
      </c>
      <c r="Q31" s="320">
        <f t="shared" si="14"/>
        <v>0</v>
      </c>
    </row>
    <row r="32" spans="1:17" ht="16.5" thickBot="1">
      <c r="A32" s="313">
        <v>9</v>
      </c>
      <c r="B32" s="305" t="s">
        <v>179</v>
      </c>
      <c r="C32" s="318"/>
      <c r="D32" s="314"/>
      <c r="E32" s="316">
        <f>SUM(C32:D32)</f>
        <v>0</v>
      </c>
      <c r="F32" s="347"/>
      <c r="G32" s="314"/>
      <c r="H32" s="320">
        <f>SUM(F32:G32)</f>
        <v>0</v>
      </c>
      <c r="I32" s="318"/>
      <c r="J32" s="314"/>
      <c r="K32" s="320">
        <f>SUM(I32:J32)</f>
        <v>0</v>
      </c>
      <c r="L32" s="318"/>
      <c r="M32" s="314"/>
      <c r="N32" s="320">
        <f>SUM(L32:M32)</f>
        <v>0</v>
      </c>
      <c r="O32" s="1129"/>
      <c r="P32" s="387"/>
      <c r="Q32" s="1117">
        <f>SUM(O32:P32)</f>
        <v>0</v>
      </c>
    </row>
    <row r="33" spans="1:21" s="34" customFormat="1" ht="16.5" thickBot="1">
      <c r="A33" s="367">
        <v>10</v>
      </c>
      <c r="B33" s="933"/>
      <c r="C33" s="1091"/>
      <c r="D33" s="375"/>
      <c r="E33" s="376">
        <f>SUM(C33:D33)</f>
        <v>0</v>
      </c>
      <c r="F33" s="293"/>
      <c r="G33" s="369"/>
      <c r="H33" s="1107">
        <f>SUM(F33:G33)</f>
        <v>0</v>
      </c>
      <c r="I33" s="158"/>
      <c r="J33" s="369"/>
      <c r="K33" s="1107">
        <f>SUM(I33:J33)</f>
        <v>0</v>
      </c>
      <c r="L33" s="158"/>
      <c r="M33" s="369"/>
      <c r="N33" s="1107">
        <f>SUM(L33:M33)</f>
        <v>0</v>
      </c>
      <c r="O33" s="158"/>
      <c r="P33" s="369"/>
      <c r="Q33" s="1107">
        <f>SUM(O33:P33)</f>
        <v>0</v>
      </c>
      <c r="R33" s="32"/>
      <c r="S33" s="32"/>
      <c r="T33" s="32"/>
      <c r="U33" s="32"/>
    </row>
    <row r="34" spans="1:96" s="35" customFormat="1" ht="17.25" thickBot="1" thickTop="1">
      <c r="A34" s="343" t="s">
        <v>108</v>
      </c>
      <c r="B34" s="366" t="s">
        <v>180</v>
      </c>
      <c r="C34" s="365">
        <f aca="true" t="shared" si="15" ref="C34:Q34">C11+C12+C13+C23+C14+C31+C25+C24+C32+C33</f>
        <v>5403544</v>
      </c>
      <c r="D34" s="344">
        <f t="shared" si="15"/>
        <v>890004</v>
      </c>
      <c r="E34" s="363">
        <f t="shared" si="15"/>
        <v>6293548</v>
      </c>
      <c r="F34" s="365">
        <f t="shared" si="15"/>
        <v>23970</v>
      </c>
      <c r="G34" s="344">
        <f t="shared" si="15"/>
        <v>0</v>
      </c>
      <c r="H34" s="363">
        <f t="shared" si="15"/>
        <v>23970</v>
      </c>
      <c r="I34" s="365">
        <f t="shared" si="15"/>
        <v>246876</v>
      </c>
      <c r="J34" s="344">
        <f t="shared" si="15"/>
        <v>123063</v>
      </c>
      <c r="K34" s="363">
        <f t="shared" si="15"/>
        <v>369939</v>
      </c>
      <c r="L34" s="365">
        <f t="shared" si="15"/>
        <v>0</v>
      </c>
      <c r="M34" s="344">
        <f t="shared" si="15"/>
        <v>0</v>
      </c>
      <c r="N34" s="363">
        <f t="shared" si="15"/>
        <v>0</v>
      </c>
      <c r="O34" s="365">
        <f t="shared" si="15"/>
        <v>14701</v>
      </c>
      <c r="P34" s="344">
        <f t="shared" si="15"/>
        <v>0</v>
      </c>
      <c r="Q34" s="374">
        <f t="shared" si="15"/>
        <v>14701</v>
      </c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</row>
    <row r="35" spans="1:96" ht="17.25" thickBot="1" thickTop="1">
      <c r="A35" s="144"/>
      <c r="B35" s="346" t="s">
        <v>131</v>
      </c>
      <c r="C35" s="1092"/>
      <c r="D35" s="373"/>
      <c r="E35" s="920"/>
      <c r="F35" s="888"/>
      <c r="G35" s="302"/>
      <c r="H35" s="1108"/>
      <c r="I35" s="935"/>
      <c r="J35" s="302"/>
      <c r="K35" s="1108"/>
      <c r="L35" s="935"/>
      <c r="M35" s="302"/>
      <c r="N35" s="1108"/>
      <c r="O35" s="1077"/>
      <c r="P35" s="302"/>
      <c r="Q35" s="1108"/>
      <c r="R35" s="26"/>
      <c r="S35" s="26"/>
      <c r="T35" s="26"/>
      <c r="U35" s="26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</row>
    <row r="36" spans="1:17" s="762" customFormat="1" ht="15">
      <c r="A36" s="769" t="s">
        <v>98</v>
      </c>
      <c r="B36" s="770" t="s">
        <v>389</v>
      </c>
      <c r="C36" s="1085"/>
      <c r="D36" s="771"/>
      <c r="E36" s="776">
        <f aca="true" t="shared" si="16" ref="E36:E44">SUM(C36:D36)</f>
        <v>0</v>
      </c>
      <c r="F36" s="775"/>
      <c r="G36" s="771"/>
      <c r="H36" s="776">
        <f>SUM(F36:G36)</f>
        <v>0</v>
      </c>
      <c r="I36" s="1085"/>
      <c r="J36" s="771"/>
      <c r="K36" s="776">
        <f>SUM(I36:J36)</f>
        <v>0</v>
      </c>
      <c r="L36" s="1085"/>
      <c r="M36" s="771"/>
      <c r="N36" s="776">
        <f>SUM(L36:M36)</f>
        <v>0</v>
      </c>
      <c r="O36" s="1131"/>
      <c r="P36" s="774"/>
      <c r="Q36" s="1119">
        <f>SUM(O36:P36)</f>
        <v>0</v>
      </c>
    </row>
    <row r="37" spans="1:17" s="762" customFormat="1" ht="15">
      <c r="A37" s="153" t="s">
        <v>99</v>
      </c>
      <c r="B37" s="149" t="s">
        <v>245</v>
      </c>
      <c r="C37" s="906"/>
      <c r="D37" s="139"/>
      <c r="E37" s="162">
        <f t="shared" si="16"/>
        <v>0</v>
      </c>
      <c r="F37" s="885"/>
      <c r="G37" s="139"/>
      <c r="H37" s="162">
        <f>SUM(F37:G37)</f>
        <v>0</v>
      </c>
      <c r="I37" s="906"/>
      <c r="J37" s="139"/>
      <c r="K37" s="162">
        <f>SUM(I37:J37)</f>
        <v>0</v>
      </c>
      <c r="L37" s="906"/>
      <c r="M37" s="139"/>
      <c r="N37" s="162">
        <f>SUM(L37:M37)</f>
        <v>0</v>
      </c>
      <c r="O37" s="1126"/>
      <c r="P37" s="392"/>
      <c r="Q37" s="1120">
        <f>SUM(O37:P37)</f>
        <v>0</v>
      </c>
    </row>
    <row r="38" spans="1:17" s="762" customFormat="1" ht="15">
      <c r="A38" s="335" t="s">
        <v>100</v>
      </c>
      <c r="B38" s="142" t="s">
        <v>390</v>
      </c>
      <c r="C38" s="1076"/>
      <c r="D38" s="321"/>
      <c r="E38" s="324">
        <f t="shared" si="16"/>
        <v>0</v>
      </c>
      <c r="F38" s="157"/>
      <c r="G38" s="321"/>
      <c r="H38" s="324">
        <f>SUM(F38:G38)</f>
        <v>0</v>
      </c>
      <c r="I38" s="1076"/>
      <c r="J38" s="321"/>
      <c r="K38" s="324">
        <f>SUM(I38:J38)</f>
        <v>0</v>
      </c>
      <c r="L38" s="1076"/>
      <c r="M38" s="321"/>
      <c r="N38" s="324">
        <f>SUM(L38:M38)</f>
        <v>0</v>
      </c>
      <c r="O38" s="1130"/>
      <c r="P38" s="396"/>
      <c r="Q38" s="1118">
        <f>SUM(O38:P38)</f>
        <v>0</v>
      </c>
    </row>
    <row r="39" spans="1:17" s="762" customFormat="1" ht="15.75" thickBot="1">
      <c r="A39" s="154" t="s">
        <v>101</v>
      </c>
      <c r="B39" s="155" t="s">
        <v>394</v>
      </c>
      <c r="C39" s="907"/>
      <c r="D39" s="151"/>
      <c r="E39" s="238">
        <f t="shared" si="16"/>
        <v>0</v>
      </c>
      <c r="F39" s="886">
        <v>23970</v>
      </c>
      <c r="G39" s="151"/>
      <c r="H39" s="238">
        <f>SUM(F39:G39)</f>
        <v>23970</v>
      </c>
      <c r="I39" s="907"/>
      <c r="J39" s="151"/>
      <c r="K39" s="238">
        <f>SUM(I39:J39)</f>
        <v>0</v>
      </c>
      <c r="L39" s="907"/>
      <c r="M39" s="151"/>
      <c r="N39" s="238">
        <f>SUM(L39:M39)</f>
        <v>0</v>
      </c>
      <c r="O39" s="1128"/>
      <c r="P39" s="393"/>
      <c r="Q39" s="1121">
        <f>SUM(O39:P39)</f>
        <v>0</v>
      </c>
    </row>
    <row r="40" spans="1:17" s="15" customFormat="1" ht="16.5" thickBot="1">
      <c r="A40" s="313">
        <v>1</v>
      </c>
      <c r="B40" s="305" t="s">
        <v>177</v>
      </c>
      <c r="C40" s="347">
        <f aca="true" t="shared" si="17" ref="C40:Q40">SUM(C36:C39)</f>
        <v>0</v>
      </c>
      <c r="D40" s="314">
        <f t="shared" si="17"/>
        <v>0</v>
      </c>
      <c r="E40" s="320">
        <f t="shared" si="17"/>
        <v>0</v>
      </c>
      <c r="F40" s="347">
        <f t="shared" si="17"/>
        <v>23970</v>
      </c>
      <c r="G40" s="314">
        <f t="shared" si="17"/>
        <v>0</v>
      </c>
      <c r="H40" s="320">
        <f t="shared" si="17"/>
        <v>23970</v>
      </c>
      <c r="I40" s="347">
        <f t="shared" si="17"/>
        <v>0</v>
      </c>
      <c r="J40" s="314">
        <f t="shared" si="17"/>
        <v>0</v>
      </c>
      <c r="K40" s="320">
        <f t="shared" si="17"/>
        <v>0</v>
      </c>
      <c r="L40" s="347">
        <f t="shared" si="17"/>
        <v>0</v>
      </c>
      <c r="M40" s="314">
        <f t="shared" si="17"/>
        <v>0</v>
      </c>
      <c r="N40" s="320">
        <f t="shared" si="17"/>
        <v>0</v>
      </c>
      <c r="O40" s="347">
        <f t="shared" si="17"/>
        <v>0</v>
      </c>
      <c r="P40" s="314">
        <f t="shared" si="17"/>
        <v>0</v>
      </c>
      <c r="Q40" s="320">
        <f t="shared" si="17"/>
        <v>0</v>
      </c>
    </row>
    <row r="41" spans="1:17" ht="15">
      <c r="A41" s="156" t="s">
        <v>98</v>
      </c>
      <c r="B41" s="145" t="s">
        <v>416</v>
      </c>
      <c r="C41" s="1075"/>
      <c r="D41" s="226"/>
      <c r="E41" s="228">
        <f t="shared" si="16"/>
        <v>0</v>
      </c>
      <c r="F41" s="887"/>
      <c r="G41" s="226"/>
      <c r="H41" s="228">
        <f>SUM(F41:G41)</f>
        <v>0</v>
      </c>
      <c r="I41" s="1075"/>
      <c r="J41" s="226"/>
      <c r="K41" s="228">
        <f>SUM(I41:J41)</f>
        <v>0</v>
      </c>
      <c r="L41" s="1075"/>
      <c r="M41" s="226"/>
      <c r="N41" s="228">
        <f>SUM(L41:M41)</f>
        <v>0</v>
      </c>
      <c r="O41" s="1127"/>
      <c r="P41" s="390"/>
      <c r="Q41" s="1116">
        <f>SUM(O41:P41)</f>
        <v>0</v>
      </c>
    </row>
    <row r="42" spans="1:17" ht="15">
      <c r="A42" s="153" t="s">
        <v>99</v>
      </c>
      <c r="B42" s="149" t="s">
        <v>391</v>
      </c>
      <c r="C42" s="906"/>
      <c r="D42" s="139"/>
      <c r="E42" s="162">
        <f t="shared" si="16"/>
        <v>0</v>
      </c>
      <c r="F42" s="885"/>
      <c r="G42" s="139"/>
      <c r="H42" s="162">
        <f>SUM(F42:G42)</f>
        <v>0</v>
      </c>
      <c r="I42" s="906"/>
      <c r="J42" s="139"/>
      <c r="K42" s="162">
        <f>SUM(I42:J42)</f>
        <v>0</v>
      </c>
      <c r="L42" s="906"/>
      <c r="M42" s="139"/>
      <c r="N42" s="162">
        <f>SUM(L42:M42)</f>
        <v>0</v>
      </c>
      <c r="O42" s="1126"/>
      <c r="P42" s="392"/>
      <c r="Q42" s="1120">
        <f>SUM(O42:P42)</f>
        <v>0</v>
      </c>
    </row>
    <row r="43" spans="1:17" ht="15">
      <c r="A43" s="153" t="s">
        <v>100</v>
      </c>
      <c r="B43" s="149" t="s">
        <v>392</v>
      </c>
      <c r="C43" s="906"/>
      <c r="D43" s="139"/>
      <c r="E43" s="162">
        <f t="shared" si="16"/>
        <v>0</v>
      </c>
      <c r="F43" s="885"/>
      <c r="G43" s="139"/>
      <c r="H43" s="162">
        <f>SUM(F43:G43)</f>
        <v>0</v>
      </c>
      <c r="I43" s="906"/>
      <c r="J43" s="139"/>
      <c r="K43" s="162">
        <f>SUM(I43:J43)</f>
        <v>0</v>
      </c>
      <c r="L43" s="906"/>
      <c r="M43" s="139"/>
      <c r="N43" s="162">
        <f>SUM(L43:M43)</f>
        <v>0</v>
      </c>
      <c r="O43" s="1126"/>
      <c r="P43" s="392"/>
      <c r="Q43" s="1120">
        <f>SUM(O43:P43)</f>
        <v>0</v>
      </c>
    </row>
    <row r="44" spans="1:17" ht="15.75" thickBot="1">
      <c r="A44" s="154" t="s">
        <v>101</v>
      </c>
      <c r="B44" s="155" t="s">
        <v>175</v>
      </c>
      <c r="C44" s="907"/>
      <c r="D44" s="151"/>
      <c r="E44" s="238">
        <f t="shared" si="16"/>
        <v>0</v>
      </c>
      <c r="F44" s="886"/>
      <c r="G44" s="151"/>
      <c r="H44" s="238">
        <f>SUM(F44:G44)</f>
        <v>0</v>
      </c>
      <c r="I44" s="907"/>
      <c r="J44" s="151"/>
      <c r="K44" s="238">
        <f>SUM(I44:J44)</f>
        <v>0</v>
      </c>
      <c r="L44" s="907"/>
      <c r="M44" s="151"/>
      <c r="N44" s="238">
        <f>SUM(L44:M44)</f>
        <v>0</v>
      </c>
      <c r="O44" s="1128"/>
      <c r="P44" s="393"/>
      <c r="Q44" s="1121">
        <f>SUM(O44:P44)</f>
        <v>0</v>
      </c>
    </row>
    <row r="45" spans="1:17" s="15" customFormat="1" ht="16.5" thickBot="1">
      <c r="A45" s="313">
        <v>2</v>
      </c>
      <c r="B45" s="305" t="s">
        <v>176</v>
      </c>
      <c r="C45" s="347">
        <f>SUM(C41:C44)</f>
        <v>0</v>
      </c>
      <c r="D45" s="314">
        <f aca="true" t="shared" si="18" ref="D45:Q45">SUM(D41:D44)</f>
        <v>0</v>
      </c>
      <c r="E45" s="316">
        <f t="shared" si="18"/>
        <v>0</v>
      </c>
      <c r="F45" s="347">
        <f t="shared" si="18"/>
        <v>0</v>
      </c>
      <c r="G45" s="314">
        <f t="shared" si="18"/>
        <v>0</v>
      </c>
      <c r="H45" s="316">
        <f t="shared" si="18"/>
        <v>0</v>
      </c>
      <c r="I45" s="347">
        <f t="shared" si="18"/>
        <v>0</v>
      </c>
      <c r="J45" s="314">
        <f t="shared" si="18"/>
        <v>0</v>
      </c>
      <c r="K45" s="316">
        <f t="shared" si="18"/>
        <v>0</v>
      </c>
      <c r="L45" s="347">
        <f t="shared" si="18"/>
        <v>0</v>
      </c>
      <c r="M45" s="314">
        <f t="shared" si="18"/>
        <v>0</v>
      </c>
      <c r="N45" s="330">
        <f t="shared" si="18"/>
        <v>0</v>
      </c>
      <c r="O45" s="347">
        <f t="shared" si="18"/>
        <v>0</v>
      </c>
      <c r="P45" s="314">
        <f t="shared" si="18"/>
        <v>0</v>
      </c>
      <c r="Q45" s="320">
        <f t="shared" si="18"/>
        <v>0</v>
      </c>
    </row>
    <row r="46" spans="1:17" s="15" customFormat="1" ht="16.5" thickBot="1">
      <c r="A46" s="313">
        <v>3</v>
      </c>
      <c r="B46" s="305" t="s">
        <v>264</v>
      </c>
      <c r="C46" s="347">
        <v>100</v>
      </c>
      <c r="D46" s="314"/>
      <c r="E46" s="316">
        <f>SUM(C46:D46)</f>
        <v>100</v>
      </c>
      <c r="F46" s="347"/>
      <c r="G46" s="314"/>
      <c r="H46" s="316">
        <f>SUM(F46:G46)</f>
        <v>0</v>
      </c>
      <c r="I46" s="347"/>
      <c r="J46" s="314"/>
      <c r="K46" s="316">
        <f>SUM(I46:J46)</f>
        <v>0</v>
      </c>
      <c r="L46" s="347"/>
      <c r="M46" s="314"/>
      <c r="N46" s="330">
        <f>SUM(L46:M46)</f>
        <v>0</v>
      </c>
      <c r="O46" s="347"/>
      <c r="P46" s="314"/>
      <c r="Q46" s="320">
        <f>SUM(O46:P46)</f>
        <v>0</v>
      </c>
    </row>
    <row r="47" spans="1:17" ht="16.5" thickBot="1">
      <c r="A47" s="313">
        <v>4</v>
      </c>
      <c r="B47" s="305" t="s">
        <v>285</v>
      </c>
      <c r="C47" s="347"/>
      <c r="D47" s="314"/>
      <c r="E47" s="316">
        <f>SUM(C47:D47)</f>
        <v>0</v>
      </c>
      <c r="F47" s="347"/>
      <c r="G47" s="314"/>
      <c r="H47" s="316">
        <f>SUM(F47:G47)</f>
        <v>0</v>
      </c>
      <c r="I47" s="347"/>
      <c r="J47" s="314"/>
      <c r="K47" s="316">
        <f>SUM(I47:J47)</f>
        <v>0</v>
      </c>
      <c r="L47" s="347"/>
      <c r="M47" s="314"/>
      <c r="N47" s="330">
        <f>SUM(L47:M47)</f>
        <v>0</v>
      </c>
      <c r="O47" s="347"/>
      <c r="P47" s="314"/>
      <c r="Q47" s="320">
        <f>SUM(O47:P47)</f>
        <v>0</v>
      </c>
    </row>
    <row r="48" spans="1:17" s="762" customFormat="1" ht="15">
      <c r="A48" s="156" t="s">
        <v>98</v>
      </c>
      <c r="B48" s="142" t="s">
        <v>291</v>
      </c>
      <c r="C48" s="1075">
        <v>1136400</v>
      </c>
      <c r="D48" s="226">
        <v>930200</v>
      </c>
      <c r="E48" s="228">
        <f>SUM(C48:D48)</f>
        <v>2066600</v>
      </c>
      <c r="F48" s="887"/>
      <c r="G48" s="226"/>
      <c r="H48" s="228">
        <f>SUM(F48:G48)</f>
        <v>0</v>
      </c>
      <c r="I48" s="1075"/>
      <c r="J48" s="226"/>
      <c r="K48" s="228">
        <f>SUM(I48:J48)</f>
        <v>0</v>
      </c>
      <c r="L48" s="1075"/>
      <c r="M48" s="226"/>
      <c r="N48" s="228">
        <f>SUM(L48:M48)</f>
        <v>0</v>
      </c>
      <c r="O48" s="1127"/>
      <c r="P48" s="390"/>
      <c r="Q48" s="1116">
        <f>SUM(O48:P48)</f>
        <v>0</v>
      </c>
    </row>
    <row r="49" spans="1:17" ht="15">
      <c r="A49" s="154" t="s">
        <v>99</v>
      </c>
      <c r="B49" s="334" t="s">
        <v>393</v>
      </c>
      <c r="C49" s="906"/>
      <c r="D49" s="139"/>
      <c r="E49" s="162">
        <f>SUM(C49:D49)</f>
        <v>0</v>
      </c>
      <c r="F49" s="885"/>
      <c r="G49" s="139"/>
      <c r="H49" s="162">
        <f>SUM(F49:G49)</f>
        <v>0</v>
      </c>
      <c r="I49" s="906"/>
      <c r="J49" s="139"/>
      <c r="K49" s="162">
        <f>SUM(I49:J49)</f>
        <v>0</v>
      </c>
      <c r="L49" s="906"/>
      <c r="M49" s="139"/>
      <c r="N49" s="162">
        <f>SUM(L49:M49)</f>
        <v>0</v>
      </c>
      <c r="O49" s="1126"/>
      <c r="P49" s="392"/>
      <c r="Q49" s="1120">
        <f>SUM(O49:P49)</f>
        <v>0</v>
      </c>
    </row>
    <row r="50" spans="1:17" ht="15.75" thickBot="1">
      <c r="A50" s="154" t="s">
        <v>100</v>
      </c>
      <c r="B50" s="334" t="s">
        <v>426</v>
      </c>
      <c r="C50" s="906">
        <v>116287</v>
      </c>
      <c r="D50" s="139"/>
      <c r="E50" s="162">
        <f>SUM(C50:D50)</f>
        <v>116287</v>
      </c>
      <c r="F50" s="885"/>
      <c r="G50" s="139"/>
      <c r="H50" s="162">
        <f>SUM(F50:G50)</f>
        <v>0</v>
      </c>
      <c r="I50" s="906"/>
      <c r="J50" s="139"/>
      <c r="K50" s="162">
        <f>SUM(I50:J50)</f>
        <v>0</v>
      </c>
      <c r="L50" s="906"/>
      <c r="M50" s="139"/>
      <c r="N50" s="162">
        <f>SUM(L50:M50)</f>
        <v>0</v>
      </c>
      <c r="O50" s="1126"/>
      <c r="P50" s="392"/>
      <c r="Q50" s="1120">
        <f>SUM(O50:P50)</f>
        <v>0</v>
      </c>
    </row>
    <row r="51" spans="1:17" s="15" customFormat="1" ht="16.5" thickBot="1">
      <c r="A51" s="313">
        <v>5</v>
      </c>
      <c r="B51" s="305" t="s">
        <v>178</v>
      </c>
      <c r="C51" s="347">
        <f>SUM(C48:C50)</f>
        <v>1252687</v>
      </c>
      <c r="D51" s="314">
        <f>SUM(D48:D50)</f>
        <v>930200</v>
      </c>
      <c r="E51" s="316">
        <f aca="true" t="shared" si="19" ref="E51:Q51">SUM(E48:E50)</f>
        <v>2182887</v>
      </c>
      <c r="F51" s="347">
        <f t="shared" si="19"/>
        <v>0</v>
      </c>
      <c r="G51" s="314">
        <f t="shared" si="19"/>
        <v>0</v>
      </c>
      <c r="H51" s="316">
        <f t="shared" si="19"/>
        <v>0</v>
      </c>
      <c r="I51" s="347">
        <f t="shared" si="19"/>
        <v>0</v>
      </c>
      <c r="J51" s="314">
        <f t="shared" si="19"/>
        <v>0</v>
      </c>
      <c r="K51" s="316">
        <f t="shared" si="19"/>
        <v>0</v>
      </c>
      <c r="L51" s="347">
        <f t="shared" si="19"/>
        <v>0</v>
      </c>
      <c r="M51" s="314">
        <f t="shared" si="19"/>
        <v>0</v>
      </c>
      <c r="N51" s="316">
        <f t="shared" si="19"/>
        <v>0</v>
      </c>
      <c r="O51" s="347">
        <f t="shared" si="19"/>
        <v>0</v>
      </c>
      <c r="P51" s="314">
        <f t="shared" si="19"/>
        <v>0</v>
      </c>
      <c r="Q51" s="320">
        <f t="shared" si="19"/>
        <v>0</v>
      </c>
    </row>
    <row r="52" spans="1:17" s="15" customFormat="1" ht="16.5" thickBot="1">
      <c r="A52" s="765">
        <v>6</v>
      </c>
      <c r="B52" s="766" t="s">
        <v>295</v>
      </c>
      <c r="C52" s="1078"/>
      <c r="D52" s="339"/>
      <c r="E52" s="332">
        <f>SUM(C52:D52)</f>
        <v>0</v>
      </c>
      <c r="F52" s="333"/>
      <c r="G52" s="339"/>
      <c r="H52" s="332">
        <f>SUM(F52:G52)</f>
        <v>0</v>
      </c>
      <c r="I52" s="1084"/>
      <c r="J52" s="339"/>
      <c r="K52" s="332">
        <f>SUM(I52:J52)</f>
        <v>0</v>
      </c>
      <c r="L52" s="1084"/>
      <c r="M52" s="339"/>
      <c r="N52" s="332">
        <f>SUM(L52:M52)</f>
        <v>0</v>
      </c>
      <c r="O52" s="1132"/>
      <c r="P52" s="759"/>
      <c r="Q52" s="1122">
        <f>SUM(O52:P52)</f>
        <v>0</v>
      </c>
    </row>
    <row r="53" spans="1:17" ht="15">
      <c r="A53" s="137" t="s">
        <v>98</v>
      </c>
      <c r="B53" s="138" t="s">
        <v>395</v>
      </c>
      <c r="C53" s="1079"/>
      <c r="D53" s="140"/>
      <c r="E53" s="195">
        <f>SUM(C53:D53)</f>
        <v>0</v>
      </c>
      <c r="F53" s="889"/>
      <c r="G53" s="140"/>
      <c r="H53" s="195">
        <f>SUM(F53:G53)</f>
        <v>0</v>
      </c>
      <c r="I53" s="1079"/>
      <c r="J53" s="140"/>
      <c r="K53" s="195">
        <f>SUM(I53:J53)</f>
        <v>0</v>
      </c>
      <c r="L53" s="1079"/>
      <c r="M53" s="140"/>
      <c r="N53" s="195">
        <f>SUM(L53:M53)</f>
        <v>0</v>
      </c>
      <c r="O53" s="1133"/>
      <c r="P53" s="401"/>
      <c r="Q53" s="1123">
        <f>SUM(O53:P53)</f>
        <v>0</v>
      </c>
    </row>
    <row r="54" spans="1:17" ht="15.75" thickBot="1">
      <c r="A54" s="335" t="s">
        <v>99</v>
      </c>
      <c r="B54" s="142" t="s">
        <v>396</v>
      </c>
      <c r="C54" s="1076"/>
      <c r="D54" s="321"/>
      <c r="E54" s="324">
        <f>SUM(C54:D54)</f>
        <v>0</v>
      </c>
      <c r="F54" s="157"/>
      <c r="G54" s="321"/>
      <c r="H54" s="324">
        <f>SUM(F54:G54)</f>
        <v>0</v>
      </c>
      <c r="I54" s="1076"/>
      <c r="J54" s="321"/>
      <c r="K54" s="324">
        <f>SUM(I54:J54)</f>
        <v>0</v>
      </c>
      <c r="L54" s="1076"/>
      <c r="M54" s="321"/>
      <c r="N54" s="324">
        <f>SUM(L54:M54)</f>
        <v>0</v>
      </c>
      <c r="O54" s="1130"/>
      <c r="P54" s="396"/>
      <c r="Q54" s="1118">
        <f>SUM(O54:P54)</f>
        <v>0</v>
      </c>
    </row>
    <row r="55" spans="1:17" s="15" customFormat="1" ht="17.25" customHeight="1" thickBot="1">
      <c r="A55" s="313">
        <v>7</v>
      </c>
      <c r="B55" s="305" t="s">
        <v>181</v>
      </c>
      <c r="C55" s="347">
        <f>SUM(C53:C54)</f>
        <v>0</v>
      </c>
      <c r="D55" s="314">
        <f aca="true" t="shared" si="20" ref="D55:Q55">SUM(D53:D54)</f>
        <v>0</v>
      </c>
      <c r="E55" s="316">
        <f t="shared" si="20"/>
        <v>0</v>
      </c>
      <c r="F55" s="347">
        <f t="shared" si="20"/>
        <v>0</v>
      </c>
      <c r="G55" s="314">
        <f t="shared" si="20"/>
        <v>0</v>
      </c>
      <c r="H55" s="316">
        <f t="shared" si="20"/>
        <v>0</v>
      </c>
      <c r="I55" s="347">
        <f t="shared" si="20"/>
        <v>0</v>
      </c>
      <c r="J55" s="314">
        <f t="shared" si="20"/>
        <v>0</v>
      </c>
      <c r="K55" s="316">
        <f t="shared" si="20"/>
        <v>0</v>
      </c>
      <c r="L55" s="347">
        <f t="shared" si="20"/>
        <v>0</v>
      </c>
      <c r="M55" s="314">
        <f t="shared" si="20"/>
        <v>0</v>
      </c>
      <c r="N55" s="316">
        <f t="shared" si="20"/>
        <v>0</v>
      </c>
      <c r="O55" s="1086">
        <f t="shared" si="20"/>
        <v>0</v>
      </c>
      <c r="P55" s="1088">
        <f t="shared" si="20"/>
        <v>0</v>
      </c>
      <c r="Q55" s="1090">
        <f t="shared" si="20"/>
        <v>0</v>
      </c>
    </row>
    <row r="56" spans="1:17" s="61" customFormat="1" ht="19.5" customHeight="1" thickBot="1">
      <c r="A56" s="716">
        <v>8</v>
      </c>
      <c r="B56" s="717" t="s">
        <v>46</v>
      </c>
      <c r="C56" s="1111">
        <f>C34-C40-C45-C46-C47-C51-C52-C55-C57-C58-C59</f>
        <v>4150757</v>
      </c>
      <c r="D56" s="1112">
        <f>D34-D40-D45-D46-D47-D51-D52-D55-D57-D58-D59</f>
        <v>-40196</v>
      </c>
      <c r="E56" s="1109">
        <f aca="true" t="shared" si="21" ref="E56:Q56">E34-E40-E45-E46-E47-E51-E52-E55-E57-E58-E59</f>
        <v>4110561</v>
      </c>
      <c r="F56" s="1111">
        <f t="shared" si="21"/>
        <v>0</v>
      </c>
      <c r="G56" s="1112">
        <f t="shared" si="21"/>
        <v>0</v>
      </c>
      <c r="H56" s="1109">
        <f t="shared" si="21"/>
        <v>0</v>
      </c>
      <c r="I56" s="1111">
        <f t="shared" si="21"/>
        <v>246876</v>
      </c>
      <c r="J56" s="1112">
        <f t="shared" si="21"/>
        <v>123063</v>
      </c>
      <c r="K56" s="1109">
        <f t="shared" si="21"/>
        <v>369939</v>
      </c>
      <c r="L56" s="1111">
        <f t="shared" si="21"/>
        <v>0</v>
      </c>
      <c r="M56" s="1112">
        <f t="shared" si="21"/>
        <v>0</v>
      </c>
      <c r="N56" s="1109">
        <f t="shared" si="21"/>
        <v>0</v>
      </c>
      <c r="O56" s="1134">
        <f t="shared" si="21"/>
        <v>14701</v>
      </c>
      <c r="P56" s="1136">
        <f t="shared" si="21"/>
        <v>0</v>
      </c>
      <c r="Q56" s="1124">
        <f t="shared" si="21"/>
        <v>14701</v>
      </c>
    </row>
    <row r="57" spans="1:17" s="15" customFormat="1" ht="15.75">
      <c r="A57" s="336" t="s">
        <v>398</v>
      </c>
      <c r="B57" s="337" t="s">
        <v>184</v>
      </c>
      <c r="C57" s="1081"/>
      <c r="D57" s="327"/>
      <c r="E57" s="1110">
        <f>SUM(C57:D57)</f>
        <v>0</v>
      </c>
      <c r="F57" s="890"/>
      <c r="G57" s="327"/>
      <c r="H57" s="1110">
        <f>SUM(F57:G57)</f>
        <v>0</v>
      </c>
      <c r="I57" s="1081"/>
      <c r="J57" s="327"/>
      <c r="K57" s="1110">
        <f>SUM(I57:J57)</f>
        <v>0</v>
      </c>
      <c r="L57" s="1081"/>
      <c r="M57" s="327"/>
      <c r="N57" s="1110">
        <f>SUM(L57:M57)</f>
        <v>0</v>
      </c>
      <c r="O57" s="1135"/>
      <c r="P57" s="404"/>
      <c r="Q57" s="1125">
        <f>SUM(O57:P57)</f>
        <v>0</v>
      </c>
    </row>
    <row r="58" spans="1:17" s="15" customFormat="1" ht="15.75">
      <c r="A58" s="336" t="s">
        <v>183</v>
      </c>
      <c r="B58" s="337" t="s">
        <v>397</v>
      </c>
      <c r="C58" s="326"/>
      <c r="D58" s="327"/>
      <c r="E58" s="402">
        <f>SUM(C58:D58)</f>
        <v>0</v>
      </c>
      <c r="F58" s="331"/>
      <c r="G58" s="327"/>
      <c r="H58" s="402">
        <f>SUM(F58:G58)</f>
        <v>0</v>
      </c>
      <c r="I58" s="1081"/>
      <c r="J58" s="327"/>
      <c r="K58" s="1110">
        <f>SUM(I58:J58)</f>
        <v>0</v>
      </c>
      <c r="L58" s="1081"/>
      <c r="M58" s="327"/>
      <c r="N58" s="1110">
        <f>SUM(L58:M58)</f>
        <v>0</v>
      </c>
      <c r="O58" s="1135"/>
      <c r="P58" s="404"/>
      <c r="Q58" s="1125">
        <f>SUM(O58:P58)</f>
        <v>0</v>
      </c>
    </row>
    <row r="59" spans="1:17" s="15" customFormat="1" ht="16.5" thickBot="1">
      <c r="A59" s="351">
        <v>10</v>
      </c>
      <c r="B59" s="352"/>
      <c r="C59" s="353"/>
      <c r="D59" s="354"/>
      <c r="E59" s="406">
        <f>SUM(C59:D59)</f>
        <v>0</v>
      </c>
      <c r="F59" s="356"/>
      <c r="G59" s="354"/>
      <c r="H59" s="407">
        <f>SUM(F59:G59)</f>
        <v>0</v>
      </c>
      <c r="I59" s="353"/>
      <c r="J59" s="354"/>
      <c r="K59" s="407">
        <f>SUM(I59:J59)</f>
        <v>0</v>
      </c>
      <c r="L59" s="353"/>
      <c r="M59" s="354"/>
      <c r="N59" s="407">
        <f>SUM(L59:M59)</f>
        <v>0</v>
      </c>
      <c r="O59" s="408"/>
      <c r="P59" s="409"/>
      <c r="Q59" s="410">
        <f>SUM(O59:P59)</f>
        <v>0</v>
      </c>
    </row>
    <row r="60" spans="1:17" s="32" customFormat="1" ht="17.25" thickBot="1" thickTop="1">
      <c r="A60" s="343" t="s">
        <v>109</v>
      </c>
      <c r="B60" s="345" t="s">
        <v>182</v>
      </c>
      <c r="C60" s="779">
        <f>C40+C45+C46+C47+C51+C52+C55+C56+C57+C58+C59</f>
        <v>5403544</v>
      </c>
      <c r="D60" s="780">
        <f aca="true" t="shared" si="22" ref="D60:Q60">D40+D45+D46+D47+D51+D52+D55+D56+D57+D58+D59</f>
        <v>890004</v>
      </c>
      <c r="E60" s="778">
        <f t="shared" si="22"/>
        <v>6293548</v>
      </c>
      <c r="F60" s="364">
        <f t="shared" si="22"/>
        <v>23970</v>
      </c>
      <c r="G60" s="344">
        <f t="shared" si="22"/>
        <v>0</v>
      </c>
      <c r="H60" s="778">
        <f t="shared" si="22"/>
        <v>23970</v>
      </c>
      <c r="I60" s="779">
        <f t="shared" si="22"/>
        <v>246876</v>
      </c>
      <c r="J60" s="780">
        <f t="shared" si="22"/>
        <v>123063</v>
      </c>
      <c r="K60" s="778">
        <f t="shared" si="22"/>
        <v>369939</v>
      </c>
      <c r="L60" s="364">
        <f t="shared" si="22"/>
        <v>0</v>
      </c>
      <c r="M60" s="344">
        <f t="shared" si="22"/>
        <v>0</v>
      </c>
      <c r="N60" s="778">
        <f t="shared" si="22"/>
        <v>0</v>
      </c>
      <c r="O60" s="364">
        <f t="shared" si="22"/>
        <v>14701</v>
      </c>
      <c r="P60" s="344">
        <f t="shared" si="22"/>
        <v>0</v>
      </c>
      <c r="Q60" s="374">
        <f t="shared" si="22"/>
        <v>14701</v>
      </c>
    </row>
    <row r="61" spans="1:17" ht="13.5" customHeight="1" thickBot="1" thickTop="1">
      <c r="A61" s="16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411"/>
      <c r="P61" s="411"/>
      <c r="Q61" s="411"/>
    </row>
    <row r="62" spans="1:17" ht="16.5" thickBot="1" thickTop="1">
      <c r="A62" s="167"/>
      <c r="B62" s="168" t="s">
        <v>579</v>
      </c>
      <c r="C62" s="196">
        <v>0</v>
      </c>
      <c r="D62" s="197"/>
      <c r="E62" s="937">
        <v>0</v>
      </c>
      <c r="F62" s="938"/>
      <c r="G62" s="412"/>
      <c r="H62" s="413">
        <f>SUM(F62:G62)</f>
        <v>0</v>
      </c>
      <c r="I62" s="938"/>
      <c r="J62" s="412"/>
      <c r="K62" s="413">
        <f>SUM(I62:J62)</f>
        <v>0</v>
      </c>
      <c r="L62" s="196"/>
      <c r="M62" s="412"/>
      <c r="N62" s="413">
        <f>SUM(L62:M62)</f>
        <v>0</v>
      </c>
      <c r="O62" s="415"/>
      <c r="P62" s="939"/>
      <c r="Q62" s="417">
        <f>SUM(O62:P62)</f>
        <v>0</v>
      </c>
    </row>
    <row r="63" spans="1:17" ht="16.5" thickBot="1" thickTop="1">
      <c r="A63" s="167"/>
      <c r="B63" s="168" t="s">
        <v>580</v>
      </c>
      <c r="C63" s="196"/>
      <c r="D63" s="197"/>
      <c r="E63" s="937">
        <v>0</v>
      </c>
      <c r="F63" s="938">
        <v>15</v>
      </c>
      <c r="G63" s="412"/>
      <c r="H63" s="413">
        <f>SUM(F63:G63)</f>
        <v>15</v>
      </c>
      <c r="I63" s="938"/>
      <c r="J63" s="412"/>
      <c r="K63" s="413">
        <f>SUM(I63:J63)</f>
        <v>0</v>
      </c>
      <c r="L63" s="196"/>
      <c r="M63" s="412"/>
      <c r="N63" s="413">
        <f>SUM(L63:M63)</f>
        <v>0</v>
      </c>
      <c r="O63" s="415"/>
      <c r="P63" s="939"/>
      <c r="Q63" s="417">
        <f>SUM(O63:P63)</f>
        <v>0</v>
      </c>
    </row>
    <row r="64" ht="16.5" thickTop="1">
      <c r="A64" s="418"/>
    </row>
    <row r="65" ht="15.75">
      <c r="A65" s="418"/>
    </row>
  </sheetData>
  <sheetProtection/>
  <mergeCells count="7">
    <mergeCell ref="A4:Q4"/>
    <mergeCell ref="A5:Q5"/>
    <mergeCell ref="C7:E7"/>
    <mergeCell ref="F7:H7"/>
    <mergeCell ref="I7:K7"/>
    <mergeCell ref="L7:N7"/>
    <mergeCell ref="O7:Q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XXII. ker. Önkormányzat</dc:creator>
  <cp:keywords/>
  <dc:description/>
  <cp:lastModifiedBy>Kisfaludi Emese</cp:lastModifiedBy>
  <cp:lastPrinted>2019-11-29T08:37:00Z</cp:lastPrinted>
  <dcterms:created xsi:type="dcterms:W3CDTF">2001-11-27T10:09:29Z</dcterms:created>
  <dcterms:modified xsi:type="dcterms:W3CDTF">2019-12-04T12:10:18Z</dcterms:modified>
  <cp:category/>
  <cp:version/>
  <cp:contentType/>
  <cp:contentStatus/>
</cp:coreProperties>
</file>