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ellátottak jutt." sheetId="8" r:id="rId8"/>
    <sheet name="8.mell. - beruházások" sheetId="9" r:id="rId9"/>
    <sheet name="9.mell. - közgazd.mérleg" sheetId="10" r:id="rId10"/>
    <sheet name="10.mell. -ei.felh.ütemt." sheetId="11" r:id="rId11"/>
    <sheet name="11.mell." sheetId="12" r:id="rId12"/>
  </sheets>
  <definedNames>
    <definedName name="_xlnm.Print_Titles" localSheetId="2">'2.mell - bevétel'!$11:$13</definedName>
    <definedName name="_xlnm.Print_Area" localSheetId="2">'2.mell - bevétel'!$A$3:$I$121</definedName>
  </definedNames>
  <calcPr fullCalcOnLoad="1"/>
</workbook>
</file>

<file path=xl/sharedStrings.xml><?xml version="1.0" encoding="utf-8"?>
<sst xmlns="http://schemas.openxmlformats.org/spreadsheetml/2006/main" count="889" uniqueCount="508">
  <si>
    <t>Megnevezés</t>
  </si>
  <si>
    <t>Ft</t>
  </si>
  <si>
    <t>Összesen:</t>
  </si>
  <si>
    <t>létszám</t>
  </si>
  <si>
    <t>Sitke község Önkormányzata</t>
  </si>
  <si>
    <t>e Ft</t>
  </si>
  <si>
    <t>állandó</t>
  </si>
  <si>
    <t>juttatások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</si>
  <si>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</si>
  <si>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</si>
  <si>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</si>
  <si>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</si>
  <si>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</si>
  <si>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</si>
  <si>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</si>
  <si>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</si>
  <si>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</si>
  <si>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</si>
  <si>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</si>
  <si>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</si>
  <si>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</si>
  <si>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</si>
  <si>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</si>
  <si>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</si>
  <si>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</si>
  <si>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</si>
  <si>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</si>
  <si>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</si>
  <si>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</si>
  <si>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</si>
  <si>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</si>
  <si>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</si>
  <si>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</si>
  <si>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</si>
  <si>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</si>
  <si>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</si>
  <si>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</si>
  <si>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</si>
  <si>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</si>
  <si>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</si>
  <si>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</si>
  <si>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</si>
  <si>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</si>
  <si>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</si>
  <si>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</si>
  <si>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</si>
  <si>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</si>
  <si>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</si>
  <si>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</si>
  <si>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</si>
  <si>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</si>
  <si>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</si>
  <si>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</si>
  <si>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</si>
  <si>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</si>
  <si>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</si>
  <si>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</si>
  <si>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</si>
  <si>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</si>
  <si>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</si>
  <si>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</si>
  <si>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</si>
  <si>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</si>
  <si>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</si>
  <si>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</si>
  <si>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</si>
  <si>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</si>
  <si>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</si>
  <si>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</si>
  <si>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</si>
  <si>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</si>
  <si>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</si>
  <si>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</si>
  <si>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</si>
  <si>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</si>
  <si>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</si>
  <si>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</si>
  <si>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</si>
  <si>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</si>
  <si>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</si>
  <si>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</si>
  <si>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</si>
  <si>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</si>
  <si>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</si>
  <si>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</si>
  <si>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</si>
  <si>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</si>
  <si>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</si>
  <si>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</si>
  <si>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</si>
  <si>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</si>
  <si>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</si>
  <si>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</si>
  <si>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</si>
  <si>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</si>
  <si>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</si>
  <si>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</si>
  <si>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</si>
  <si>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</si>
  <si>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</si>
  <si>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</si>
  <si>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</si>
  <si>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</si>
  <si>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</si>
  <si>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</si>
  <si>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</si>
  <si>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</si>
  <si>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</si>
  <si>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</si>
  <si>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</si>
  <si>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</si>
  <si>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</si>
  <si>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</si>
  <si>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</si>
  <si>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</si>
  <si>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</si>
  <si>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</si>
  <si>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</si>
  <si>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</si>
  <si>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</si>
  <si>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</si>
  <si>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</si>
  <si>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</si>
  <si>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</si>
  <si>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</si>
  <si>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</si>
  <si>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</si>
  <si>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</si>
  <si>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</si>
  <si>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</si>
  <si>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</si>
  <si>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</si>
  <si>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</si>
  <si>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</si>
  <si>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</si>
  <si>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</si>
  <si>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</si>
  <si>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</si>
  <si>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</si>
  <si>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</si>
  <si>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</si>
  <si>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</si>
  <si>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</si>
  <si>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</si>
  <si>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</si>
  <si>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</si>
  <si>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</si>
  <si>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</si>
  <si>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</si>
  <si>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</si>
  <si>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</si>
  <si>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</si>
  <si>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</si>
  <si>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</si>
  <si>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</si>
  <si>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</si>
  <si>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</si>
  <si>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</si>
  <si>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</si>
  <si>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</si>
  <si>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</si>
  <si>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</si>
  <si>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</si>
  <si>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</si>
  <si>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</si>
  <si>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</si>
  <si>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</si>
  <si>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</si>
  <si>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</si>
  <si>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</si>
  <si>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</si>
  <si>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</si>
  <si>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</si>
  <si>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</si>
  <si>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</si>
  <si>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</si>
  <si>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</si>
  <si>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</si>
  <si>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</si>
  <si>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</si>
  <si>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</si>
  <si>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</si>
  <si>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</si>
  <si>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</si>
  <si>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</si>
  <si>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</si>
  <si>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</si>
  <si>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</si>
  <si>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</si>
  <si>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</si>
  <si>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</si>
  <si>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</si>
  <si>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</si>
  <si>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</si>
  <si>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</si>
  <si>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</si>
  <si>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</si>
  <si>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</si>
  <si>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</si>
  <si>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</si>
  <si>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</si>
  <si>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</si>
  <si>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</si>
  <si>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</si>
  <si>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</si>
  <si>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</si>
  <si>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</si>
  <si>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</si>
  <si>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</si>
  <si>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</si>
  <si>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</si>
  <si>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</si>
  <si>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</si>
  <si>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</si>
  <si>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</si>
  <si>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</si>
  <si>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</si>
  <si>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</si>
  <si>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</si>
  <si>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</si>
  <si>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</si>
  <si>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</si>
  <si>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</si>
  <si>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</si>
  <si>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</si>
  <si>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</si>
  <si>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</si>
  <si>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</si>
  <si>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</si>
  <si>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</si>
  <si>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</si>
  <si>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</si>
  <si>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</si>
  <si>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</si>
  <si>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</si>
  <si>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</si>
  <si>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</si>
  <si>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</si>
  <si>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</si>
  <si>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</si>
  <si>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</si>
  <si>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</si>
  <si>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</si>
  <si>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</si>
  <si>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</si>
  <si>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</si>
  <si>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</si>
  <si>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</si>
  <si>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</si>
  <si>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</si>
  <si>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</si>
  <si>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</si>
  <si>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</si>
  <si>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</si>
  <si>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</si>
  <si>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</si>
  <si>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</si>
  <si>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</si>
  <si>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</si>
  <si>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</si>
  <si>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</si>
  <si>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</si>
  <si>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</si>
  <si>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</si>
  <si>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</si>
  <si>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</si>
  <si>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</si>
  <si>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</si>
  <si>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</si>
  <si>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</si>
  <si>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</si>
  <si>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</si>
  <si>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</si>
  <si>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</si>
  <si>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</si>
  <si>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</si>
  <si>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</si>
  <si>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</si>
  <si>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</si>
  <si>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</si>
  <si>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</si>
  <si>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</si>
  <si>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</si>
  <si>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</si>
  <si>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</si>
  <si>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</si>
  <si>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</si>
  <si>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</si>
  <si>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</si>
  <si>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</si>
  <si>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</si>
  <si>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</si>
  <si>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</si>
  <si>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</si>
  <si>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</si>
  <si>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</si>
  <si>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</si>
  <si>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</si>
  <si>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</si>
  <si>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</si>
  <si>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</si>
  <si>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</si>
  <si>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</si>
  <si>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</si>
  <si>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</si>
  <si>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</si>
  <si>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</si>
  <si>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</si>
  <si>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</si>
  <si>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</si>
  <si>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</si>
  <si>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</si>
  <si>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</si>
  <si>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</si>
  <si>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</si>
  <si>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</si>
  <si>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</si>
  <si>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</si>
  <si>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</si>
  <si>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</si>
  <si>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</si>
  <si>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</si>
  <si>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</si>
  <si>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</si>
  <si>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</si>
  <si>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</si>
  <si>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</si>
  <si>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</si>
  <si>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</si>
  <si>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</si>
  <si>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</si>
  <si>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</si>
  <si>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</si>
  <si>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</si>
  <si>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</si>
  <si>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</si>
  <si>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</si>
  <si>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</si>
  <si>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</si>
  <si>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</si>
  <si>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</si>
  <si>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</si>
  <si>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</si>
  <si>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</si>
  <si>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</si>
  <si>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</si>
  <si>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</si>
  <si>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</si>
  <si>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</si>
  <si>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</si>
  <si>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</si>
  <si>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</si>
  <si>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</si>
  <si>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</si>
  <si>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</si>
  <si>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</si>
  <si>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</si>
  <si>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</si>
  <si>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</si>
  <si>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</si>
  <si>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</si>
  <si>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</si>
  <si>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</si>
  <si>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</si>
  <si>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</si>
  <si>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</si>
  <si>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</si>
  <si>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</si>
  <si>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</si>
  <si>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</si>
  <si>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</si>
  <si>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</si>
  <si>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</si>
  <si>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</si>
  <si>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</si>
  <si>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</si>
  <si>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</si>
  <si>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</si>
  <si>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</si>
  <si>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</si>
  <si>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</si>
  <si>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</si>
  <si>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</si>
  <si>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</si>
  <si>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</si>
  <si>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</si>
  <si>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</si>
  <si>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</si>
  <si>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</si>
  <si>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</si>
  <si>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</si>
  <si>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</si>
  <si>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</si>
  <si>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</si>
  <si>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</si>
  <si>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</si>
  <si>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</si>
  <si>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</si>
  <si>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</si>
  <si>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</si>
  <si>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</si>
  <si>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2018. év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</si>
  <si>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</si>
  <si>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</si>
  <si>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</si>
  <si>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</si>
  <si>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</si>
  <si>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</si>
  <si>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</si>
  <si>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</si>
  <si>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</si>
  <si>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</si>
  <si>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</si>
  <si>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</si>
  <si>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</si>
  <si>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</si>
  <si>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</si>
  <si>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</si>
  <si>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</si>
  <si>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</si>
  <si>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</si>
  <si>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</si>
  <si>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</si>
  <si>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</si>
  <si>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</si>
  <si>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</si>
  <si>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</si>
  <si>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</si>
  <si>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</si>
  <si>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</si>
  <si>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</si>
  <si>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</si>
  <si>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</si>
  <si>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</si>
  <si>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</si>
  <si>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</si>
  <si>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</si>
  <si>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</si>
  <si>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</si>
  <si>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</si>
  <si>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</si>
  <si>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</si>
  <si>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</si>
  <si>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2019.év</t>
  </si>
  <si>
    <t>066020 Város - és községgazdálkodási egyéb szolgáltatások</t>
  </si>
  <si>
    <t>Műfüves pálya létesítéséhez önerő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</si>
  <si>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</si>
  <si>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</si>
  <si>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</si>
  <si>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</si>
  <si>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</si>
  <si>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időskorúak támogatása</t>
  </si>
  <si>
    <t>Rendszeres gyermekvédelmi kedvezményben részesülők  támogatása</t>
  </si>
  <si>
    <t>1.sz. módosítása</t>
  </si>
  <si>
    <t xml:space="preserve">3. </t>
  </si>
  <si>
    <t>előző év költségvetési maradvány igénybevétele</t>
  </si>
  <si>
    <t>3. melléklet  a  2/2019. (II.12.) önkormányzati rendelethez</t>
  </si>
  <si>
    <t>2. melléklet  a  2/2019. (II.12.) önkormányzati rendelethez</t>
  </si>
  <si>
    <t>1. melléklet  a  2/2019. (II.12.) önkormányzati rendelethez</t>
  </si>
  <si>
    <t>4. melléklet  a  2/2019. (II.12.) önkormányzati rendelethez</t>
  </si>
  <si>
    <t>Első lakáshoz jutók lakásépítésének és -vásárlásnak viszzatérítendő támogatása</t>
  </si>
  <si>
    <t xml:space="preserve">ELŐZŐ ÉVEK KÖLTSÉGVETÉSI MARADVÁNY IGÉNYBEVÉTELE </t>
  </si>
  <si>
    <t>Közfoglalkoztatottak támogatása</t>
  </si>
  <si>
    <t xml:space="preserve"> egyéb működési és felhalmozási kiadásai</t>
  </si>
  <si>
    <t>2019.évre</t>
  </si>
  <si>
    <t>tervezett előirányzat</t>
  </si>
  <si>
    <t>EGYÉB MŰKÖDÉSI KIADÁSOK</t>
  </si>
  <si>
    <t>EGYÉB MŰKÖDÉSI CÉLÚ TÁMOGATÁSOK ÁLLAMHÁZTARTÁSON BELÜLRE</t>
  </si>
  <si>
    <t xml:space="preserve">Sághegy Leader tagdíj </t>
  </si>
  <si>
    <t>Kistérségi tagsági díj</t>
  </si>
  <si>
    <t>Bursa Hungarica ösztöndíj pályázat  támogatása</t>
  </si>
  <si>
    <t>Házi segítség nyújtás ellátására Sárvár Város Önkormányzattal kötött szerződés alapján fizetendő támogatás</t>
  </si>
  <si>
    <t>EGYÉB MŰKÖDÉSI CÉLÚ TÁMOGATÁSOK ÁLLAMHÁZTARTÁSON BELÜLRE ÖSSZESEN:</t>
  </si>
  <si>
    <t>EGYÉB MŰKÖDÉSI CÉLÚ TÁMOGATÁSOK ÁLLAMHÁZTARTÁSON KÍVÜLRE</t>
  </si>
  <si>
    <t>Citerazenekar támogatása</t>
  </si>
  <si>
    <t>Hímzőszakkör támogatása (2018-2019.)</t>
  </si>
  <si>
    <t>Nyugdíjas Klub ( előző évről 130.000 Ft)</t>
  </si>
  <si>
    <t xml:space="preserve">Tekeszakosztály </t>
  </si>
  <si>
    <t>Labdarugó Szakosztály támogatása</t>
  </si>
  <si>
    <t>Arany János tehetséggondozó programban résztvevő támogatása</t>
  </si>
  <si>
    <t>EGYÉB MŰKÖDÉSI CÉLÚ TÁMOGATÁSOK ÁLLAMHÁZTARTÁSON KÍVÜLRE ÖSSZESEN:</t>
  </si>
  <si>
    <t>TARTALÉKOK</t>
  </si>
  <si>
    <t>Emléktábla készítése szoborra</t>
  </si>
  <si>
    <t>082044 Könyvtári szolgáltatások</t>
  </si>
  <si>
    <t xml:space="preserve"> 013350 Önkormányzati vagyonnal való gazdálkodással kapcsolatos feladatok</t>
  </si>
  <si>
    <t>5.1.</t>
  </si>
  <si>
    <t>Telek visszavsárlása</t>
  </si>
  <si>
    <t>EGYÉB MŰKÖDÉSI KIADÁSOK ÖSSZESEN:</t>
  </si>
  <si>
    <t>2018. évi állami támogatások elszámolás utáni visszafizetési kötelezettség</t>
  </si>
  <si>
    <t>felhalmozási célú támogatások államháztartáson belülről</t>
  </si>
  <si>
    <t>5. melléklet  a 2/2019. (II.12. ) önkormányzati rendelethez</t>
  </si>
  <si>
    <t>6. melléklet  a  2/2019. (II.12.) önkormányzati rendelethez</t>
  </si>
  <si>
    <t>7. melléklet  a  2/2019. (II.12.) önkormányzati rendelethez</t>
  </si>
  <si>
    <t>8. melléklet a 2/2019. (II.12.) önkormányzati rendelethez</t>
  </si>
  <si>
    <t>10. melléklet a 2/2019. (II.12.) önkormányzati rendelethez</t>
  </si>
  <si>
    <t>11. melléklet a 2/2019. (II.12.) önkormányzati rendelethez</t>
  </si>
  <si>
    <t xml:space="preserve"> 17. melléklet a 2/2019. (II.12.) önkormányzati rendelethez </t>
  </si>
  <si>
    <t xml:space="preserve"> 11. melléklet a 5/2019. (V.28.) önkormányzati rendelethez </t>
  </si>
  <si>
    <t xml:space="preserve">10. melléklet a 5/2019. (V.28.) önkormányzati rendelethez </t>
  </si>
  <si>
    <t xml:space="preserve">9. melléklet a 5/2019. (V.28.) önkormányzati rendelethez </t>
  </si>
  <si>
    <t xml:space="preserve">8. melléklet a 5/2019. (V.28.) önkormányzati rendelethez </t>
  </si>
  <si>
    <t xml:space="preserve">7. melléklet a 5/2019. (V.28.) önkormányzati rendelethez </t>
  </si>
  <si>
    <t xml:space="preserve">6. melléklet a 5/2019. (V.28.) önkormányzati rendelethez </t>
  </si>
  <si>
    <t xml:space="preserve">5. melléklet a 5/2019. (V.28.) önkormányzati rendelethez </t>
  </si>
  <si>
    <t xml:space="preserve">4. melléklet a 5/2019. (V.28.) önkormányzati rendelethez </t>
  </si>
  <si>
    <t xml:space="preserve">3. melléklet a 5/2019. (V.28.) önkormányzati rendelethez </t>
  </si>
  <si>
    <t xml:space="preserve">2. melléklet a 5/2019. (V.28.) önkormányzati rendelethez </t>
  </si>
  <si>
    <t xml:space="preserve">1. melléklet a 5/2019. (V.28.)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</si>
</sst>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6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4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6" xfId="56" applyFont="1" applyBorder="1" applyAlignment="1">
      <alignment horizontal="left"/>
      <protection/>
    </xf>
    <xf numFmtId="0" fontId="12" fillId="0" borderId="16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7" xfId="58" applyFont="1" applyBorder="1" applyAlignment="1">
      <alignment horizontal="left" wrapText="1"/>
      <protection/>
    </xf>
    <xf numFmtId="0" fontId="11" fillId="0" borderId="18" xfId="58" applyFont="1" applyBorder="1" applyAlignment="1" quotePrefix="1">
      <alignment horizontal="center" vertical="center" wrapText="1"/>
      <protection/>
    </xf>
    <xf numFmtId="0" fontId="11" fillId="0" borderId="19" xfId="59" applyFont="1" applyBorder="1">
      <alignment/>
      <protection/>
    </xf>
    <xf numFmtId="0" fontId="11" fillId="0" borderId="17" xfId="59" applyFont="1" applyBorder="1">
      <alignment/>
      <protection/>
    </xf>
    <xf numFmtId="0" fontId="11" fillId="0" borderId="20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20" xfId="56" applyFont="1" applyBorder="1" applyAlignment="1">
      <alignment horizontal="right"/>
      <protection/>
    </xf>
    <xf numFmtId="0" fontId="12" fillId="0" borderId="20" xfId="56" applyFont="1" applyBorder="1" applyAlignment="1">
      <alignment/>
      <protection/>
    </xf>
    <xf numFmtId="168" fontId="12" fillId="0" borderId="20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21" xfId="56" applyFont="1" applyBorder="1" applyAlignment="1">
      <alignment horizontal="right"/>
      <protection/>
    </xf>
    <xf numFmtId="0" fontId="6" fillId="0" borderId="21" xfId="56" applyFont="1" applyBorder="1">
      <alignment/>
      <protection/>
    </xf>
    <xf numFmtId="168" fontId="6" fillId="0" borderId="21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20" xfId="0" applyFont="1" applyBorder="1" applyAlignment="1">
      <alignment/>
    </xf>
    <xf numFmtId="168" fontId="6" fillId="0" borderId="20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21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0" fillId="0" borderId="2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24" xfId="40" applyNumberFormat="1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1" xfId="58" applyFont="1" applyBorder="1">
      <alignment/>
      <protection/>
    </xf>
    <xf numFmtId="0" fontId="19" fillId="0" borderId="0" xfId="58" applyFont="1">
      <alignment/>
      <protection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59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12" fillId="0" borderId="27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168" fontId="12" fillId="0" borderId="20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0" fontId="12" fillId="0" borderId="20" xfId="0" applyFont="1" applyBorder="1" applyAlignment="1">
      <alignment/>
    </xf>
    <xf numFmtId="168" fontId="12" fillId="0" borderId="20" xfId="40" applyNumberFormat="1" applyFont="1" applyBorder="1" applyAlignment="1">
      <alignment/>
    </xf>
    <xf numFmtId="168" fontId="26" fillId="0" borderId="20" xfId="40" applyNumberFormat="1" applyFont="1" applyFill="1" applyBorder="1" applyAlignment="1">
      <alignment/>
    </xf>
    <xf numFmtId="168" fontId="26" fillId="0" borderId="34" xfId="40" applyNumberFormat="1" applyFont="1" applyFill="1" applyBorder="1" applyAlignment="1">
      <alignment/>
    </xf>
    <xf numFmtId="168" fontId="12" fillId="0" borderId="20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21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20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14" fontId="17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168" fontId="12" fillId="0" borderId="0" xfId="59" applyNumberFormat="1" applyFont="1" applyBorder="1" applyAlignment="1">
      <alignment horizontal="right"/>
      <protection/>
    </xf>
    <xf numFmtId="168" fontId="12" fillId="0" borderId="43" xfId="59" applyNumberFormat="1" applyFont="1" applyBorder="1" applyAlignment="1">
      <alignment horizontal="right"/>
      <protection/>
    </xf>
    <xf numFmtId="168" fontId="12" fillId="0" borderId="43" xfId="40" applyNumberFormat="1" applyFont="1" applyBorder="1" applyAlignment="1">
      <alignment horizontal="right"/>
    </xf>
    <xf numFmtId="0" fontId="6" fillId="0" borderId="0" xfId="56" applyFont="1" applyBorder="1" applyAlignment="1">
      <alignment horizontal="center"/>
      <protection/>
    </xf>
    <xf numFmtId="0" fontId="6" fillId="0" borderId="44" xfId="56" applyFont="1" applyBorder="1">
      <alignment/>
      <protection/>
    </xf>
    <xf numFmtId="0" fontId="6" fillId="0" borderId="44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2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5" fillId="0" borderId="0" xfId="56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11" fillId="0" borderId="47" xfId="58" applyFont="1" applyBorder="1" applyAlignment="1" quotePrefix="1">
      <alignment horizontal="center" vertical="center" wrapText="1"/>
      <protection/>
    </xf>
    <xf numFmtId="0" fontId="4" fillId="0" borderId="18" xfId="0" applyFont="1" applyBorder="1" applyAlignment="1">
      <alignment/>
    </xf>
    <xf numFmtId="168" fontId="20" fillId="0" borderId="48" xfId="40" applyNumberFormat="1" applyFont="1" applyBorder="1" applyAlignment="1">
      <alignment horizontal="center" vertical="center"/>
    </xf>
    <xf numFmtId="168" fontId="20" fillId="0" borderId="11" xfId="40" applyNumberFormat="1" applyFont="1" applyBorder="1" applyAlignment="1">
      <alignment horizontal="center" vertical="center"/>
    </xf>
    <xf numFmtId="168" fontId="20" fillId="0" borderId="11" xfId="4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3" fontId="11" fillId="0" borderId="19" xfId="58" applyNumberFormat="1" applyFont="1" applyBorder="1" applyAlignment="1">
      <alignment horizontal="right"/>
      <protection/>
    </xf>
    <xf numFmtId="3" fontId="11" fillId="0" borderId="20" xfId="58" applyNumberFormat="1" applyFont="1" applyBorder="1" applyAlignment="1">
      <alignment horizontal="right"/>
      <protection/>
    </xf>
    <xf numFmtId="3" fontId="19" fillId="0" borderId="20" xfId="58" applyNumberFormat="1" applyFont="1" applyBorder="1">
      <alignment/>
      <protection/>
    </xf>
    <xf numFmtId="3" fontId="11" fillId="0" borderId="20" xfId="58" applyNumberFormat="1" applyFont="1" applyBorder="1">
      <alignment/>
      <protection/>
    </xf>
    <xf numFmtId="3" fontId="19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4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50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1" xfId="59" applyFont="1" applyBorder="1">
      <alignment/>
      <protection/>
    </xf>
    <xf numFmtId="0" fontId="12" fillId="0" borderId="0" xfId="56" applyFont="1" applyBorder="1">
      <alignment/>
      <protection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52" xfId="58" applyFont="1" applyBorder="1" applyAlignment="1" quotePrefix="1">
      <alignment horizontal="center" vertical="center" wrapText="1"/>
      <protection/>
    </xf>
    <xf numFmtId="0" fontId="11" fillId="0" borderId="51" xfId="58" applyFont="1" applyBorder="1" applyAlignment="1">
      <alignment horizontal="left" wrapText="1"/>
      <protection/>
    </xf>
    <xf numFmtId="168" fontId="4" fillId="0" borderId="41" xfId="40" applyNumberFormat="1" applyFont="1" applyBorder="1" applyAlignment="1">
      <alignment/>
    </xf>
    <xf numFmtId="168" fontId="4" fillId="0" borderId="53" xfId="40" applyNumberFormat="1" applyFont="1" applyBorder="1" applyAlignment="1">
      <alignment/>
    </xf>
    <xf numFmtId="0" fontId="11" fillId="0" borderId="24" xfId="58" applyFont="1" applyBorder="1" applyAlignment="1">
      <alignment horizontal="right"/>
      <protection/>
    </xf>
    <xf numFmtId="0" fontId="4" fillId="0" borderId="54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7" xfId="40" applyNumberFormat="1" applyFont="1" applyBorder="1" applyAlignment="1">
      <alignment/>
    </xf>
    <xf numFmtId="168" fontId="4" fillId="0" borderId="57" xfId="58" applyNumberFormat="1" applyFont="1" applyBorder="1" applyAlignment="1">
      <alignment/>
      <protection/>
    </xf>
    <xf numFmtId="168" fontId="4" fillId="0" borderId="57" xfId="58" applyNumberFormat="1" applyFont="1" applyBorder="1" applyAlignment="1">
      <alignment horizontal="right"/>
      <protection/>
    </xf>
    <xf numFmtId="168" fontId="7" fillId="0" borderId="21" xfId="40" applyNumberFormat="1" applyFont="1" applyBorder="1" applyAlignment="1">
      <alignment/>
    </xf>
    <xf numFmtId="168" fontId="7" fillId="0" borderId="49" xfId="40" applyNumberFormat="1" applyFont="1" applyBorder="1" applyAlignment="1">
      <alignment/>
    </xf>
    <xf numFmtId="168" fontId="7" fillId="0" borderId="18" xfId="40" applyNumberFormat="1" applyFont="1" applyBorder="1" applyAlignment="1">
      <alignment/>
    </xf>
    <xf numFmtId="0" fontId="6" fillId="0" borderId="20" xfId="56" applyFont="1" applyBorder="1" applyAlignment="1">
      <alignment horizontal="right"/>
      <protection/>
    </xf>
    <xf numFmtId="0" fontId="6" fillId="0" borderId="20" xfId="56" applyFont="1" applyBorder="1" applyAlignment="1">
      <alignment/>
      <protection/>
    </xf>
    <xf numFmtId="0" fontId="6" fillId="0" borderId="21" xfId="57" applyFont="1" applyBorder="1" applyAlignment="1">
      <alignment vertical="center"/>
      <protection/>
    </xf>
    <xf numFmtId="168" fontId="6" fillId="0" borderId="21" xfId="57" applyNumberFormat="1" applyFont="1" applyBorder="1" applyAlignment="1">
      <alignment vertical="center"/>
      <protection/>
    </xf>
    <xf numFmtId="0" fontId="15" fillId="0" borderId="0" xfId="58" applyFont="1">
      <alignment/>
      <protection/>
    </xf>
    <xf numFmtId="0" fontId="29" fillId="0" borderId="0" xfId="58" applyFont="1" applyBorder="1" applyAlignment="1">
      <alignment horizontal="left" wrapText="1"/>
      <protection/>
    </xf>
    <xf numFmtId="0" fontId="29" fillId="0" borderId="0" xfId="58" applyFont="1" applyBorder="1" applyAlignment="1" quotePrefix="1">
      <alignment horizontal="left" wrapText="1"/>
      <protection/>
    </xf>
    <xf numFmtId="0" fontId="12" fillId="0" borderId="0" xfId="58" applyFont="1" applyBorder="1" applyAlignment="1" quotePrefix="1">
      <alignment horizontal="left" wrapText="1"/>
      <protection/>
    </xf>
    <xf numFmtId="0" fontId="11" fillId="0" borderId="58" xfId="58" applyFont="1" applyBorder="1" applyAlignment="1" quotePrefix="1">
      <alignment horizontal="center" vertical="center" wrapText="1"/>
      <protection/>
    </xf>
    <xf numFmtId="0" fontId="10" fillId="0" borderId="51" xfId="58" applyFont="1" applyBorder="1">
      <alignment/>
      <protection/>
    </xf>
    <xf numFmtId="0" fontId="11" fillId="0" borderId="20" xfId="59" applyFont="1" applyBorder="1">
      <alignment/>
      <protection/>
    </xf>
    <xf numFmtId="49" fontId="11" fillId="0" borderId="0" xfId="58" applyNumberFormat="1" applyFont="1">
      <alignment/>
      <protection/>
    </xf>
    <xf numFmtId="49" fontId="10" fillId="0" borderId="0" xfId="58" applyNumberFormat="1" applyFont="1">
      <alignment/>
      <protection/>
    </xf>
    <xf numFmtId="49" fontId="14" fillId="0" borderId="0" xfId="58" applyNumberFormat="1" applyFont="1">
      <alignment/>
      <protection/>
    </xf>
    <xf numFmtId="49" fontId="12" fillId="0" borderId="0" xfId="59" applyNumberFormat="1" applyFont="1">
      <alignment/>
      <protection/>
    </xf>
    <xf numFmtId="4" fontId="11" fillId="0" borderId="50" xfId="59" applyNumberFormat="1" applyFont="1" applyBorder="1">
      <alignment/>
      <protection/>
    </xf>
    <xf numFmtId="4" fontId="11" fillId="0" borderId="22" xfId="59" applyNumberFormat="1" applyFont="1" applyBorder="1">
      <alignment/>
      <protection/>
    </xf>
    <xf numFmtId="4" fontId="11" fillId="0" borderId="59" xfId="59" applyNumberFormat="1" applyFont="1" applyBorder="1">
      <alignment/>
      <protection/>
    </xf>
    <xf numFmtId="4" fontId="11" fillId="0" borderId="20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21" xfId="59" applyNumberFormat="1" applyFont="1" applyBorder="1">
      <alignment/>
      <protection/>
    </xf>
    <xf numFmtId="3" fontId="67" fillId="0" borderId="0" xfId="56" applyNumberFormat="1" applyFont="1" applyAlignment="1">
      <alignment horizontal="right"/>
      <protection/>
    </xf>
    <xf numFmtId="3" fontId="11" fillId="0" borderId="57" xfId="58" applyNumberFormat="1" applyFont="1" applyBorder="1" applyAlignment="1">
      <alignment horizontal="right"/>
      <protection/>
    </xf>
    <xf numFmtId="3" fontId="10" fillId="0" borderId="20" xfId="58" applyNumberFormat="1" applyFont="1" applyBorder="1" applyAlignment="1">
      <alignment horizontal="right"/>
      <protection/>
    </xf>
    <xf numFmtId="3" fontId="10" fillId="0" borderId="22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30" xfId="58" applyNumberFormat="1" applyFont="1" applyBorder="1" applyAlignment="1">
      <alignment horizontal="right"/>
      <protection/>
    </xf>
    <xf numFmtId="3" fontId="11" fillId="0" borderId="60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9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9" fillId="0" borderId="59" xfId="58" applyNumberFormat="1" applyFont="1" applyBorder="1">
      <alignment/>
      <protection/>
    </xf>
    <xf numFmtId="3" fontId="11" fillId="0" borderId="59" xfId="58" applyNumberFormat="1" applyFont="1" applyBorder="1">
      <alignment/>
      <protection/>
    </xf>
    <xf numFmtId="3" fontId="11" fillId="0" borderId="61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21" xfId="59" applyFont="1" applyBorder="1">
      <alignment/>
      <protection/>
    </xf>
    <xf numFmtId="0" fontId="7" fillId="0" borderId="20" xfId="59" applyFont="1" applyBorder="1">
      <alignment/>
      <protection/>
    </xf>
    <xf numFmtId="0" fontId="7" fillId="0" borderId="21" xfId="59" applyFont="1" applyBorder="1">
      <alignment/>
      <protection/>
    </xf>
    <xf numFmtId="0" fontId="10" fillId="0" borderId="21" xfId="59" applyFont="1" applyBorder="1">
      <alignment/>
      <protection/>
    </xf>
    <xf numFmtId="0" fontId="6" fillId="0" borderId="21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21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62" xfId="0" applyFont="1" applyBorder="1" applyAlignment="1">
      <alignment/>
    </xf>
    <xf numFmtId="0" fontId="11" fillId="0" borderId="63" xfId="59" applyFont="1" applyBorder="1">
      <alignment/>
      <protection/>
    </xf>
    <xf numFmtId="168" fontId="7" fillId="0" borderId="62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61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0" applyNumberFormat="1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10" fillId="0" borderId="52" xfId="4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6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52" xfId="0" applyFont="1" applyBorder="1" applyAlignment="1">
      <alignment/>
    </xf>
    <xf numFmtId="168" fontId="7" fillId="0" borderId="21" xfId="0" applyNumberFormat="1" applyFont="1" applyBorder="1" applyAlignment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168" fontId="12" fillId="0" borderId="20" xfId="40" applyNumberFormat="1" applyFont="1" applyBorder="1" applyAlignment="1">
      <alignment/>
    </xf>
    <xf numFmtId="4" fontId="10" fillId="0" borderId="21" xfId="59" applyNumberFormat="1" applyFont="1" applyBorder="1">
      <alignment/>
      <protection/>
    </xf>
    <xf numFmtId="0" fontId="7" fillId="0" borderId="36" xfId="59" applyFont="1" applyBorder="1">
      <alignment/>
      <protection/>
    </xf>
    <xf numFmtId="0" fontId="4" fillId="0" borderId="20" xfId="59" applyFont="1" applyBorder="1">
      <alignment/>
      <protection/>
    </xf>
    <xf numFmtId="3" fontId="11" fillId="0" borderId="20" xfId="58" applyNumberFormat="1" applyFont="1" applyBorder="1" applyAlignment="1">
      <alignment horizontal="right"/>
      <protection/>
    </xf>
    <xf numFmtId="4" fontId="11" fillId="0" borderId="20" xfId="59" applyNumberFormat="1" applyFont="1" applyBorder="1">
      <alignment/>
      <protection/>
    </xf>
    <xf numFmtId="0" fontId="4" fillId="0" borderId="20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6" applyNumberFormat="1" applyFont="1" applyAlignment="1">
      <alignment horizontal="right"/>
      <protection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1" fillId="0" borderId="0" xfId="58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0" fillId="0" borderId="0" xfId="58" applyFont="1" applyBorder="1" applyAlignment="1">
      <alignment horizontal="left" wrapText="1"/>
      <protection/>
    </xf>
    <xf numFmtId="16" fontId="12" fillId="0" borderId="0" xfId="59" applyNumberFormat="1" applyFont="1" quotePrefix="1">
      <alignment/>
      <protection/>
    </xf>
    <xf numFmtId="168" fontId="31" fillId="0" borderId="0" xfId="40" applyNumberFormat="1" applyFont="1" applyBorder="1" applyAlignment="1">
      <alignment horizontal="right"/>
    </xf>
    <xf numFmtId="0" fontId="28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3" fontId="2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48" xfId="56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4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6" xfId="56" applyFont="1" applyBorder="1" applyAlignment="1">
      <alignment horizontal="center" vertical="center"/>
      <protection/>
    </xf>
    <xf numFmtId="0" fontId="6" fillId="0" borderId="65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4" fillId="0" borderId="15" xfId="56" applyFont="1" applyBorder="1" applyAlignment="1">
      <alignment horizontal="center" vertical="center" textRotation="255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51" xfId="40" applyNumberFormat="1" applyFont="1" applyBorder="1" applyAlignment="1">
      <alignment horizontal="center" vertical="center"/>
    </xf>
    <xf numFmtId="168" fontId="20" fillId="0" borderId="52" xfId="40" applyNumberFormat="1" applyFont="1" applyBorder="1" applyAlignment="1">
      <alignment horizontal="center" vertical="center"/>
    </xf>
    <xf numFmtId="168" fontId="20" fillId="0" borderId="10" xfId="40" applyNumberFormat="1" applyFont="1" applyBorder="1" applyAlignment="1">
      <alignment horizontal="center" vertical="center"/>
    </xf>
    <xf numFmtId="168" fontId="20" fillId="0" borderId="44" xfId="40" applyNumberFormat="1" applyFont="1" applyBorder="1" applyAlignment="1">
      <alignment horizontal="center" vertical="center"/>
    </xf>
    <xf numFmtId="168" fontId="20" fillId="0" borderId="48" xfId="40" applyNumberFormat="1" applyFont="1" applyBorder="1" applyAlignment="1">
      <alignment horizontal="center" vertical="center"/>
    </xf>
    <xf numFmtId="168" fontId="20" fillId="0" borderId="14" xfId="40" applyNumberFormat="1" applyFont="1" applyBorder="1" applyAlignment="1">
      <alignment horizontal="center" vertical="center"/>
    </xf>
    <xf numFmtId="168" fontId="20" fillId="0" borderId="16" xfId="40" applyNumberFormat="1" applyFont="1" applyBorder="1" applyAlignment="1">
      <alignment horizontal="center" vertical="center"/>
    </xf>
    <xf numFmtId="168" fontId="20" fillId="0" borderId="65" xfId="40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30" xfId="56" applyFont="1" applyBorder="1" applyAlignment="1">
      <alignment horizontal="center" vertical="center" textRotation="180"/>
      <protection/>
    </xf>
    <xf numFmtId="0" fontId="11" fillId="0" borderId="22" xfId="56" applyFont="1" applyBorder="1" applyAlignment="1">
      <alignment horizontal="center" vertical="center" textRotation="180"/>
      <protection/>
    </xf>
    <xf numFmtId="0" fontId="15" fillId="0" borderId="0" xfId="0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4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11" fillId="0" borderId="52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4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/>
      <protection/>
    </xf>
    <xf numFmtId="0" fontId="7" fillId="0" borderId="64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65" xfId="56" applyFont="1" applyBorder="1" applyAlignment="1">
      <alignment horizontal="center"/>
      <protection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11" fillId="0" borderId="52" xfId="56" applyFont="1" applyBorder="1" applyAlignment="1">
      <alignment horizontal="center" vertical="center" wrapText="1"/>
      <protection/>
    </xf>
    <xf numFmtId="44" fontId="11" fillId="0" borderId="4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44" fontId="11" fillId="0" borderId="52" xfId="61" applyFont="1" applyBorder="1" applyAlignment="1">
      <alignment horizontal="center" vertical="center"/>
    </xf>
    <xf numFmtId="0" fontId="11" fillId="0" borderId="16" xfId="59" applyFont="1" applyBorder="1" applyAlignment="1">
      <alignment horizontal="right"/>
      <protection/>
    </xf>
    <xf numFmtId="0" fontId="7" fillId="0" borderId="40" xfId="56" applyFont="1" applyBorder="1" applyAlignment="1">
      <alignment horizontal="center"/>
      <protection/>
    </xf>
    <xf numFmtId="0" fontId="7" fillId="0" borderId="52" xfId="56" applyFont="1" applyBorder="1" applyAlignment="1">
      <alignment horizontal="center"/>
      <protection/>
    </xf>
    <xf numFmtId="168" fontId="20" fillId="0" borderId="12" xfId="40" applyNumberFormat="1" applyFont="1" applyBorder="1" applyAlignment="1">
      <alignment horizontal="center" vertical="center"/>
    </xf>
    <xf numFmtId="168" fontId="20" fillId="0" borderId="0" xfId="40" applyNumberFormat="1" applyFont="1" applyBorder="1" applyAlignment="1">
      <alignment horizontal="center" vertical="center"/>
    </xf>
    <xf numFmtId="168" fontId="20" fillId="0" borderId="64" xfId="40" applyNumberFormat="1" applyFont="1" applyBorder="1" applyAlignment="1">
      <alignment horizontal="center" vertical="center"/>
    </xf>
    <xf numFmtId="0" fontId="23" fillId="0" borderId="11" xfId="56" applyFont="1" applyBorder="1" applyAlignment="1">
      <alignment horizontal="center" textRotation="255"/>
      <protection/>
    </xf>
    <xf numFmtId="0" fontId="23" fillId="0" borderId="13" xfId="56" applyFont="1" applyBorder="1" applyAlignment="1">
      <alignment horizontal="center" textRotation="255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21" xfId="0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 textRotation="180"/>
      <protection/>
    </xf>
    <xf numFmtId="0" fontId="11" fillId="0" borderId="13" xfId="58" applyFont="1" applyBorder="1" applyAlignment="1">
      <alignment horizontal="center" vertical="center" textRotation="180"/>
      <protection/>
    </xf>
    <xf numFmtId="0" fontId="11" fillId="0" borderId="15" xfId="58" applyFont="1" applyBorder="1" applyAlignment="1">
      <alignment horizontal="center" vertical="center" textRotation="180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2" fillId="0" borderId="11" xfId="59" applyFont="1" applyBorder="1" applyAlignment="1">
      <alignment horizontal="center" textRotation="180"/>
      <protection/>
    </xf>
    <xf numFmtId="0" fontId="12" fillId="0" borderId="13" xfId="59" applyFont="1" applyBorder="1" applyAlignment="1">
      <alignment horizontal="center" textRotation="180"/>
      <protection/>
    </xf>
    <xf numFmtId="0" fontId="12" fillId="0" borderId="15" xfId="59" applyFont="1" applyBorder="1" applyAlignment="1">
      <alignment horizontal="center" textRotation="180"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16" fillId="0" borderId="21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8:U64"/>
  <sheetViews>
    <sheetView tabSelected="1" zoomScalePageLayoutView="0" workbookViewId="0" topLeftCell="C19">
      <selection activeCell="P47" sqref="P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6"/>
      <c r="J39" s="2"/>
      <c r="L39" s="383" t="s">
        <v>4</v>
      </c>
      <c r="M39" s="383"/>
      <c r="N39" s="383"/>
      <c r="O39" s="383"/>
      <c r="P39" s="383"/>
      <c r="Q39" s="383"/>
      <c r="R39" s="383"/>
      <c r="S39" s="383"/>
      <c r="T39" s="383"/>
      <c r="U39" s="4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39"/>
      <c r="J41" s="2"/>
      <c r="L41" s="383" t="s">
        <v>438</v>
      </c>
      <c r="M41" s="383"/>
      <c r="N41" s="383"/>
      <c r="O41" s="383"/>
      <c r="P41" s="383"/>
      <c r="Q41" s="383"/>
      <c r="R41" s="383"/>
      <c r="S41" s="383"/>
      <c r="T41" s="383"/>
      <c r="U41" s="4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39"/>
      <c r="J43" s="2"/>
      <c r="L43" s="383" t="s">
        <v>331</v>
      </c>
      <c r="M43" s="383"/>
      <c r="N43" s="383"/>
      <c r="O43" s="383"/>
      <c r="P43" s="383"/>
      <c r="Q43" s="383"/>
      <c r="R43" s="383"/>
      <c r="S43" s="383"/>
      <c r="T43" s="383"/>
      <c r="U43" s="46"/>
    </row>
    <row r="44" spans="9:21" ht="27.75">
      <c r="I44" s="39"/>
      <c r="J44" s="2"/>
      <c r="L44" s="383" t="s">
        <v>453</v>
      </c>
      <c r="M44" s="385"/>
      <c r="N44" s="385"/>
      <c r="O44" s="385"/>
      <c r="P44" s="385"/>
      <c r="Q44" s="385"/>
      <c r="R44" s="385"/>
      <c r="S44" s="385"/>
      <c r="T44" s="385"/>
      <c r="U44" s="46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20" ht="27.75">
      <c r="B46" s="2"/>
      <c r="C46" s="3"/>
      <c r="D46" s="3"/>
      <c r="E46" s="3"/>
      <c r="F46" s="3"/>
      <c r="G46" s="3"/>
      <c r="H46" s="3"/>
      <c r="I46" s="3"/>
      <c r="J46" s="2"/>
      <c r="L46" s="384"/>
      <c r="M46" s="384"/>
      <c r="N46" s="384"/>
      <c r="O46" s="384"/>
      <c r="P46" s="384"/>
      <c r="Q46" s="384"/>
      <c r="R46" s="384"/>
      <c r="S46" s="384"/>
      <c r="T46" s="384"/>
    </row>
    <row r="47" spans="2:15" ht="27.75">
      <c r="B47" s="2"/>
      <c r="C47" s="2"/>
      <c r="D47" s="2"/>
      <c r="E47" s="2"/>
      <c r="F47" s="2"/>
      <c r="G47" s="2"/>
      <c r="H47" s="2"/>
      <c r="I47" s="2"/>
      <c r="J47" s="2"/>
      <c r="L47" s="47"/>
      <c r="M47" s="223"/>
      <c r="N47" s="14"/>
      <c r="O47" s="141"/>
    </row>
    <row r="48" spans="1:10" ht="27.75">
      <c r="A48" s="47"/>
      <c r="B48" s="48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L39:T39"/>
    <mergeCell ref="L41:T41"/>
    <mergeCell ref="L43:T43"/>
    <mergeCell ref="L46:T46"/>
    <mergeCell ref="L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7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0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86" t="s">
        <v>499</v>
      </c>
      <c r="B1" s="386"/>
      <c r="C1" s="386"/>
    </row>
    <row r="3" spans="1:3" ht="15.75">
      <c r="A3" s="391" t="s">
        <v>494</v>
      </c>
      <c r="B3" s="391"/>
      <c r="C3" s="391"/>
    </row>
    <row r="4" s="100" customFormat="1" ht="15.75">
      <c r="C4" s="106"/>
    </row>
    <row r="5" spans="1:3" s="93" customFormat="1" ht="15">
      <c r="A5" s="507"/>
      <c r="B5" s="507"/>
      <c r="C5" s="507"/>
    </row>
    <row r="6" spans="1:3" s="93" customFormat="1" ht="6.75" customHeight="1">
      <c r="A6" s="101"/>
      <c r="B6" s="58"/>
      <c r="C6" s="58"/>
    </row>
    <row r="7" spans="1:3" ht="15.75">
      <c r="A7" s="404" t="s">
        <v>4</v>
      </c>
      <c r="B7" s="404"/>
      <c r="C7" s="404"/>
    </row>
    <row r="8" spans="1:3" ht="15.75">
      <c r="A8" s="414" t="s">
        <v>257</v>
      </c>
      <c r="B8" s="414"/>
      <c r="C8" s="414"/>
    </row>
    <row r="9" spans="1:3" ht="15.75">
      <c r="A9" s="414" t="s">
        <v>201</v>
      </c>
      <c r="B9" s="414"/>
      <c r="C9" s="414"/>
    </row>
    <row r="10" spans="1:3" ht="15.75">
      <c r="A10" s="414" t="s">
        <v>442</v>
      </c>
      <c r="B10" s="414"/>
      <c r="C10" s="414"/>
    </row>
    <row r="11" ht="16.5" thickBot="1"/>
    <row r="12" spans="1:3" ht="15.75">
      <c r="A12" s="109" t="s">
        <v>31</v>
      </c>
      <c r="B12" s="102"/>
      <c r="C12" s="110" t="s">
        <v>12</v>
      </c>
    </row>
    <row r="13" spans="1:3" ht="15.75">
      <c r="A13" s="103"/>
      <c r="B13" s="104" t="s">
        <v>0</v>
      </c>
      <c r="C13" s="111" t="s">
        <v>8</v>
      </c>
    </row>
    <row r="14" spans="1:4" ht="18" customHeight="1" thickBot="1">
      <c r="A14" s="105" t="s">
        <v>32</v>
      </c>
      <c r="B14" s="112"/>
      <c r="C14" s="113" t="s">
        <v>1</v>
      </c>
      <c r="D14" s="272"/>
    </row>
    <row r="15" spans="2:4" ht="8.25" customHeight="1">
      <c r="B15" s="229"/>
      <c r="C15" s="230"/>
      <c r="D15" s="139"/>
    </row>
    <row r="16" spans="1:3" ht="20.25" customHeight="1">
      <c r="A16" s="504" t="s">
        <v>202</v>
      </c>
      <c r="B16" s="504"/>
      <c r="C16" s="504"/>
    </row>
    <row r="17" spans="1:3" ht="20.25" customHeight="1">
      <c r="A17" s="114" t="s">
        <v>33</v>
      </c>
      <c r="B17" s="115" t="s">
        <v>203</v>
      </c>
      <c r="C17" s="116"/>
    </row>
    <row r="18" spans="1:3" ht="20.25" customHeight="1">
      <c r="A18" s="114"/>
      <c r="B18" s="16" t="s">
        <v>204</v>
      </c>
      <c r="C18" s="116">
        <f>'2.mell - bevétel'!H52</f>
        <v>31017138</v>
      </c>
    </row>
    <row r="19" spans="1:5" ht="20.25" customHeight="1">
      <c r="A19" s="114"/>
      <c r="B19" s="71" t="s">
        <v>205</v>
      </c>
      <c r="C19" s="116">
        <f>'2.mell - bevétel'!H57</f>
        <v>305501</v>
      </c>
      <c r="D19" s="68"/>
      <c r="E19" s="68"/>
    </row>
    <row r="20" spans="1:3" ht="20.25" customHeight="1">
      <c r="A20" s="114" t="s">
        <v>17</v>
      </c>
      <c r="B20" s="115" t="s">
        <v>206</v>
      </c>
      <c r="C20" s="116">
        <f>'2.mell - bevétel'!H78</f>
        <v>7813000</v>
      </c>
    </row>
    <row r="21" spans="1:3" ht="20.25" customHeight="1">
      <c r="A21" s="114" t="s">
        <v>34</v>
      </c>
      <c r="B21" s="115" t="s">
        <v>207</v>
      </c>
      <c r="C21" s="116">
        <f>'2.mell - bevétel'!H100</f>
        <v>10105565</v>
      </c>
    </row>
    <row r="22" spans="1:3" ht="20.25" customHeight="1">
      <c r="A22" s="114" t="s">
        <v>79</v>
      </c>
      <c r="B22" s="117" t="s">
        <v>208</v>
      </c>
      <c r="C22" s="116"/>
    </row>
    <row r="23" spans="1:5" ht="36" customHeight="1">
      <c r="A23" s="114"/>
      <c r="B23" s="71" t="s">
        <v>209</v>
      </c>
      <c r="C23" s="116"/>
      <c r="D23" s="71"/>
      <c r="E23" s="71"/>
    </row>
    <row r="24" spans="1:3" ht="20.25" customHeight="1">
      <c r="A24" s="114"/>
      <c r="B24" s="16" t="s">
        <v>210</v>
      </c>
      <c r="C24" s="116"/>
    </row>
    <row r="25" spans="1:3" ht="30" customHeight="1">
      <c r="A25" s="294"/>
      <c r="B25" s="295" t="s">
        <v>211</v>
      </c>
      <c r="C25" s="134">
        <f>SUM(C18:C24)</f>
        <v>49241204</v>
      </c>
    </row>
    <row r="26" spans="1:3" ht="21" customHeight="1">
      <c r="A26" s="108" t="s">
        <v>80</v>
      </c>
      <c r="B26" s="115" t="s">
        <v>212</v>
      </c>
      <c r="C26" s="17">
        <f>'4.mell. - kiadás'!E45</f>
        <v>23495506</v>
      </c>
    </row>
    <row r="27" spans="1:3" ht="21" customHeight="1">
      <c r="A27" s="108" t="s">
        <v>86</v>
      </c>
      <c r="B27" s="115" t="s">
        <v>213</v>
      </c>
      <c r="C27" s="17">
        <f>'4.mell. - kiadás'!F45</f>
        <v>4535321</v>
      </c>
    </row>
    <row r="28" spans="1:3" ht="21" customHeight="1">
      <c r="A28" s="108" t="s">
        <v>214</v>
      </c>
      <c r="B28" s="121" t="s">
        <v>215</v>
      </c>
      <c r="C28" s="17">
        <f>'4.mell. - kiadás'!G45</f>
        <v>24113968</v>
      </c>
    </row>
    <row r="29" spans="1:3" ht="21" customHeight="1">
      <c r="A29" s="108" t="s">
        <v>216</v>
      </c>
      <c r="B29" s="121" t="s">
        <v>217</v>
      </c>
      <c r="C29" s="17">
        <f>'4.mell. - kiadás'!H45</f>
        <v>3061400</v>
      </c>
    </row>
    <row r="30" spans="1:3" ht="21" customHeight="1">
      <c r="A30" s="108" t="s">
        <v>218</v>
      </c>
      <c r="B30" s="121" t="s">
        <v>219</v>
      </c>
      <c r="C30" s="17"/>
    </row>
    <row r="31" spans="1:3" ht="32.25" customHeight="1">
      <c r="A31" s="108"/>
      <c r="B31" s="71" t="s">
        <v>220</v>
      </c>
      <c r="C31" s="123"/>
    </row>
    <row r="32" spans="1:3" ht="15.75">
      <c r="A32" s="108"/>
      <c r="B32" s="122" t="s">
        <v>435</v>
      </c>
      <c r="C32" s="123">
        <f>'4.mell. - kiadás'!I45-C33</f>
        <v>2540800</v>
      </c>
    </row>
    <row r="33" spans="1:5" ht="15.75">
      <c r="A33" s="108"/>
      <c r="B33" s="122" t="s">
        <v>221</v>
      </c>
      <c r="C33" s="107">
        <f>'1.mell. -mérleg'!C41</f>
        <v>23537572</v>
      </c>
      <c r="E33" s="73"/>
    </row>
    <row r="34" spans="1:6" ht="33.75" customHeight="1">
      <c r="A34" s="294"/>
      <c r="B34" s="295" t="s">
        <v>222</v>
      </c>
      <c r="C34" s="134">
        <f>SUM(C26:C33)</f>
        <v>81284567</v>
      </c>
      <c r="E34" s="73"/>
      <c r="F34" s="73"/>
    </row>
    <row r="35" spans="1:3" ht="15.75">
      <c r="A35" s="505"/>
      <c r="B35" s="505"/>
      <c r="C35" s="505"/>
    </row>
    <row r="36" spans="1:3" ht="15.75">
      <c r="A36" s="224"/>
      <c r="B36" s="224"/>
      <c r="C36" s="224"/>
    </row>
    <row r="37" spans="1:3" ht="15.75">
      <c r="A37" s="224"/>
      <c r="B37" s="224"/>
      <c r="C37" s="224"/>
    </row>
    <row r="38" spans="1:3" ht="15.75">
      <c r="A38" s="224"/>
      <c r="B38" s="224"/>
      <c r="C38" s="224"/>
    </row>
    <row r="39" spans="1:3" ht="16.5" thickBot="1">
      <c r="A39" s="224"/>
      <c r="B39" s="224"/>
      <c r="C39" s="224"/>
    </row>
    <row r="40" spans="1:3" ht="15.75">
      <c r="A40" s="109" t="s">
        <v>31</v>
      </c>
      <c r="B40" s="102"/>
      <c r="C40" s="110" t="s">
        <v>12</v>
      </c>
    </row>
    <row r="41" spans="1:3" ht="12.75" customHeight="1">
      <c r="A41" s="103"/>
      <c r="B41" s="104" t="s">
        <v>0</v>
      </c>
      <c r="C41" s="111"/>
    </row>
    <row r="42" spans="1:3" ht="21.75" customHeight="1" thickBot="1">
      <c r="A42" s="105" t="s">
        <v>32</v>
      </c>
      <c r="B42" s="112"/>
      <c r="C42" s="113" t="s">
        <v>8</v>
      </c>
    </row>
    <row r="43" spans="1:3" ht="12" customHeight="1">
      <c r="A43" s="129"/>
      <c r="B43" s="228"/>
      <c r="C43" s="139"/>
    </row>
    <row r="44" spans="1:3" ht="21" customHeight="1">
      <c r="A44" s="506" t="s">
        <v>223</v>
      </c>
      <c r="B44" s="506"/>
      <c r="C44" s="506"/>
    </row>
    <row r="45" spans="1:3" ht="21" customHeight="1">
      <c r="A45" s="108" t="s">
        <v>224</v>
      </c>
      <c r="B45" s="50" t="s">
        <v>225</v>
      </c>
      <c r="C45" s="107">
        <f>'2.mell - bevétel'!H59</f>
        <v>15833638</v>
      </c>
    </row>
    <row r="46" spans="1:2" ht="21" customHeight="1">
      <c r="A46" s="108" t="s">
        <v>226</v>
      </c>
      <c r="B46" s="50" t="s">
        <v>227</v>
      </c>
    </row>
    <row r="47" spans="1:2" ht="21" customHeight="1">
      <c r="A47" s="108" t="s">
        <v>228</v>
      </c>
      <c r="B47" s="117" t="s">
        <v>229</v>
      </c>
    </row>
    <row r="48" spans="1:3" ht="31.5" customHeight="1">
      <c r="A48" s="108"/>
      <c r="B48" s="86" t="s">
        <v>230</v>
      </c>
      <c r="C48" s="107">
        <f>'2.mell - bevétel'!H108</f>
        <v>346850</v>
      </c>
    </row>
    <row r="49" spans="1:3" ht="21" customHeight="1">
      <c r="A49" s="108"/>
      <c r="B49" s="37" t="s">
        <v>231</v>
      </c>
      <c r="C49" s="107">
        <f>'2.mell - bevétel'!H109</f>
        <v>6000000</v>
      </c>
    </row>
    <row r="50" spans="1:5" ht="30" customHeight="1">
      <c r="A50" s="294"/>
      <c r="B50" s="295" t="s">
        <v>232</v>
      </c>
      <c r="C50" s="134">
        <f>SUM(C45:C49)</f>
        <v>22180488</v>
      </c>
      <c r="E50" s="73"/>
    </row>
    <row r="51" spans="1:3" ht="21" customHeight="1">
      <c r="A51" s="108" t="s">
        <v>233</v>
      </c>
      <c r="B51" s="50" t="s">
        <v>234</v>
      </c>
      <c r="C51" s="107">
        <f>'4.mell. - kiadás'!K45</f>
        <v>9333470</v>
      </c>
    </row>
    <row r="52" spans="1:3" ht="21" customHeight="1">
      <c r="A52" s="108" t="s">
        <v>235</v>
      </c>
      <c r="B52" s="50" t="s">
        <v>236</v>
      </c>
      <c r="C52" s="107">
        <f>'4.mell. - kiadás'!L45</f>
        <v>3308007</v>
      </c>
    </row>
    <row r="53" spans="1:2" ht="21" customHeight="1">
      <c r="A53" s="108" t="s">
        <v>237</v>
      </c>
      <c r="B53" s="117" t="s">
        <v>238</v>
      </c>
    </row>
    <row r="54" spans="1:3" ht="21" customHeight="1">
      <c r="A54" s="108"/>
      <c r="B54" s="122" t="s">
        <v>239</v>
      </c>
      <c r="C54" s="107">
        <f>'4.mell. - kiadás'!M45</f>
        <v>2000000</v>
      </c>
    </row>
    <row r="55" spans="1:2" ht="21" customHeight="1">
      <c r="A55" s="108"/>
      <c r="B55" s="122" t="s">
        <v>221</v>
      </c>
    </row>
    <row r="56" spans="1:6" s="9" customFormat="1" ht="27.75" customHeight="1" thickBot="1">
      <c r="A56" s="294"/>
      <c r="B56" s="295" t="s">
        <v>240</v>
      </c>
      <c r="C56" s="134">
        <f>SUM(C51:C55)</f>
        <v>14641477</v>
      </c>
      <c r="F56" s="124"/>
    </row>
    <row r="57" spans="1:3" s="9" customFormat="1" ht="24" customHeight="1" thickBot="1">
      <c r="A57" s="125"/>
      <c r="B57" s="126" t="s">
        <v>241</v>
      </c>
      <c r="C57" s="127">
        <f>C25+C50</f>
        <v>71421692</v>
      </c>
    </row>
    <row r="58" spans="1:6" s="9" customFormat="1" ht="22.5" customHeight="1" thickBot="1">
      <c r="A58" s="125"/>
      <c r="B58" s="126" t="s">
        <v>242</v>
      </c>
      <c r="C58" s="127">
        <f>C34+C56</f>
        <v>95926044</v>
      </c>
      <c r="F58" s="124"/>
    </row>
    <row r="59" spans="1:3" s="9" customFormat="1" ht="15.75">
      <c r="A59" s="128"/>
      <c r="B59" s="129"/>
      <c r="C59" s="130"/>
    </row>
    <row r="60" spans="1:3" s="131" customFormat="1" ht="9.75" customHeight="1">
      <c r="A60" s="231"/>
      <c r="B60" s="231"/>
      <c r="C60" s="231"/>
    </row>
    <row r="61" spans="1:3" s="131" customFormat="1" ht="9" customHeight="1">
      <c r="A61" s="129"/>
      <c r="B61" s="138"/>
      <c r="C61" s="139"/>
    </row>
    <row r="62" spans="1:3" ht="20.25" customHeight="1">
      <c r="A62" s="503" t="s">
        <v>243</v>
      </c>
      <c r="B62" s="503"/>
      <c r="C62" s="503"/>
    </row>
    <row r="63" spans="1:3" ht="6.75" customHeight="1">
      <c r="A63" s="132"/>
      <c r="B63" s="132"/>
      <c r="C63" s="132"/>
    </row>
    <row r="64" spans="1:3" ht="20.25" customHeight="1">
      <c r="A64" s="118" t="s">
        <v>244</v>
      </c>
      <c r="B64" s="133" t="s">
        <v>245</v>
      </c>
      <c r="C64" s="120">
        <f>'2.mell - bevétel'!H119</f>
        <v>25744918</v>
      </c>
    </row>
    <row r="65" spans="1:3" ht="20.25" customHeight="1">
      <c r="A65" s="118" t="s">
        <v>247</v>
      </c>
      <c r="B65" s="119" t="s">
        <v>437</v>
      </c>
      <c r="C65" s="120"/>
    </row>
    <row r="66" spans="1:3" ht="21" customHeight="1">
      <c r="A66" s="118"/>
      <c r="B66" s="119" t="s">
        <v>246</v>
      </c>
      <c r="C66" s="134">
        <f>SUM(C64:C65)</f>
        <v>25744918</v>
      </c>
    </row>
    <row r="67" spans="1:3" ht="21" customHeight="1">
      <c r="A67" s="114" t="s">
        <v>249</v>
      </c>
      <c r="B67" s="119" t="s">
        <v>346</v>
      </c>
      <c r="C67" s="361">
        <f>'4.mell. - kiadás'!R45</f>
        <v>1240566</v>
      </c>
    </row>
    <row r="68" spans="1:3" ht="15.75">
      <c r="A68" s="114" t="s">
        <v>318</v>
      </c>
      <c r="B68" s="133" t="s">
        <v>248</v>
      </c>
      <c r="C68" s="120"/>
    </row>
    <row r="69" spans="1:3" ht="15.75">
      <c r="A69" s="108" t="s">
        <v>320</v>
      </c>
      <c r="B69" s="133" t="s">
        <v>250</v>
      </c>
      <c r="C69" s="120"/>
    </row>
    <row r="70" spans="1:3" s="135" customFormat="1" ht="30" customHeight="1" thickBot="1">
      <c r="A70" s="118"/>
      <c r="B70" s="119" t="s">
        <v>251</v>
      </c>
      <c r="C70" s="134">
        <f>SUM(C67:C69)</f>
        <v>1240566</v>
      </c>
    </row>
    <row r="71" spans="1:5" s="135" customFormat="1" ht="37.5" customHeight="1" thickBot="1">
      <c r="A71" s="136"/>
      <c r="B71" s="296" t="s">
        <v>252</v>
      </c>
      <c r="C71" s="297">
        <f>C57+C66</f>
        <v>97166610</v>
      </c>
      <c r="E71" s="137"/>
    </row>
    <row r="72" spans="1:5" ht="34.5" customHeight="1" thickBot="1">
      <c r="A72" s="136"/>
      <c r="B72" s="296" t="s">
        <v>253</v>
      </c>
      <c r="C72" s="297">
        <f>C58+C70</f>
        <v>97166610</v>
      </c>
      <c r="E72" s="137"/>
    </row>
  </sheetData>
  <sheetProtection/>
  <mergeCells count="11">
    <mergeCell ref="A1:C1"/>
    <mergeCell ref="A35:C35"/>
    <mergeCell ref="A44:C44"/>
    <mergeCell ref="A3:C3"/>
    <mergeCell ref="A5:C5"/>
    <mergeCell ref="A7:C7"/>
    <mergeCell ref="A62:C62"/>
    <mergeCell ref="A8:C8"/>
    <mergeCell ref="A9:C9"/>
    <mergeCell ref="A10:C10"/>
    <mergeCell ref="A16:C1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37" customWidth="1"/>
    <col min="2" max="2" width="43.625" style="37" customWidth="1"/>
    <col min="3" max="14" width="15.375" style="17" customWidth="1"/>
    <col min="15" max="15" width="16.625" style="17" customWidth="1"/>
    <col min="16" max="17" width="15.625" style="37" bestFit="1" customWidth="1"/>
    <col min="18" max="18" width="12.625" style="37" bestFit="1" customWidth="1"/>
    <col min="19" max="16384" width="9.125" style="37" customWidth="1"/>
  </cols>
  <sheetData>
    <row r="1" spans="1:15" ht="15.75">
      <c r="A1" s="451" t="s">
        <v>498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3" spans="1:15" s="74" customFormat="1" ht="15.75">
      <c r="A3" s="415" t="s">
        <v>495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5" spans="2:15" ht="15.75"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2:15" ht="15.75"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2:15" ht="15.75">
      <c r="B7" s="389" t="s">
        <v>30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2:15" ht="15.75">
      <c r="B8" s="389" t="s">
        <v>283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</row>
    <row r="9" spans="2:15" ht="15.75">
      <c r="B9" s="389" t="s">
        <v>442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</row>
    <row r="10" spans="3:15" ht="16.5" thickBot="1">
      <c r="C10" s="18"/>
      <c r="D10" s="18"/>
      <c r="E10" s="18"/>
      <c r="F10" s="174"/>
      <c r="G10" s="18"/>
      <c r="H10" s="18"/>
      <c r="I10" s="18"/>
      <c r="J10" s="18"/>
      <c r="O10" s="175" t="s">
        <v>349</v>
      </c>
    </row>
    <row r="11" spans="1:15" ht="15.75">
      <c r="A11" s="176" t="s">
        <v>31</v>
      </c>
      <c r="B11" s="177"/>
      <c r="C11" s="178"/>
      <c r="D11" s="179"/>
      <c r="E11" s="180"/>
      <c r="F11" s="181"/>
      <c r="G11" s="181"/>
      <c r="H11" s="181"/>
      <c r="I11" s="181"/>
      <c r="J11" s="181"/>
      <c r="K11" s="182"/>
      <c r="L11" s="182"/>
      <c r="M11" s="182"/>
      <c r="N11" s="183"/>
      <c r="O11" s="184"/>
    </row>
    <row r="12" spans="1:15" ht="15.75">
      <c r="A12" s="185"/>
      <c r="B12" s="186" t="s">
        <v>0</v>
      </c>
      <c r="C12" s="77" t="s">
        <v>284</v>
      </c>
      <c r="D12" s="187" t="s">
        <v>285</v>
      </c>
      <c r="E12" s="188" t="s">
        <v>286</v>
      </c>
      <c r="F12" s="189" t="s">
        <v>287</v>
      </c>
      <c r="G12" s="189" t="s">
        <v>288</v>
      </c>
      <c r="H12" s="189" t="s">
        <v>289</v>
      </c>
      <c r="I12" s="189" t="s">
        <v>290</v>
      </c>
      <c r="J12" s="189" t="s">
        <v>291</v>
      </c>
      <c r="K12" s="189" t="s">
        <v>292</v>
      </c>
      <c r="L12" s="189" t="s">
        <v>293</v>
      </c>
      <c r="M12" s="189" t="s">
        <v>294</v>
      </c>
      <c r="N12" s="188" t="s">
        <v>295</v>
      </c>
      <c r="O12" s="111" t="s">
        <v>275</v>
      </c>
    </row>
    <row r="13" spans="1:15" ht="16.5" thickBot="1">
      <c r="A13" s="190" t="s">
        <v>32</v>
      </c>
      <c r="B13" s="191"/>
      <c r="C13" s="192"/>
      <c r="D13" s="193"/>
      <c r="E13" s="194"/>
      <c r="F13" s="195"/>
      <c r="G13" s="195"/>
      <c r="H13" s="195"/>
      <c r="I13" s="195"/>
      <c r="J13" s="195"/>
      <c r="K13" s="195"/>
      <c r="L13" s="195"/>
      <c r="M13" s="195"/>
      <c r="N13" s="194"/>
      <c r="O13" s="192"/>
    </row>
    <row r="14" spans="1:15" ht="28.5" customHeight="1">
      <c r="A14" s="196"/>
      <c r="B14" s="197" t="s">
        <v>296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9"/>
    </row>
    <row r="15" spans="1:15" ht="28.5" customHeight="1">
      <c r="A15" s="196" t="s">
        <v>33</v>
      </c>
      <c r="B15" s="197" t="s">
        <v>297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1:15" ht="28.5" customHeight="1">
      <c r="A16" s="196"/>
      <c r="B16" s="197" t="s">
        <v>298</v>
      </c>
      <c r="C16" s="198">
        <f>2243614+756325-364911-92809</f>
        <v>2542219</v>
      </c>
      <c r="D16" s="198">
        <f>2953539-364910</f>
        <v>2588629</v>
      </c>
      <c r="E16" s="198">
        <f aca="true" t="shared" si="0" ref="E16:N16">2953539-364910</f>
        <v>2588629</v>
      </c>
      <c r="F16" s="198">
        <f t="shared" si="0"/>
        <v>2588629</v>
      </c>
      <c r="G16" s="198">
        <f t="shared" si="0"/>
        <v>2588629</v>
      </c>
      <c r="H16" s="198">
        <f t="shared" si="0"/>
        <v>2588629</v>
      </c>
      <c r="I16" s="198">
        <f t="shared" si="0"/>
        <v>2588629</v>
      </c>
      <c r="J16" s="198">
        <f t="shared" si="0"/>
        <v>2588629</v>
      </c>
      <c r="K16" s="198">
        <f t="shared" si="0"/>
        <v>2588629</v>
      </c>
      <c r="L16" s="198">
        <f t="shared" si="0"/>
        <v>2588629</v>
      </c>
      <c r="M16" s="198">
        <f t="shared" si="0"/>
        <v>2588629</v>
      </c>
      <c r="N16" s="198">
        <f t="shared" si="0"/>
        <v>2588629</v>
      </c>
      <c r="O16" s="199">
        <f>SUM(C16:N16)</f>
        <v>31017138</v>
      </c>
    </row>
    <row r="17" spans="1:15" ht="28.5" customHeight="1">
      <c r="A17" s="196"/>
      <c r="B17" s="197" t="s">
        <v>299</v>
      </c>
      <c r="C17" s="198"/>
      <c r="D17" s="198"/>
      <c r="E17" s="198">
        <v>259101</v>
      </c>
      <c r="F17" s="198"/>
      <c r="G17" s="198"/>
      <c r="H17" s="198"/>
      <c r="I17" s="198"/>
      <c r="J17" s="198">
        <v>23200</v>
      </c>
      <c r="K17" s="198"/>
      <c r="L17" s="198"/>
      <c r="M17" s="198">
        <v>23200</v>
      </c>
      <c r="N17" s="198"/>
      <c r="O17" s="199">
        <f>SUM(C17:N17)</f>
        <v>305501</v>
      </c>
    </row>
    <row r="18" spans="1:15" ht="31.5" customHeight="1">
      <c r="A18" s="196"/>
      <c r="B18" s="197" t="s">
        <v>489</v>
      </c>
      <c r="C18" s="201">
        <v>15833638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>
        <f>SUM(C18:N18)</f>
        <v>15833638</v>
      </c>
    </row>
    <row r="19" spans="1:15" ht="15.75">
      <c r="A19" s="196" t="s">
        <v>34</v>
      </c>
      <c r="B19" s="197" t="s">
        <v>300</v>
      </c>
      <c r="C19" s="198">
        <f>(12+44+32+31)*1000</f>
        <v>119000</v>
      </c>
      <c r="D19" s="198">
        <f>(19+12+118+253+31)*1000</f>
        <v>433000</v>
      </c>
      <c r="E19" s="198">
        <f>(1127+11+620+382+31)*1000</f>
        <v>2171000</v>
      </c>
      <c r="F19" s="198">
        <f>(9+12+76+34+31+200)*1000</f>
        <v>362000</v>
      </c>
      <c r="G19" s="198">
        <f>(408+12+48+35+31-200)*1000</f>
        <v>334000</v>
      </c>
      <c r="H19" s="198">
        <f>(46+12+20+19+31)*1000</f>
        <v>128000</v>
      </c>
      <c r="I19" s="198">
        <f>(12+2+2+31)*1000</f>
        <v>47000</v>
      </c>
      <c r="J19" s="198">
        <f>(12+237+346+31)*1000</f>
        <v>626000</v>
      </c>
      <c r="K19" s="198">
        <f>(1188+11+601+335+31)*1000</f>
        <v>2166000</v>
      </c>
      <c r="L19" s="198">
        <f>(10+12+27+35+31)*1000</f>
        <v>115000</v>
      </c>
      <c r="M19" s="198">
        <f>(852+11+76+12+31)*1000</f>
        <v>982000</v>
      </c>
      <c r="N19" s="198">
        <f>(241+11+34+15+29)*1000</f>
        <v>330000</v>
      </c>
      <c r="O19" s="199">
        <f aca="true" t="shared" si="1" ref="O19:O28">SUM(C19:N19)</f>
        <v>7813000</v>
      </c>
    </row>
    <row r="20" spans="1:18" ht="15.75">
      <c r="A20" s="196" t="s">
        <v>79</v>
      </c>
      <c r="B20" s="197" t="s">
        <v>301</v>
      </c>
      <c r="C20" s="198">
        <v>840000</v>
      </c>
      <c r="D20" s="198">
        <v>840000</v>
      </c>
      <c r="E20" s="198">
        <v>840000</v>
      </c>
      <c r="F20" s="198">
        <v>840000</v>
      </c>
      <c r="G20" s="198">
        <v>840000</v>
      </c>
      <c r="H20" s="198">
        <v>840000</v>
      </c>
      <c r="I20" s="198">
        <v>840000</v>
      </c>
      <c r="J20" s="198">
        <v>840000</v>
      </c>
      <c r="K20" s="198">
        <v>840000</v>
      </c>
      <c r="L20" s="198">
        <v>840000</v>
      </c>
      <c r="M20" s="198">
        <f>840000+17846+7719</f>
        <v>865565</v>
      </c>
      <c r="N20" s="198">
        <v>840000</v>
      </c>
      <c r="O20" s="199">
        <f t="shared" si="1"/>
        <v>10105565</v>
      </c>
      <c r="Q20" s="221"/>
      <c r="R20" s="221"/>
    </row>
    <row r="21" spans="1:15" ht="15.75">
      <c r="A21" s="196" t="s">
        <v>80</v>
      </c>
      <c r="B21" s="200" t="s">
        <v>302</v>
      </c>
      <c r="C21" s="201">
        <f>15833638-15833638</f>
        <v>0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199">
        <f t="shared" si="1"/>
        <v>0</v>
      </c>
    </row>
    <row r="22" spans="1:15" ht="15.75">
      <c r="A22" s="196" t="s">
        <v>86</v>
      </c>
      <c r="B22" s="200" t="s">
        <v>208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199">
        <f t="shared" si="1"/>
        <v>0</v>
      </c>
    </row>
    <row r="23" spans="1:15" ht="31.5">
      <c r="A23" s="196"/>
      <c r="B23" s="197" t="s">
        <v>303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O23" s="199">
        <f t="shared" si="1"/>
        <v>0</v>
      </c>
    </row>
    <row r="24" spans="1:15" ht="17.25" customHeight="1">
      <c r="A24" s="196"/>
      <c r="B24" s="197" t="s">
        <v>304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5"/>
      <c r="O24" s="199">
        <f t="shared" si="1"/>
        <v>0</v>
      </c>
    </row>
    <row r="25" spans="1:15" ht="15.75">
      <c r="A25" s="196" t="s">
        <v>214</v>
      </c>
      <c r="B25" s="200" t="s">
        <v>305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199">
        <f t="shared" si="1"/>
        <v>0</v>
      </c>
    </row>
    <row r="26" spans="1:15" ht="47.25">
      <c r="A26" s="196"/>
      <c r="B26" s="219" t="s">
        <v>306</v>
      </c>
      <c r="C26" s="204">
        <v>28904</v>
      </c>
      <c r="D26" s="204">
        <v>28904</v>
      </c>
      <c r="E26" s="204">
        <v>28904</v>
      </c>
      <c r="F26" s="204">
        <v>28904</v>
      </c>
      <c r="G26" s="204">
        <v>28904</v>
      </c>
      <c r="H26" s="204">
        <v>28904</v>
      </c>
      <c r="I26" s="204">
        <v>28904</v>
      </c>
      <c r="J26" s="204">
        <v>28904</v>
      </c>
      <c r="K26" s="204">
        <v>28904</v>
      </c>
      <c r="L26" s="204">
        <v>28904</v>
      </c>
      <c r="M26" s="204">
        <f>28904+2</f>
        <v>28906</v>
      </c>
      <c r="N26" s="204">
        <v>28904</v>
      </c>
      <c r="O26" s="199">
        <f t="shared" si="1"/>
        <v>346850</v>
      </c>
    </row>
    <row r="27" spans="1:15" ht="15.75">
      <c r="A27" s="196"/>
      <c r="B27" s="197" t="s">
        <v>307</v>
      </c>
      <c r="C27" s="204"/>
      <c r="D27" s="204"/>
      <c r="E27" s="204"/>
      <c r="F27" s="204"/>
      <c r="G27" s="204"/>
      <c r="H27" s="204"/>
      <c r="I27" s="204"/>
      <c r="J27" s="204">
        <v>3000000</v>
      </c>
      <c r="K27" s="204"/>
      <c r="L27" s="204"/>
      <c r="M27" s="204"/>
      <c r="N27" s="205">
        <v>3000000</v>
      </c>
      <c r="O27" s="199">
        <f t="shared" si="1"/>
        <v>6000000</v>
      </c>
    </row>
    <row r="28" spans="1:15" ht="15.75">
      <c r="A28" s="196" t="s">
        <v>216</v>
      </c>
      <c r="B28" s="200" t="s">
        <v>308</v>
      </c>
      <c r="C28" s="204"/>
      <c r="D28" s="204">
        <f>6216573+109982+18484786+933577</f>
        <v>25744918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5"/>
      <c r="O28" s="199">
        <f t="shared" si="1"/>
        <v>25744918</v>
      </c>
    </row>
    <row r="29" spans="1:15" ht="16.5" thickBot="1">
      <c r="A29" s="206" t="s">
        <v>218</v>
      </c>
      <c r="B29" s="207" t="s">
        <v>309</v>
      </c>
      <c r="C29" s="204"/>
      <c r="D29" s="204">
        <f>C51</f>
        <v>8056950</v>
      </c>
      <c r="E29" s="204">
        <f aca="true" t="shared" si="2" ref="E29:N29">D51</f>
        <v>29063611</v>
      </c>
      <c r="F29" s="204">
        <f t="shared" si="2"/>
        <v>29642839</v>
      </c>
      <c r="G29" s="204">
        <f t="shared" si="2"/>
        <v>29005584</v>
      </c>
      <c r="H29" s="204">
        <f t="shared" si="2"/>
        <v>9371270</v>
      </c>
      <c r="I29" s="204">
        <f t="shared" si="2"/>
        <v>8460706</v>
      </c>
      <c r="J29" s="204">
        <f t="shared" si="2"/>
        <v>7343279</v>
      </c>
      <c r="K29" s="204">
        <f t="shared" si="2"/>
        <v>9503051</v>
      </c>
      <c r="L29" s="204">
        <f t="shared" si="2"/>
        <v>7869624</v>
      </c>
      <c r="M29" s="204">
        <f t="shared" si="2"/>
        <v>7030497</v>
      </c>
      <c r="N29" s="204">
        <f t="shared" si="2"/>
        <v>6361008</v>
      </c>
      <c r="O29" s="199"/>
    </row>
    <row r="30" spans="1:16" s="14" customFormat="1" ht="27.75" customHeight="1" thickBot="1">
      <c r="A30" s="208"/>
      <c r="B30" s="208" t="s">
        <v>310</v>
      </c>
      <c r="C30" s="209">
        <f aca="true" t="shared" si="3" ref="C30:N30">SUM(C16:C29)</f>
        <v>19363761</v>
      </c>
      <c r="D30" s="209">
        <f t="shared" si="3"/>
        <v>37692401</v>
      </c>
      <c r="E30" s="209">
        <f t="shared" si="3"/>
        <v>34951245</v>
      </c>
      <c r="F30" s="209">
        <f t="shared" si="3"/>
        <v>33462372</v>
      </c>
      <c r="G30" s="209">
        <f t="shared" si="3"/>
        <v>32797117</v>
      </c>
      <c r="H30" s="209">
        <f t="shared" si="3"/>
        <v>12956803</v>
      </c>
      <c r="I30" s="209">
        <f t="shared" si="3"/>
        <v>11965239</v>
      </c>
      <c r="J30" s="209">
        <f t="shared" si="3"/>
        <v>14450012</v>
      </c>
      <c r="K30" s="209">
        <f t="shared" si="3"/>
        <v>15126584</v>
      </c>
      <c r="L30" s="209">
        <f t="shared" si="3"/>
        <v>11442157</v>
      </c>
      <c r="M30" s="209">
        <f t="shared" si="3"/>
        <v>11518797</v>
      </c>
      <c r="N30" s="209">
        <f t="shared" si="3"/>
        <v>13148541</v>
      </c>
      <c r="O30" s="210">
        <f>SUM(O15:O29)</f>
        <v>97166610</v>
      </c>
      <c r="P30" s="80"/>
    </row>
    <row r="31" spans="1:15" ht="15.75">
      <c r="A31" s="211"/>
      <c r="B31" s="212" t="s">
        <v>311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13"/>
    </row>
    <row r="32" spans="1:17" ht="15.75">
      <c r="A32" s="196" t="s">
        <v>224</v>
      </c>
      <c r="B32" s="200" t="s">
        <v>162</v>
      </c>
      <c r="C32" s="198">
        <f>1865910+57442+59021</f>
        <v>1982373</v>
      </c>
      <c r="D32" s="198">
        <f>1865910+57442+59020</f>
        <v>1982372</v>
      </c>
      <c r="E32" s="198">
        <f>1865910+57441+59021</f>
        <v>1982372</v>
      </c>
      <c r="F32" s="198">
        <f>1865910+57442+59021</f>
        <v>1982373</v>
      </c>
      <c r="G32" s="198">
        <f>1865910+57442</f>
        <v>1923352</v>
      </c>
      <c r="H32" s="198">
        <f>1865910+57441+179195</f>
        <v>2102546</v>
      </c>
      <c r="I32" s="198">
        <f>1865910+57441</f>
        <v>1923351</v>
      </c>
      <c r="J32" s="198">
        <f>1865910+57442</f>
        <v>1923352</v>
      </c>
      <c r="K32" s="198">
        <f>1865910+57441</f>
        <v>1923351</v>
      </c>
      <c r="L32" s="198">
        <f>1865910+57441</f>
        <v>1923351</v>
      </c>
      <c r="M32" s="198">
        <f>1865910+57441</f>
        <v>1923351</v>
      </c>
      <c r="N32" s="198">
        <f>1865910+57452</f>
        <v>1923362</v>
      </c>
      <c r="O32" s="199">
        <f aca="true" t="shared" si="4" ref="O32:O49">SUM(C32:N32)</f>
        <v>23495506</v>
      </c>
      <c r="P32" s="221"/>
      <c r="Q32" s="221"/>
    </row>
    <row r="33" spans="1:17" ht="31.5">
      <c r="A33" s="196" t="s">
        <v>226</v>
      </c>
      <c r="B33" s="219" t="s">
        <v>312</v>
      </c>
      <c r="C33" s="198">
        <f>373679-6782+5755</f>
        <v>372652</v>
      </c>
      <c r="D33" s="198">
        <f>373679+5754</f>
        <v>379433</v>
      </c>
      <c r="E33" s="198">
        <f>373679+5755</f>
        <v>379434</v>
      </c>
      <c r="F33" s="198">
        <f>373679+5754</f>
        <v>379433</v>
      </c>
      <c r="G33" s="198">
        <v>373679</v>
      </c>
      <c r="H33" s="198">
        <f>373679+34943</f>
        <v>408622</v>
      </c>
      <c r="I33" s="198">
        <v>373679</v>
      </c>
      <c r="J33" s="198">
        <v>373679</v>
      </c>
      <c r="K33" s="198">
        <v>373679</v>
      </c>
      <c r="L33" s="198">
        <v>373679</v>
      </c>
      <c r="M33" s="198">
        <v>373679</v>
      </c>
      <c r="N33" s="198">
        <f>373679-6</f>
        <v>373673</v>
      </c>
      <c r="O33" s="199">
        <f t="shared" si="4"/>
        <v>4535321</v>
      </c>
      <c r="Q33" s="221"/>
    </row>
    <row r="34" spans="1:17" ht="15.75">
      <c r="A34" s="196" t="s">
        <v>228</v>
      </c>
      <c r="B34" s="200" t="s">
        <v>164</v>
      </c>
      <c r="C34" s="198">
        <f>2391000-270000-500000-100000</f>
        <v>1521000</v>
      </c>
      <c r="D34" s="198">
        <f>1745000+200000</f>
        <v>1945000</v>
      </c>
      <c r="E34" s="198">
        <f>1745000+900000</f>
        <v>2645000</v>
      </c>
      <c r="F34" s="198">
        <f>1745000+50000</f>
        <v>1795000</v>
      </c>
      <c r="G34" s="198">
        <f>1745000+450000+89930</f>
        <v>2284930</v>
      </c>
      <c r="H34" s="198">
        <f>1745000+89929</f>
        <v>1834929</v>
      </c>
      <c r="I34" s="198">
        <f>1745000+300000+89930</f>
        <v>2134930</v>
      </c>
      <c r="J34" s="198">
        <f>1745000+250000+89930</f>
        <v>2084930</v>
      </c>
      <c r="K34" s="198">
        <f>1745000+150000+89930</f>
        <v>1984930</v>
      </c>
      <c r="L34" s="198">
        <f>1745000+60000+89930</f>
        <v>1894930</v>
      </c>
      <c r="M34" s="198">
        <f>1745000+123732+89930</f>
        <v>1958662</v>
      </c>
      <c r="N34" s="198">
        <f>1745000+194797+89930</f>
        <v>2029727</v>
      </c>
      <c r="O34" s="199">
        <f t="shared" si="4"/>
        <v>24113968</v>
      </c>
      <c r="P34" s="221"/>
      <c r="Q34" s="221"/>
    </row>
    <row r="35" spans="1:15" ht="15.75">
      <c r="A35" s="196" t="s">
        <v>233</v>
      </c>
      <c r="B35" s="200" t="s">
        <v>165</v>
      </c>
      <c r="C35" s="198">
        <f>150000</f>
        <v>150000</v>
      </c>
      <c r="D35" s="198">
        <v>150000</v>
      </c>
      <c r="E35" s="198">
        <v>150000</v>
      </c>
      <c r="F35" s="198">
        <v>150000</v>
      </c>
      <c r="G35" s="198">
        <v>150000</v>
      </c>
      <c r="H35" s="198">
        <v>150000</v>
      </c>
      <c r="I35" s="198">
        <v>150000</v>
      </c>
      <c r="J35" s="198">
        <f>150000+350000</f>
        <v>500000</v>
      </c>
      <c r="K35" s="198">
        <v>150000</v>
      </c>
      <c r="L35" s="198">
        <v>150000</v>
      </c>
      <c r="M35" s="198">
        <f>150000+61400</f>
        <v>211400</v>
      </c>
      <c r="N35" s="198">
        <v>1000000</v>
      </c>
      <c r="O35" s="199">
        <f t="shared" si="4"/>
        <v>3061400</v>
      </c>
    </row>
    <row r="36" spans="1:15" ht="15.75">
      <c r="A36" s="196" t="s">
        <v>235</v>
      </c>
      <c r="B36" s="200" t="s">
        <v>313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9"/>
    </row>
    <row r="37" spans="1:15" ht="15.75">
      <c r="A37" s="196"/>
      <c r="B37" s="200" t="s">
        <v>314</v>
      </c>
      <c r="C37" s="198">
        <v>25000</v>
      </c>
      <c r="D37" s="198"/>
      <c r="E37" s="198"/>
      <c r="F37" s="198"/>
      <c r="G37" s="198">
        <v>3000</v>
      </c>
      <c r="H37" s="198"/>
      <c r="I37" s="198"/>
      <c r="J37" s="198">
        <v>25000</v>
      </c>
      <c r="K37" s="198">
        <v>1200000</v>
      </c>
      <c r="L37" s="198"/>
      <c r="M37" s="198"/>
      <c r="N37" s="198"/>
      <c r="O37" s="199">
        <f t="shared" si="4"/>
        <v>1253000</v>
      </c>
    </row>
    <row r="38" spans="1:16" ht="15.75">
      <c r="A38" s="196"/>
      <c r="B38" s="200" t="s">
        <v>315</v>
      </c>
      <c r="C38" s="198"/>
      <c r="D38" s="198">
        <v>79850</v>
      </c>
      <c r="E38" s="198">
        <v>50000</v>
      </c>
      <c r="F38" s="198">
        <v>40000</v>
      </c>
      <c r="G38" s="198">
        <v>209100</v>
      </c>
      <c r="H38" s="198"/>
      <c r="I38" s="198">
        <v>40000</v>
      </c>
      <c r="J38" s="198">
        <v>40000</v>
      </c>
      <c r="K38" s="198">
        <v>625000</v>
      </c>
      <c r="L38" s="198">
        <v>69700</v>
      </c>
      <c r="M38" s="198">
        <v>54300</v>
      </c>
      <c r="N38" s="198">
        <v>79850</v>
      </c>
      <c r="O38" s="199">
        <f t="shared" si="4"/>
        <v>1287800</v>
      </c>
      <c r="P38" s="221"/>
    </row>
    <row r="39" spans="1:15" ht="15.75">
      <c r="A39" s="196" t="s">
        <v>237</v>
      </c>
      <c r="B39" s="200" t="s">
        <v>168</v>
      </c>
      <c r="C39" s="198"/>
      <c r="D39" s="198">
        <v>51562</v>
      </c>
      <c r="E39" s="198">
        <v>101600</v>
      </c>
      <c r="F39" s="198">
        <v>109982</v>
      </c>
      <c r="G39" s="198">
        <v>1200000</v>
      </c>
      <c r="H39" s="198"/>
      <c r="I39" s="198"/>
      <c r="J39" s="198"/>
      <c r="K39" s="198"/>
      <c r="L39" s="198"/>
      <c r="M39" s="198">
        <f>280797-152400</f>
        <v>128397</v>
      </c>
      <c r="N39" s="198">
        <v>7741929</v>
      </c>
      <c r="O39" s="199">
        <f t="shared" si="4"/>
        <v>9333470</v>
      </c>
    </row>
    <row r="40" spans="1:15" ht="15.75">
      <c r="A40" s="196" t="s">
        <v>244</v>
      </c>
      <c r="B40" s="200" t="s">
        <v>54</v>
      </c>
      <c r="C40" s="198"/>
      <c r="D40" s="198">
        <v>2800007</v>
      </c>
      <c r="E40" s="198"/>
      <c r="F40" s="198"/>
      <c r="G40" s="198"/>
      <c r="H40" s="198"/>
      <c r="I40" s="198"/>
      <c r="J40" s="198"/>
      <c r="K40" s="198"/>
      <c r="L40" s="198"/>
      <c r="M40" s="198">
        <v>508000</v>
      </c>
      <c r="N40" s="198"/>
      <c r="O40" s="199">
        <f t="shared" si="4"/>
        <v>3308007</v>
      </c>
    </row>
    <row r="41" spans="1:15" ht="20.25" customHeight="1">
      <c r="A41" s="196" t="s">
        <v>247</v>
      </c>
      <c r="B41" s="200" t="s">
        <v>238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9">
        <f t="shared" si="4"/>
        <v>0</v>
      </c>
    </row>
    <row r="42" spans="1:15" ht="20.25" customHeight="1">
      <c r="A42" s="196"/>
      <c r="B42" s="200" t="s">
        <v>314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>
        <f t="shared" si="4"/>
        <v>0</v>
      </c>
    </row>
    <row r="43" spans="1:15" ht="15.75">
      <c r="A43" s="196"/>
      <c r="B43" s="200" t="s">
        <v>315</v>
      </c>
      <c r="C43" s="198">
        <v>1000000</v>
      </c>
      <c r="D43" s="198"/>
      <c r="E43" s="198"/>
      <c r="F43" s="198"/>
      <c r="G43" s="198"/>
      <c r="H43" s="198"/>
      <c r="I43" s="198"/>
      <c r="J43" s="198"/>
      <c r="K43" s="198">
        <v>1000000</v>
      </c>
      <c r="L43" s="198"/>
      <c r="M43" s="198"/>
      <c r="N43" s="198"/>
      <c r="O43" s="199">
        <f t="shared" si="4"/>
        <v>2000000</v>
      </c>
    </row>
    <row r="44" spans="1:15" ht="15.75">
      <c r="A44" s="196" t="s">
        <v>249</v>
      </c>
      <c r="B44" s="200" t="s">
        <v>161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>
        <f t="shared" si="4"/>
        <v>0</v>
      </c>
    </row>
    <row r="45" spans="1:15" ht="15.75">
      <c r="A45" s="196"/>
      <c r="B45" s="232" t="s">
        <v>348</v>
      </c>
      <c r="C45" s="198"/>
      <c r="D45" s="198">
        <v>1240566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>
        <f t="shared" si="4"/>
        <v>1240566</v>
      </c>
    </row>
    <row r="46" spans="1:15" ht="15.75">
      <c r="A46" s="196"/>
      <c r="B46" s="200" t="s">
        <v>316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>
        <f t="shared" si="4"/>
        <v>0</v>
      </c>
    </row>
    <row r="47" spans="1:15" ht="15.75">
      <c r="A47" s="196"/>
      <c r="B47" s="200" t="s">
        <v>317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9">
        <f t="shared" si="4"/>
        <v>0</v>
      </c>
    </row>
    <row r="48" spans="1:16" ht="15.75">
      <c r="A48" s="196" t="s">
        <v>318</v>
      </c>
      <c r="B48" s="200" t="s">
        <v>319</v>
      </c>
      <c r="C48" s="198">
        <v>6255786</v>
      </c>
      <c r="D48" s="198"/>
      <c r="E48" s="198"/>
      <c r="F48" s="198"/>
      <c r="G48" s="198">
        <f>18481786-1200000</f>
        <v>17281786</v>
      </c>
      <c r="H48" s="198"/>
      <c r="I48" s="198"/>
      <c r="J48" s="198"/>
      <c r="K48" s="198"/>
      <c r="L48" s="198"/>
      <c r="M48" s="198"/>
      <c r="N48" s="198"/>
      <c r="O48" s="199">
        <f t="shared" si="4"/>
        <v>23537572</v>
      </c>
      <c r="P48" s="221"/>
    </row>
    <row r="49" spans="1:15" ht="16.5" thickBot="1">
      <c r="A49" s="206" t="s">
        <v>320</v>
      </c>
      <c r="B49" s="207" t="s">
        <v>321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9">
        <f t="shared" si="4"/>
        <v>0</v>
      </c>
    </row>
    <row r="50" spans="1:19" s="14" customFormat="1" ht="24" customHeight="1" thickBot="1">
      <c r="A50" s="208"/>
      <c r="B50" s="208" t="s">
        <v>322</v>
      </c>
      <c r="C50" s="209">
        <f aca="true" t="shared" si="5" ref="C50:N50">SUM(C32:C49)</f>
        <v>11306811</v>
      </c>
      <c r="D50" s="209">
        <f t="shared" si="5"/>
        <v>8628790</v>
      </c>
      <c r="E50" s="209">
        <f t="shared" si="5"/>
        <v>5308406</v>
      </c>
      <c r="F50" s="209">
        <f t="shared" si="5"/>
        <v>4456788</v>
      </c>
      <c r="G50" s="209">
        <f t="shared" si="5"/>
        <v>23425847</v>
      </c>
      <c r="H50" s="209">
        <f t="shared" si="5"/>
        <v>4496097</v>
      </c>
      <c r="I50" s="209">
        <f t="shared" si="5"/>
        <v>4621960</v>
      </c>
      <c r="J50" s="209">
        <f t="shared" si="5"/>
        <v>4946961</v>
      </c>
      <c r="K50" s="209">
        <f t="shared" si="5"/>
        <v>7256960</v>
      </c>
      <c r="L50" s="209">
        <f t="shared" si="5"/>
        <v>4411660</v>
      </c>
      <c r="M50" s="209">
        <f t="shared" si="5"/>
        <v>5157789</v>
      </c>
      <c r="N50" s="209">
        <f t="shared" si="5"/>
        <v>13148541</v>
      </c>
      <c r="O50" s="210">
        <f>SUM(O32:O49)</f>
        <v>97166610</v>
      </c>
      <c r="S50" s="214"/>
    </row>
    <row r="51" spans="1:15" ht="26.25" customHeight="1" thickBot="1">
      <c r="A51" s="215"/>
      <c r="B51" s="216" t="s">
        <v>323</v>
      </c>
      <c r="C51" s="217">
        <f aca="true" t="shared" si="6" ref="C51:N51">C30-C50</f>
        <v>8056950</v>
      </c>
      <c r="D51" s="217">
        <f t="shared" si="6"/>
        <v>29063611</v>
      </c>
      <c r="E51" s="217">
        <f t="shared" si="6"/>
        <v>29642839</v>
      </c>
      <c r="F51" s="217">
        <f t="shared" si="6"/>
        <v>29005584</v>
      </c>
      <c r="G51" s="217">
        <f t="shared" si="6"/>
        <v>9371270</v>
      </c>
      <c r="H51" s="217">
        <f t="shared" si="6"/>
        <v>8460706</v>
      </c>
      <c r="I51" s="217">
        <f t="shared" si="6"/>
        <v>7343279</v>
      </c>
      <c r="J51" s="217">
        <f t="shared" si="6"/>
        <v>9503051</v>
      </c>
      <c r="K51" s="217">
        <f t="shared" si="6"/>
        <v>7869624</v>
      </c>
      <c r="L51" s="217">
        <f t="shared" si="6"/>
        <v>7030497</v>
      </c>
      <c r="M51" s="217">
        <f t="shared" si="6"/>
        <v>6361008</v>
      </c>
      <c r="N51" s="217">
        <f t="shared" si="6"/>
        <v>0</v>
      </c>
      <c r="O51" s="218"/>
    </row>
    <row r="53" spans="3:15" ht="15.75"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</row>
    <row r="54" ht="15.75">
      <c r="O54" s="220"/>
    </row>
    <row r="55" ht="15.75">
      <c r="O55" s="220"/>
    </row>
    <row r="56" ht="15.75">
      <c r="O56" s="220"/>
    </row>
    <row r="57" ht="15.75">
      <c r="O57" s="220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zoomScalePageLayoutView="0" workbookViewId="0" topLeftCell="A1">
      <selection activeCell="A5" sqref="A5:N5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387" t="s">
        <v>497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3" spans="1:4" ht="12.75">
      <c r="A3" s="393" t="s">
        <v>496</v>
      </c>
      <c r="B3" s="393"/>
      <c r="C3" s="393"/>
      <c r="D3" s="393"/>
    </row>
    <row r="5" spans="1:14" ht="18.75" customHeight="1">
      <c r="A5" s="488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</row>
    <row r="6" spans="1:14" ht="18" customHeight="1">
      <c r="A6" s="488" t="s">
        <v>415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</row>
    <row r="7" spans="1:14" ht="16.5" customHeight="1">
      <c r="A7" s="488" t="s">
        <v>416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</row>
    <row r="8" spans="1:14" ht="16.5" customHeight="1">
      <c r="A8" s="488" t="s">
        <v>442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</row>
    <row r="10" ht="13.5" thickBot="1">
      <c r="N10" s="350" t="s">
        <v>417</v>
      </c>
    </row>
    <row r="11" spans="1:14" ht="21" customHeight="1" thickBot="1">
      <c r="A11" s="512" t="s">
        <v>418</v>
      </c>
      <c r="B11" s="508" t="s">
        <v>0</v>
      </c>
      <c r="C11" s="509" t="s">
        <v>419</v>
      </c>
      <c r="D11" s="510" t="s">
        <v>420</v>
      </c>
      <c r="E11" s="510"/>
      <c r="F11" s="510"/>
      <c r="G11" s="510"/>
      <c r="H11" s="510"/>
      <c r="I11" s="511" t="s">
        <v>421</v>
      </c>
      <c r="J11" s="511"/>
      <c r="K11" s="511"/>
      <c r="L11" s="511"/>
      <c r="M11" s="511" t="s">
        <v>422</v>
      </c>
      <c r="N11" s="511"/>
    </row>
    <row r="12" spans="1:14" ht="63" customHeight="1" thickBot="1">
      <c r="A12" s="512"/>
      <c r="B12" s="508"/>
      <c r="C12" s="509"/>
      <c r="D12" s="351" t="s">
        <v>423</v>
      </c>
      <c r="E12" s="351" t="s">
        <v>424</v>
      </c>
      <c r="F12" s="351" t="s">
        <v>420</v>
      </c>
      <c r="G12" s="351" t="s">
        <v>425</v>
      </c>
      <c r="H12" s="351" t="s">
        <v>426</v>
      </c>
      <c r="I12" s="351" t="s">
        <v>427</v>
      </c>
      <c r="J12" s="351" t="s">
        <v>421</v>
      </c>
      <c r="K12" s="351" t="s">
        <v>434</v>
      </c>
      <c r="L12" s="351" t="s">
        <v>428</v>
      </c>
      <c r="M12" s="351" t="s">
        <v>429</v>
      </c>
      <c r="N12" s="351" t="s">
        <v>430</v>
      </c>
    </row>
    <row r="13" spans="1:14" ht="16.5" customHeight="1" thickBot="1">
      <c r="A13" s="352" t="s">
        <v>33</v>
      </c>
      <c r="B13" s="352" t="s">
        <v>431</v>
      </c>
      <c r="C13" s="353">
        <f>H13+M13+L13+N13</f>
        <v>81143449</v>
      </c>
      <c r="D13" s="353">
        <v>31063538</v>
      </c>
      <c r="E13" s="353">
        <v>7813000</v>
      </c>
      <c r="F13" s="353">
        <v>6687685</v>
      </c>
      <c r="G13" s="352"/>
      <c r="H13" s="353">
        <f>D13+E13+F13</f>
        <v>45564223</v>
      </c>
      <c r="I13" s="353">
        <v>15833638</v>
      </c>
      <c r="J13" s="353"/>
      <c r="K13" s="353">
        <v>6346850</v>
      </c>
      <c r="L13" s="353">
        <f>I13+J13+K13</f>
        <v>22180488</v>
      </c>
      <c r="M13" s="353">
        <f>6216573+109982+3000+18481786</f>
        <v>24811341</v>
      </c>
      <c r="N13" s="353">
        <v>-11412603</v>
      </c>
    </row>
    <row r="14" spans="1:14" ht="18.75" customHeight="1" thickBot="1">
      <c r="A14" s="352" t="s">
        <v>17</v>
      </c>
      <c r="B14" s="352" t="s">
        <v>432</v>
      </c>
      <c r="C14" s="353">
        <f>H14+N14+M14</f>
        <v>16023161</v>
      </c>
      <c r="D14" s="352">
        <v>259101</v>
      </c>
      <c r="E14" s="352"/>
      <c r="F14" s="353">
        <v>3417880</v>
      </c>
      <c r="G14" s="352"/>
      <c r="H14" s="353">
        <f>D14+E14+F14</f>
        <v>3676981</v>
      </c>
      <c r="I14" s="353"/>
      <c r="J14" s="353"/>
      <c r="K14" s="353"/>
      <c r="L14" s="352"/>
      <c r="M14" s="353">
        <v>933577</v>
      </c>
      <c r="N14" s="353">
        <v>11412603</v>
      </c>
    </row>
    <row r="15" spans="1:14" ht="20.25" customHeight="1" thickBot="1">
      <c r="A15" s="352" t="s">
        <v>34</v>
      </c>
      <c r="B15" s="352" t="s">
        <v>433</v>
      </c>
      <c r="C15" s="353">
        <f>C13+C14</f>
        <v>97166610</v>
      </c>
      <c r="D15" s="353">
        <f aca="true" t="shared" si="0" ref="D15:N15">D13+D14</f>
        <v>31322639</v>
      </c>
      <c r="E15" s="353">
        <f t="shared" si="0"/>
        <v>7813000</v>
      </c>
      <c r="F15" s="353">
        <f t="shared" si="0"/>
        <v>10105565</v>
      </c>
      <c r="G15" s="353">
        <f t="shared" si="0"/>
        <v>0</v>
      </c>
      <c r="H15" s="353">
        <f t="shared" si="0"/>
        <v>49241204</v>
      </c>
      <c r="I15" s="353">
        <f t="shared" si="0"/>
        <v>15833638</v>
      </c>
      <c r="J15" s="353">
        <f t="shared" si="0"/>
        <v>0</v>
      </c>
      <c r="K15" s="353">
        <f t="shared" si="0"/>
        <v>6346850</v>
      </c>
      <c r="L15" s="353">
        <f t="shared" si="0"/>
        <v>22180488</v>
      </c>
      <c r="M15" s="353">
        <f t="shared" si="0"/>
        <v>25744918</v>
      </c>
      <c r="N15" s="353">
        <f t="shared" si="0"/>
        <v>0</v>
      </c>
    </row>
    <row r="24" ht="12.75">
      <c r="B24" s="354"/>
    </row>
  </sheetData>
  <sheetProtection/>
  <mergeCells count="12">
    <mergeCell ref="A11:A12"/>
    <mergeCell ref="A3:D3"/>
    <mergeCell ref="A5:N5"/>
    <mergeCell ref="A6:N6"/>
    <mergeCell ref="A7:N7"/>
    <mergeCell ref="A8:N8"/>
    <mergeCell ref="B11:B12"/>
    <mergeCell ref="C11:C12"/>
    <mergeCell ref="D11:H11"/>
    <mergeCell ref="I11:L11"/>
    <mergeCell ref="M11:N11"/>
    <mergeCell ref="B1:N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2"/>
  <sheetViews>
    <sheetView zoomScalePageLayoutView="0" workbookViewId="0" topLeftCell="A1">
      <selection activeCell="B8" sqref="B8:F8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42" customWidth="1"/>
    <col min="4" max="4" width="4.875" style="4" customWidth="1"/>
    <col min="5" max="5" width="16.375" style="4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386" t="s">
        <v>507</v>
      </c>
      <c r="B1" s="387"/>
      <c r="C1" s="387"/>
      <c r="D1" s="387"/>
      <c r="E1" s="387"/>
      <c r="F1" s="387"/>
      <c r="G1" s="370"/>
    </row>
    <row r="3" spans="1:6" ht="15">
      <c r="A3" s="391" t="s">
        <v>458</v>
      </c>
      <c r="B3" s="392"/>
      <c r="C3" s="392"/>
      <c r="D3" s="392"/>
      <c r="E3" s="392"/>
      <c r="F3" s="392"/>
    </row>
    <row r="4" spans="2:6" ht="15">
      <c r="B4" s="66"/>
      <c r="C4" s="66"/>
      <c r="D4" s="66"/>
      <c r="E4" s="66"/>
      <c r="F4" s="66"/>
    </row>
    <row r="5" spans="2:6" s="37" customFormat="1" ht="15.75">
      <c r="B5" s="390"/>
      <c r="C5" s="390"/>
      <c r="D5" s="390"/>
      <c r="E5" s="390"/>
      <c r="F5" s="390"/>
    </row>
    <row r="6" spans="2:6" s="37" customFormat="1" ht="15.75">
      <c r="B6" s="389" t="s">
        <v>30</v>
      </c>
      <c r="C6" s="389"/>
      <c r="D6" s="389"/>
      <c r="E6" s="389"/>
      <c r="F6" s="389"/>
    </row>
    <row r="7" spans="2:6" ht="15.75">
      <c r="B7" s="389" t="s">
        <v>134</v>
      </c>
      <c r="C7" s="389"/>
      <c r="D7" s="389"/>
      <c r="E7" s="389"/>
      <c r="F7" s="389"/>
    </row>
    <row r="8" spans="2:6" ht="12.75" customHeight="1">
      <c r="B8" s="388" t="s">
        <v>439</v>
      </c>
      <c r="C8" s="388"/>
      <c r="D8" s="388"/>
      <c r="E8" s="388"/>
      <c r="F8" s="388"/>
    </row>
    <row r="9" spans="2:6" s="1" customFormat="1" ht="15">
      <c r="B9" s="4"/>
      <c r="C9" s="42"/>
      <c r="D9" s="4"/>
      <c r="E9" s="34"/>
      <c r="F9" s="4"/>
    </row>
    <row r="10" spans="1:5" s="1" customFormat="1" ht="18.75">
      <c r="A10" s="273" t="s">
        <v>33</v>
      </c>
      <c r="B10" s="83" t="s">
        <v>135</v>
      </c>
      <c r="C10" s="43"/>
      <c r="E10" s="84"/>
    </row>
    <row r="11" spans="1:6" ht="15.75">
      <c r="A11" s="273" t="s">
        <v>369</v>
      </c>
      <c r="B11" s="7" t="s">
        <v>136</v>
      </c>
      <c r="C11" s="43"/>
      <c r="D11" s="1"/>
      <c r="E11" s="85">
        <f>C12+C13</f>
        <v>31322639</v>
      </c>
      <c r="F11" s="1" t="s">
        <v>352</v>
      </c>
    </row>
    <row r="12" spans="1:8" ht="15.75">
      <c r="A12" s="273" t="s">
        <v>370</v>
      </c>
      <c r="B12" s="86" t="s">
        <v>137</v>
      </c>
      <c r="C12" s="42">
        <f>'2.mell - bevétel'!H52</f>
        <v>31017138</v>
      </c>
      <c r="D12" s="4" t="s">
        <v>5</v>
      </c>
      <c r="E12" s="34"/>
      <c r="H12" s="60"/>
    </row>
    <row r="13" spans="1:6" s="1" customFormat="1" ht="15.75" customHeight="1">
      <c r="A13" s="273" t="s">
        <v>371</v>
      </c>
      <c r="B13" s="86" t="s">
        <v>138</v>
      </c>
      <c r="C13" s="42">
        <f>'2.mell - bevétel'!H57</f>
        <v>305501</v>
      </c>
      <c r="D13" s="4" t="s">
        <v>5</v>
      </c>
      <c r="E13" s="34"/>
      <c r="F13" s="4"/>
    </row>
    <row r="14" spans="1:5" s="1" customFormat="1" ht="15.75">
      <c r="A14" s="273"/>
      <c r="B14" s="7"/>
      <c r="C14" s="43"/>
      <c r="E14" s="85"/>
    </row>
    <row r="15" spans="1:6" s="1" customFormat="1" ht="15.75">
      <c r="A15" s="273" t="s">
        <v>372</v>
      </c>
      <c r="B15" s="7" t="s">
        <v>139</v>
      </c>
      <c r="C15" s="43"/>
      <c r="E15" s="85">
        <f>'2.mell - bevétel'!H59</f>
        <v>15833638</v>
      </c>
      <c r="F15" s="1" t="s">
        <v>352</v>
      </c>
    </row>
    <row r="16" spans="1:5" s="1" customFormat="1" ht="15.75">
      <c r="A16" s="273"/>
      <c r="B16" s="7"/>
      <c r="C16" s="43"/>
      <c r="E16" s="85"/>
    </row>
    <row r="17" spans="1:6" s="1" customFormat="1" ht="15.75">
      <c r="A17" s="273" t="s">
        <v>373</v>
      </c>
      <c r="B17" s="7" t="s">
        <v>93</v>
      </c>
      <c r="C17" s="43"/>
      <c r="E17" s="85">
        <f>'2.mell - bevétel'!G78</f>
        <v>7813000</v>
      </c>
      <c r="F17" s="1" t="s">
        <v>352</v>
      </c>
    </row>
    <row r="18" spans="1:8" s="1" customFormat="1" ht="15.75">
      <c r="A18" s="273"/>
      <c r="B18" s="7"/>
      <c r="C18" s="43"/>
      <c r="E18" s="85"/>
      <c r="H18" s="61"/>
    </row>
    <row r="19" spans="1:6" s="1" customFormat="1" ht="15.75">
      <c r="A19" s="273" t="s">
        <v>374</v>
      </c>
      <c r="B19" s="7" t="s">
        <v>44</v>
      </c>
      <c r="C19" s="43"/>
      <c r="E19" s="85">
        <f>'2.mell - bevétel'!H100</f>
        <v>10105565</v>
      </c>
      <c r="F19" s="1" t="s">
        <v>352</v>
      </c>
    </row>
    <row r="20" spans="1:5" s="1" customFormat="1" ht="15.75">
      <c r="A20" s="273"/>
      <c r="B20" s="8"/>
      <c r="C20" s="44"/>
      <c r="E20" s="85"/>
    </row>
    <row r="21" spans="1:5" s="1" customFormat="1" ht="15.75">
      <c r="A21" s="273" t="s">
        <v>375</v>
      </c>
      <c r="B21" s="7" t="s">
        <v>140</v>
      </c>
      <c r="C21" s="43"/>
      <c r="E21" s="85"/>
    </row>
    <row r="22" spans="1:5" s="1" customFormat="1" ht="15.75">
      <c r="A22" s="273"/>
      <c r="B22" s="8"/>
      <c r="C22" s="43"/>
      <c r="E22" s="85"/>
    </row>
    <row r="23" spans="1:6" s="1" customFormat="1" ht="15.75">
      <c r="A23" s="273" t="s">
        <v>376</v>
      </c>
      <c r="B23" s="7" t="s">
        <v>141</v>
      </c>
      <c r="E23" s="85">
        <f>C24+C25</f>
        <v>0</v>
      </c>
      <c r="F23" s="1" t="s">
        <v>352</v>
      </c>
    </row>
    <row r="24" spans="1:8" s="6" customFormat="1" ht="32.25">
      <c r="A24" s="274" t="s">
        <v>377</v>
      </c>
      <c r="B24" s="86" t="s">
        <v>142</v>
      </c>
      <c r="C24" s="44">
        <v>0</v>
      </c>
      <c r="D24" s="1" t="s">
        <v>5</v>
      </c>
      <c r="E24" s="85"/>
      <c r="F24" s="1"/>
      <c r="G24" s="1"/>
      <c r="H24" s="62"/>
    </row>
    <row r="25" spans="1:8" ht="18.75">
      <c r="A25" s="273"/>
      <c r="B25" s="37" t="s">
        <v>143</v>
      </c>
      <c r="C25" s="43">
        <v>0</v>
      </c>
      <c r="D25" s="1" t="s">
        <v>5</v>
      </c>
      <c r="E25" s="85"/>
      <c r="F25" s="1"/>
      <c r="G25" s="6"/>
      <c r="H25" s="63"/>
    </row>
    <row r="26" spans="1:8" s="1" customFormat="1" ht="18.75">
      <c r="A26" s="273"/>
      <c r="B26" s="51"/>
      <c r="C26" s="42"/>
      <c r="D26" s="4"/>
      <c r="E26" s="87"/>
      <c r="F26" s="6"/>
      <c r="H26" s="64"/>
    </row>
    <row r="27" spans="1:6" s="1" customFormat="1" ht="15.75">
      <c r="A27" s="273" t="s">
        <v>378</v>
      </c>
      <c r="B27" s="7" t="s">
        <v>121</v>
      </c>
      <c r="C27" s="43"/>
      <c r="E27" s="85">
        <f>C28+C29</f>
        <v>6346850</v>
      </c>
      <c r="F27" s="1" t="s">
        <v>352</v>
      </c>
    </row>
    <row r="28" spans="1:5" s="1" customFormat="1" ht="31.5">
      <c r="A28" s="273" t="s">
        <v>379</v>
      </c>
      <c r="B28" s="86" t="s">
        <v>144</v>
      </c>
      <c r="C28" s="43">
        <f>'2.mell - bevétel'!H108</f>
        <v>346850</v>
      </c>
      <c r="D28" s="1" t="s">
        <v>5</v>
      </c>
      <c r="E28" s="85"/>
    </row>
    <row r="29" spans="1:5" s="1" customFormat="1" ht="15.75">
      <c r="A29" s="273" t="s">
        <v>380</v>
      </c>
      <c r="B29" s="37" t="s">
        <v>145</v>
      </c>
      <c r="C29" s="43">
        <f>'2.mell - bevétel'!H109</f>
        <v>6000000</v>
      </c>
      <c r="D29" s="1" t="s">
        <v>5</v>
      </c>
      <c r="E29" s="85"/>
    </row>
    <row r="30" spans="1:5" s="1" customFormat="1" ht="15.75">
      <c r="A30" s="273"/>
      <c r="B30" s="51"/>
      <c r="E30" s="84"/>
    </row>
    <row r="31" spans="1:6" s="1" customFormat="1" ht="15.75">
      <c r="A31" s="273" t="s">
        <v>17</v>
      </c>
      <c r="B31" s="7" t="s">
        <v>35</v>
      </c>
      <c r="E31" s="88">
        <f>SUM(E11:E30)</f>
        <v>71421692</v>
      </c>
      <c r="F31" s="1" t="s">
        <v>352</v>
      </c>
    </row>
    <row r="32" spans="1:5" s="1" customFormat="1" ht="15.75">
      <c r="A32" s="273"/>
      <c r="B32" s="37"/>
      <c r="E32" s="84"/>
    </row>
    <row r="33" spans="1:5" s="1" customFormat="1" ht="18.75">
      <c r="A33" s="273" t="s">
        <v>34</v>
      </c>
      <c r="B33" s="83" t="s">
        <v>146</v>
      </c>
      <c r="E33" s="84"/>
    </row>
    <row r="34" spans="1:6" s="1" customFormat="1" ht="15.75">
      <c r="A34" s="273" t="s">
        <v>381</v>
      </c>
      <c r="B34" s="9" t="s">
        <v>10</v>
      </c>
      <c r="C34" s="43"/>
      <c r="E34" s="85">
        <f>C36+C37+C38+C39+C40+C41</f>
        <v>81284567</v>
      </c>
      <c r="F34" s="1" t="s">
        <v>352</v>
      </c>
    </row>
    <row r="35" spans="1:5" s="1" customFormat="1" ht="15.75">
      <c r="A35" s="273"/>
      <c r="B35" s="8" t="s">
        <v>9</v>
      </c>
      <c r="C35" s="43"/>
      <c r="E35" s="85"/>
    </row>
    <row r="36" spans="1:5" s="1" customFormat="1" ht="15.75">
      <c r="A36" s="273" t="s">
        <v>382</v>
      </c>
      <c r="B36" s="37" t="s">
        <v>147</v>
      </c>
      <c r="C36" s="43">
        <f>'4.mell. - kiadás'!E45</f>
        <v>23495506</v>
      </c>
      <c r="D36" s="1" t="s">
        <v>352</v>
      </c>
      <c r="E36" s="85"/>
    </row>
    <row r="37" spans="1:5" s="1" customFormat="1" ht="15.75">
      <c r="A37" s="273" t="s">
        <v>383</v>
      </c>
      <c r="B37" s="37" t="s">
        <v>148</v>
      </c>
      <c r="C37" s="43">
        <f>'4.mell. - kiadás'!F45</f>
        <v>4535321</v>
      </c>
      <c r="D37" s="1" t="s">
        <v>352</v>
      </c>
      <c r="E37" s="85"/>
    </row>
    <row r="38" spans="1:5" s="1" customFormat="1" ht="15.75">
      <c r="A38" s="273" t="s">
        <v>384</v>
      </c>
      <c r="B38" s="37" t="s">
        <v>149</v>
      </c>
      <c r="C38" s="43">
        <f>'4.mell. - kiadás'!G45</f>
        <v>24113968</v>
      </c>
      <c r="D38" s="1" t="s">
        <v>352</v>
      </c>
      <c r="E38" s="85"/>
    </row>
    <row r="39" spans="1:5" s="1" customFormat="1" ht="15.75">
      <c r="A39" s="273" t="s">
        <v>385</v>
      </c>
      <c r="B39" s="89" t="s">
        <v>150</v>
      </c>
      <c r="C39" s="43">
        <f>'4.mell. - kiadás'!H45</f>
        <v>3061400</v>
      </c>
      <c r="D39" s="1" t="s">
        <v>352</v>
      </c>
      <c r="E39" s="85"/>
    </row>
    <row r="40" spans="1:5" s="1" customFormat="1" ht="15.75">
      <c r="A40" s="273" t="s">
        <v>392</v>
      </c>
      <c r="B40" s="37" t="s">
        <v>56</v>
      </c>
      <c r="C40" s="43">
        <f>'4.mell. - kiadás'!I45-C41</f>
        <v>2540800</v>
      </c>
      <c r="D40" s="1" t="s">
        <v>352</v>
      </c>
      <c r="E40" s="85"/>
    </row>
    <row r="41" spans="1:5" s="1" customFormat="1" ht="15.75">
      <c r="A41" s="273" t="s">
        <v>399</v>
      </c>
      <c r="B41" s="37" t="s">
        <v>398</v>
      </c>
      <c r="C41" s="44">
        <f>6255786+18481786-1200000</f>
        <v>23537572</v>
      </c>
      <c r="D41" s="1" t="s">
        <v>1</v>
      </c>
      <c r="E41" s="85"/>
    </row>
    <row r="42" spans="1:6" s="1" customFormat="1" ht="15.75">
      <c r="A42" s="273" t="s">
        <v>386</v>
      </c>
      <c r="B42" s="9" t="s">
        <v>11</v>
      </c>
      <c r="C42" s="43"/>
      <c r="E42" s="90">
        <f>C44+C45+C46</f>
        <v>14641477</v>
      </c>
      <c r="F42" s="1" t="s">
        <v>352</v>
      </c>
    </row>
    <row r="43" spans="1:5" s="1" customFormat="1" ht="15.75">
      <c r="A43" s="273"/>
      <c r="B43" s="8" t="s">
        <v>9</v>
      </c>
      <c r="C43" s="43"/>
      <c r="E43" s="85"/>
    </row>
    <row r="44" spans="1:5" s="1" customFormat="1" ht="15.75">
      <c r="A44" s="273" t="s">
        <v>393</v>
      </c>
      <c r="B44" s="37" t="s">
        <v>151</v>
      </c>
      <c r="C44" s="44">
        <f>'4.mell. - kiadás'!K45</f>
        <v>9333470</v>
      </c>
      <c r="D44" s="1" t="s">
        <v>352</v>
      </c>
      <c r="E44" s="85"/>
    </row>
    <row r="45" spans="1:5" s="1" customFormat="1" ht="15.75">
      <c r="A45" s="273" t="s">
        <v>387</v>
      </c>
      <c r="B45" s="37" t="s">
        <v>152</v>
      </c>
      <c r="C45" s="44">
        <f>'4.mell. - kiadás'!L45</f>
        <v>3308007</v>
      </c>
      <c r="D45" s="1" t="s">
        <v>352</v>
      </c>
      <c r="E45" s="85"/>
    </row>
    <row r="46" spans="1:7" ht="15.75">
      <c r="A46" s="273" t="s">
        <v>388</v>
      </c>
      <c r="B46" s="37" t="s">
        <v>57</v>
      </c>
      <c r="C46" s="44">
        <f>'4.mell. - kiadás'!M45</f>
        <v>2000000</v>
      </c>
      <c r="D46" s="1" t="s">
        <v>352</v>
      </c>
      <c r="E46" s="85"/>
      <c r="F46" s="1"/>
      <c r="G46" s="1"/>
    </row>
    <row r="47" s="1" customFormat="1" ht="7.5" customHeight="1">
      <c r="E47" s="85"/>
    </row>
    <row r="48" spans="1:6" s="1" customFormat="1" ht="15.75">
      <c r="A48" s="273" t="s">
        <v>79</v>
      </c>
      <c r="B48" s="14" t="s">
        <v>153</v>
      </c>
      <c r="C48" s="44"/>
      <c r="E48" s="85">
        <f>C49+C50+C51</f>
        <v>1240566</v>
      </c>
      <c r="F48" s="1" t="s">
        <v>352</v>
      </c>
    </row>
    <row r="49" spans="1:5" s="1" customFormat="1" ht="15.75">
      <c r="A49" s="273" t="s">
        <v>389</v>
      </c>
      <c r="B49" s="37" t="s">
        <v>154</v>
      </c>
      <c r="C49" s="43"/>
      <c r="D49" s="1" t="s">
        <v>352</v>
      </c>
      <c r="E49" s="85"/>
    </row>
    <row r="50" spans="1:7" s="6" customFormat="1" ht="18.75">
      <c r="A50" s="275" t="s">
        <v>390</v>
      </c>
      <c r="B50" s="37" t="s">
        <v>155</v>
      </c>
      <c r="C50" s="43"/>
      <c r="D50" s="1" t="s">
        <v>352</v>
      </c>
      <c r="E50" s="85"/>
      <c r="F50" s="1"/>
      <c r="G50" s="4"/>
    </row>
    <row r="51" spans="1:7" ht="15.75">
      <c r="A51" s="273" t="s">
        <v>391</v>
      </c>
      <c r="B51" s="37" t="s">
        <v>347</v>
      </c>
      <c r="C51" s="44">
        <f>'4.mell. - kiadás'!O17</f>
        <v>1240566</v>
      </c>
      <c r="D51" s="1" t="s">
        <v>352</v>
      </c>
      <c r="E51" s="85"/>
      <c r="F51" s="1"/>
      <c r="G51" s="1"/>
    </row>
    <row r="52" spans="1:7" ht="15.75">
      <c r="A52" s="273" t="s">
        <v>80</v>
      </c>
      <c r="B52" s="7" t="s">
        <v>36</v>
      </c>
      <c r="C52" s="44"/>
      <c r="D52" s="1"/>
      <c r="E52" s="34">
        <f>SUM(E34:E51)</f>
        <v>97166610</v>
      </c>
      <c r="F52" s="4" t="s">
        <v>352</v>
      </c>
      <c r="G52" s="1"/>
    </row>
    <row r="53" spans="1:7" ht="15.75">
      <c r="A53" s="273"/>
      <c r="B53" s="37"/>
      <c r="C53" s="43"/>
      <c r="D53" s="1"/>
      <c r="E53" s="90"/>
      <c r="F53" s="1"/>
      <c r="G53" s="1"/>
    </row>
    <row r="54" spans="1:7" ht="18.75">
      <c r="A54" s="273" t="s">
        <v>86</v>
      </c>
      <c r="B54" s="7" t="s">
        <v>37</v>
      </c>
      <c r="C54" s="43"/>
      <c r="D54" s="1"/>
      <c r="E54" s="34">
        <f>E31-E52</f>
        <v>-25744918</v>
      </c>
      <c r="F54" s="4" t="s">
        <v>352</v>
      </c>
      <c r="G54" s="6"/>
    </row>
    <row r="55" spans="1:5" ht="15.75">
      <c r="A55" s="273"/>
      <c r="B55" s="37"/>
      <c r="C55" s="43"/>
      <c r="D55" s="1"/>
      <c r="E55" s="34"/>
    </row>
    <row r="56" spans="1:6" ht="32.25">
      <c r="A56" s="273" t="s">
        <v>214</v>
      </c>
      <c r="B56" s="78" t="s">
        <v>450</v>
      </c>
      <c r="C56" s="45"/>
      <c r="D56" s="6"/>
      <c r="E56" s="34">
        <f>'2.mell - bevétel'!H116</f>
        <v>4976007</v>
      </c>
      <c r="F56" s="4" t="s">
        <v>352</v>
      </c>
    </row>
    <row r="57" spans="1:7" s="1" customFormat="1" ht="15.75">
      <c r="A57" s="273" t="s">
        <v>216</v>
      </c>
      <c r="B57" s="16" t="s">
        <v>447</v>
      </c>
      <c r="C57" s="42"/>
      <c r="D57" s="4"/>
      <c r="E57" s="34">
        <f>'4.mell. - kiadás'!O17</f>
        <v>1240566</v>
      </c>
      <c r="F57" s="4"/>
      <c r="G57" s="4"/>
    </row>
    <row r="58" spans="1:7" s="1" customFormat="1" ht="21.75" customHeight="1">
      <c r="A58" s="273" t="s">
        <v>218</v>
      </c>
      <c r="B58" s="16" t="s">
        <v>461</v>
      </c>
      <c r="C58" s="42"/>
      <c r="D58" s="4"/>
      <c r="E58" s="34">
        <f>109982+3000+18481786+933577</f>
        <v>19528345</v>
      </c>
      <c r="F58" s="4" t="s">
        <v>1</v>
      </c>
      <c r="G58" s="4"/>
    </row>
    <row r="59" spans="1:6" ht="15.75">
      <c r="A59" s="276" t="s">
        <v>224</v>
      </c>
      <c r="B59" s="7" t="s">
        <v>395</v>
      </c>
      <c r="E59" s="34">
        <f>E54+E56+E57+E58</f>
        <v>0</v>
      </c>
      <c r="F59" s="4" t="s">
        <v>352</v>
      </c>
    </row>
    <row r="60" spans="2:5" s="1" customFormat="1" ht="10.5" customHeight="1">
      <c r="B60" s="5"/>
      <c r="C60" s="43"/>
      <c r="E60" s="17"/>
    </row>
    <row r="61" spans="2:6" ht="15.75">
      <c r="B61" s="5"/>
      <c r="C61" s="43"/>
      <c r="D61" s="1"/>
      <c r="E61" s="17"/>
      <c r="F61" s="7"/>
    </row>
    <row r="62" spans="2:6" ht="15.75">
      <c r="B62" s="7"/>
      <c r="E62" s="18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K156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50" customWidth="1"/>
    <col min="2" max="5" width="3.125" style="49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386" t="s">
        <v>506</v>
      </c>
      <c r="B3" s="387"/>
      <c r="C3" s="387"/>
      <c r="D3" s="387"/>
      <c r="E3" s="387"/>
      <c r="F3" s="387"/>
      <c r="G3" s="393"/>
      <c r="H3" s="393"/>
      <c r="I3" s="393"/>
    </row>
    <row r="4" spans="1:9" ht="15.75">
      <c r="A4" s="391" t="s">
        <v>457</v>
      </c>
      <c r="B4" s="391"/>
      <c r="C4" s="391"/>
      <c r="D4" s="391"/>
      <c r="E4" s="391"/>
      <c r="F4" s="391"/>
      <c r="G4" s="391"/>
      <c r="H4" s="391"/>
      <c r="I4" s="391"/>
    </row>
    <row r="5" spans="1:9" s="9" customFormat="1" ht="15.75">
      <c r="A5" s="414" t="s">
        <v>4</v>
      </c>
      <c r="B5" s="414"/>
      <c r="C5" s="414"/>
      <c r="D5" s="414"/>
      <c r="E5" s="414"/>
      <c r="F5" s="414"/>
      <c r="G5" s="414"/>
      <c r="H5" s="414"/>
      <c r="I5" s="414"/>
    </row>
    <row r="6" spans="1:9" s="9" customFormat="1" ht="15.75">
      <c r="A6" s="414" t="s">
        <v>27</v>
      </c>
      <c r="B6" s="414"/>
      <c r="C6" s="414"/>
      <c r="D6" s="414"/>
      <c r="E6" s="414"/>
      <c r="F6" s="414"/>
      <c r="G6" s="414"/>
      <c r="H6" s="414"/>
      <c r="I6" s="414"/>
    </row>
    <row r="7" spans="1:9" ht="15.75">
      <c r="A7" s="414" t="s">
        <v>442</v>
      </c>
      <c r="B7" s="414"/>
      <c r="C7" s="414"/>
      <c r="D7" s="414"/>
      <c r="E7" s="414"/>
      <c r="F7" s="414"/>
      <c r="G7" s="414"/>
      <c r="H7" s="414"/>
      <c r="I7" s="414"/>
    </row>
    <row r="8" ht="15.75" hidden="1"/>
    <row r="9" spans="1:9" ht="15.75">
      <c r="A9" s="404"/>
      <c r="B9" s="404"/>
      <c r="C9" s="404"/>
      <c r="D9" s="404"/>
      <c r="E9" s="404"/>
      <c r="F9" s="404"/>
      <c r="G9" s="404"/>
      <c r="H9" s="404"/>
      <c r="I9" s="404"/>
    </row>
    <row r="10" spans="8:9" ht="16.5" thickBot="1">
      <c r="H10" s="52"/>
      <c r="I10" s="53" t="s">
        <v>349</v>
      </c>
    </row>
    <row r="11" spans="1:9" ht="15.75">
      <c r="A11" s="405" t="s">
        <v>14</v>
      </c>
      <c r="B11" s="406"/>
      <c r="C11" s="406"/>
      <c r="D11" s="406"/>
      <c r="E11" s="406"/>
      <c r="F11" s="407"/>
      <c r="G11" s="54" t="s">
        <v>12</v>
      </c>
      <c r="H11" s="54" t="s">
        <v>12</v>
      </c>
      <c r="I11" s="54" t="s">
        <v>13</v>
      </c>
    </row>
    <row r="12" spans="1:9" ht="15.75">
      <c r="A12" s="408"/>
      <c r="B12" s="409"/>
      <c r="C12" s="409"/>
      <c r="D12" s="409"/>
      <c r="E12" s="409"/>
      <c r="F12" s="410"/>
      <c r="G12" s="55" t="s">
        <v>8</v>
      </c>
      <c r="H12" s="55" t="s">
        <v>8</v>
      </c>
      <c r="I12" s="55"/>
    </row>
    <row r="13" spans="1:9" ht="16.5" thickBot="1">
      <c r="A13" s="411"/>
      <c r="B13" s="412"/>
      <c r="C13" s="412"/>
      <c r="D13" s="412"/>
      <c r="E13" s="412"/>
      <c r="F13" s="413"/>
      <c r="G13" s="56" t="s">
        <v>401</v>
      </c>
      <c r="H13" s="56" t="s">
        <v>442</v>
      </c>
      <c r="I13" s="56" t="s">
        <v>15</v>
      </c>
    </row>
    <row r="14" spans="1:9" ht="6.75" customHeight="1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ht="15.75">
      <c r="A15" s="14" t="s">
        <v>38</v>
      </c>
      <c r="B15" s="396" t="s">
        <v>61</v>
      </c>
      <c r="C15" s="396"/>
      <c r="D15" s="396"/>
      <c r="E15" s="396"/>
      <c r="F15" s="396"/>
      <c r="G15" s="68"/>
      <c r="H15" s="69"/>
      <c r="I15" s="68"/>
    </row>
    <row r="16" spans="1:9" ht="15.75">
      <c r="A16" s="14"/>
      <c r="B16" s="14" t="s">
        <v>38</v>
      </c>
      <c r="C16" s="14" t="s">
        <v>62</v>
      </c>
      <c r="D16" s="14"/>
      <c r="E16" s="14"/>
      <c r="F16" s="14"/>
      <c r="G16" s="32"/>
      <c r="H16" s="32"/>
      <c r="I16" s="14"/>
    </row>
    <row r="17" spans="1:9" ht="18" customHeight="1">
      <c r="A17" s="14"/>
      <c r="B17" s="14"/>
      <c r="C17" s="14" t="s">
        <v>33</v>
      </c>
      <c r="D17" s="396" t="s">
        <v>63</v>
      </c>
      <c r="E17" s="396"/>
      <c r="F17" s="396"/>
      <c r="G17" s="69"/>
      <c r="H17" s="69"/>
      <c r="I17" s="68"/>
    </row>
    <row r="18" spans="1:9" ht="21.75" customHeight="1">
      <c r="A18" s="14"/>
      <c r="B18" s="14"/>
      <c r="C18" s="14"/>
      <c r="D18" s="14" t="s">
        <v>33</v>
      </c>
      <c r="E18" s="396" t="s">
        <v>64</v>
      </c>
      <c r="F18" s="396"/>
      <c r="G18" s="69"/>
      <c r="H18" s="69"/>
      <c r="I18" s="68"/>
    </row>
    <row r="19" spans="1:9" ht="15.75">
      <c r="A19" s="16"/>
      <c r="B19" s="16"/>
      <c r="C19" s="16"/>
      <c r="D19" s="16"/>
      <c r="E19" s="16" t="s">
        <v>45</v>
      </c>
      <c r="F19" s="16" t="s">
        <v>39</v>
      </c>
      <c r="G19" s="31"/>
      <c r="H19" s="31"/>
      <c r="I19" s="70"/>
    </row>
    <row r="20" spans="1:9" ht="17.25" customHeight="1">
      <c r="A20" s="16"/>
      <c r="B20" s="16"/>
      <c r="C20" s="16"/>
      <c r="D20" s="16"/>
      <c r="E20" s="16"/>
      <c r="F20" s="16" t="s">
        <v>65</v>
      </c>
      <c r="G20" s="31"/>
      <c r="I20" s="70"/>
    </row>
    <row r="21" spans="1:9" ht="17.25" customHeight="1">
      <c r="A21" s="16"/>
      <c r="B21" s="16"/>
      <c r="C21" s="16"/>
      <c r="D21" s="16"/>
      <c r="E21" s="16" t="s">
        <v>46</v>
      </c>
      <c r="F21" s="71" t="s">
        <v>40</v>
      </c>
      <c r="G21" s="72"/>
      <c r="I21" s="70"/>
    </row>
    <row r="22" spans="1:9" ht="36.75" customHeight="1">
      <c r="A22" s="16"/>
      <c r="B22" s="16"/>
      <c r="C22" s="16"/>
      <c r="D22" s="16"/>
      <c r="E22" s="16" t="s">
        <v>66</v>
      </c>
      <c r="F22" s="71" t="s">
        <v>67</v>
      </c>
      <c r="G22" s="238">
        <f>2553350</f>
        <v>2553350</v>
      </c>
      <c r="H22" s="238">
        <v>2553350</v>
      </c>
      <c r="I22" s="70">
        <f>H22/G22*100</f>
        <v>100</v>
      </c>
    </row>
    <row r="23" spans="1:9" ht="15.75">
      <c r="A23" s="16"/>
      <c r="B23" s="16"/>
      <c r="C23" s="16"/>
      <c r="D23" s="16"/>
      <c r="E23" s="16"/>
      <c r="F23" s="16" t="s">
        <v>65</v>
      </c>
      <c r="G23" s="238"/>
      <c r="H23" s="238"/>
      <c r="I23" s="70"/>
    </row>
    <row r="24" spans="1:9" ht="15.75">
      <c r="A24" s="16"/>
      <c r="B24" s="16"/>
      <c r="C24" s="16"/>
      <c r="D24" s="16"/>
      <c r="E24" s="16" t="s">
        <v>68</v>
      </c>
      <c r="F24" s="71" t="s">
        <v>69</v>
      </c>
      <c r="G24" s="238">
        <v>3040000</v>
      </c>
      <c r="H24" s="238">
        <v>3072000</v>
      </c>
      <c r="I24" s="70">
        <f>H24/G24*100</f>
        <v>101.05263157894737</v>
      </c>
    </row>
    <row r="25" spans="1:9" ht="15.75">
      <c r="A25" s="16"/>
      <c r="B25" s="16"/>
      <c r="C25" s="16"/>
      <c r="D25" s="16"/>
      <c r="E25" s="16"/>
      <c r="F25" s="16" t="s">
        <v>65</v>
      </c>
      <c r="G25" s="238"/>
      <c r="H25" s="238"/>
      <c r="I25" s="70"/>
    </row>
    <row r="26" spans="1:9" ht="17.25" customHeight="1">
      <c r="A26" s="16"/>
      <c r="B26" s="16"/>
      <c r="C26" s="16"/>
      <c r="D26" s="16"/>
      <c r="E26" s="16" t="s">
        <v>70</v>
      </c>
      <c r="F26" s="71" t="s">
        <v>71</v>
      </c>
      <c r="G26" s="238">
        <v>100000</v>
      </c>
      <c r="H26" s="238">
        <v>100000</v>
      </c>
      <c r="I26" s="70">
        <f>H26/G26*100</f>
        <v>100</v>
      </c>
    </row>
    <row r="27" spans="1:9" ht="15.75">
      <c r="A27" s="16"/>
      <c r="B27" s="16"/>
      <c r="C27" s="16"/>
      <c r="D27" s="16"/>
      <c r="E27" s="16"/>
      <c r="F27" s="16" t="s">
        <v>65</v>
      </c>
      <c r="G27" s="238"/>
      <c r="H27" s="238"/>
      <c r="I27" s="70"/>
    </row>
    <row r="28" spans="1:9" ht="15.75">
      <c r="A28" s="16"/>
      <c r="B28" s="16"/>
      <c r="C28" s="16"/>
      <c r="D28" s="16"/>
      <c r="E28" s="16" t="s">
        <v>72</v>
      </c>
      <c r="F28" s="71" t="s">
        <v>73</v>
      </c>
      <c r="G28" s="238">
        <v>7506890</v>
      </c>
      <c r="H28" s="238">
        <v>7506890</v>
      </c>
      <c r="I28" s="70">
        <f>H28/G28*100</f>
        <v>100</v>
      </c>
    </row>
    <row r="29" spans="1:9" s="38" customFormat="1" ht="15.75">
      <c r="A29" s="16"/>
      <c r="B29" s="16"/>
      <c r="C29" s="16"/>
      <c r="D29" s="16"/>
      <c r="E29" s="16"/>
      <c r="F29" s="16" t="s">
        <v>65</v>
      </c>
      <c r="G29" s="239"/>
      <c r="H29" s="239"/>
      <c r="I29" s="70"/>
    </row>
    <row r="30" spans="1:9" ht="15.75">
      <c r="A30" s="16"/>
      <c r="B30" s="16"/>
      <c r="C30" s="16"/>
      <c r="D30" s="16" t="s">
        <v>47</v>
      </c>
      <c r="E30" s="16" t="s">
        <v>74</v>
      </c>
      <c r="F30" s="16"/>
      <c r="G30" s="238">
        <v>5000000</v>
      </c>
      <c r="H30" s="238">
        <v>5000000</v>
      </c>
      <c r="I30" s="70">
        <f>H30/G30*100</f>
        <v>100</v>
      </c>
    </row>
    <row r="31" spans="1:9" ht="15.75">
      <c r="A31" s="16"/>
      <c r="B31" s="16"/>
      <c r="C31" s="16"/>
      <c r="D31" s="16"/>
      <c r="E31" s="16"/>
      <c r="F31" s="16" t="s">
        <v>65</v>
      </c>
      <c r="G31" s="238"/>
      <c r="H31" s="238"/>
      <c r="I31" s="70"/>
    </row>
    <row r="32" spans="1:9" ht="15.75">
      <c r="A32" s="16"/>
      <c r="B32" s="16"/>
      <c r="C32" s="16"/>
      <c r="D32" s="16"/>
      <c r="E32" s="16" t="s">
        <v>351</v>
      </c>
      <c r="F32" s="16"/>
      <c r="G32" s="238">
        <v>3664298</v>
      </c>
      <c r="H32" s="238"/>
      <c r="I32" s="70"/>
    </row>
    <row r="33" spans="1:9" ht="15.75">
      <c r="A33" s="16"/>
      <c r="B33" s="16"/>
      <c r="C33" s="16"/>
      <c r="D33" s="16" t="s">
        <v>48</v>
      </c>
      <c r="E33" s="16" t="s">
        <v>129</v>
      </c>
      <c r="F33" s="16"/>
      <c r="G33" s="238">
        <v>17850</v>
      </c>
      <c r="H33" s="238">
        <v>17850</v>
      </c>
      <c r="I33" s="70">
        <f>H33/G33*100</f>
        <v>100</v>
      </c>
    </row>
    <row r="34" spans="1:9" ht="15.75">
      <c r="A34" s="16"/>
      <c r="B34" s="16"/>
      <c r="C34" s="16"/>
      <c r="D34" s="16" t="s">
        <v>130</v>
      </c>
      <c r="E34" s="16" t="s">
        <v>87</v>
      </c>
      <c r="F34" s="16"/>
      <c r="G34" s="238">
        <v>103400</v>
      </c>
      <c r="H34" s="238">
        <v>423800</v>
      </c>
      <c r="I34" s="70">
        <f>H34/G34*100</f>
        <v>409.8646034816247</v>
      </c>
    </row>
    <row r="35" spans="1:9" ht="15.75">
      <c r="A35" s="16"/>
      <c r="B35" s="16"/>
      <c r="C35" s="16" t="s">
        <v>17</v>
      </c>
      <c r="D35" s="398" t="s">
        <v>75</v>
      </c>
      <c r="E35" s="398"/>
      <c r="F35" s="398"/>
      <c r="G35" s="238">
        <v>3000</v>
      </c>
      <c r="H35" s="238">
        <v>3000</v>
      </c>
      <c r="I35" s="70">
        <f>H35/G35*100</f>
        <v>100</v>
      </c>
    </row>
    <row r="36" spans="1:9" ht="15.75">
      <c r="A36" s="16"/>
      <c r="B36" s="16"/>
      <c r="C36" s="16" t="s">
        <v>80</v>
      </c>
      <c r="D36" s="16" t="s">
        <v>350</v>
      </c>
      <c r="E36" s="16"/>
      <c r="F36" s="16"/>
      <c r="G36" s="238"/>
      <c r="H36" s="238"/>
      <c r="I36" s="70"/>
    </row>
    <row r="37" spans="1:9" ht="16.5" customHeight="1">
      <c r="A37" s="16"/>
      <c r="B37" s="16"/>
      <c r="C37" s="16" t="s">
        <v>86</v>
      </c>
      <c r="D37" s="16" t="s">
        <v>402</v>
      </c>
      <c r="E37" s="16"/>
      <c r="F37" s="16"/>
      <c r="G37" s="238">
        <v>1170400</v>
      </c>
      <c r="H37" s="238">
        <v>1120500</v>
      </c>
      <c r="I37" s="70">
        <f>H37/G37*100</f>
        <v>95.7365003417635</v>
      </c>
    </row>
    <row r="38" spans="1:9" ht="21" customHeight="1">
      <c r="A38" s="74"/>
      <c r="B38" s="74"/>
      <c r="C38" s="75"/>
      <c r="D38" s="403" t="s">
        <v>76</v>
      </c>
      <c r="E38" s="403"/>
      <c r="F38" s="403"/>
      <c r="G38" s="240">
        <f>SUM(G19:G37)</f>
        <v>23159188</v>
      </c>
      <c r="H38" s="240">
        <f>SUM(H19:H37)</f>
        <v>19797390</v>
      </c>
      <c r="I38" s="70">
        <f>H38/G38*100</f>
        <v>85.48395565509465</v>
      </c>
    </row>
    <row r="39" spans="1:9" ht="33" customHeight="1">
      <c r="A39" s="16"/>
      <c r="B39" s="14" t="s">
        <v>42</v>
      </c>
      <c r="C39" s="14" t="s">
        <v>34</v>
      </c>
      <c r="D39" s="396" t="s">
        <v>77</v>
      </c>
      <c r="E39" s="396"/>
      <c r="F39" s="396"/>
      <c r="G39" s="238"/>
      <c r="H39" s="238"/>
      <c r="I39" s="70"/>
    </row>
    <row r="40" spans="1:9" ht="15.75">
      <c r="A40" s="16"/>
      <c r="B40" s="16"/>
      <c r="C40" s="16"/>
      <c r="D40" s="16" t="s">
        <v>33</v>
      </c>
      <c r="E40" s="16" t="s">
        <v>131</v>
      </c>
      <c r="F40" s="16"/>
      <c r="G40" s="238"/>
      <c r="H40" s="238"/>
      <c r="I40" s="70"/>
    </row>
    <row r="41" spans="1:9" ht="30.75" customHeight="1">
      <c r="A41" s="16"/>
      <c r="B41" s="16"/>
      <c r="C41" s="16"/>
      <c r="D41" s="16" t="s">
        <v>17</v>
      </c>
      <c r="E41" s="398" t="s">
        <v>132</v>
      </c>
      <c r="F41" s="398"/>
      <c r="G41" s="238">
        <v>4111000</v>
      </c>
      <c r="H41" s="238">
        <v>2728000</v>
      </c>
      <c r="I41" s="70">
        <f>H41/G41*100</f>
        <v>66.35855023108734</v>
      </c>
    </row>
    <row r="42" spans="1:9" ht="15.75">
      <c r="A42" s="16"/>
      <c r="B42" s="16"/>
      <c r="C42" s="16"/>
      <c r="D42" s="16" t="s">
        <v>34</v>
      </c>
      <c r="E42" s="16" t="s">
        <v>78</v>
      </c>
      <c r="F42" s="16"/>
      <c r="G42" s="238">
        <v>830400</v>
      </c>
      <c r="H42" s="238">
        <v>719680</v>
      </c>
      <c r="I42" s="70">
        <f>H42/G42*100</f>
        <v>86.66666666666667</v>
      </c>
    </row>
    <row r="43" spans="1:9" ht="15.75">
      <c r="A43" s="16"/>
      <c r="B43" s="16"/>
      <c r="C43" s="16"/>
      <c r="D43" s="16" t="s">
        <v>80</v>
      </c>
      <c r="E43" s="16" t="s">
        <v>81</v>
      </c>
      <c r="F43" s="16"/>
      <c r="G43" s="238"/>
      <c r="H43" s="238"/>
      <c r="I43" s="70"/>
    </row>
    <row r="44" spans="1:9" ht="31.5">
      <c r="A44" s="16"/>
      <c r="B44" s="16"/>
      <c r="C44" s="16"/>
      <c r="D44" s="16"/>
      <c r="E44" s="16" t="s">
        <v>45</v>
      </c>
      <c r="F44" s="71" t="s">
        <v>403</v>
      </c>
      <c r="G44" s="238">
        <v>1672000</v>
      </c>
      <c r="H44" s="238">
        <v>1900000</v>
      </c>
      <c r="I44" s="70">
        <f>H44/G44*100</f>
        <v>113.63636363636364</v>
      </c>
    </row>
    <row r="45" spans="1:9" ht="15.75">
      <c r="A45" s="16"/>
      <c r="B45" s="16"/>
      <c r="C45" s="16"/>
      <c r="D45" s="16"/>
      <c r="E45" s="16" t="s">
        <v>46</v>
      </c>
      <c r="F45" s="16" t="s">
        <v>404</v>
      </c>
      <c r="G45" s="238">
        <v>3869880</v>
      </c>
      <c r="H45" s="238">
        <v>4072068</v>
      </c>
      <c r="I45" s="70">
        <f>H45/G45*100</f>
        <v>105.22465812893422</v>
      </c>
    </row>
    <row r="46" spans="1:9" ht="33.75" customHeight="1">
      <c r="A46" s="74"/>
      <c r="B46" s="74"/>
      <c r="C46" s="403" t="s">
        <v>82</v>
      </c>
      <c r="D46" s="403"/>
      <c r="E46" s="403"/>
      <c r="F46" s="403"/>
      <c r="G46" s="241">
        <f>SUM(G40:G45)</f>
        <v>10483280</v>
      </c>
      <c r="H46" s="241">
        <f>SUM(H40:H45)</f>
        <v>9419748</v>
      </c>
      <c r="I46" s="70">
        <f>H46/G46*100</f>
        <v>89.85496905548645</v>
      </c>
    </row>
    <row r="47" spans="1:9" ht="3" customHeight="1">
      <c r="A47" s="74"/>
      <c r="B47" s="74"/>
      <c r="C47" s="222"/>
      <c r="D47" s="222"/>
      <c r="E47" s="222"/>
      <c r="F47" s="222"/>
      <c r="G47" s="241"/>
      <c r="H47" s="238"/>
      <c r="I47" s="70"/>
    </row>
    <row r="48" spans="1:9" ht="14.25" customHeight="1">
      <c r="A48" s="16"/>
      <c r="B48" s="16"/>
      <c r="C48" s="14" t="s">
        <v>79</v>
      </c>
      <c r="D48" s="396" t="s">
        <v>83</v>
      </c>
      <c r="E48" s="396"/>
      <c r="F48" s="396"/>
      <c r="G48" s="242"/>
      <c r="H48" s="238"/>
      <c r="I48" s="70"/>
    </row>
    <row r="49" spans="1:9" ht="15.75">
      <c r="A49" s="16"/>
      <c r="B49" s="16"/>
      <c r="C49" s="16"/>
      <c r="D49" s="16" t="s">
        <v>33</v>
      </c>
      <c r="E49" s="398" t="s">
        <v>43</v>
      </c>
      <c r="F49" s="398"/>
      <c r="G49" s="243"/>
      <c r="H49" s="238"/>
      <c r="I49" s="70"/>
    </row>
    <row r="50" spans="1:9" ht="31.5">
      <c r="A50" s="16"/>
      <c r="B50" s="16"/>
      <c r="C50" s="16"/>
      <c r="D50" s="16"/>
      <c r="E50" s="16" t="s">
        <v>48</v>
      </c>
      <c r="F50" s="71" t="s">
        <v>84</v>
      </c>
      <c r="G50" s="243">
        <v>1800000</v>
      </c>
      <c r="H50" s="238">
        <v>1800000</v>
      </c>
      <c r="I50" s="70">
        <f>H50/G50*100</f>
        <v>100</v>
      </c>
    </row>
    <row r="51" spans="1:9" ht="30" customHeight="1">
      <c r="A51" s="74"/>
      <c r="B51" s="74"/>
      <c r="C51" s="402" t="s">
        <v>85</v>
      </c>
      <c r="D51" s="402"/>
      <c r="E51" s="402"/>
      <c r="F51" s="402"/>
      <c r="G51" s="241">
        <f>SUM(G50:G50)</f>
        <v>1800000</v>
      </c>
      <c r="H51" s="241">
        <f>SUM(H50:H50)</f>
        <v>1800000</v>
      </c>
      <c r="I51" s="70">
        <f>H51/G51*100</f>
        <v>100</v>
      </c>
    </row>
    <row r="52" spans="1:9" ht="15.75">
      <c r="A52" s="76"/>
      <c r="B52" s="396" t="s">
        <v>88</v>
      </c>
      <c r="C52" s="396"/>
      <c r="D52" s="396"/>
      <c r="E52" s="396"/>
      <c r="F52" s="396"/>
      <c r="G52" s="246">
        <f>G38+G46+G51</f>
        <v>35442468</v>
      </c>
      <c r="H52" s="246">
        <f>H38+H46+H51</f>
        <v>31017138</v>
      </c>
      <c r="I52" s="70">
        <f>H52/G52*100</f>
        <v>87.51404670803399</v>
      </c>
    </row>
    <row r="53" spans="1:9" ht="12" customHeight="1">
      <c r="A53" s="16"/>
      <c r="B53" s="16"/>
      <c r="C53" s="16"/>
      <c r="D53" s="16"/>
      <c r="E53" s="16"/>
      <c r="F53" s="16"/>
      <c r="G53" s="244"/>
      <c r="H53" s="238"/>
      <c r="I53" s="70"/>
    </row>
    <row r="54" spans="1:9" ht="15.75">
      <c r="A54" s="76"/>
      <c r="B54" s="14" t="s">
        <v>41</v>
      </c>
      <c r="C54" s="396" t="s">
        <v>89</v>
      </c>
      <c r="D54" s="396"/>
      <c r="E54" s="396"/>
      <c r="F54" s="396"/>
      <c r="G54" s="242"/>
      <c r="H54" s="238"/>
      <c r="I54" s="70"/>
    </row>
    <row r="55" spans="1:9" ht="30" customHeight="1">
      <c r="A55" s="16"/>
      <c r="B55" s="16"/>
      <c r="C55" s="16" t="s">
        <v>33</v>
      </c>
      <c r="D55" s="401" t="s">
        <v>452</v>
      </c>
      <c r="E55" s="401"/>
      <c r="F55" s="401"/>
      <c r="G55" s="244">
        <v>46400</v>
      </c>
      <c r="H55" s="238">
        <v>46400</v>
      </c>
      <c r="I55" s="70">
        <f>H55/G55*100</f>
        <v>100</v>
      </c>
    </row>
    <row r="56" spans="1:9" ht="21" customHeight="1">
      <c r="A56" s="16"/>
      <c r="B56" s="16"/>
      <c r="C56" s="16" t="s">
        <v>17</v>
      </c>
      <c r="D56" s="16" t="s">
        <v>462</v>
      </c>
      <c r="E56" s="16"/>
      <c r="F56" s="16"/>
      <c r="G56" s="244"/>
      <c r="H56" s="238">
        <v>259101</v>
      </c>
      <c r="I56" s="70"/>
    </row>
    <row r="57" spans="1:9" ht="15.75" customHeight="1">
      <c r="A57" s="76"/>
      <c r="B57" s="396" t="s">
        <v>90</v>
      </c>
      <c r="C57" s="396"/>
      <c r="D57" s="396"/>
      <c r="E57" s="396"/>
      <c r="F57" s="396"/>
      <c r="G57" s="246">
        <f>SUM(G55:G56)</f>
        <v>46400</v>
      </c>
      <c r="H57" s="246">
        <f>SUM(H55:H56)</f>
        <v>305501</v>
      </c>
      <c r="I57" s="70">
        <f>H57/G57*100</f>
        <v>658.407327586207</v>
      </c>
    </row>
    <row r="58" spans="1:9" ht="36" customHeight="1">
      <c r="A58" s="396" t="s">
        <v>91</v>
      </c>
      <c r="B58" s="396"/>
      <c r="C58" s="396"/>
      <c r="D58" s="396"/>
      <c r="E58" s="396"/>
      <c r="F58" s="396"/>
      <c r="G58" s="247">
        <f>G57+G52</f>
        <v>35488868</v>
      </c>
      <c r="H58" s="247">
        <f>H57+H52</f>
        <v>31322639</v>
      </c>
      <c r="I58" s="70">
        <f>H58/G58*100</f>
        <v>88.26046240753578</v>
      </c>
    </row>
    <row r="59" spans="1:9" s="57" customFormat="1" ht="32.25" customHeight="1">
      <c r="A59" s="14" t="s">
        <v>41</v>
      </c>
      <c r="B59" s="396" t="s">
        <v>92</v>
      </c>
      <c r="C59" s="396"/>
      <c r="D59" s="396"/>
      <c r="E59" s="396"/>
      <c r="F59" s="396"/>
      <c r="G59" s="247"/>
      <c r="H59" s="242">
        <v>15833638</v>
      </c>
      <c r="I59" s="70"/>
    </row>
    <row r="60" spans="1:9" ht="11.25" customHeight="1">
      <c r="A60" s="67"/>
      <c r="B60" s="67"/>
      <c r="C60" s="67"/>
      <c r="D60" s="67"/>
      <c r="E60" s="67"/>
      <c r="F60" s="67"/>
      <c r="G60" s="246"/>
      <c r="H60" s="246"/>
      <c r="I60" s="70"/>
    </row>
    <row r="61" spans="1:9" ht="15.75">
      <c r="A61" s="14" t="s">
        <v>42</v>
      </c>
      <c r="B61" s="14" t="s">
        <v>93</v>
      </c>
      <c r="C61" s="14"/>
      <c r="D61" s="14"/>
      <c r="E61" s="14"/>
      <c r="F61" s="14"/>
      <c r="G61" s="248"/>
      <c r="H61" s="249"/>
      <c r="I61" s="70"/>
    </row>
    <row r="62" spans="1:9" ht="12" customHeight="1">
      <c r="A62" s="16"/>
      <c r="B62" s="16"/>
      <c r="C62" s="16"/>
      <c r="D62" s="16"/>
      <c r="E62" s="16"/>
      <c r="F62" s="16"/>
      <c r="G62" s="244"/>
      <c r="H62" s="244"/>
      <c r="I62" s="70"/>
    </row>
    <row r="63" spans="1:9" ht="15.75">
      <c r="A63" s="16"/>
      <c r="B63" s="16" t="s">
        <v>33</v>
      </c>
      <c r="C63" s="16" t="s">
        <v>94</v>
      </c>
      <c r="D63" s="16"/>
      <c r="E63" s="16"/>
      <c r="F63" s="16"/>
      <c r="G63" s="250"/>
      <c r="H63" s="244"/>
      <c r="I63" s="70"/>
    </row>
    <row r="64" spans="1:9" ht="15.75">
      <c r="A64" s="16"/>
      <c r="B64" s="16"/>
      <c r="C64" s="16" t="s">
        <v>33</v>
      </c>
      <c r="D64" s="16" t="s">
        <v>95</v>
      </c>
      <c r="E64" s="16"/>
      <c r="F64" s="16"/>
      <c r="G64" s="244">
        <v>1500000</v>
      </c>
      <c r="H64" s="238">
        <v>1500000</v>
      </c>
      <c r="I64" s="70">
        <f>H64/G64*100</f>
        <v>100</v>
      </c>
    </row>
    <row r="65" spans="1:9" ht="15.75">
      <c r="A65" s="14"/>
      <c r="B65" s="14" t="s">
        <v>17</v>
      </c>
      <c r="C65" s="14" t="s">
        <v>96</v>
      </c>
      <c r="D65" s="14"/>
      <c r="E65" s="14"/>
      <c r="F65" s="14"/>
      <c r="G65" s="249"/>
      <c r="H65" s="238"/>
      <c r="I65" s="70"/>
    </row>
    <row r="66" spans="1:9" s="9" customFormat="1" ht="15.75">
      <c r="A66" s="16"/>
      <c r="B66" s="16"/>
      <c r="C66" s="16" t="s">
        <v>33</v>
      </c>
      <c r="D66" s="16" t="s">
        <v>97</v>
      </c>
      <c r="E66" s="16"/>
      <c r="F66" s="16"/>
      <c r="G66" s="244">
        <v>3900000</v>
      </c>
      <c r="H66" s="369">
        <v>3900000</v>
      </c>
      <c r="I66" s="70">
        <f>H66/G66*100</f>
        <v>100</v>
      </c>
    </row>
    <row r="67" spans="1:9" ht="15.75">
      <c r="A67" s="14"/>
      <c r="B67" s="14" t="s">
        <v>34</v>
      </c>
      <c r="C67" s="14" t="s">
        <v>98</v>
      </c>
      <c r="D67" s="14"/>
      <c r="E67" s="14"/>
      <c r="F67" s="14"/>
      <c r="G67" s="249"/>
      <c r="H67" s="238"/>
      <c r="I67" s="70"/>
    </row>
    <row r="68" spans="1:9" ht="15.75">
      <c r="A68" s="16"/>
      <c r="B68" s="16"/>
      <c r="C68" s="16" t="s">
        <v>33</v>
      </c>
      <c r="D68" s="16" t="s">
        <v>99</v>
      </c>
      <c r="E68" s="16"/>
      <c r="F68" s="16"/>
      <c r="G68" s="244">
        <v>1913000</v>
      </c>
      <c r="H68" s="238">
        <v>1913000</v>
      </c>
      <c r="I68" s="70">
        <f>H68/G68*100</f>
        <v>100</v>
      </c>
    </row>
    <row r="69" spans="1:9" ht="15.75">
      <c r="A69" s="16"/>
      <c r="B69" s="14" t="s">
        <v>79</v>
      </c>
      <c r="C69" s="14" t="s">
        <v>100</v>
      </c>
      <c r="D69" s="16"/>
      <c r="E69" s="16"/>
      <c r="F69" s="16"/>
      <c r="G69" s="244"/>
      <c r="H69" s="238"/>
      <c r="I69" s="70"/>
    </row>
    <row r="70" spans="1:9" ht="15.75">
      <c r="A70" s="16"/>
      <c r="B70" s="16"/>
      <c r="C70" s="16" t="s">
        <v>33</v>
      </c>
      <c r="D70" s="16" t="s">
        <v>101</v>
      </c>
      <c r="E70" s="16"/>
      <c r="F70" s="16"/>
      <c r="G70" s="244">
        <v>140000</v>
      </c>
      <c r="H70" s="238">
        <v>140000</v>
      </c>
      <c r="I70" s="70">
        <f>H70/G70*100</f>
        <v>100</v>
      </c>
    </row>
    <row r="71" spans="1:9" ht="15.75">
      <c r="A71" s="16"/>
      <c r="B71" s="16"/>
      <c r="C71" s="16"/>
      <c r="D71" s="16"/>
      <c r="E71" s="16"/>
      <c r="F71" s="16"/>
      <c r="G71" s="244"/>
      <c r="H71" s="238"/>
      <c r="I71" s="70"/>
    </row>
    <row r="72" spans="1:9" ht="15.75">
      <c r="A72" s="16"/>
      <c r="B72" s="16"/>
      <c r="C72" s="14" t="s">
        <v>17</v>
      </c>
      <c r="D72" s="16" t="s">
        <v>60</v>
      </c>
      <c r="E72" s="16"/>
      <c r="F72" s="16"/>
      <c r="G72" s="244">
        <v>280000</v>
      </c>
      <c r="H72" s="238">
        <v>280000</v>
      </c>
      <c r="I72" s="70">
        <f>H72/G72*100</f>
        <v>100</v>
      </c>
    </row>
    <row r="73" spans="1:9" ht="15.75">
      <c r="A73" s="14"/>
      <c r="B73" s="14" t="s">
        <v>80</v>
      </c>
      <c r="C73" s="14" t="s">
        <v>102</v>
      </c>
      <c r="D73" s="14"/>
      <c r="E73" s="14"/>
      <c r="F73" s="14"/>
      <c r="G73" s="249"/>
      <c r="H73" s="238"/>
      <c r="I73" s="70"/>
    </row>
    <row r="74" spans="1:9" ht="15.75">
      <c r="A74" s="16"/>
      <c r="B74" s="16"/>
      <c r="C74" s="14" t="s">
        <v>33</v>
      </c>
      <c r="D74" s="16" t="s">
        <v>103</v>
      </c>
      <c r="E74" s="16"/>
      <c r="F74" s="16"/>
      <c r="G74" s="244">
        <v>5000</v>
      </c>
      <c r="H74" s="238">
        <v>5000</v>
      </c>
      <c r="I74" s="70">
        <f>H74/G74*100</f>
        <v>100</v>
      </c>
    </row>
    <row r="75" spans="1:9" ht="15.75" customHeight="1">
      <c r="A75" s="76"/>
      <c r="B75" s="76"/>
      <c r="C75" s="76" t="s">
        <v>34</v>
      </c>
      <c r="D75" s="79" t="s">
        <v>102</v>
      </c>
      <c r="E75" s="76"/>
      <c r="F75" s="76"/>
      <c r="G75" s="245"/>
      <c r="H75" s="238"/>
      <c r="I75" s="70"/>
    </row>
    <row r="76" spans="1:9" ht="15.75">
      <c r="A76" s="16"/>
      <c r="B76" s="16"/>
      <c r="C76" s="14" t="s">
        <v>79</v>
      </c>
      <c r="D76" s="16" t="s">
        <v>104</v>
      </c>
      <c r="E76" s="16"/>
      <c r="F76" s="16"/>
      <c r="G76" s="244">
        <v>75000</v>
      </c>
      <c r="H76" s="238">
        <v>75000</v>
      </c>
      <c r="I76" s="70">
        <f>H76/G76*100</f>
        <v>100</v>
      </c>
    </row>
    <row r="77" spans="1:9" ht="9" customHeight="1">
      <c r="A77" s="76"/>
      <c r="B77" s="76"/>
      <c r="C77" s="76"/>
      <c r="D77" s="76"/>
      <c r="E77" s="76"/>
      <c r="F77" s="76"/>
      <c r="G77" s="245"/>
      <c r="H77" s="238"/>
      <c r="I77" s="70"/>
    </row>
    <row r="78" spans="1:9" s="9" customFormat="1" ht="15.75">
      <c r="A78" s="14" t="s">
        <v>50</v>
      </c>
      <c r="B78" s="76"/>
      <c r="C78" s="76"/>
      <c r="D78" s="76"/>
      <c r="E78" s="76"/>
      <c r="F78" s="76"/>
      <c r="G78" s="246">
        <f>G64+G66+G68+G70+G72+G74+G75+G76</f>
        <v>7813000</v>
      </c>
      <c r="H78" s="246">
        <f>H64+H66+H68+H70+H72+H74+H75+H76</f>
        <v>7813000</v>
      </c>
      <c r="I78" s="70">
        <f>H78/G78*100</f>
        <v>100</v>
      </c>
    </row>
    <row r="79" spans="1:9" ht="12.75" customHeight="1">
      <c r="A79" s="76"/>
      <c r="B79" s="76"/>
      <c r="C79" s="76"/>
      <c r="D79" s="76"/>
      <c r="E79" s="76"/>
      <c r="F79" s="76"/>
      <c r="G79" s="245"/>
      <c r="H79" s="245"/>
      <c r="I79" s="70"/>
    </row>
    <row r="80" spans="1:9" ht="15.75">
      <c r="A80" s="14" t="s">
        <v>105</v>
      </c>
      <c r="B80" s="14" t="s">
        <v>44</v>
      </c>
      <c r="C80" s="14"/>
      <c r="D80" s="14"/>
      <c r="E80" s="14"/>
      <c r="F80" s="14"/>
      <c r="G80" s="248"/>
      <c r="H80" s="249"/>
      <c r="I80" s="70"/>
    </row>
    <row r="81" spans="1:9" ht="15.75">
      <c r="A81" s="76"/>
      <c r="B81" s="76" t="s">
        <v>33</v>
      </c>
      <c r="C81" s="400" t="s">
        <v>106</v>
      </c>
      <c r="D81" s="400"/>
      <c r="E81" s="400"/>
      <c r="F81" s="400"/>
      <c r="G81" s="245"/>
      <c r="H81" s="245"/>
      <c r="I81" s="70"/>
    </row>
    <row r="82" spans="1:9" ht="15.75">
      <c r="A82" s="76"/>
      <c r="B82" s="76"/>
      <c r="C82" s="76" t="s">
        <v>33</v>
      </c>
      <c r="D82" s="79" t="s">
        <v>117</v>
      </c>
      <c r="E82" s="79"/>
      <c r="F82" s="79"/>
      <c r="G82" s="245">
        <v>82942</v>
      </c>
      <c r="H82" s="238">
        <v>282128</v>
      </c>
      <c r="I82" s="70">
        <f>H82/G82*100</f>
        <v>340.150948855827</v>
      </c>
    </row>
    <row r="83" spans="1:9" ht="15.75">
      <c r="A83" s="76"/>
      <c r="B83" s="76"/>
      <c r="C83" s="76" t="s">
        <v>17</v>
      </c>
      <c r="D83" s="79" t="s">
        <v>109</v>
      </c>
      <c r="E83" s="79"/>
      <c r="F83" s="79"/>
      <c r="G83" s="245"/>
      <c r="H83" s="315"/>
      <c r="I83" s="70"/>
    </row>
    <row r="84" spans="1:9" ht="15.75">
      <c r="A84" s="76"/>
      <c r="B84" s="76"/>
      <c r="C84" s="76"/>
      <c r="D84" s="79" t="s">
        <v>33</v>
      </c>
      <c r="E84" s="79" t="s">
        <v>110</v>
      </c>
      <c r="F84" s="79"/>
      <c r="G84" s="245">
        <v>20000</v>
      </c>
      <c r="H84" s="238">
        <v>20000</v>
      </c>
      <c r="I84" s="70">
        <f>H84/G84*100</f>
        <v>100</v>
      </c>
    </row>
    <row r="85" spans="1:9" ht="15.75">
      <c r="A85" s="76"/>
      <c r="B85" s="76"/>
      <c r="C85" s="76"/>
      <c r="D85" s="79" t="s">
        <v>17</v>
      </c>
      <c r="E85" s="79" t="s">
        <v>111</v>
      </c>
      <c r="F85" s="79"/>
      <c r="G85" s="245">
        <v>820000</v>
      </c>
      <c r="H85" s="238">
        <v>64680</v>
      </c>
      <c r="I85" s="70">
        <f>H85/G85*100</f>
        <v>7.88780487804878</v>
      </c>
    </row>
    <row r="86" spans="1:9" ht="15.75">
      <c r="A86" s="76"/>
      <c r="B86" s="76"/>
      <c r="C86" s="76"/>
      <c r="D86" s="79" t="s">
        <v>34</v>
      </c>
      <c r="E86" s="79" t="s">
        <v>112</v>
      </c>
      <c r="F86" s="79"/>
      <c r="G86" s="245">
        <v>2000</v>
      </c>
      <c r="H86" s="238">
        <v>2000</v>
      </c>
      <c r="I86" s="70">
        <f>H86/G86*100</f>
        <v>100</v>
      </c>
    </row>
    <row r="87" spans="1:9" ht="15.75">
      <c r="A87" s="76"/>
      <c r="B87" s="76"/>
      <c r="C87" s="76"/>
      <c r="D87" s="79" t="s">
        <v>79</v>
      </c>
      <c r="E87" s="79" t="s">
        <v>113</v>
      </c>
      <c r="F87" s="79"/>
      <c r="G87" s="245">
        <v>85179</v>
      </c>
      <c r="H87" s="238">
        <v>203028</v>
      </c>
      <c r="I87" s="70">
        <f>H87/G87*100</f>
        <v>238.35452400239495</v>
      </c>
    </row>
    <row r="88" spans="1:9" ht="15.75">
      <c r="A88" s="76"/>
      <c r="B88" s="76"/>
      <c r="C88" s="76" t="s">
        <v>34</v>
      </c>
      <c r="D88" s="79" t="s">
        <v>133</v>
      </c>
      <c r="E88" s="79"/>
      <c r="F88" s="79"/>
      <c r="G88" s="245"/>
      <c r="H88" s="315"/>
      <c r="I88" s="70"/>
    </row>
    <row r="89" spans="1:9" ht="15.75">
      <c r="A89" s="76"/>
      <c r="B89" s="76"/>
      <c r="D89" s="76" t="s">
        <v>33</v>
      </c>
      <c r="E89" s="79" t="s">
        <v>107</v>
      </c>
      <c r="F89" s="76"/>
      <c r="G89" s="245">
        <v>41000</v>
      </c>
      <c r="H89" s="238">
        <v>41000</v>
      </c>
      <c r="I89" s="70">
        <f>H89/G89*100</f>
        <v>100</v>
      </c>
    </row>
    <row r="90" spans="1:9" ht="15.75">
      <c r="A90" s="76"/>
      <c r="B90" s="76"/>
      <c r="D90" s="76" t="s">
        <v>17</v>
      </c>
      <c r="E90" s="79" t="s">
        <v>108</v>
      </c>
      <c r="F90" s="79"/>
      <c r="G90" s="245">
        <v>274498</v>
      </c>
      <c r="H90" s="238">
        <v>411746</v>
      </c>
      <c r="I90" s="70">
        <f>H90/G90*100</f>
        <v>149.99963569862075</v>
      </c>
    </row>
    <row r="91" spans="4:9" ht="15.75">
      <c r="D91" s="49" t="s">
        <v>34</v>
      </c>
      <c r="E91" s="79" t="s">
        <v>51</v>
      </c>
      <c r="G91" s="245">
        <v>521023</v>
      </c>
      <c r="H91" s="238">
        <v>521023</v>
      </c>
      <c r="I91" s="70">
        <f>H91/G91*100</f>
        <v>100</v>
      </c>
    </row>
    <row r="92" spans="1:9" ht="15.75">
      <c r="A92" s="76"/>
      <c r="B92" s="76" t="s">
        <v>17</v>
      </c>
      <c r="C92" s="79" t="s">
        <v>114</v>
      </c>
      <c r="D92" s="79"/>
      <c r="E92" s="79"/>
      <c r="F92" s="79"/>
      <c r="G92" s="245"/>
      <c r="H92" s="315"/>
      <c r="I92" s="70"/>
    </row>
    <row r="93" spans="1:9" ht="15.75">
      <c r="A93" s="76"/>
      <c r="B93" s="76"/>
      <c r="C93" s="76" t="s">
        <v>33</v>
      </c>
      <c r="D93" s="79" t="s">
        <v>115</v>
      </c>
      <c r="E93" s="79"/>
      <c r="F93" s="79"/>
      <c r="G93" s="245">
        <v>4099152</v>
      </c>
      <c r="H93" s="238">
        <v>4156873</v>
      </c>
      <c r="I93" s="70">
        <f>H93/G93*100</f>
        <v>101.4081205088272</v>
      </c>
    </row>
    <row r="94" spans="1:9" ht="15.75">
      <c r="A94" s="76"/>
      <c r="B94" s="76" t="s">
        <v>34</v>
      </c>
      <c r="C94" s="79" t="s">
        <v>116</v>
      </c>
      <c r="D94" s="79"/>
      <c r="E94" s="79"/>
      <c r="F94" s="79"/>
      <c r="G94" s="245"/>
      <c r="H94" s="315"/>
      <c r="I94" s="70"/>
    </row>
    <row r="95" spans="1:9" ht="15.75">
      <c r="A95" s="76"/>
      <c r="B95" s="76"/>
      <c r="C95" s="76" t="s">
        <v>33</v>
      </c>
      <c r="D95" s="79" t="s">
        <v>58</v>
      </c>
      <c r="E95" s="79"/>
      <c r="F95" s="79"/>
      <c r="G95" s="245">
        <v>1267352</v>
      </c>
      <c r="H95" s="238">
        <v>1098372</v>
      </c>
      <c r="I95" s="70">
        <f aca="true" t="shared" si="0" ref="I95:I100">H95/G95*100</f>
        <v>86.66668770791382</v>
      </c>
    </row>
    <row r="96" spans="1:9" ht="15.75">
      <c r="A96" s="76"/>
      <c r="B96" s="76" t="s">
        <v>79</v>
      </c>
      <c r="C96" s="79" t="s">
        <v>118</v>
      </c>
      <c r="D96" s="76"/>
      <c r="E96" s="76"/>
      <c r="F96" s="76"/>
      <c r="G96" s="245">
        <v>1725879</v>
      </c>
      <c r="H96" s="238">
        <f>1818765-270</f>
        <v>1818495</v>
      </c>
      <c r="I96" s="70">
        <f t="shared" si="0"/>
        <v>105.36630899385182</v>
      </c>
    </row>
    <row r="97" spans="1:9" ht="15.75">
      <c r="A97" s="76"/>
      <c r="B97" s="76" t="s">
        <v>80</v>
      </c>
      <c r="C97" s="79" t="s">
        <v>119</v>
      </c>
      <c r="D97" s="76"/>
      <c r="E97" s="76"/>
      <c r="F97" s="76"/>
      <c r="G97" s="245">
        <v>1156821</v>
      </c>
      <c r="H97" s="238">
        <f>1004191+480029</f>
        <v>1484220</v>
      </c>
      <c r="I97" s="70">
        <f t="shared" si="0"/>
        <v>128.30161278192566</v>
      </c>
    </row>
    <row r="98" spans="1:9" ht="24.75" customHeight="1">
      <c r="A98" s="76"/>
      <c r="B98" s="76" t="s">
        <v>86</v>
      </c>
      <c r="C98" s="79" t="s">
        <v>120</v>
      </c>
      <c r="D98" s="76"/>
      <c r="E98" s="76"/>
      <c r="F98" s="76"/>
      <c r="G98" s="245">
        <v>2000</v>
      </c>
      <c r="H98" s="238">
        <v>2000</v>
      </c>
      <c r="I98" s="70">
        <f t="shared" si="0"/>
        <v>100</v>
      </c>
    </row>
    <row r="99" spans="1:9" ht="19.5" customHeight="1">
      <c r="A99" s="76"/>
      <c r="B99" s="270" t="s">
        <v>214</v>
      </c>
      <c r="C99" s="400" t="s">
        <v>359</v>
      </c>
      <c r="D99" s="400"/>
      <c r="E99" s="400"/>
      <c r="F99" s="400"/>
      <c r="G99" s="245"/>
      <c r="H99" s="238"/>
      <c r="I99" s="70"/>
    </row>
    <row r="100" spans="1:11" ht="15.75">
      <c r="A100" s="14" t="s">
        <v>16</v>
      </c>
      <c r="B100" s="76"/>
      <c r="C100" s="76"/>
      <c r="D100" s="76"/>
      <c r="E100" s="76"/>
      <c r="F100" s="76"/>
      <c r="G100" s="246">
        <f>SUM(G81:G99)</f>
        <v>10097846</v>
      </c>
      <c r="H100" s="359">
        <f>SUM(H81:H99)</f>
        <v>10105565</v>
      </c>
      <c r="I100" s="70">
        <f t="shared" si="0"/>
        <v>100.07644204516488</v>
      </c>
      <c r="K100" s="237"/>
    </row>
    <row r="101" spans="1:9" ht="1.5" customHeight="1">
      <c r="A101" s="76"/>
      <c r="B101" s="76"/>
      <c r="C101" s="76"/>
      <c r="D101" s="76"/>
      <c r="E101" s="76"/>
      <c r="F101" s="76"/>
      <c r="G101" s="245"/>
      <c r="H101" s="315"/>
      <c r="I101" s="70"/>
    </row>
    <row r="102" spans="1:9" ht="1.5" customHeight="1">
      <c r="A102" s="76"/>
      <c r="B102" s="76"/>
      <c r="C102" s="76"/>
      <c r="D102" s="76"/>
      <c r="E102" s="76"/>
      <c r="F102" s="76"/>
      <c r="G102" s="245"/>
      <c r="H102" s="315"/>
      <c r="I102" s="70"/>
    </row>
    <row r="103" spans="1:9" ht="1.5" customHeight="1">
      <c r="A103" s="76"/>
      <c r="B103" s="76"/>
      <c r="C103" s="76"/>
      <c r="D103" s="76"/>
      <c r="E103" s="76"/>
      <c r="F103" s="76"/>
      <c r="G103" s="245"/>
      <c r="H103" s="315"/>
      <c r="I103" s="70"/>
    </row>
    <row r="104" spans="1:9" ht="3.75" customHeight="1">
      <c r="A104" s="76"/>
      <c r="B104" s="76"/>
      <c r="C104" s="76"/>
      <c r="D104" s="76"/>
      <c r="E104" s="76"/>
      <c r="F104" s="76"/>
      <c r="G104" s="245"/>
      <c r="H104" s="315"/>
      <c r="I104" s="70"/>
    </row>
    <row r="105" spans="1:9" ht="15.75">
      <c r="A105" s="14" t="s">
        <v>49</v>
      </c>
      <c r="B105" s="14" t="s">
        <v>121</v>
      </c>
      <c r="C105" s="14"/>
      <c r="D105" s="14"/>
      <c r="E105" s="14"/>
      <c r="F105" s="14"/>
      <c r="G105" s="249"/>
      <c r="H105" s="315"/>
      <c r="I105" s="70"/>
    </row>
    <row r="106" spans="1:9" ht="15.75">
      <c r="A106" s="14"/>
      <c r="B106" s="14"/>
      <c r="C106" s="14"/>
      <c r="D106" s="14"/>
      <c r="E106" s="14"/>
      <c r="F106" s="14"/>
      <c r="G106" s="249"/>
      <c r="H106" s="315"/>
      <c r="I106" s="70"/>
    </row>
    <row r="107" spans="1:9" ht="59.25" customHeight="1">
      <c r="A107" s="16"/>
      <c r="B107" s="16" t="s">
        <v>33</v>
      </c>
      <c r="C107" s="398" t="s">
        <v>446</v>
      </c>
      <c r="D107" s="398"/>
      <c r="E107" s="398"/>
      <c r="F107" s="398"/>
      <c r="G107" s="243"/>
      <c r="H107" s="238"/>
      <c r="I107" s="70"/>
    </row>
    <row r="108" spans="1:9" ht="35.25" customHeight="1">
      <c r="A108" s="16"/>
      <c r="B108" s="16"/>
      <c r="C108" s="78" t="s">
        <v>33</v>
      </c>
      <c r="D108" s="398" t="s">
        <v>122</v>
      </c>
      <c r="E108" s="398"/>
      <c r="F108" s="398"/>
      <c r="G108" s="243">
        <v>121800</v>
      </c>
      <c r="H108" s="238">
        <v>346850</v>
      </c>
      <c r="I108" s="70">
        <f>H108/G108*100</f>
        <v>284.7701149425288</v>
      </c>
    </row>
    <row r="109" spans="1:9" ht="39.75" customHeight="1">
      <c r="A109" s="76"/>
      <c r="B109" s="76" t="s">
        <v>448</v>
      </c>
      <c r="C109" s="397" t="s">
        <v>449</v>
      </c>
      <c r="D109" s="395"/>
      <c r="E109" s="395"/>
      <c r="F109" s="395"/>
      <c r="G109" s="245"/>
      <c r="H109" s="238">
        <v>6000000</v>
      </c>
      <c r="I109" s="70"/>
    </row>
    <row r="110" spans="1:9" ht="15.75">
      <c r="A110" s="399" t="s">
        <v>123</v>
      </c>
      <c r="B110" s="399"/>
      <c r="C110" s="399"/>
      <c r="D110" s="399"/>
      <c r="E110" s="399"/>
      <c r="F110" s="399"/>
      <c r="G110" s="248">
        <f>SUM(G108:G109)</f>
        <v>121800</v>
      </c>
      <c r="H110" s="248">
        <f>SUM(H107:H109)</f>
        <v>6346850</v>
      </c>
      <c r="I110" s="70">
        <f>H110/G110*100</f>
        <v>5210.878489326766</v>
      </c>
    </row>
    <row r="111" spans="1:9" ht="14.25" customHeight="1">
      <c r="A111" s="76"/>
      <c r="B111" s="76"/>
      <c r="C111" s="76"/>
      <c r="D111" s="76"/>
      <c r="E111" s="76"/>
      <c r="F111" s="76"/>
      <c r="G111" s="245"/>
      <c r="H111" s="238"/>
      <c r="I111" s="70"/>
    </row>
    <row r="112" spans="1:9" ht="16.5">
      <c r="A112" s="81" t="s">
        <v>124</v>
      </c>
      <c r="B112" s="81"/>
      <c r="C112" s="81"/>
      <c r="D112" s="81"/>
      <c r="E112" s="81"/>
      <c r="F112" s="81"/>
      <c r="G112" s="248">
        <f>G110+G100+G78+G58</f>
        <v>53521514</v>
      </c>
      <c r="H112" s="248">
        <f>H110+H100+H78+H58+H59</f>
        <v>71421692</v>
      </c>
      <c r="I112" s="70">
        <f>H112/G112*100</f>
        <v>133.44482743892485</v>
      </c>
    </row>
    <row r="113" spans="1:9" ht="16.5">
      <c r="A113" s="81"/>
      <c r="B113" s="81"/>
      <c r="C113" s="81"/>
      <c r="D113" s="81"/>
      <c r="E113" s="81"/>
      <c r="F113" s="81"/>
      <c r="G113" s="251"/>
      <c r="H113" s="238"/>
      <c r="I113" s="70"/>
    </row>
    <row r="114" spans="1:9" ht="15.75">
      <c r="A114" s="82" t="s">
        <v>125</v>
      </c>
      <c r="B114" s="396" t="s">
        <v>126</v>
      </c>
      <c r="C114" s="396"/>
      <c r="D114" s="396"/>
      <c r="E114" s="396"/>
      <c r="F114" s="396"/>
      <c r="G114" s="243"/>
      <c r="H114" s="238"/>
      <c r="I114" s="70"/>
    </row>
    <row r="115" spans="1:9" ht="15.75">
      <c r="A115" s="14"/>
      <c r="B115" s="67" t="s">
        <v>33</v>
      </c>
      <c r="C115" s="396" t="s">
        <v>127</v>
      </c>
      <c r="D115" s="396"/>
      <c r="E115" s="396"/>
      <c r="F115" s="396"/>
      <c r="G115" s="243"/>
      <c r="H115" s="238"/>
      <c r="I115" s="70"/>
    </row>
    <row r="116" spans="1:9" ht="36" customHeight="1">
      <c r="A116" s="14"/>
      <c r="B116" s="67"/>
      <c r="C116" s="78" t="s">
        <v>33</v>
      </c>
      <c r="D116" s="398" t="s">
        <v>436</v>
      </c>
      <c r="E116" s="398"/>
      <c r="F116" s="398"/>
      <c r="G116" s="243">
        <v>58277607</v>
      </c>
      <c r="H116" s="238">
        <v>4976007</v>
      </c>
      <c r="I116" s="70">
        <f>H116/G116*100</f>
        <v>8.538454573126176</v>
      </c>
    </row>
    <row r="117" spans="1:9" ht="16.5" customHeight="1">
      <c r="A117" s="16"/>
      <c r="B117" s="16"/>
      <c r="C117" s="16" t="s">
        <v>17</v>
      </c>
      <c r="D117" s="394" t="s">
        <v>368</v>
      </c>
      <c r="E117" s="394"/>
      <c r="F117" s="394"/>
      <c r="G117" s="244">
        <v>1417579</v>
      </c>
      <c r="H117" s="358">
        <v>1240566</v>
      </c>
      <c r="I117" s="70">
        <f>H117/G117*100</f>
        <v>87.51300632980595</v>
      </c>
    </row>
    <row r="118" spans="1:9" ht="16.5" customHeight="1">
      <c r="A118" s="16"/>
      <c r="B118" s="16"/>
      <c r="C118" s="16" t="s">
        <v>454</v>
      </c>
      <c r="D118" s="394" t="s">
        <v>455</v>
      </c>
      <c r="E118" s="395"/>
      <c r="F118" s="395"/>
      <c r="G118" s="244">
        <v>45351285</v>
      </c>
      <c r="H118" s="358">
        <f>109982+3000+18481786+933577</f>
        <v>19528345</v>
      </c>
      <c r="I118" s="70">
        <f>H118/G118*100</f>
        <v>43.06018010294526</v>
      </c>
    </row>
    <row r="119" spans="1:9" ht="16.5">
      <c r="A119" s="81" t="s">
        <v>126</v>
      </c>
      <c r="B119" s="81"/>
      <c r="C119" s="81"/>
      <c r="D119" s="81"/>
      <c r="E119" s="81"/>
      <c r="F119" s="81"/>
      <c r="G119" s="248">
        <f>G116+G117+G118</f>
        <v>105046471</v>
      </c>
      <c r="H119" s="248">
        <f>SUM(H116:H118)</f>
        <v>25744918</v>
      </c>
      <c r="I119" s="70">
        <f>H119/G119*100</f>
        <v>24.50812269552587</v>
      </c>
    </row>
    <row r="120" spans="1:9" ht="15" customHeight="1">
      <c r="A120" s="16"/>
      <c r="B120" s="16"/>
      <c r="C120" s="16"/>
      <c r="D120" s="16"/>
      <c r="E120" s="16"/>
      <c r="F120" s="16"/>
      <c r="G120" s="252"/>
      <c r="H120" s="250"/>
      <c r="I120" s="70"/>
    </row>
    <row r="121" spans="1:9" ht="18.75">
      <c r="A121" s="15" t="s">
        <v>128</v>
      </c>
      <c r="B121" s="15"/>
      <c r="C121" s="15"/>
      <c r="D121" s="15"/>
      <c r="E121" s="15"/>
      <c r="F121" s="15"/>
      <c r="G121" s="248">
        <f>G112+G119</f>
        <v>158567985</v>
      </c>
      <c r="H121" s="248">
        <f>H112+H119</f>
        <v>97166610</v>
      </c>
      <c r="I121" s="70">
        <f>H121/G121*100</f>
        <v>61.27757125752717</v>
      </c>
    </row>
    <row r="122" spans="7:9" ht="15.75">
      <c r="G122" s="237"/>
      <c r="H122" s="237"/>
      <c r="I122" s="70"/>
    </row>
    <row r="123" spans="7:9" ht="15.75">
      <c r="G123" s="237"/>
      <c r="H123" s="237"/>
      <c r="I123" s="70"/>
    </row>
    <row r="124" spans="7:8" ht="15.75">
      <c r="G124" s="237"/>
      <c r="H124" s="237"/>
    </row>
    <row r="125" spans="7:8" ht="15.75">
      <c r="G125" s="237"/>
      <c r="H125" s="237"/>
    </row>
    <row r="126" spans="7:8" ht="15.75">
      <c r="G126" s="237"/>
      <c r="H126" s="237"/>
    </row>
    <row r="127" spans="7:8" ht="15.75">
      <c r="G127" s="237"/>
      <c r="H127" s="237"/>
    </row>
    <row r="128" spans="7:8" ht="15.75">
      <c r="G128" s="237"/>
      <c r="H128" s="237"/>
    </row>
    <row r="129" spans="7:8" ht="15.75">
      <c r="G129" s="237"/>
      <c r="H129" s="237"/>
    </row>
    <row r="130" spans="7:8" ht="15.75">
      <c r="G130" s="237"/>
      <c r="H130" s="237"/>
    </row>
    <row r="131" spans="7:8" ht="15.75">
      <c r="G131" s="237"/>
      <c r="H131" s="237"/>
    </row>
    <row r="132" spans="7:8" ht="15.75">
      <c r="G132" s="237"/>
      <c r="H132" s="237"/>
    </row>
    <row r="133" spans="7:8" ht="15.75">
      <c r="G133" s="237"/>
      <c r="H133" s="237"/>
    </row>
    <row r="134" spans="7:8" ht="15.75">
      <c r="G134" s="237"/>
      <c r="H134" s="237"/>
    </row>
    <row r="135" spans="7:8" ht="15.75">
      <c r="G135" s="237"/>
      <c r="H135" s="237"/>
    </row>
    <row r="136" spans="7:8" ht="15.75">
      <c r="G136" s="237"/>
      <c r="H136" s="237"/>
    </row>
    <row r="137" spans="7:8" ht="15.75">
      <c r="G137" s="237"/>
      <c r="H137" s="237"/>
    </row>
    <row r="138" spans="7:8" ht="15.75">
      <c r="G138" s="237"/>
      <c r="H138" s="237"/>
    </row>
    <row r="139" spans="7:8" ht="15.75">
      <c r="G139" s="237"/>
      <c r="H139" s="237"/>
    </row>
    <row r="140" spans="7:8" ht="15.75">
      <c r="G140" s="237"/>
      <c r="H140" s="237"/>
    </row>
    <row r="141" spans="7:8" ht="15.75">
      <c r="G141" s="237"/>
      <c r="H141" s="237"/>
    </row>
    <row r="142" spans="7:8" ht="15.75">
      <c r="G142" s="237"/>
      <c r="H142" s="237"/>
    </row>
    <row r="143" spans="7:8" ht="15.75">
      <c r="G143" s="237"/>
      <c r="H143" s="237"/>
    </row>
    <row r="144" spans="7:8" ht="15.75">
      <c r="G144" s="237"/>
      <c r="H144" s="237"/>
    </row>
    <row r="145" spans="7:8" ht="15.75">
      <c r="G145" s="237"/>
      <c r="H145" s="237"/>
    </row>
    <row r="146" spans="7:8" ht="15.75">
      <c r="G146" s="237"/>
      <c r="H146" s="237"/>
    </row>
    <row r="147" spans="7:8" ht="15.75">
      <c r="G147" s="237"/>
      <c r="H147" s="237"/>
    </row>
    <row r="148" spans="7:8" ht="15.75">
      <c r="G148" s="237"/>
      <c r="H148" s="237"/>
    </row>
    <row r="149" spans="7:8" ht="15.75">
      <c r="G149" s="237"/>
      <c r="H149" s="237"/>
    </row>
    <row r="150" spans="7:8" ht="15.75">
      <c r="G150" s="237"/>
      <c r="H150" s="237"/>
    </row>
    <row r="151" spans="7:8" ht="15.75">
      <c r="G151" s="237"/>
      <c r="H151" s="237"/>
    </row>
    <row r="152" spans="7:8" ht="15.75">
      <c r="G152" s="237"/>
      <c r="H152" s="237"/>
    </row>
    <row r="153" spans="7:8" ht="15.75">
      <c r="G153" s="237"/>
      <c r="H153" s="237"/>
    </row>
    <row r="154" spans="7:8" ht="15.75">
      <c r="G154" s="237"/>
      <c r="H154" s="237"/>
    </row>
    <row r="155" spans="7:8" ht="15.75">
      <c r="G155" s="237"/>
      <c r="H155" s="237"/>
    </row>
    <row r="156" spans="7:8" ht="15.75">
      <c r="G156" s="237"/>
      <c r="H156" s="237"/>
    </row>
  </sheetData>
  <sheetProtection/>
  <mergeCells count="36"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D17:F17"/>
    <mergeCell ref="C54:F54"/>
    <mergeCell ref="D55:F55"/>
    <mergeCell ref="B57:F57"/>
    <mergeCell ref="E49:F49"/>
    <mergeCell ref="C51:F51"/>
    <mergeCell ref="C46:F46"/>
    <mergeCell ref="D48:F48"/>
    <mergeCell ref="A110:F110"/>
    <mergeCell ref="B114:F114"/>
    <mergeCell ref="A58:F58"/>
    <mergeCell ref="C81:F81"/>
    <mergeCell ref="B59:F59"/>
    <mergeCell ref="C99:F99"/>
    <mergeCell ref="A4:I4"/>
    <mergeCell ref="A3:I3"/>
    <mergeCell ref="D118:F118"/>
    <mergeCell ref="B52:F52"/>
    <mergeCell ref="C109:F109"/>
    <mergeCell ref="D117:F117"/>
    <mergeCell ref="C107:F107"/>
    <mergeCell ref="C115:F115"/>
    <mergeCell ref="D116:F116"/>
    <mergeCell ref="D108:F10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52" customWidth="1"/>
    <col min="2" max="2" width="9.125" style="152" customWidth="1"/>
    <col min="3" max="3" width="61.125" style="152" customWidth="1"/>
    <col min="4" max="7" width="26.25390625" style="152" customWidth="1"/>
    <col min="8" max="16384" width="9.125" style="152" customWidth="1"/>
  </cols>
  <sheetData>
    <row r="1" spans="1:7" ht="15">
      <c r="A1" s="386" t="s">
        <v>505</v>
      </c>
      <c r="B1" s="387"/>
      <c r="C1" s="387"/>
      <c r="D1" s="387"/>
      <c r="E1" s="387"/>
      <c r="F1" s="387"/>
      <c r="G1" s="393"/>
    </row>
    <row r="2" spans="1:6" ht="15">
      <c r="A2" s="371"/>
      <c r="B2" s="350"/>
      <c r="C2" s="350"/>
      <c r="D2" s="350"/>
      <c r="E2" s="350"/>
      <c r="F2" s="350"/>
    </row>
    <row r="3" spans="1:7" s="144" customFormat="1" ht="15.75">
      <c r="A3" s="415" t="s">
        <v>456</v>
      </c>
      <c r="B3" s="392"/>
      <c r="C3" s="392"/>
      <c r="D3" s="392"/>
      <c r="E3" s="392"/>
      <c r="F3" s="392"/>
      <c r="G3" s="392"/>
    </row>
    <row r="4" spans="3:7" s="59" customFormat="1" ht="15" customHeight="1">
      <c r="C4" s="416"/>
      <c r="D4" s="416"/>
      <c r="E4" s="416"/>
      <c r="F4" s="416"/>
      <c r="G4" s="416"/>
    </row>
    <row r="5" spans="2:7" s="146" customFormat="1" ht="15" customHeight="1">
      <c r="B5" s="417"/>
      <c r="C5" s="417"/>
      <c r="D5" s="417"/>
      <c r="E5" s="417"/>
      <c r="F5" s="417"/>
      <c r="G5" s="417"/>
    </row>
    <row r="6" spans="2:7" s="99" customFormat="1" ht="15" customHeight="1">
      <c r="B6" s="417" t="s">
        <v>30</v>
      </c>
      <c r="C6" s="417"/>
      <c r="D6" s="417"/>
      <c r="E6" s="417"/>
      <c r="F6" s="417"/>
      <c r="G6" s="417"/>
    </row>
    <row r="7" spans="2:7" s="99" customFormat="1" ht="15.75" customHeight="1">
      <c r="B7" s="418" t="s">
        <v>258</v>
      </c>
      <c r="C7" s="418"/>
      <c r="D7" s="418"/>
      <c r="E7" s="418"/>
      <c r="F7" s="418"/>
      <c r="G7" s="418"/>
    </row>
    <row r="8" spans="3:7" s="99" customFormat="1" ht="15" customHeight="1">
      <c r="C8" s="417" t="s">
        <v>442</v>
      </c>
      <c r="D8" s="417"/>
      <c r="E8" s="417"/>
      <c r="F8" s="417"/>
      <c r="G8" s="417"/>
    </row>
    <row r="9" spans="3:7" s="144" customFormat="1" ht="12" customHeight="1" thickBot="1">
      <c r="C9" s="145"/>
      <c r="D9" s="149"/>
      <c r="E9" s="150"/>
      <c r="F9" s="150"/>
      <c r="G9" s="151"/>
    </row>
    <row r="10" spans="1:7" s="144" customFormat="1" ht="23.25" customHeight="1" thickBot="1">
      <c r="A10" s="419" t="s">
        <v>353</v>
      </c>
      <c r="B10" s="422" t="s">
        <v>157</v>
      </c>
      <c r="C10" s="425" t="s">
        <v>158</v>
      </c>
      <c r="D10" s="428" t="s">
        <v>259</v>
      </c>
      <c r="E10" s="431" t="s">
        <v>260</v>
      </c>
      <c r="F10" s="431"/>
      <c r="G10" s="432"/>
    </row>
    <row r="11" spans="1:7" s="144" customFormat="1" ht="39.75" customHeight="1" thickBot="1">
      <c r="A11" s="420"/>
      <c r="B11" s="423"/>
      <c r="C11" s="426"/>
      <c r="D11" s="429"/>
      <c r="E11" s="257" t="s">
        <v>261</v>
      </c>
      <c r="F11" s="258" t="s">
        <v>262</v>
      </c>
      <c r="G11" s="259" t="s">
        <v>263</v>
      </c>
    </row>
    <row r="12" spans="1:7" s="144" customFormat="1" ht="22.5" customHeight="1">
      <c r="A12" s="420"/>
      <c r="B12" s="423"/>
      <c r="C12" s="426"/>
      <c r="D12" s="429"/>
      <c r="E12" s="433" t="s">
        <v>264</v>
      </c>
      <c r="F12" s="434"/>
      <c r="G12" s="435"/>
    </row>
    <row r="13" spans="1:7" ht="21.75" customHeight="1" thickBot="1">
      <c r="A13" s="421"/>
      <c r="B13" s="424"/>
      <c r="C13" s="427"/>
      <c r="D13" s="430"/>
      <c r="E13" s="436"/>
      <c r="F13" s="437"/>
      <c r="G13" s="438"/>
    </row>
    <row r="14" spans="1:7" ht="30">
      <c r="A14" s="260" t="s">
        <v>33</v>
      </c>
      <c r="B14" s="253" t="s">
        <v>174</v>
      </c>
      <c r="C14" s="153" t="s">
        <v>175</v>
      </c>
      <c r="D14" s="154">
        <f>SUM(E14:G14)</f>
        <v>353850</v>
      </c>
      <c r="E14" s="154">
        <v>7000</v>
      </c>
      <c r="F14" s="154">
        <v>346850</v>
      </c>
      <c r="G14" s="155"/>
    </row>
    <row r="15" spans="1:7" ht="15">
      <c r="A15" s="256" t="s">
        <v>17</v>
      </c>
      <c r="B15" s="254" t="s">
        <v>176</v>
      </c>
      <c r="C15" s="94" t="s">
        <v>25</v>
      </c>
      <c r="D15" s="156">
        <f aca="true" t="shared" si="0" ref="D15:D23">SUM(E15:G15)</f>
        <v>51800</v>
      </c>
      <c r="E15" s="156">
        <v>51800</v>
      </c>
      <c r="F15" s="156"/>
      <c r="G15" s="157"/>
    </row>
    <row r="16" spans="1:7" ht="15">
      <c r="A16" s="256" t="s">
        <v>34</v>
      </c>
      <c r="B16" s="254" t="s">
        <v>177</v>
      </c>
      <c r="C16" s="94" t="s">
        <v>178</v>
      </c>
      <c r="D16" s="156">
        <f t="shared" si="0"/>
        <v>350466</v>
      </c>
      <c r="E16" s="156">
        <v>64680</v>
      </c>
      <c r="F16" s="156">
        <v>285786</v>
      </c>
      <c r="G16" s="157"/>
    </row>
    <row r="17" spans="1:7" ht="15">
      <c r="A17" s="256" t="s">
        <v>79</v>
      </c>
      <c r="B17" s="254" t="s">
        <v>265</v>
      </c>
      <c r="C17" s="94" t="s">
        <v>266</v>
      </c>
      <c r="D17" s="156">
        <f t="shared" si="0"/>
        <v>31017138</v>
      </c>
      <c r="E17" s="156">
        <v>31017138</v>
      </c>
      <c r="F17" s="156"/>
      <c r="G17" s="157"/>
    </row>
    <row r="18" spans="1:7" ht="15">
      <c r="A18" s="256" t="s">
        <v>80</v>
      </c>
      <c r="B18" s="254" t="s">
        <v>355</v>
      </c>
      <c r="C18" s="94" t="s">
        <v>356</v>
      </c>
      <c r="D18" s="156">
        <f t="shared" si="0"/>
        <v>25744918</v>
      </c>
      <c r="E18" s="156">
        <f>6216573+109982+3000+18481786+933577</f>
        <v>25744918</v>
      </c>
      <c r="F18" s="156"/>
      <c r="G18" s="157"/>
    </row>
    <row r="19" spans="1:7" ht="15">
      <c r="A19" s="256" t="s">
        <v>86</v>
      </c>
      <c r="B19" s="254" t="s">
        <v>357</v>
      </c>
      <c r="C19" s="94" t="s">
        <v>358</v>
      </c>
      <c r="D19" s="156">
        <f t="shared" si="0"/>
        <v>15833638</v>
      </c>
      <c r="E19" s="156">
        <v>15833638</v>
      </c>
      <c r="F19" s="156"/>
      <c r="G19" s="157"/>
    </row>
    <row r="20" spans="1:7" ht="15">
      <c r="A20" s="256" t="s">
        <v>214</v>
      </c>
      <c r="B20" s="254" t="s">
        <v>181</v>
      </c>
      <c r="C20" s="94" t="s">
        <v>182</v>
      </c>
      <c r="D20" s="156">
        <f t="shared" si="0"/>
        <v>6283419</v>
      </c>
      <c r="E20" s="156">
        <v>6283419</v>
      </c>
      <c r="F20" s="156"/>
      <c r="G20" s="157"/>
    </row>
    <row r="21" spans="1:7" ht="15">
      <c r="A21" s="256" t="s">
        <v>216</v>
      </c>
      <c r="B21" s="254" t="s">
        <v>189</v>
      </c>
      <c r="C21" s="94" t="s">
        <v>190</v>
      </c>
      <c r="D21" s="156">
        <f t="shared" si="0"/>
        <v>6000000</v>
      </c>
      <c r="E21" s="156">
        <v>6000000</v>
      </c>
      <c r="F21" s="156"/>
      <c r="G21" s="157"/>
    </row>
    <row r="22" spans="1:7" ht="15">
      <c r="A22" s="256" t="s">
        <v>218</v>
      </c>
      <c r="B22" s="255">
        <v>104051</v>
      </c>
      <c r="C22" s="94" t="s">
        <v>326</v>
      </c>
      <c r="D22" s="156">
        <f t="shared" si="0"/>
        <v>46400</v>
      </c>
      <c r="E22" s="156"/>
      <c r="F22" s="156"/>
      <c r="G22" s="157">
        <v>46400</v>
      </c>
    </row>
    <row r="23" spans="1:7" ht="30.75" thickBot="1">
      <c r="A23" s="256" t="s">
        <v>218</v>
      </c>
      <c r="B23" s="255">
        <v>900020</v>
      </c>
      <c r="C23" s="94" t="s">
        <v>271</v>
      </c>
      <c r="D23" s="156">
        <f t="shared" si="0"/>
        <v>7808000</v>
      </c>
      <c r="E23" s="156">
        <v>7808000</v>
      </c>
      <c r="F23" s="156"/>
      <c r="G23" s="157"/>
    </row>
    <row r="24" spans="1:7" ht="30" customHeight="1" thickBot="1">
      <c r="A24" s="355" t="s">
        <v>224</v>
      </c>
      <c r="B24" s="356"/>
      <c r="C24" s="346" t="s">
        <v>407</v>
      </c>
      <c r="D24" s="348">
        <f>SUM(D14:D23)</f>
        <v>93489629</v>
      </c>
      <c r="E24" s="348">
        <f>SUM(E14:E23)</f>
        <v>92810593</v>
      </c>
      <c r="F24" s="348">
        <f>SUM(F14:F23)</f>
        <v>632636</v>
      </c>
      <c r="G24" s="348">
        <f>SUM(G14:G23)</f>
        <v>46400</v>
      </c>
    </row>
    <row r="26" spans="1:7" ht="15">
      <c r="A26" s="256" t="s">
        <v>226</v>
      </c>
      <c r="B26" s="254" t="s">
        <v>405</v>
      </c>
      <c r="C26" s="94" t="s">
        <v>406</v>
      </c>
      <c r="D26" s="156">
        <f>SUM(E26:G26)</f>
        <v>259101</v>
      </c>
      <c r="E26" s="156">
        <v>259101</v>
      </c>
      <c r="F26" s="156"/>
      <c r="G26" s="157"/>
    </row>
    <row r="27" spans="1:7" ht="15">
      <c r="A27" s="256" t="s">
        <v>228</v>
      </c>
      <c r="B27" s="254" t="s">
        <v>267</v>
      </c>
      <c r="C27" s="94" t="s">
        <v>268</v>
      </c>
      <c r="D27" s="156">
        <f>SUM(E27:G27)</f>
        <v>634090</v>
      </c>
      <c r="E27" s="156">
        <v>634090</v>
      </c>
      <c r="F27" s="156"/>
      <c r="G27" s="157"/>
    </row>
    <row r="28" spans="1:7" ht="15">
      <c r="A28" s="256" t="s">
        <v>233</v>
      </c>
      <c r="B28" s="254" t="s">
        <v>269</v>
      </c>
      <c r="C28" s="94" t="s">
        <v>270</v>
      </c>
      <c r="D28" s="156">
        <f>SUM(E28:G28)</f>
        <v>435147</v>
      </c>
      <c r="E28" s="156"/>
      <c r="F28" s="156">
        <v>435147</v>
      </c>
      <c r="G28" s="157"/>
    </row>
    <row r="29" spans="1:7" ht="15">
      <c r="A29" s="340" t="s">
        <v>235</v>
      </c>
      <c r="B29" s="254" t="s">
        <v>269</v>
      </c>
      <c r="C29" s="96" t="s">
        <v>332</v>
      </c>
      <c r="D29" s="156">
        <f>SUM(E29:G29)</f>
        <v>746229</v>
      </c>
      <c r="E29" s="156"/>
      <c r="F29" s="156">
        <v>746229</v>
      </c>
      <c r="G29" s="157"/>
    </row>
    <row r="30" spans="1:7" ht="15.75" thickBot="1">
      <c r="A30" s="340" t="s">
        <v>237</v>
      </c>
      <c r="B30" s="255" t="s">
        <v>198</v>
      </c>
      <c r="C30" s="320" t="s">
        <v>324</v>
      </c>
      <c r="D30" s="344">
        <f>SUM(E30:G30)</f>
        <v>1602414</v>
      </c>
      <c r="E30" s="344">
        <v>1602414</v>
      </c>
      <c r="F30" s="344"/>
      <c r="G30" s="345"/>
    </row>
    <row r="31" spans="1:7" ht="15" thickBot="1">
      <c r="A31" s="158" t="s">
        <v>244</v>
      </c>
      <c r="B31" s="158"/>
      <c r="C31" s="333" t="s">
        <v>410</v>
      </c>
      <c r="D31" s="357">
        <f>D26+D28+D29+D30+D27</f>
        <v>3676981</v>
      </c>
      <c r="E31" s="357">
        <f>E26+E28+E29+E30</f>
        <v>1861515</v>
      </c>
      <c r="F31" s="357">
        <f>F26+F28+F29+F30</f>
        <v>1181376</v>
      </c>
      <c r="G31" s="357">
        <f>G26+G28+G29+G30</f>
        <v>0</v>
      </c>
    </row>
    <row r="32" spans="1:7" ht="16.5" thickBot="1">
      <c r="A32" s="360" t="s">
        <v>247</v>
      </c>
      <c r="B32" s="158"/>
      <c r="C32" s="334" t="s">
        <v>411</v>
      </c>
      <c r="D32" s="357">
        <f>D24+D31</f>
        <v>97166610</v>
      </c>
      <c r="E32" s="357">
        <f>E24+E31</f>
        <v>94672108</v>
      </c>
      <c r="F32" s="357">
        <f>F24+F31</f>
        <v>1814012</v>
      </c>
      <c r="G32" s="357">
        <f>G24+G31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8"/>
  <sheetViews>
    <sheetView zoomScalePageLayoutView="0" workbookViewId="0" topLeftCell="A1">
      <selection activeCell="B1" sqref="B1:T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451" t="s">
        <v>504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</row>
    <row r="2" spans="1:19" ht="15.75" customHeight="1">
      <c r="A2" s="415" t="s">
        <v>459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2:20" s="92" customFormat="1" ht="15.75" customHeight="1"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</row>
    <row r="4" spans="2:17" s="92" customFormat="1" ht="15.7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2:20" s="92" customFormat="1" ht="15.75" customHeight="1">
      <c r="B5" s="452" t="s">
        <v>30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</row>
    <row r="6" spans="2:20" s="92" customFormat="1" ht="15.75" customHeight="1">
      <c r="B6" s="452" t="s">
        <v>156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</row>
    <row r="7" spans="2:20" s="92" customFormat="1" ht="15.75" customHeight="1">
      <c r="B7" s="452" t="s">
        <v>439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</row>
    <row r="8" spans="19:20" s="92" customFormat="1" ht="15.75" thickBot="1">
      <c r="S8" s="478" t="s">
        <v>354</v>
      </c>
      <c r="T8" s="478"/>
    </row>
    <row r="9" spans="1:20" s="93" customFormat="1" ht="20.25" customHeight="1" thickBot="1">
      <c r="A9" s="448" t="s">
        <v>353</v>
      </c>
      <c r="B9" s="445" t="s">
        <v>157</v>
      </c>
      <c r="C9" s="439" t="s">
        <v>158</v>
      </c>
      <c r="D9" s="442" t="s">
        <v>159</v>
      </c>
      <c r="E9" s="462" t="s">
        <v>160</v>
      </c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4"/>
      <c r="S9" s="479" t="s">
        <v>3</v>
      </c>
      <c r="T9" s="480"/>
    </row>
    <row r="10" spans="1:20" s="93" customFormat="1" ht="38.25" customHeight="1" thickBot="1">
      <c r="A10" s="449"/>
      <c r="B10" s="446"/>
      <c r="C10" s="440"/>
      <c r="D10" s="443"/>
      <c r="E10" s="475" t="s">
        <v>52</v>
      </c>
      <c r="F10" s="476"/>
      <c r="G10" s="476"/>
      <c r="H10" s="476"/>
      <c r="I10" s="476"/>
      <c r="J10" s="477"/>
      <c r="K10" s="456" t="s">
        <v>53</v>
      </c>
      <c r="L10" s="457"/>
      <c r="M10" s="457"/>
      <c r="N10" s="458"/>
      <c r="O10" s="472" t="s">
        <v>161</v>
      </c>
      <c r="P10" s="473"/>
      <c r="Q10" s="473"/>
      <c r="R10" s="474"/>
      <c r="S10" s="470" t="s">
        <v>6</v>
      </c>
      <c r="T10" s="471"/>
    </row>
    <row r="11" spans="1:20" s="93" customFormat="1" ht="21" customHeight="1" thickBot="1">
      <c r="A11" s="449"/>
      <c r="B11" s="446"/>
      <c r="C11" s="440"/>
      <c r="D11" s="443"/>
      <c r="E11" s="442" t="s">
        <v>162</v>
      </c>
      <c r="F11" s="442" t="s">
        <v>163</v>
      </c>
      <c r="G11" s="442" t="s">
        <v>164</v>
      </c>
      <c r="H11" s="442" t="s">
        <v>165</v>
      </c>
      <c r="I11" s="442" t="s">
        <v>166</v>
      </c>
      <c r="J11" s="453" t="s">
        <v>167</v>
      </c>
      <c r="K11" s="459" t="s">
        <v>168</v>
      </c>
      <c r="L11" s="459" t="s">
        <v>54</v>
      </c>
      <c r="M11" s="442" t="s">
        <v>272</v>
      </c>
      <c r="N11" s="465" t="s">
        <v>273</v>
      </c>
      <c r="O11" s="442" t="s">
        <v>333</v>
      </c>
      <c r="P11" s="442" t="s">
        <v>169</v>
      </c>
      <c r="Q11" s="442" t="s">
        <v>170</v>
      </c>
      <c r="R11" s="465" t="s">
        <v>274</v>
      </c>
      <c r="S11" s="142" t="s">
        <v>171</v>
      </c>
      <c r="T11" s="143" t="s">
        <v>172</v>
      </c>
    </row>
    <row r="12" spans="1:20" s="93" customFormat="1" ht="18.75" customHeight="1">
      <c r="A12" s="449"/>
      <c r="B12" s="446"/>
      <c r="C12" s="440"/>
      <c r="D12" s="443"/>
      <c r="E12" s="443"/>
      <c r="F12" s="443"/>
      <c r="G12" s="443"/>
      <c r="H12" s="443"/>
      <c r="I12" s="443"/>
      <c r="J12" s="454"/>
      <c r="K12" s="460"/>
      <c r="L12" s="460"/>
      <c r="M12" s="443"/>
      <c r="N12" s="466"/>
      <c r="O12" s="443"/>
      <c r="P12" s="443"/>
      <c r="Q12" s="443"/>
      <c r="R12" s="466"/>
      <c r="S12" s="468" t="s">
        <v>173</v>
      </c>
      <c r="T12" s="469"/>
    </row>
    <row r="13" spans="1:20" s="93" customFormat="1" ht="20.25" customHeight="1" thickBot="1">
      <c r="A13" s="450"/>
      <c r="B13" s="447"/>
      <c r="C13" s="441"/>
      <c r="D13" s="444"/>
      <c r="E13" s="444"/>
      <c r="F13" s="444"/>
      <c r="G13" s="444"/>
      <c r="H13" s="444"/>
      <c r="I13" s="444"/>
      <c r="J13" s="455"/>
      <c r="K13" s="461"/>
      <c r="L13" s="461"/>
      <c r="M13" s="444"/>
      <c r="N13" s="467"/>
      <c r="O13" s="444"/>
      <c r="P13" s="444"/>
      <c r="Q13" s="444"/>
      <c r="R13" s="467"/>
      <c r="S13" s="470"/>
      <c r="T13" s="471"/>
    </row>
    <row r="14" spans="1:20" s="92" customFormat="1" ht="30">
      <c r="A14" s="304" t="s">
        <v>33</v>
      </c>
      <c r="B14" s="302" t="s">
        <v>174</v>
      </c>
      <c r="C14" s="94" t="s">
        <v>175</v>
      </c>
      <c r="D14" s="269">
        <f>J14+N14+P14+Q14</f>
        <v>42266431</v>
      </c>
      <c r="E14" s="261">
        <v>12211918</v>
      </c>
      <c r="F14" s="262">
        <v>2546152</v>
      </c>
      <c r="G14" s="262">
        <v>3576389</v>
      </c>
      <c r="H14" s="262"/>
      <c r="I14" s="262">
        <f>6548586-1200000+18481786</f>
        <v>23830372</v>
      </c>
      <c r="J14" s="263">
        <f aca="true" t="shared" si="0" ref="J14:J36">SUM(E14:I14)</f>
        <v>42164831</v>
      </c>
      <c r="K14" s="264">
        <v>101600</v>
      </c>
      <c r="L14" s="264"/>
      <c r="M14" s="264"/>
      <c r="N14" s="265">
        <f>SUM(K14:M14)</f>
        <v>101600</v>
      </c>
      <c r="O14" s="265"/>
      <c r="P14" s="266"/>
      <c r="Q14" s="267"/>
      <c r="R14" s="267"/>
      <c r="S14" s="309">
        <f>0.5+0.1+0.2-0.3</f>
        <v>0.5</v>
      </c>
      <c r="T14" s="310">
        <v>0.5</v>
      </c>
    </row>
    <row r="15" spans="1:20" s="92" customFormat="1" ht="15">
      <c r="A15" s="304" t="s">
        <v>17</v>
      </c>
      <c r="B15" s="254" t="s">
        <v>176</v>
      </c>
      <c r="C15" s="94" t="s">
        <v>25</v>
      </c>
      <c r="D15" s="269">
        <f aca="true" t="shared" si="1" ref="D15:D36">J15+N15+P15+Q15</f>
        <v>68150</v>
      </c>
      <c r="E15" s="261"/>
      <c r="F15" s="262"/>
      <c r="G15" s="262">
        <v>68150</v>
      </c>
      <c r="H15" s="262"/>
      <c r="I15" s="262"/>
      <c r="J15" s="263">
        <f t="shared" si="0"/>
        <v>68150</v>
      </c>
      <c r="K15" s="264"/>
      <c r="L15" s="264"/>
      <c r="M15" s="264"/>
      <c r="N15" s="265"/>
      <c r="O15" s="265"/>
      <c r="P15" s="266"/>
      <c r="Q15" s="267"/>
      <c r="R15" s="267"/>
      <c r="S15" s="311"/>
      <c r="T15" s="312"/>
    </row>
    <row r="16" spans="1:20" s="92" customFormat="1" ht="29.25" customHeight="1">
      <c r="A16" s="304" t="s">
        <v>34</v>
      </c>
      <c r="B16" s="254" t="s">
        <v>177</v>
      </c>
      <c r="C16" s="94" t="s">
        <v>178</v>
      </c>
      <c r="D16" s="269">
        <f>J16+N16+R16</f>
        <v>1482890</v>
      </c>
      <c r="E16" s="261"/>
      <c r="F16" s="262"/>
      <c r="G16" s="262">
        <v>282890</v>
      </c>
      <c r="H16" s="262"/>
      <c r="I16" s="262"/>
      <c r="J16" s="263">
        <f t="shared" si="0"/>
        <v>282890</v>
      </c>
      <c r="K16" s="264">
        <v>1200000</v>
      </c>
      <c r="L16" s="264"/>
      <c r="M16" s="264"/>
      <c r="N16" s="265">
        <f>SUM(K16:M16)</f>
        <v>1200000</v>
      </c>
      <c r="O16" s="265"/>
      <c r="P16" s="266"/>
      <c r="Q16" s="267"/>
      <c r="R16" s="267"/>
      <c r="S16" s="313"/>
      <c r="T16" s="312"/>
    </row>
    <row r="17" spans="1:20" s="92" customFormat="1" ht="30" customHeight="1">
      <c r="A17" s="304" t="s">
        <v>79</v>
      </c>
      <c r="B17" s="254" t="s">
        <v>265</v>
      </c>
      <c r="C17" s="94" t="s">
        <v>266</v>
      </c>
      <c r="D17" s="269">
        <f>J17+N17+R17</f>
        <v>1243566</v>
      </c>
      <c r="E17" s="261"/>
      <c r="F17" s="262"/>
      <c r="G17" s="262"/>
      <c r="H17" s="262"/>
      <c r="I17" s="262">
        <v>3000</v>
      </c>
      <c r="J17" s="263">
        <f t="shared" si="0"/>
        <v>3000</v>
      </c>
      <c r="K17" s="264"/>
      <c r="L17" s="264"/>
      <c r="M17" s="264"/>
      <c r="N17" s="265">
        <f>SUM(K17:M17)</f>
        <v>0</v>
      </c>
      <c r="O17" s="265">
        <v>1240566</v>
      </c>
      <c r="P17" s="266"/>
      <c r="Q17" s="267"/>
      <c r="R17" s="267">
        <f>O17+P17+Q17</f>
        <v>1240566</v>
      </c>
      <c r="S17" s="309"/>
      <c r="T17" s="312"/>
    </row>
    <row r="18" spans="1:20" s="92" customFormat="1" ht="18.75" customHeight="1">
      <c r="A18" s="304" t="s">
        <v>80</v>
      </c>
      <c r="B18" s="254" t="s">
        <v>405</v>
      </c>
      <c r="C18" s="94" t="s">
        <v>406</v>
      </c>
      <c r="D18" s="269">
        <f>J18+N18+R18</f>
        <v>0</v>
      </c>
      <c r="E18" s="261"/>
      <c r="F18" s="262"/>
      <c r="G18" s="262"/>
      <c r="H18" s="262"/>
      <c r="I18" s="262"/>
      <c r="J18" s="263">
        <f t="shared" si="0"/>
        <v>0</v>
      </c>
      <c r="K18" s="264"/>
      <c r="L18" s="264"/>
      <c r="M18" s="264"/>
      <c r="N18" s="265"/>
      <c r="O18" s="265"/>
      <c r="P18" s="266"/>
      <c r="Q18" s="267"/>
      <c r="R18" s="267"/>
      <c r="S18" s="309"/>
      <c r="T18" s="312"/>
    </row>
    <row r="19" spans="1:20" s="92" customFormat="1" ht="30" customHeight="1">
      <c r="A19" s="304" t="s">
        <v>86</v>
      </c>
      <c r="B19" s="254" t="s">
        <v>357</v>
      </c>
      <c r="C19" s="94" t="s">
        <v>358</v>
      </c>
      <c r="D19" s="269">
        <f>J19+N19+R19</f>
        <v>2927007</v>
      </c>
      <c r="E19" s="261"/>
      <c r="F19" s="262"/>
      <c r="G19" s="262">
        <v>127000</v>
      </c>
      <c r="H19" s="262"/>
      <c r="I19" s="262"/>
      <c r="J19" s="263">
        <f t="shared" si="0"/>
        <v>127000</v>
      </c>
      <c r="K19" s="264"/>
      <c r="L19" s="264">
        <v>2800007</v>
      </c>
      <c r="M19" s="264"/>
      <c r="N19" s="265">
        <f>SUM(K19:M19)</f>
        <v>2800007</v>
      </c>
      <c r="O19" s="265"/>
      <c r="P19" s="266"/>
      <c r="Q19" s="267"/>
      <c r="R19" s="267"/>
      <c r="S19" s="309"/>
      <c r="T19" s="312"/>
    </row>
    <row r="20" spans="1:20" s="92" customFormat="1" ht="30">
      <c r="A20" s="304" t="s">
        <v>214</v>
      </c>
      <c r="B20" s="254" t="s">
        <v>179</v>
      </c>
      <c r="C20" s="94" t="s">
        <v>180</v>
      </c>
      <c r="D20" s="269">
        <f>J20+N20+P20+Q20</f>
        <v>26670</v>
      </c>
      <c r="E20" s="261"/>
      <c r="F20" s="262"/>
      <c r="G20" s="262">
        <v>26670</v>
      </c>
      <c r="H20" s="262"/>
      <c r="I20" s="262"/>
      <c r="J20" s="263">
        <f t="shared" si="0"/>
        <v>26670</v>
      </c>
      <c r="K20" s="264"/>
      <c r="L20" s="264"/>
      <c r="M20" s="264"/>
      <c r="N20" s="265">
        <f>SUM(K20:M20)</f>
        <v>0</v>
      </c>
      <c r="O20" s="265"/>
      <c r="P20" s="266"/>
      <c r="Q20" s="267"/>
      <c r="R20" s="267"/>
      <c r="S20" s="309"/>
      <c r="T20" s="312"/>
    </row>
    <row r="21" spans="1:20" s="92" customFormat="1" ht="15">
      <c r="A21" s="304" t="s">
        <v>216</v>
      </c>
      <c r="B21" s="254" t="s">
        <v>339</v>
      </c>
      <c r="C21" s="94" t="s">
        <v>340</v>
      </c>
      <c r="D21" s="269">
        <f>J21+N21+P21+Q21</f>
        <v>54864</v>
      </c>
      <c r="E21" s="261"/>
      <c r="F21" s="262"/>
      <c r="G21" s="262">
        <v>54864</v>
      </c>
      <c r="H21" s="262"/>
      <c r="I21" s="262"/>
      <c r="J21" s="263">
        <f t="shared" si="0"/>
        <v>54864</v>
      </c>
      <c r="K21" s="264"/>
      <c r="L21" s="264"/>
      <c r="M21" s="264"/>
      <c r="N21" s="265">
        <f>SUM(K21:M21)</f>
        <v>0</v>
      </c>
      <c r="O21" s="265"/>
      <c r="P21" s="266"/>
      <c r="Q21" s="267"/>
      <c r="R21" s="267"/>
      <c r="S21" s="309"/>
      <c r="T21" s="312"/>
    </row>
    <row r="22" spans="1:20" s="92" customFormat="1" ht="30">
      <c r="A22" s="304" t="s">
        <v>218</v>
      </c>
      <c r="B22" s="254" t="s">
        <v>181</v>
      </c>
      <c r="C22" s="94" t="s">
        <v>182</v>
      </c>
      <c r="D22" s="269">
        <f>J22+N22+P22+Q22</f>
        <v>6283419</v>
      </c>
      <c r="E22" s="261"/>
      <c r="F22" s="262"/>
      <c r="G22" s="262">
        <v>5775419</v>
      </c>
      <c r="H22" s="262"/>
      <c r="I22" s="262"/>
      <c r="J22" s="263">
        <f t="shared" si="0"/>
        <v>5775419</v>
      </c>
      <c r="K22" s="264"/>
      <c r="L22" s="264">
        <v>508000</v>
      </c>
      <c r="M22" s="264"/>
      <c r="N22" s="265">
        <f>SUM(K22:M22)</f>
        <v>508000</v>
      </c>
      <c r="O22" s="265"/>
      <c r="P22" s="266"/>
      <c r="Q22" s="267"/>
      <c r="R22" s="267"/>
      <c r="S22" s="313"/>
      <c r="T22" s="312"/>
    </row>
    <row r="23" spans="1:20" s="92" customFormat="1" ht="15">
      <c r="A23" s="304" t="s">
        <v>224</v>
      </c>
      <c r="B23" s="254" t="s">
        <v>183</v>
      </c>
      <c r="C23" s="94" t="s">
        <v>184</v>
      </c>
      <c r="D23" s="269">
        <f>J23+N23+P23+Q23</f>
        <v>2000000</v>
      </c>
      <c r="E23" s="261"/>
      <c r="F23" s="262"/>
      <c r="G23" s="262"/>
      <c r="H23" s="262"/>
      <c r="I23" s="262"/>
      <c r="J23" s="263"/>
      <c r="K23" s="264"/>
      <c r="L23" s="264"/>
      <c r="M23" s="264">
        <v>2000000</v>
      </c>
      <c r="N23" s="265">
        <f>SUM(K23:M23)</f>
        <v>2000000</v>
      </c>
      <c r="O23" s="265"/>
      <c r="P23" s="266"/>
      <c r="Q23" s="267"/>
      <c r="R23" s="267"/>
      <c r="S23" s="313"/>
      <c r="T23" s="312"/>
    </row>
    <row r="24" spans="1:20" s="92" customFormat="1" ht="15">
      <c r="A24" s="304" t="s">
        <v>226</v>
      </c>
      <c r="B24" s="254" t="s">
        <v>185</v>
      </c>
      <c r="C24" s="94" t="s">
        <v>186</v>
      </c>
      <c r="D24" s="269">
        <f t="shared" si="1"/>
        <v>1910715</v>
      </c>
      <c r="E24" s="261"/>
      <c r="F24" s="262"/>
      <c r="G24" s="262">
        <v>1910715</v>
      </c>
      <c r="H24" s="264"/>
      <c r="I24" s="262"/>
      <c r="J24" s="263">
        <f t="shared" si="0"/>
        <v>1910715</v>
      </c>
      <c r="K24" s="264"/>
      <c r="L24" s="264"/>
      <c r="M24" s="264"/>
      <c r="N24" s="265"/>
      <c r="O24" s="265"/>
      <c r="P24" s="266"/>
      <c r="Q24" s="267"/>
      <c r="R24" s="267"/>
      <c r="S24" s="313"/>
      <c r="T24" s="312"/>
    </row>
    <row r="25" spans="1:20" s="92" customFormat="1" ht="15">
      <c r="A25" s="304" t="s">
        <v>228</v>
      </c>
      <c r="B25" s="254" t="s">
        <v>187</v>
      </c>
      <c r="C25" s="94" t="s">
        <v>188</v>
      </c>
      <c r="D25" s="269">
        <f t="shared" si="1"/>
        <v>381000</v>
      </c>
      <c r="E25" s="261"/>
      <c r="F25" s="262"/>
      <c r="G25" s="262">
        <v>381000</v>
      </c>
      <c r="H25" s="264"/>
      <c r="I25" s="262"/>
      <c r="J25" s="263">
        <f t="shared" si="0"/>
        <v>381000</v>
      </c>
      <c r="K25" s="264"/>
      <c r="L25" s="264"/>
      <c r="M25" s="264"/>
      <c r="N25" s="265"/>
      <c r="O25" s="265"/>
      <c r="P25" s="266"/>
      <c r="Q25" s="267"/>
      <c r="R25" s="267"/>
      <c r="S25" s="313"/>
      <c r="T25" s="312"/>
    </row>
    <row r="26" spans="1:20" s="92" customFormat="1" ht="30">
      <c r="A26" s="304" t="s">
        <v>233</v>
      </c>
      <c r="B26" s="254" t="s">
        <v>189</v>
      </c>
      <c r="C26" s="94" t="s">
        <v>190</v>
      </c>
      <c r="D26" s="269">
        <f t="shared" si="1"/>
        <v>11776211</v>
      </c>
      <c r="E26" s="261">
        <v>2371000</v>
      </c>
      <c r="F26" s="262">
        <v>470445</v>
      </c>
      <c r="G26" s="262">
        <v>1082855</v>
      </c>
      <c r="H26" s="264"/>
      <c r="I26" s="262"/>
      <c r="J26" s="263">
        <f t="shared" si="0"/>
        <v>3924300</v>
      </c>
      <c r="K26" s="264">
        <f>7741929+109982</f>
        <v>7851911</v>
      </c>
      <c r="L26" s="264"/>
      <c r="M26" s="264"/>
      <c r="N26" s="265">
        <f>SUM(K26:M26)</f>
        <v>7851911</v>
      </c>
      <c r="O26" s="265"/>
      <c r="P26" s="266"/>
      <c r="Q26" s="267"/>
      <c r="R26" s="267"/>
      <c r="S26" s="313">
        <v>1</v>
      </c>
      <c r="T26" s="312">
        <v>1</v>
      </c>
    </row>
    <row r="27" spans="1:20" s="92" customFormat="1" ht="15">
      <c r="A27" s="304" t="s">
        <v>235</v>
      </c>
      <c r="B27" s="254" t="s">
        <v>191</v>
      </c>
      <c r="C27" s="94" t="s">
        <v>23</v>
      </c>
      <c r="D27" s="269">
        <f t="shared" si="1"/>
        <v>125730</v>
      </c>
      <c r="E27" s="261"/>
      <c r="F27" s="262"/>
      <c r="G27" s="262">
        <v>125730</v>
      </c>
      <c r="H27" s="264"/>
      <c r="I27" s="262"/>
      <c r="J27" s="263">
        <f t="shared" si="0"/>
        <v>125730</v>
      </c>
      <c r="K27" s="264"/>
      <c r="L27" s="264"/>
      <c r="M27" s="264"/>
      <c r="N27" s="265">
        <f aca="true" t="shared" si="2" ref="N27:N36">SUM(K27:M27)</f>
        <v>0</v>
      </c>
      <c r="O27" s="265"/>
      <c r="P27" s="266"/>
      <c r="Q27" s="267"/>
      <c r="R27" s="267"/>
      <c r="S27" s="313"/>
      <c r="T27" s="312"/>
    </row>
    <row r="28" spans="1:20" s="92" customFormat="1" ht="31.5" customHeight="1">
      <c r="A28" s="304" t="s">
        <v>237</v>
      </c>
      <c r="B28" s="254" t="s">
        <v>192</v>
      </c>
      <c r="C28" s="94" t="s">
        <v>193</v>
      </c>
      <c r="D28" s="269">
        <f t="shared" si="1"/>
        <v>675000</v>
      </c>
      <c r="E28" s="261"/>
      <c r="F28" s="262"/>
      <c r="G28" s="262"/>
      <c r="H28" s="262"/>
      <c r="I28" s="262">
        <v>675000</v>
      </c>
      <c r="J28" s="263">
        <f t="shared" si="0"/>
        <v>675000</v>
      </c>
      <c r="K28" s="264"/>
      <c r="L28" s="264"/>
      <c r="M28" s="264"/>
      <c r="N28" s="265">
        <f t="shared" si="2"/>
        <v>0</v>
      </c>
      <c r="O28" s="265"/>
      <c r="P28" s="266"/>
      <c r="Q28" s="267"/>
      <c r="R28" s="267"/>
      <c r="S28" s="313"/>
      <c r="T28" s="312"/>
    </row>
    <row r="29" spans="1:20" s="92" customFormat="1" ht="15">
      <c r="A29" s="304" t="s">
        <v>244</v>
      </c>
      <c r="B29" s="254" t="s">
        <v>194</v>
      </c>
      <c r="C29" s="94" t="s">
        <v>26</v>
      </c>
      <c r="D29" s="269">
        <f t="shared" si="1"/>
        <v>1007778</v>
      </c>
      <c r="E29" s="261">
        <v>622300</v>
      </c>
      <c r="F29" s="262">
        <v>122969</v>
      </c>
      <c r="G29" s="262">
        <v>82550</v>
      </c>
      <c r="H29" s="262"/>
      <c r="I29" s="262"/>
      <c r="J29" s="263">
        <f t="shared" si="0"/>
        <v>827819</v>
      </c>
      <c r="K29" s="264">
        <v>179959</v>
      </c>
      <c r="L29" s="264"/>
      <c r="M29" s="264"/>
      <c r="N29" s="265">
        <f t="shared" si="2"/>
        <v>179959</v>
      </c>
      <c r="O29" s="265"/>
      <c r="P29" s="266"/>
      <c r="Q29" s="267"/>
      <c r="R29" s="267"/>
      <c r="S29" s="313">
        <v>0.2</v>
      </c>
      <c r="T29" s="312">
        <v>0.2</v>
      </c>
    </row>
    <row r="30" spans="1:20" s="92" customFormat="1" ht="30">
      <c r="A30" s="304" t="s">
        <v>247</v>
      </c>
      <c r="B30" s="254" t="s">
        <v>334</v>
      </c>
      <c r="C30" s="94" t="s">
        <v>335</v>
      </c>
      <c r="D30" s="269">
        <f t="shared" si="1"/>
        <v>2616783</v>
      </c>
      <c r="E30" s="261">
        <v>1733450</v>
      </c>
      <c r="F30" s="262">
        <v>184453</v>
      </c>
      <c r="G30" s="262">
        <v>698880</v>
      </c>
      <c r="H30" s="262"/>
      <c r="I30" s="262"/>
      <c r="J30" s="263">
        <f>SUM(E30:I30)</f>
        <v>2616783</v>
      </c>
      <c r="K30" s="264"/>
      <c r="L30" s="264"/>
      <c r="M30" s="264"/>
      <c r="N30" s="265">
        <f t="shared" si="2"/>
        <v>0</v>
      </c>
      <c r="O30" s="265"/>
      <c r="P30" s="266"/>
      <c r="Q30" s="267"/>
      <c r="R30" s="267"/>
      <c r="S30" s="313">
        <f>0.3</f>
        <v>0.3</v>
      </c>
      <c r="T30" s="312">
        <v>0.3</v>
      </c>
    </row>
    <row r="31" spans="1:20" s="92" customFormat="1" ht="15">
      <c r="A31" s="304" t="s">
        <v>249</v>
      </c>
      <c r="B31" s="254" t="s">
        <v>336</v>
      </c>
      <c r="C31" s="94" t="s">
        <v>337</v>
      </c>
      <c r="D31" s="269">
        <f t="shared" si="1"/>
        <v>376835</v>
      </c>
      <c r="E31" s="261">
        <v>320000</v>
      </c>
      <c r="F31" s="262">
        <v>56835</v>
      </c>
      <c r="G31" s="262"/>
      <c r="H31" s="262"/>
      <c r="I31" s="262"/>
      <c r="J31" s="263">
        <f>SUM(E31:I31)</f>
        <v>376835</v>
      </c>
      <c r="K31" s="264"/>
      <c r="L31" s="264"/>
      <c r="M31" s="264"/>
      <c r="N31" s="265">
        <f t="shared" si="2"/>
        <v>0</v>
      </c>
      <c r="O31" s="265"/>
      <c r="P31" s="266"/>
      <c r="Q31" s="267"/>
      <c r="R31" s="267"/>
      <c r="S31" s="313"/>
      <c r="T31" s="312"/>
    </row>
    <row r="32" spans="1:20" s="92" customFormat="1" ht="15">
      <c r="A32" s="304" t="s">
        <v>318</v>
      </c>
      <c r="B32" s="254" t="s">
        <v>195</v>
      </c>
      <c r="C32" s="94" t="s">
        <v>24</v>
      </c>
      <c r="D32" s="269">
        <f t="shared" si="1"/>
        <v>290000</v>
      </c>
      <c r="E32" s="261"/>
      <c r="F32" s="262"/>
      <c r="G32" s="262"/>
      <c r="H32" s="262"/>
      <c r="I32" s="262">
        <v>290000</v>
      </c>
      <c r="J32" s="263">
        <f t="shared" si="0"/>
        <v>290000</v>
      </c>
      <c r="K32" s="264"/>
      <c r="L32" s="264"/>
      <c r="M32" s="264"/>
      <c r="N32" s="265">
        <f t="shared" si="2"/>
        <v>0</v>
      </c>
      <c r="O32" s="265"/>
      <c r="P32" s="266"/>
      <c r="Q32" s="267"/>
      <c r="R32" s="267"/>
      <c r="S32" s="313"/>
      <c r="T32" s="312"/>
    </row>
    <row r="33" spans="1:20" s="92" customFormat="1" ht="15">
      <c r="A33" s="304" t="s">
        <v>320</v>
      </c>
      <c r="B33" s="254" t="s">
        <v>196</v>
      </c>
      <c r="C33" s="94" t="s">
        <v>197</v>
      </c>
      <c r="D33" s="269">
        <f t="shared" si="1"/>
        <v>50000</v>
      </c>
      <c r="E33" s="261"/>
      <c r="F33" s="262"/>
      <c r="G33" s="262"/>
      <c r="H33" s="262"/>
      <c r="I33" s="262">
        <v>50000</v>
      </c>
      <c r="J33" s="263">
        <f t="shared" si="0"/>
        <v>50000</v>
      </c>
      <c r="K33" s="264"/>
      <c r="L33" s="264"/>
      <c r="M33" s="264"/>
      <c r="N33" s="265">
        <f t="shared" si="2"/>
        <v>0</v>
      </c>
      <c r="O33" s="265"/>
      <c r="P33" s="266"/>
      <c r="Q33" s="267"/>
      <c r="R33" s="267"/>
      <c r="S33" s="313"/>
      <c r="T33" s="312"/>
    </row>
    <row r="34" spans="1:20" s="92" customFormat="1" ht="30">
      <c r="A34" s="304" t="s">
        <v>360</v>
      </c>
      <c r="B34" s="254">
        <v>104051</v>
      </c>
      <c r="C34" s="94" t="s">
        <v>326</v>
      </c>
      <c r="D34" s="269">
        <f t="shared" si="1"/>
        <v>46400</v>
      </c>
      <c r="E34" s="261"/>
      <c r="F34" s="262"/>
      <c r="G34" s="262"/>
      <c r="H34" s="262">
        <v>46400</v>
      </c>
      <c r="I34" s="262"/>
      <c r="J34" s="263">
        <f t="shared" si="0"/>
        <v>46400</v>
      </c>
      <c r="K34" s="264"/>
      <c r="L34" s="264"/>
      <c r="M34" s="264"/>
      <c r="N34" s="265">
        <f t="shared" si="2"/>
        <v>0</v>
      </c>
      <c r="O34" s="265"/>
      <c r="P34" s="266"/>
      <c r="Q34" s="267"/>
      <c r="R34" s="267"/>
      <c r="S34" s="313"/>
      <c r="T34" s="312"/>
    </row>
    <row r="35" spans="1:20" s="92" customFormat="1" ht="15">
      <c r="A35" s="304" t="s">
        <v>361</v>
      </c>
      <c r="B35" s="254">
        <v>107052</v>
      </c>
      <c r="C35" s="97" t="s">
        <v>199</v>
      </c>
      <c r="D35" s="269">
        <f t="shared" si="1"/>
        <v>1313000</v>
      </c>
      <c r="E35" s="261"/>
      <c r="F35" s="262"/>
      <c r="G35" s="262">
        <v>113000</v>
      </c>
      <c r="H35" s="262"/>
      <c r="I35" s="262">
        <v>1200000</v>
      </c>
      <c r="J35" s="263">
        <f t="shared" si="0"/>
        <v>1313000</v>
      </c>
      <c r="K35" s="264"/>
      <c r="L35" s="264"/>
      <c r="M35" s="264"/>
      <c r="N35" s="265">
        <f t="shared" si="2"/>
        <v>0</v>
      </c>
      <c r="O35" s="265"/>
      <c r="P35" s="266"/>
      <c r="Q35" s="267"/>
      <c r="R35" s="267"/>
      <c r="S35" s="313"/>
      <c r="T35" s="312"/>
    </row>
    <row r="36" spans="1:20" s="92" customFormat="1" ht="27.75" customHeight="1" thickBot="1">
      <c r="A36" s="304" t="s">
        <v>362</v>
      </c>
      <c r="B36" s="254">
        <v>107060</v>
      </c>
      <c r="C36" s="94" t="s">
        <v>200</v>
      </c>
      <c r="D36" s="269">
        <f t="shared" si="1"/>
        <v>4221000</v>
      </c>
      <c r="E36" s="261"/>
      <c r="F36" s="262"/>
      <c r="G36" s="262">
        <v>1176000</v>
      </c>
      <c r="H36" s="262">
        <v>3015000</v>
      </c>
      <c r="I36" s="262">
        <v>30000</v>
      </c>
      <c r="J36" s="263">
        <f t="shared" si="0"/>
        <v>4221000</v>
      </c>
      <c r="K36" s="264"/>
      <c r="L36" s="264"/>
      <c r="M36" s="264"/>
      <c r="N36" s="265">
        <f t="shared" si="2"/>
        <v>0</v>
      </c>
      <c r="O36" s="265"/>
      <c r="P36" s="266"/>
      <c r="Q36" s="267"/>
      <c r="R36" s="267"/>
      <c r="S36" s="309"/>
      <c r="T36" s="312"/>
    </row>
    <row r="37" spans="1:20" ht="15" thickBot="1">
      <c r="A37" s="331" t="s">
        <v>363</v>
      </c>
      <c r="B37" s="303"/>
      <c r="C37" s="159" t="s">
        <v>407</v>
      </c>
      <c r="D37" s="268">
        <f aca="true" t="shared" si="3" ref="D37:T37">SUM(D14:D36)</f>
        <v>81143449</v>
      </c>
      <c r="E37" s="268">
        <f t="shared" si="3"/>
        <v>17258668</v>
      </c>
      <c r="F37" s="268">
        <f t="shared" si="3"/>
        <v>3380854</v>
      </c>
      <c r="G37" s="268">
        <f t="shared" si="3"/>
        <v>15482112</v>
      </c>
      <c r="H37" s="268">
        <f t="shared" si="3"/>
        <v>3061400</v>
      </c>
      <c r="I37" s="268">
        <f t="shared" si="3"/>
        <v>26078372</v>
      </c>
      <c r="J37" s="268">
        <f t="shared" si="3"/>
        <v>65261406</v>
      </c>
      <c r="K37" s="268">
        <f t="shared" si="3"/>
        <v>9333470</v>
      </c>
      <c r="L37" s="268">
        <f t="shared" si="3"/>
        <v>3308007</v>
      </c>
      <c r="M37" s="268">
        <f t="shared" si="3"/>
        <v>2000000</v>
      </c>
      <c r="N37" s="268">
        <f t="shared" si="3"/>
        <v>14641477</v>
      </c>
      <c r="O37" s="268">
        <f t="shared" si="3"/>
        <v>1240566</v>
      </c>
      <c r="P37" s="268">
        <f t="shared" si="3"/>
        <v>0</v>
      </c>
      <c r="Q37" s="268">
        <f t="shared" si="3"/>
        <v>0</v>
      </c>
      <c r="R37" s="268">
        <f t="shared" si="3"/>
        <v>1240566</v>
      </c>
      <c r="S37" s="314">
        <f t="shared" si="3"/>
        <v>2</v>
      </c>
      <c r="T37" s="314">
        <f t="shared" si="3"/>
        <v>2</v>
      </c>
    </row>
    <row r="38" spans="1:20" ht="14.25">
      <c r="A38" s="363"/>
      <c r="B38" s="335"/>
      <c r="C38" s="335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7"/>
      <c r="T38" s="337"/>
    </row>
    <row r="39" spans="1:20" ht="15">
      <c r="A39" s="364" t="s">
        <v>364</v>
      </c>
      <c r="B39" s="254" t="s">
        <v>405</v>
      </c>
      <c r="C39" s="94" t="s">
        <v>406</v>
      </c>
      <c r="D39" s="317">
        <f>J39+N39+P39+Q39</f>
        <v>652197</v>
      </c>
      <c r="E39" s="365">
        <f>163060+236083+179195</f>
        <v>578338</v>
      </c>
      <c r="F39" s="365">
        <f>15898+23018+34943</f>
        <v>73859</v>
      </c>
      <c r="G39" s="365"/>
      <c r="H39" s="365"/>
      <c r="I39" s="365"/>
      <c r="J39" s="263">
        <f>SUM(E39:I39)</f>
        <v>652197</v>
      </c>
      <c r="K39" s="365"/>
      <c r="L39" s="365"/>
      <c r="M39" s="365"/>
      <c r="N39" s="365"/>
      <c r="O39" s="365"/>
      <c r="P39" s="365"/>
      <c r="Q39" s="365"/>
      <c r="R39" s="365"/>
      <c r="S39" s="366"/>
      <c r="T39" s="366"/>
    </row>
    <row r="40" spans="1:20" ht="15">
      <c r="A40" s="304" t="s">
        <v>440</v>
      </c>
      <c r="B40" s="254" t="s">
        <v>267</v>
      </c>
      <c r="C40" s="94" t="s">
        <v>268</v>
      </c>
      <c r="D40" s="317">
        <f>J40+N40+P40+Q40</f>
        <v>7779290</v>
      </c>
      <c r="E40" s="316">
        <v>2942420</v>
      </c>
      <c r="F40" s="262">
        <v>561916</v>
      </c>
      <c r="G40" s="262">
        <f>3900846+374108</f>
        <v>4274954</v>
      </c>
      <c r="H40" s="262"/>
      <c r="I40" s="262"/>
      <c r="J40" s="263">
        <f>SUM(E40:I40)</f>
        <v>7779290</v>
      </c>
      <c r="K40" s="264"/>
      <c r="L40" s="264"/>
      <c r="M40" s="264"/>
      <c r="N40" s="265">
        <f>SUM(K40:M40)</f>
        <v>0</v>
      </c>
      <c r="O40" s="265"/>
      <c r="P40" s="266"/>
      <c r="Q40" s="267"/>
      <c r="R40" s="267"/>
      <c r="S40" s="313">
        <v>1</v>
      </c>
      <c r="T40" s="312">
        <v>1</v>
      </c>
    </row>
    <row r="41" spans="1:20" ht="30">
      <c r="A41" s="304" t="s">
        <v>366</v>
      </c>
      <c r="B41" s="254" t="s">
        <v>269</v>
      </c>
      <c r="C41" s="94" t="s">
        <v>270</v>
      </c>
      <c r="D41" s="318">
        <f>J41+N41+P41+Q41</f>
        <v>1550813</v>
      </c>
      <c r="E41" s="316">
        <v>565850</v>
      </c>
      <c r="F41" s="262">
        <v>108061</v>
      </c>
      <c r="G41" s="262">
        <f>804958+71944</f>
        <v>876902</v>
      </c>
      <c r="H41" s="262"/>
      <c r="I41" s="262"/>
      <c r="J41" s="263">
        <f>SUM(E41:I41)</f>
        <v>1550813</v>
      </c>
      <c r="K41" s="264"/>
      <c r="L41" s="264"/>
      <c r="M41" s="264"/>
      <c r="N41" s="265">
        <f>SUM(K41:M41)</f>
        <v>0</v>
      </c>
      <c r="O41" s="265"/>
      <c r="P41" s="266"/>
      <c r="Q41" s="267"/>
      <c r="R41" s="267"/>
      <c r="S41" s="313"/>
      <c r="T41" s="312"/>
    </row>
    <row r="42" spans="1:20" ht="15">
      <c r="A42" s="304" t="s">
        <v>394</v>
      </c>
      <c r="B42" s="254" t="s">
        <v>325</v>
      </c>
      <c r="C42" s="96" t="s">
        <v>338</v>
      </c>
      <c r="D42" s="318">
        <f>J42+N42+P42+Q42</f>
        <v>1762779</v>
      </c>
      <c r="E42" s="316">
        <v>622435</v>
      </c>
      <c r="F42" s="262">
        <v>118867</v>
      </c>
      <c r="G42" s="262">
        <f>942338+79139</f>
        <v>1021477</v>
      </c>
      <c r="H42" s="262"/>
      <c r="I42" s="262"/>
      <c r="J42" s="263">
        <f>SUM(E42:I42)</f>
        <v>1762779</v>
      </c>
      <c r="K42" s="264"/>
      <c r="L42" s="264"/>
      <c r="M42" s="264"/>
      <c r="N42" s="265">
        <f>SUM(K42:M42)</f>
        <v>0</v>
      </c>
      <c r="O42" s="265"/>
      <c r="P42" s="266"/>
      <c r="Q42" s="267"/>
      <c r="R42" s="267"/>
      <c r="S42" s="313"/>
      <c r="T42" s="312"/>
    </row>
    <row r="43" spans="1:20" ht="15.75" thickBot="1">
      <c r="A43" s="319" t="s">
        <v>408</v>
      </c>
      <c r="B43" s="255" t="s">
        <v>198</v>
      </c>
      <c r="C43" s="320" t="s">
        <v>324</v>
      </c>
      <c r="D43" s="321">
        <f>J43+N43+P43+Q43</f>
        <v>4278082</v>
      </c>
      <c r="E43" s="322">
        <v>1527795</v>
      </c>
      <c r="F43" s="323">
        <v>291764</v>
      </c>
      <c r="G43" s="323">
        <f>2264275+194248</f>
        <v>2458523</v>
      </c>
      <c r="H43" s="323"/>
      <c r="I43" s="323"/>
      <c r="J43" s="324">
        <f>SUM(E43:I43)</f>
        <v>4278082</v>
      </c>
      <c r="K43" s="325"/>
      <c r="L43" s="325"/>
      <c r="M43" s="325"/>
      <c r="N43" s="326">
        <f>SUM(K43:M43)</f>
        <v>0</v>
      </c>
      <c r="O43" s="326"/>
      <c r="P43" s="327"/>
      <c r="Q43" s="328"/>
      <c r="R43" s="328"/>
      <c r="S43" s="311">
        <v>1</v>
      </c>
      <c r="T43" s="329">
        <v>1</v>
      </c>
    </row>
    <row r="44" spans="1:20" ht="16.5" customHeight="1" thickBot="1">
      <c r="A44" s="332" t="s">
        <v>409</v>
      </c>
      <c r="B44" s="330"/>
      <c r="C44" s="333" t="s">
        <v>410</v>
      </c>
      <c r="D44" s="338">
        <f aca="true" t="shared" si="4" ref="D44:J44">D41+D42+D43+D40+D39</f>
        <v>16023161</v>
      </c>
      <c r="E44" s="338">
        <f t="shared" si="4"/>
        <v>6236838</v>
      </c>
      <c r="F44" s="338">
        <f t="shared" si="4"/>
        <v>1154467</v>
      </c>
      <c r="G44" s="338">
        <f t="shared" si="4"/>
        <v>8631856</v>
      </c>
      <c r="H44" s="338">
        <f t="shared" si="4"/>
        <v>0</v>
      </c>
      <c r="I44" s="338">
        <f t="shared" si="4"/>
        <v>0</v>
      </c>
      <c r="J44" s="338">
        <f t="shared" si="4"/>
        <v>16023161</v>
      </c>
      <c r="K44" s="338">
        <f aca="true" t="shared" si="5" ref="K44:T44">K41+K42+K43+K40</f>
        <v>0</v>
      </c>
      <c r="L44" s="338">
        <f t="shared" si="5"/>
        <v>0</v>
      </c>
      <c r="M44" s="338">
        <f t="shared" si="5"/>
        <v>0</v>
      </c>
      <c r="N44" s="338">
        <f t="shared" si="5"/>
        <v>0</v>
      </c>
      <c r="O44" s="338">
        <f t="shared" si="5"/>
        <v>0</v>
      </c>
      <c r="P44" s="338">
        <f t="shared" si="5"/>
        <v>0</v>
      </c>
      <c r="Q44" s="338">
        <f t="shared" si="5"/>
        <v>0</v>
      </c>
      <c r="R44" s="338">
        <f t="shared" si="5"/>
        <v>0</v>
      </c>
      <c r="S44" s="362">
        <f t="shared" si="5"/>
        <v>2</v>
      </c>
      <c r="T44" s="362">
        <f t="shared" si="5"/>
        <v>2</v>
      </c>
    </row>
    <row r="45" spans="1:20" ht="21.75" customHeight="1" thickBot="1">
      <c r="A45" s="332" t="s">
        <v>441</v>
      </c>
      <c r="B45" s="330"/>
      <c r="C45" s="334" t="s">
        <v>411</v>
      </c>
      <c r="D45" s="338">
        <f>D37+D44</f>
        <v>97166610</v>
      </c>
      <c r="E45" s="338">
        <f aca="true" t="shared" si="6" ref="E45:T45">E37+E44</f>
        <v>23495506</v>
      </c>
      <c r="F45" s="338">
        <f t="shared" si="6"/>
        <v>4535321</v>
      </c>
      <c r="G45" s="338">
        <f t="shared" si="6"/>
        <v>24113968</v>
      </c>
      <c r="H45" s="338">
        <f t="shared" si="6"/>
        <v>3061400</v>
      </c>
      <c r="I45" s="338">
        <f t="shared" si="6"/>
        <v>26078372</v>
      </c>
      <c r="J45" s="338">
        <f t="shared" si="6"/>
        <v>81284567</v>
      </c>
      <c r="K45" s="338">
        <f t="shared" si="6"/>
        <v>9333470</v>
      </c>
      <c r="L45" s="338">
        <f t="shared" si="6"/>
        <v>3308007</v>
      </c>
      <c r="M45" s="338">
        <f t="shared" si="6"/>
        <v>2000000</v>
      </c>
      <c r="N45" s="338">
        <f t="shared" si="6"/>
        <v>14641477</v>
      </c>
      <c r="O45" s="338">
        <f t="shared" si="6"/>
        <v>1240566</v>
      </c>
      <c r="P45" s="338">
        <f t="shared" si="6"/>
        <v>0</v>
      </c>
      <c r="Q45" s="338">
        <f t="shared" si="6"/>
        <v>0</v>
      </c>
      <c r="R45" s="338">
        <f t="shared" si="6"/>
        <v>1240566</v>
      </c>
      <c r="S45" s="362">
        <f t="shared" si="6"/>
        <v>4</v>
      </c>
      <c r="T45" s="362">
        <f t="shared" si="6"/>
        <v>4</v>
      </c>
    </row>
    <row r="47" spans="4:10" ht="12.75">
      <c r="D47" s="339"/>
      <c r="J47" s="339"/>
    </row>
    <row r="48" ht="12.75">
      <c r="D48" s="339"/>
    </row>
  </sheetData>
  <sheetProtection/>
  <mergeCells count="32">
    <mergeCell ref="B6:T6"/>
    <mergeCell ref="S9:T9"/>
    <mergeCell ref="S10:T10"/>
    <mergeCell ref="E11:E13"/>
    <mergeCell ref="O10:R10"/>
    <mergeCell ref="P11:P13"/>
    <mergeCell ref="B3:T3"/>
    <mergeCell ref="E10:J10"/>
    <mergeCell ref="B5:T5"/>
    <mergeCell ref="R11:R13"/>
    <mergeCell ref="G11:G13"/>
    <mergeCell ref="S8:T8"/>
    <mergeCell ref="B1:T1"/>
    <mergeCell ref="H11:H13"/>
    <mergeCell ref="B7:T7"/>
    <mergeCell ref="Q11:Q13"/>
    <mergeCell ref="J11:J13"/>
    <mergeCell ref="K10:N10"/>
    <mergeCell ref="K11:K13"/>
    <mergeCell ref="E9:R9"/>
    <mergeCell ref="N11:N13"/>
    <mergeCell ref="O11:O13"/>
    <mergeCell ref="A2:S2"/>
    <mergeCell ref="C9:C13"/>
    <mergeCell ref="F11:F13"/>
    <mergeCell ref="B9:B13"/>
    <mergeCell ref="A9:A13"/>
    <mergeCell ref="I11:I13"/>
    <mergeCell ref="S12:T13"/>
    <mergeCell ref="L11:L13"/>
    <mergeCell ref="M11:M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52" customWidth="1"/>
    <col min="2" max="2" width="9.125" style="152" customWidth="1"/>
    <col min="3" max="3" width="63.125" style="152" customWidth="1"/>
    <col min="4" max="4" width="24.00390625" style="152" customWidth="1"/>
    <col min="5" max="7" width="26.25390625" style="152" customWidth="1"/>
    <col min="8" max="16384" width="9.125" style="152" customWidth="1"/>
  </cols>
  <sheetData>
    <row r="1" spans="1:9" ht="15.75">
      <c r="A1" s="451" t="s">
        <v>503</v>
      </c>
      <c r="B1" s="387"/>
      <c r="C1" s="387"/>
      <c r="D1" s="387"/>
      <c r="E1" s="387"/>
      <c r="F1" s="387"/>
      <c r="G1" s="387"/>
      <c r="H1" s="372"/>
      <c r="I1" s="372"/>
    </row>
    <row r="3" spans="1:7" s="144" customFormat="1" ht="15.75">
      <c r="A3" s="415" t="s">
        <v>490</v>
      </c>
      <c r="B3" s="392"/>
      <c r="C3" s="392"/>
      <c r="D3" s="392"/>
      <c r="E3" s="392"/>
      <c r="F3" s="392"/>
      <c r="G3" s="392"/>
    </row>
    <row r="4" spans="3:7" s="59" customFormat="1" ht="15" customHeight="1">
      <c r="C4" s="416"/>
      <c r="D4" s="416"/>
      <c r="E4" s="416"/>
      <c r="F4" s="416"/>
      <c r="G4" s="416"/>
    </row>
    <row r="5" spans="4:7" s="146" customFormat="1" ht="15" customHeight="1">
      <c r="D5" s="147"/>
      <c r="E5" s="148"/>
      <c r="F5" s="148"/>
      <c r="G5" s="148"/>
    </row>
    <row r="6" spans="3:7" s="99" customFormat="1" ht="15" customHeight="1">
      <c r="C6" s="417" t="s">
        <v>30</v>
      </c>
      <c r="D6" s="417"/>
      <c r="E6" s="417"/>
      <c r="F6" s="417"/>
      <c r="G6" s="417"/>
    </row>
    <row r="7" spans="3:7" s="99" customFormat="1" ht="15.75">
      <c r="C7" s="418" t="s">
        <v>276</v>
      </c>
      <c r="D7" s="418"/>
      <c r="E7" s="418"/>
      <c r="F7" s="418"/>
      <c r="G7" s="418"/>
    </row>
    <row r="8" spans="3:7" s="99" customFormat="1" ht="15" customHeight="1">
      <c r="C8" s="417" t="s">
        <v>442</v>
      </c>
      <c r="D8" s="417"/>
      <c r="E8" s="417"/>
      <c r="F8" s="417"/>
      <c r="G8" s="417"/>
    </row>
    <row r="9" spans="3:7" s="144" customFormat="1" ht="12" customHeight="1" thickBot="1">
      <c r="C9" s="145"/>
      <c r="D9" s="149"/>
      <c r="E9" s="150"/>
      <c r="F9" s="150"/>
      <c r="G9" s="151"/>
    </row>
    <row r="10" spans="1:7" s="144" customFormat="1" ht="19.5" customHeight="1" thickBot="1">
      <c r="A10" s="484" t="s">
        <v>367</v>
      </c>
      <c r="B10" s="486" t="s">
        <v>157</v>
      </c>
      <c r="C10" s="425" t="s">
        <v>158</v>
      </c>
      <c r="D10" s="428" t="s">
        <v>277</v>
      </c>
      <c r="E10" s="431" t="s">
        <v>260</v>
      </c>
      <c r="F10" s="431"/>
      <c r="G10" s="432"/>
    </row>
    <row r="11" spans="1:7" s="144" customFormat="1" ht="33" customHeight="1" thickBot="1">
      <c r="A11" s="485"/>
      <c r="B11" s="487"/>
      <c r="C11" s="426"/>
      <c r="D11" s="429"/>
      <c r="E11" s="257" t="s">
        <v>261</v>
      </c>
      <c r="F11" s="258" t="s">
        <v>262</v>
      </c>
      <c r="G11" s="259" t="s">
        <v>263</v>
      </c>
    </row>
    <row r="12" spans="1:7" s="144" customFormat="1" ht="22.5" customHeight="1">
      <c r="A12" s="485"/>
      <c r="B12" s="487"/>
      <c r="C12" s="426"/>
      <c r="D12" s="429"/>
      <c r="E12" s="433" t="s">
        <v>264</v>
      </c>
      <c r="F12" s="434"/>
      <c r="G12" s="435"/>
    </row>
    <row r="13" spans="1:7" ht="13.5" thickBot="1">
      <c r="A13" s="485"/>
      <c r="B13" s="487"/>
      <c r="C13" s="426"/>
      <c r="D13" s="429"/>
      <c r="E13" s="481"/>
      <c r="F13" s="482"/>
      <c r="G13" s="483"/>
    </row>
    <row r="14" spans="1:7" ht="30.75" thickBot="1">
      <c r="A14" s="158" t="s">
        <v>33</v>
      </c>
      <c r="B14" s="279" t="s">
        <v>174</v>
      </c>
      <c r="C14" s="280" t="s">
        <v>175</v>
      </c>
      <c r="D14" s="291">
        <f>SUM(E14:G14)</f>
        <v>42266431</v>
      </c>
      <c r="E14" s="286">
        <f>23972872-1200000+18481786</f>
        <v>41254658</v>
      </c>
      <c r="F14" s="281">
        <v>1011773</v>
      </c>
      <c r="G14" s="282"/>
    </row>
    <row r="15" spans="1:7" ht="15">
      <c r="A15" s="260" t="s">
        <v>17</v>
      </c>
      <c r="B15" s="277" t="s">
        <v>176</v>
      </c>
      <c r="C15" s="278" t="s">
        <v>25</v>
      </c>
      <c r="D15" s="292">
        <f aca="true" t="shared" si="0" ref="D15:D35">SUM(E15:G15)</f>
        <v>68150</v>
      </c>
      <c r="E15" s="287">
        <v>68150</v>
      </c>
      <c r="F15" s="154"/>
      <c r="G15" s="155"/>
    </row>
    <row r="16" spans="1:7" ht="15">
      <c r="A16" s="256" t="s">
        <v>34</v>
      </c>
      <c r="B16" s="254" t="s">
        <v>177</v>
      </c>
      <c r="C16" s="94" t="s">
        <v>178</v>
      </c>
      <c r="D16" s="293">
        <f t="shared" si="0"/>
        <v>1482890</v>
      </c>
      <c r="E16" s="288">
        <f>282890+1200000</f>
        <v>1482890</v>
      </c>
      <c r="F16" s="156"/>
      <c r="G16" s="157"/>
    </row>
    <row r="17" spans="1:7" ht="15">
      <c r="A17" s="256" t="s">
        <v>79</v>
      </c>
      <c r="B17" s="254" t="s">
        <v>265</v>
      </c>
      <c r="C17" s="94" t="s">
        <v>266</v>
      </c>
      <c r="D17" s="293">
        <f>SUM(E17:G17)</f>
        <v>1243566</v>
      </c>
      <c r="E17" s="288">
        <f>1240566+3000</f>
        <v>1243566</v>
      </c>
      <c r="F17" s="156"/>
      <c r="G17" s="157"/>
    </row>
    <row r="18" spans="1:7" ht="15">
      <c r="A18" s="256" t="s">
        <v>80</v>
      </c>
      <c r="B18" s="254" t="s">
        <v>405</v>
      </c>
      <c r="C18" s="94" t="s">
        <v>406</v>
      </c>
      <c r="D18" s="293">
        <f>SUM(E18:G18)</f>
        <v>0</v>
      </c>
      <c r="E18" s="288"/>
      <c r="F18" s="156"/>
      <c r="G18" s="157"/>
    </row>
    <row r="19" spans="1:7" ht="15">
      <c r="A19" s="256" t="s">
        <v>86</v>
      </c>
      <c r="B19" s="95" t="s">
        <v>357</v>
      </c>
      <c r="C19" s="94" t="s">
        <v>358</v>
      </c>
      <c r="D19" s="293">
        <f>SUM(E19:G19)</f>
        <v>2927007</v>
      </c>
      <c r="E19" s="288">
        <v>2927007</v>
      </c>
      <c r="F19" s="156"/>
      <c r="G19" s="157"/>
    </row>
    <row r="20" spans="1:7" ht="27" customHeight="1">
      <c r="A20" s="256" t="s">
        <v>214</v>
      </c>
      <c r="B20" s="254" t="s">
        <v>179</v>
      </c>
      <c r="C20" s="94" t="s">
        <v>180</v>
      </c>
      <c r="D20" s="293">
        <f t="shared" si="0"/>
        <v>26670</v>
      </c>
      <c r="E20" s="288">
        <v>26670</v>
      </c>
      <c r="F20" s="156"/>
      <c r="G20" s="157"/>
    </row>
    <row r="21" spans="1:7" ht="15">
      <c r="A21" s="256" t="s">
        <v>216</v>
      </c>
      <c r="B21" s="254" t="s">
        <v>339</v>
      </c>
      <c r="C21" s="94" t="s">
        <v>340</v>
      </c>
      <c r="D21" s="293">
        <f t="shared" si="0"/>
        <v>54864</v>
      </c>
      <c r="E21" s="289">
        <v>54864</v>
      </c>
      <c r="F21" s="98"/>
      <c r="G21" s="283"/>
    </row>
    <row r="22" spans="1:7" ht="15">
      <c r="A22" s="256" t="s">
        <v>218</v>
      </c>
      <c r="B22" s="254" t="s">
        <v>181</v>
      </c>
      <c r="C22" s="94" t="s">
        <v>182</v>
      </c>
      <c r="D22" s="293">
        <f t="shared" si="0"/>
        <v>6283419</v>
      </c>
      <c r="E22" s="288">
        <v>6283419</v>
      </c>
      <c r="F22" s="156"/>
      <c r="G22" s="157"/>
    </row>
    <row r="23" spans="1:7" ht="15">
      <c r="A23" s="256" t="s">
        <v>224</v>
      </c>
      <c r="B23" s="254" t="s">
        <v>183</v>
      </c>
      <c r="C23" s="94" t="s">
        <v>184</v>
      </c>
      <c r="D23" s="293">
        <f t="shared" si="0"/>
        <v>2000000</v>
      </c>
      <c r="E23" s="288"/>
      <c r="F23" s="156">
        <v>2000000</v>
      </c>
      <c r="G23" s="157"/>
    </row>
    <row r="24" spans="1:7" ht="15">
      <c r="A24" s="256" t="s">
        <v>226</v>
      </c>
      <c r="B24" s="254" t="s">
        <v>185</v>
      </c>
      <c r="C24" s="94" t="s">
        <v>186</v>
      </c>
      <c r="D24" s="293">
        <f t="shared" si="0"/>
        <v>1910715</v>
      </c>
      <c r="E24" s="288">
        <v>1910715</v>
      </c>
      <c r="F24" s="156"/>
      <c r="G24" s="157"/>
    </row>
    <row r="25" spans="1:7" ht="15">
      <c r="A25" s="256" t="s">
        <v>228</v>
      </c>
      <c r="B25" s="254" t="s">
        <v>187</v>
      </c>
      <c r="C25" s="94" t="s">
        <v>188</v>
      </c>
      <c r="D25" s="293">
        <f t="shared" si="0"/>
        <v>381000</v>
      </c>
      <c r="E25" s="288">
        <v>381000</v>
      </c>
      <c r="F25" s="156"/>
      <c r="G25" s="157"/>
    </row>
    <row r="26" spans="1:7" ht="15">
      <c r="A26" s="256" t="s">
        <v>233</v>
      </c>
      <c r="B26" s="254" t="s">
        <v>189</v>
      </c>
      <c r="C26" s="94" t="s">
        <v>190</v>
      </c>
      <c r="D26" s="293">
        <f t="shared" si="0"/>
        <v>11776211</v>
      </c>
      <c r="E26" s="288">
        <f>11666229+109982</f>
        <v>11776211</v>
      </c>
      <c r="F26" s="156"/>
      <c r="G26" s="157"/>
    </row>
    <row r="27" spans="1:7" ht="15">
      <c r="A27" s="256" t="s">
        <v>235</v>
      </c>
      <c r="B27" s="254" t="s">
        <v>191</v>
      </c>
      <c r="C27" s="94" t="s">
        <v>23</v>
      </c>
      <c r="D27" s="293">
        <f t="shared" si="0"/>
        <v>125730</v>
      </c>
      <c r="E27" s="288">
        <v>125730</v>
      </c>
      <c r="F27" s="156"/>
      <c r="G27" s="157"/>
    </row>
    <row r="28" spans="1:7" ht="15">
      <c r="A28" s="256" t="s">
        <v>237</v>
      </c>
      <c r="B28" s="254" t="s">
        <v>192</v>
      </c>
      <c r="C28" s="94" t="s">
        <v>193</v>
      </c>
      <c r="D28" s="293">
        <f t="shared" si="0"/>
        <v>675000</v>
      </c>
      <c r="E28" s="288">
        <v>675000</v>
      </c>
      <c r="F28" s="156"/>
      <c r="G28" s="157"/>
    </row>
    <row r="29" spans="1:7" ht="15">
      <c r="A29" s="256" t="s">
        <v>244</v>
      </c>
      <c r="B29" s="254" t="s">
        <v>194</v>
      </c>
      <c r="C29" s="94" t="s">
        <v>26</v>
      </c>
      <c r="D29" s="293">
        <f t="shared" si="0"/>
        <v>1007778</v>
      </c>
      <c r="E29" s="288">
        <v>993282</v>
      </c>
      <c r="F29" s="156">
        <f>10800+1784+1912</f>
        <v>14496</v>
      </c>
      <c r="G29" s="157"/>
    </row>
    <row r="30" spans="1:7" ht="15">
      <c r="A30" s="256" t="s">
        <v>247</v>
      </c>
      <c r="B30" s="254" t="s">
        <v>334</v>
      </c>
      <c r="C30" s="94" t="s">
        <v>341</v>
      </c>
      <c r="D30" s="293">
        <f t="shared" si="0"/>
        <v>2616783</v>
      </c>
      <c r="E30" s="288">
        <v>2540680</v>
      </c>
      <c r="F30" s="156">
        <f>16200+40500+9367+10036</f>
        <v>76103</v>
      </c>
      <c r="G30" s="157"/>
    </row>
    <row r="31" spans="1:7" ht="15">
      <c r="A31" s="256" t="s">
        <v>249</v>
      </c>
      <c r="B31" s="254" t="s">
        <v>342</v>
      </c>
      <c r="C31" s="94" t="s">
        <v>343</v>
      </c>
      <c r="D31" s="293">
        <f t="shared" si="0"/>
        <v>376835</v>
      </c>
      <c r="E31" s="288">
        <v>376835</v>
      </c>
      <c r="F31" s="156"/>
      <c r="G31" s="157"/>
    </row>
    <row r="32" spans="1:7" ht="15">
      <c r="A32" s="256" t="s">
        <v>318</v>
      </c>
      <c r="B32" s="254" t="s">
        <v>195</v>
      </c>
      <c r="C32" s="94" t="s">
        <v>24</v>
      </c>
      <c r="D32" s="293">
        <f t="shared" si="0"/>
        <v>290000</v>
      </c>
      <c r="E32" s="288"/>
      <c r="F32" s="156">
        <v>290000</v>
      </c>
      <c r="G32" s="157"/>
    </row>
    <row r="33" spans="1:7" ht="15">
      <c r="A33" s="256" t="s">
        <v>320</v>
      </c>
      <c r="B33" s="254" t="s">
        <v>196</v>
      </c>
      <c r="C33" s="94" t="s">
        <v>197</v>
      </c>
      <c r="D33" s="293">
        <f t="shared" si="0"/>
        <v>50000</v>
      </c>
      <c r="E33" s="288"/>
      <c r="F33" s="156">
        <v>50000</v>
      </c>
      <c r="G33" s="157"/>
    </row>
    <row r="34" spans="1:7" ht="15">
      <c r="A34" s="256" t="s">
        <v>360</v>
      </c>
      <c r="B34" s="254">
        <v>104051</v>
      </c>
      <c r="C34" s="97" t="s">
        <v>326</v>
      </c>
      <c r="D34" s="293">
        <f t="shared" si="0"/>
        <v>46400</v>
      </c>
      <c r="E34" s="288"/>
      <c r="F34" s="156"/>
      <c r="G34" s="157">
        <v>46400</v>
      </c>
    </row>
    <row r="35" spans="1:14" ht="15">
      <c r="A35" s="256" t="s">
        <v>361</v>
      </c>
      <c r="B35" s="254">
        <v>107052</v>
      </c>
      <c r="C35" s="97" t="s">
        <v>199</v>
      </c>
      <c r="D35" s="293">
        <f t="shared" si="0"/>
        <v>1313000</v>
      </c>
      <c r="E35" s="290">
        <v>1313000</v>
      </c>
      <c r="F35" s="98"/>
      <c r="G35" s="283"/>
      <c r="H35" s="234"/>
      <c r="I35" s="234"/>
      <c r="J35" s="235"/>
      <c r="K35" s="236"/>
      <c r="L35" s="236"/>
      <c r="M35" s="236"/>
      <c r="N35" s="235"/>
    </row>
    <row r="36" spans="1:7" ht="15.75" thickBot="1">
      <c r="A36" s="256" t="s">
        <v>362</v>
      </c>
      <c r="B36" s="254">
        <v>107060</v>
      </c>
      <c r="C36" s="94" t="s">
        <v>200</v>
      </c>
      <c r="D36" s="293">
        <f>SUM(E36:G36)</f>
        <v>4221000</v>
      </c>
      <c r="E36" s="288">
        <v>4221000</v>
      </c>
      <c r="F36" s="156"/>
      <c r="G36" s="157"/>
    </row>
    <row r="37" spans="1:7" ht="18.75" customHeight="1" thickBot="1">
      <c r="A37" s="284" t="s">
        <v>363</v>
      </c>
      <c r="B37" s="271"/>
      <c r="C37" s="285" t="s">
        <v>412</v>
      </c>
      <c r="D37" s="348">
        <f>SUM(D14:D36)</f>
        <v>81143449</v>
      </c>
      <c r="E37" s="349">
        <f>SUM(E14:E36)</f>
        <v>77654677</v>
      </c>
      <c r="F37" s="348">
        <f>SUM(F14:F36)</f>
        <v>3442372</v>
      </c>
      <c r="G37" s="348">
        <f>SUM(G14:G36)</f>
        <v>46400</v>
      </c>
    </row>
    <row r="38" ht="12.75">
      <c r="A38" s="233"/>
    </row>
    <row r="39" spans="1:7" ht="15">
      <c r="A39" s="340" t="s">
        <v>364</v>
      </c>
      <c r="B39" s="254" t="s">
        <v>405</v>
      </c>
      <c r="C39" s="94" t="s">
        <v>406</v>
      </c>
      <c r="D39" s="293">
        <f>SUM(E39:G39)</f>
        <v>652197</v>
      </c>
      <c r="E39" s="288">
        <v>652197</v>
      </c>
      <c r="F39" s="367"/>
      <c r="G39" s="367"/>
    </row>
    <row r="40" spans="1:7" ht="15">
      <c r="A40" s="256" t="s">
        <v>365</v>
      </c>
      <c r="B40" s="254" t="s">
        <v>267</v>
      </c>
      <c r="C40" s="94" t="s">
        <v>268</v>
      </c>
      <c r="D40" s="293">
        <f>SUM(E40:G40)</f>
        <v>7779290</v>
      </c>
      <c r="E40" s="288">
        <v>7713867</v>
      </c>
      <c r="F40" s="156">
        <v>65423</v>
      </c>
      <c r="G40" s="157"/>
    </row>
    <row r="41" spans="1:7" ht="15">
      <c r="A41" s="256" t="s">
        <v>366</v>
      </c>
      <c r="B41" s="254" t="s">
        <v>269</v>
      </c>
      <c r="C41" s="94" t="s">
        <v>270</v>
      </c>
      <c r="D41" s="293">
        <f>SUM(E41:G41)</f>
        <v>1550813</v>
      </c>
      <c r="E41" s="288"/>
      <c r="F41" s="156">
        <v>1550813</v>
      </c>
      <c r="G41" s="157"/>
    </row>
    <row r="42" spans="1:7" ht="15">
      <c r="A42" s="256" t="s">
        <v>394</v>
      </c>
      <c r="B42" s="254" t="s">
        <v>269</v>
      </c>
      <c r="C42" s="94" t="s">
        <v>414</v>
      </c>
      <c r="D42" s="293">
        <f>SUM(E42:G42)</f>
        <v>1762779</v>
      </c>
      <c r="E42" s="288"/>
      <c r="F42" s="156">
        <v>1762779</v>
      </c>
      <c r="G42" s="157"/>
    </row>
    <row r="43" spans="1:7" ht="15.75" thickBot="1">
      <c r="A43" s="340" t="s">
        <v>408</v>
      </c>
      <c r="B43" s="255" t="s">
        <v>198</v>
      </c>
      <c r="C43" s="341" t="s">
        <v>413</v>
      </c>
      <c r="D43" s="342">
        <f>SUM(E43:G43)</f>
        <v>4278082</v>
      </c>
      <c r="E43" s="343">
        <v>4236760</v>
      </c>
      <c r="F43" s="344">
        <v>41322</v>
      </c>
      <c r="G43" s="345"/>
    </row>
    <row r="44" spans="1:7" ht="18" customHeight="1" thickBot="1">
      <c r="A44" s="346" t="s">
        <v>409</v>
      </c>
      <c r="B44" s="346"/>
      <c r="C44" s="333" t="s">
        <v>410</v>
      </c>
      <c r="D44" s="347">
        <f>D40+D41+D42+D43+D39</f>
        <v>16023161</v>
      </c>
      <c r="E44" s="347">
        <f>E40+E41+E42+E43+E39</f>
        <v>12602824</v>
      </c>
      <c r="F44" s="347">
        <f>F40+F41+F42+F43</f>
        <v>3420337</v>
      </c>
      <c r="G44" s="347">
        <f>G40+G41+G42+G43</f>
        <v>0</v>
      </c>
    </row>
    <row r="45" spans="1:7" ht="24.75" customHeight="1" thickBot="1">
      <c r="A45" s="346" t="s">
        <v>441</v>
      </c>
      <c r="B45" s="346"/>
      <c r="C45" s="334" t="s">
        <v>411</v>
      </c>
      <c r="D45" s="347">
        <f>D37+D44</f>
        <v>97166610</v>
      </c>
      <c r="E45" s="347">
        <f>E37+E44</f>
        <v>90257501</v>
      </c>
      <c r="F45" s="347">
        <f>F37+F44</f>
        <v>6862709</v>
      </c>
      <c r="G45" s="347">
        <f>G37+G44</f>
        <v>46400</v>
      </c>
    </row>
    <row r="47" ht="12.75">
      <c r="D47" s="368"/>
    </row>
  </sheetData>
  <sheetProtection/>
  <mergeCells count="12">
    <mergeCell ref="D10:D13"/>
    <mergeCell ref="E10:G10"/>
    <mergeCell ref="E12:G13"/>
    <mergeCell ref="A3:G3"/>
    <mergeCell ref="A1:G1"/>
    <mergeCell ref="C4:G4"/>
    <mergeCell ref="C6:G6"/>
    <mergeCell ref="C7:G7"/>
    <mergeCell ref="C8:G8"/>
    <mergeCell ref="A10:A13"/>
    <mergeCell ref="B10:B13"/>
    <mergeCell ref="C10:C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387" t="s">
        <v>502</v>
      </c>
      <c r="B1" s="387"/>
      <c r="C1" s="387"/>
      <c r="D1" s="387"/>
      <c r="E1" s="387"/>
      <c r="F1" s="387"/>
    </row>
    <row r="3" ht="12.75">
      <c r="A3" t="s">
        <v>491</v>
      </c>
    </row>
    <row r="5" spans="1:6" ht="21.75" customHeight="1">
      <c r="A5" s="488"/>
      <c r="B5" s="488"/>
      <c r="C5" s="488"/>
      <c r="D5" s="488"/>
      <c r="E5" s="488"/>
      <c r="F5" s="488"/>
    </row>
    <row r="7" spans="1:6" ht="18.75" customHeight="1">
      <c r="A7" s="488" t="s">
        <v>4</v>
      </c>
      <c r="B7" s="488"/>
      <c r="C7" s="488"/>
      <c r="D7" s="488"/>
      <c r="E7" s="488"/>
      <c r="F7" s="488"/>
    </row>
    <row r="8" spans="1:6" ht="21.75" customHeight="1">
      <c r="A8" s="488" t="s">
        <v>463</v>
      </c>
      <c r="B8" s="488"/>
      <c r="C8" s="488"/>
      <c r="D8" s="488"/>
      <c r="E8" s="488"/>
      <c r="F8" s="488"/>
    </row>
    <row r="9" spans="1:6" ht="20.25" customHeight="1">
      <c r="A9" s="488" t="s">
        <v>464</v>
      </c>
      <c r="B9" s="488"/>
      <c r="C9" s="488"/>
      <c r="D9" s="488"/>
      <c r="E9" s="488"/>
      <c r="F9" s="488"/>
    </row>
    <row r="10" ht="13.5" thickBot="1">
      <c r="F10" t="s">
        <v>349</v>
      </c>
    </row>
    <row r="11" spans="1:6" ht="42.75" customHeight="1" thickBot="1">
      <c r="A11" s="491" t="s">
        <v>0</v>
      </c>
      <c r="B11" s="491"/>
      <c r="C11" s="491"/>
      <c r="D11" s="491"/>
      <c r="E11" s="491"/>
      <c r="F11" s="378" t="s">
        <v>465</v>
      </c>
    </row>
    <row r="14" spans="1:4" ht="12.75">
      <c r="A14" s="379" t="s">
        <v>466</v>
      </c>
      <c r="B14" s="379"/>
      <c r="C14" s="379"/>
      <c r="D14" s="379"/>
    </row>
    <row r="16" spans="2:5" ht="34.5" customHeight="1">
      <c r="B16" s="489" t="s">
        <v>467</v>
      </c>
      <c r="C16" s="490"/>
      <c r="D16" s="490"/>
      <c r="E16" s="490"/>
    </row>
    <row r="17" spans="2:5" ht="15.75" customHeight="1">
      <c r="B17" s="380"/>
      <c r="C17" s="381"/>
      <c r="D17" s="381"/>
      <c r="E17" s="381"/>
    </row>
    <row r="18" spans="1:6" ht="15.75" customHeight="1">
      <c r="A18" t="s">
        <v>33</v>
      </c>
      <c r="B18" t="s">
        <v>468</v>
      </c>
      <c r="F18" s="374">
        <v>73200</v>
      </c>
    </row>
    <row r="19" spans="1:6" ht="15.75" customHeight="1">
      <c r="A19" t="s">
        <v>17</v>
      </c>
      <c r="B19" t="s">
        <v>469</v>
      </c>
      <c r="F19" s="374">
        <v>219600</v>
      </c>
    </row>
    <row r="21" spans="1:6" ht="12.75">
      <c r="A21" t="s">
        <v>34</v>
      </c>
      <c r="B21" t="s">
        <v>470</v>
      </c>
      <c r="F21" s="374">
        <v>50000</v>
      </c>
    </row>
    <row r="22" ht="12.75">
      <c r="F22" s="374"/>
    </row>
    <row r="23" spans="1:6" ht="12.75">
      <c r="A23" t="s">
        <v>79</v>
      </c>
      <c r="B23" t="s">
        <v>488</v>
      </c>
      <c r="F23" s="374">
        <v>3000</v>
      </c>
    </row>
    <row r="25" spans="1:6" ht="31.5" customHeight="1">
      <c r="A25" t="s">
        <v>80</v>
      </c>
      <c r="B25" s="490" t="s">
        <v>471</v>
      </c>
      <c r="C25" s="490"/>
      <c r="D25" s="490"/>
      <c r="E25" s="490"/>
      <c r="F25" s="374">
        <v>1200000</v>
      </c>
    </row>
    <row r="27" spans="2:6" ht="33" customHeight="1">
      <c r="B27" s="489" t="s">
        <v>472</v>
      </c>
      <c r="C27" s="489"/>
      <c r="D27" s="489"/>
      <c r="E27" s="489"/>
      <c r="F27" s="382">
        <f>SUM(F18:F26)</f>
        <v>1545800</v>
      </c>
    </row>
    <row r="28" ht="19.5" customHeight="1"/>
    <row r="29" spans="2:5" ht="36" customHeight="1">
      <c r="B29" s="489" t="s">
        <v>473</v>
      </c>
      <c r="C29" s="489"/>
      <c r="D29" s="489"/>
      <c r="E29" s="489"/>
    </row>
    <row r="31" spans="1:6" ht="15" customHeight="1">
      <c r="A31" t="s">
        <v>33</v>
      </c>
      <c r="B31" t="s">
        <v>474</v>
      </c>
      <c r="F31" s="374">
        <v>40000</v>
      </c>
    </row>
    <row r="32" spans="1:6" ht="16.5" customHeight="1">
      <c r="A32" t="s">
        <v>17</v>
      </c>
      <c r="B32" t="s">
        <v>475</v>
      </c>
      <c r="F32" s="374">
        <v>80000</v>
      </c>
    </row>
    <row r="33" spans="1:6" ht="17.25" customHeight="1">
      <c r="A33" t="s">
        <v>34</v>
      </c>
      <c r="B33" t="s">
        <v>476</v>
      </c>
      <c r="F33" s="374">
        <v>170000</v>
      </c>
    </row>
    <row r="34" spans="1:6" ht="15.75" customHeight="1">
      <c r="A34" t="s">
        <v>79</v>
      </c>
      <c r="B34" t="s">
        <v>477</v>
      </c>
      <c r="F34" s="374">
        <v>75000</v>
      </c>
    </row>
    <row r="35" spans="1:6" ht="17.25" customHeight="1">
      <c r="A35" t="s">
        <v>80</v>
      </c>
      <c r="B35" t="s">
        <v>478</v>
      </c>
      <c r="F35" s="374">
        <v>600000</v>
      </c>
    </row>
    <row r="36" spans="1:6" ht="18" customHeight="1">
      <c r="A36" t="s">
        <v>86</v>
      </c>
      <c r="B36" t="s">
        <v>479</v>
      </c>
      <c r="F36" s="374">
        <v>30000</v>
      </c>
    </row>
    <row r="37" spans="2:6" ht="34.5" customHeight="1">
      <c r="B37" s="489" t="s">
        <v>480</v>
      </c>
      <c r="C37" s="489"/>
      <c r="D37" s="489"/>
      <c r="E37" s="489"/>
      <c r="F37" s="382">
        <v>995000</v>
      </c>
    </row>
    <row r="39" spans="2:6" ht="12.75">
      <c r="B39" s="379" t="s">
        <v>481</v>
      </c>
      <c r="C39" s="379"/>
      <c r="F39" s="382">
        <f>6255786+18481786-1200000</f>
        <v>23537572</v>
      </c>
    </row>
    <row r="41" spans="1:6" ht="12.75">
      <c r="A41" s="379" t="s">
        <v>487</v>
      </c>
      <c r="B41" s="379"/>
      <c r="C41" s="379"/>
      <c r="D41" s="379"/>
      <c r="E41" s="379"/>
      <c r="F41" s="382">
        <f>F27+F37+F39</f>
        <v>26078372</v>
      </c>
    </row>
  </sheetData>
  <sheetProtection/>
  <mergeCells count="11">
    <mergeCell ref="A1:F1"/>
    <mergeCell ref="A11:E11"/>
    <mergeCell ref="A9:F9"/>
    <mergeCell ref="A7:F7"/>
    <mergeCell ref="A8:F8"/>
    <mergeCell ref="A5:F5"/>
    <mergeCell ref="B16:E16"/>
    <mergeCell ref="B25:E25"/>
    <mergeCell ref="B27:E27"/>
    <mergeCell ref="B29:E29"/>
    <mergeCell ref="B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19" customWidth="1"/>
    <col min="2" max="2" width="67.875" style="19" customWidth="1"/>
    <col min="3" max="3" width="18.00390625" style="19" customWidth="1"/>
    <col min="4" max="16384" width="9.125" style="19" customWidth="1"/>
  </cols>
  <sheetData>
    <row r="1" spans="1:3" ht="15.75">
      <c r="A1" s="451" t="s">
        <v>501</v>
      </c>
      <c r="B1" s="387"/>
      <c r="C1" s="387"/>
    </row>
    <row r="3" spans="1:4" ht="15.75">
      <c r="A3" s="415" t="s">
        <v>492</v>
      </c>
      <c r="B3" s="392"/>
      <c r="C3" s="392"/>
      <c r="D3" s="65"/>
    </row>
    <row r="4" spans="2:4" ht="15">
      <c r="B4" s="66"/>
      <c r="C4" s="66"/>
      <c r="D4" s="65"/>
    </row>
    <row r="5" spans="2:3" ht="15.75" customHeight="1">
      <c r="B5" s="497"/>
      <c r="C5" s="497"/>
    </row>
    <row r="6" spans="2:3" ht="15">
      <c r="B6" s="20"/>
      <c r="C6" s="20"/>
    </row>
    <row r="7" spans="2:3" s="12" customFormat="1" ht="15.75" customHeight="1">
      <c r="B7" s="498" t="s">
        <v>28</v>
      </c>
      <c r="C7" s="498"/>
    </row>
    <row r="8" spans="2:6" s="16" customFormat="1" ht="15.75">
      <c r="B8" s="496" t="s">
        <v>29</v>
      </c>
      <c r="C8" s="496"/>
      <c r="D8" s="36"/>
      <c r="E8" s="36"/>
      <c r="F8" s="36"/>
    </row>
    <row r="9" spans="2:6" s="11" customFormat="1" ht="15">
      <c r="B9" s="495" t="s">
        <v>443</v>
      </c>
      <c r="C9" s="495"/>
      <c r="D9" s="35"/>
      <c r="E9" s="35"/>
      <c r="F9" s="35"/>
    </row>
    <row r="10" ht="15.75" customHeight="1" thickBot="1">
      <c r="C10" s="21"/>
    </row>
    <row r="11" spans="1:3" ht="15" customHeight="1">
      <c r="A11" s="492" t="s">
        <v>353</v>
      </c>
      <c r="B11" s="22"/>
      <c r="C11" s="23" t="s">
        <v>12</v>
      </c>
    </row>
    <row r="12" spans="1:3" ht="15.75" customHeight="1">
      <c r="A12" s="493"/>
      <c r="B12" s="24" t="s">
        <v>0</v>
      </c>
      <c r="C12" s="25"/>
    </row>
    <row r="13" spans="1:3" ht="15.75" thickBot="1">
      <c r="A13" s="494"/>
      <c r="B13" s="26"/>
      <c r="C13" s="27" t="s">
        <v>8</v>
      </c>
    </row>
    <row r="14" ht="11.25" customHeight="1"/>
    <row r="15" ht="11.25" customHeight="1">
      <c r="C15" s="33"/>
    </row>
    <row r="16" spans="1:3" ht="15">
      <c r="A16" s="19" t="s">
        <v>33</v>
      </c>
      <c r="B16" s="28" t="s">
        <v>18</v>
      </c>
      <c r="C16" s="33"/>
    </row>
    <row r="17" spans="2:3" ht="15">
      <c r="B17" s="28" t="s">
        <v>7</v>
      </c>
      <c r="C17" s="33"/>
    </row>
    <row r="18" spans="1:3" ht="28.5" customHeight="1">
      <c r="A18" s="305" t="s">
        <v>17</v>
      </c>
      <c r="B18" s="140" t="s">
        <v>330</v>
      </c>
      <c r="C18" s="34">
        <v>46400</v>
      </c>
    </row>
    <row r="19" spans="1:3" ht="28.5" customHeight="1">
      <c r="A19" s="305"/>
      <c r="B19" s="140"/>
      <c r="C19" s="33"/>
    </row>
    <row r="20" spans="1:3" ht="15">
      <c r="A20" s="305" t="s">
        <v>34</v>
      </c>
      <c r="B20" s="19" t="s">
        <v>55</v>
      </c>
      <c r="C20" s="33">
        <v>350000</v>
      </c>
    </row>
    <row r="21" spans="1:3" ht="30">
      <c r="A21" s="305" t="s">
        <v>79</v>
      </c>
      <c r="B21" s="140" t="s">
        <v>327</v>
      </c>
      <c r="C21" s="33">
        <v>300000</v>
      </c>
    </row>
    <row r="22" spans="1:3" ht="15">
      <c r="A22" s="305" t="s">
        <v>80</v>
      </c>
      <c r="B22" s="140" t="s">
        <v>328</v>
      </c>
      <c r="C22" s="33">
        <v>715000</v>
      </c>
    </row>
    <row r="23" spans="1:3" ht="15">
      <c r="A23" s="305" t="s">
        <v>86</v>
      </c>
      <c r="B23" s="140" t="s">
        <v>329</v>
      </c>
      <c r="C23" s="33">
        <v>440000</v>
      </c>
    </row>
    <row r="25" spans="1:3" ht="15">
      <c r="A25" s="305" t="s">
        <v>214</v>
      </c>
      <c r="B25" s="19" t="s">
        <v>59</v>
      </c>
      <c r="C25" s="33">
        <v>210000</v>
      </c>
    </row>
    <row r="26" spans="1:3" ht="14.25" customHeight="1">
      <c r="A26" s="305" t="s">
        <v>216</v>
      </c>
      <c r="B26" s="19" t="s">
        <v>451</v>
      </c>
      <c r="C26" s="33">
        <v>1000000</v>
      </c>
    </row>
    <row r="27" spans="1:3" ht="15">
      <c r="A27" s="305" t="s">
        <v>218</v>
      </c>
      <c r="B27" s="28" t="s">
        <v>18</v>
      </c>
      <c r="C27" s="33"/>
    </row>
    <row r="28" spans="1:3" ht="15">
      <c r="A28" s="305"/>
      <c r="B28" s="28" t="s">
        <v>19</v>
      </c>
      <c r="C28" s="34">
        <f>SUM(C20:C27)</f>
        <v>3015000</v>
      </c>
    </row>
    <row r="29" spans="1:3" ht="11.25" customHeight="1">
      <c r="A29" s="305"/>
      <c r="C29" s="33"/>
    </row>
    <row r="30" spans="1:3" ht="15">
      <c r="A30" s="305" t="s">
        <v>224</v>
      </c>
      <c r="B30" s="28" t="s">
        <v>20</v>
      </c>
      <c r="C30" s="34">
        <f>C28+C18</f>
        <v>3061400</v>
      </c>
    </row>
    <row r="31" spans="1:3" ht="15">
      <c r="A31" s="305"/>
      <c r="B31" s="28"/>
      <c r="C31" s="34"/>
    </row>
    <row r="32" spans="1:5" ht="13.5" customHeight="1">
      <c r="A32" s="305"/>
      <c r="B32" s="12"/>
      <c r="C32" s="12"/>
      <c r="D32" s="11"/>
      <c r="E32" s="33"/>
    </row>
    <row r="33" spans="1:3" s="28" customFormat="1" ht="14.25">
      <c r="A33" s="306" t="s">
        <v>228</v>
      </c>
      <c r="B33" s="28" t="s">
        <v>254</v>
      </c>
      <c r="C33" s="34"/>
    </row>
    <row r="34" spans="1:3" ht="18.75" customHeight="1">
      <c r="A34" s="305"/>
      <c r="C34" s="33"/>
    </row>
    <row r="35" spans="1:3" ht="39" customHeight="1">
      <c r="A35" s="373" t="s">
        <v>233</v>
      </c>
      <c r="B35" s="140" t="s">
        <v>460</v>
      </c>
      <c r="C35" s="33">
        <v>500000</v>
      </c>
    </row>
    <row r="36" spans="1:3" ht="37.5" customHeight="1">
      <c r="A36" s="373" t="s">
        <v>235</v>
      </c>
      <c r="B36" s="140" t="s">
        <v>255</v>
      </c>
      <c r="C36" s="33">
        <f>2000000-500000</f>
        <v>1500000</v>
      </c>
    </row>
    <row r="37" spans="1:3" ht="11.25" customHeight="1">
      <c r="A37" s="305"/>
      <c r="C37" s="33"/>
    </row>
    <row r="38" spans="1:3" ht="15">
      <c r="A38" s="305" t="s">
        <v>237</v>
      </c>
      <c r="B38" s="28" t="s">
        <v>256</v>
      </c>
      <c r="C38" s="34">
        <f>C36+C35</f>
        <v>2000000</v>
      </c>
    </row>
    <row r="39" spans="1:3" ht="11.25" customHeight="1">
      <c r="A39" s="305"/>
      <c r="C39" s="33"/>
    </row>
    <row r="40" spans="1:3" s="30" customFormat="1" ht="16.5">
      <c r="A40" s="307" t="s">
        <v>244</v>
      </c>
      <c r="B40" s="29" t="s">
        <v>21</v>
      </c>
      <c r="C40" s="40"/>
    </row>
    <row r="41" spans="1:3" s="30" customFormat="1" ht="16.5">
      <c r="A41" s="307"/>
      <c r="B41" s="29" t="s">
        <v>22</v>
      </c>
      <c r="C41" s="41">
        <f>C30+C38</f>
        <v>5061400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38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.125" style="13" customWidth="1"/>
    <col min="2" max="2" width="70.375" style="13" customWidth="1"/>
    <col min="3" max="3" width="20.00390625" style="13" customWidth="1"/>
    <col min="4" max="16384" width="9.125" style="13" customWidth="1"/>
  </cols>
  <sheetData>
    <row r="1" spans="1:3" ht="15.75">
      <c r="A1" s="451" t="s">
        <v>500</v>
      </c>
      <c r="B1" s="387"/>
      <c r="C1" s="387"/>
    </row>
    <row r="3" spans="1:5" s="160" customFormat="1" ht="15.75">
      <c r="A3" s="415" t="s">
        <v>493</v>
      </c>
      <c r="B3" s="392"/>
      <c r="C3" s="392"/>
      <c r="D3" s="101"/>
      <c r="E3" s="298"/>
    </row>
    <row r="4" spans="2:5" s="160" customFormat="1" ht="15.75">
      <c r="B4" s="499"/>
      <c r="C4" s="499"/>
      <c r="D4" s="101"/>
      <c r="E4" s="298"/>
    </row>
    <row r="6" spans="2:5" s="162" customFormat="1" ht="18.75">
      <c r="B6" s="161" t="s">
        <v>278</v>
      </c>
      <c r="C6" s="161"/>
      <c r="D6" s="13"/>
      <c r="E6" s="13"/>
    </row>
    <row r="7" spans="2:5" s="162" customFormat="1" ht="18.75">
      <c r="B7" s="404" t="s">
        <v>279</v>
      </c>
      <c r="C7" s="404"/>
      <c r="D7" s="13"/>
      <c r="E7" s="13"/>
    </row>
    <row r="8" spans="2:5" s="162" customFormat="1" ht="18.75">
      <c r="B8" s="404" t="s">
        <v>442</v>
      </c>
      <c r="C8" s="404"/>
      <c r="D8" s="13"/>
      <c r="E8" s="13"/>
    </row>
    <row r="9" ht="16.5" thickBot="1"/>
    <row r="10" spans="1:3" ht="15.75">
      <c r="A10" s="500" t="s">
        <v>353</v>
      </c>
      <c r="B10" s="163"/>
      <c r="C10" s="164" t="s">
        <v>8</v>
      </c>
    </row>
    <row r="11" spans="1:3" ht="15.75">
      <c r="A11" s="501"/>
      <c r="B11" s="165" t="s">
        <v>280</v>
      </c>
      <c r="C11" s="165"/>
    </row>
    <row r="12" spans="1:3" ht="16.5" thickBot="1">
      <c r="A12" s="502"/>
      <c r="B12" s="166"/>
      <c r="C12" s="167" t="s">
        <v>396</v>
      </c>
    </row>
    <row r="13" spans="2:3" ht="15.75">
      <c r="B13" s="168"/>
      <c r="C13" s="169"/>
    </row>
    <row r="14" spans="1:3" ht="31.5" customHeight="1">
      <c r="A14" s="308" t="s">
        <v>33</v>
      </c>
      <c r="B14" s="299" t="s">
        <v>397</v>
      </c>
      <c r="C14" s="169"/>
    </row>
    <row r="15" spans="1:3" ht="18" customHeight="1">
      <c r="A15" s="308" t="s">
        <v>369</v>
      </c>
      <c r="B15" s="172" t="s">
        <v>344</v>
      </c>
      <c r="C15" s="171">
        <v>80000</v>
      </c>
    </row>
    <row r="16" spans="1:3" ht="18" customHeight="1">
      <c r="A16" s="308"/>
      <c r="B16" s="172" t="s">
        <v>281</v>
      </c>
      <c r="C16" s="226">
        <v>21600</v>
      </c>
    </row>
    <row r="17" spans="1:3" ht="18" customHeight="1">
      <c r="A17" s="308"/>
      <c r="B17" s="168" t="s">
        <v>2</v>
      </c>
      <c r="C17" s="173">
        <f>SUM(C15:C16)</f>
        <v>101600</v>
      </c>
    </row>
    <row r="18" spans="1:3" ht="18" customHeight="1">
      <c r="A18" s="308"/>
      <c r="B18" s="168"/>
      <c r="C18" s="173"/>
    </row>
    <row r="19" spans="1:3" ht="33" customHeight="1">
      <c r="A19" s="308" t="s">
        <v>17</v>
      </c>
      <c r="B19" s="375" t="s">
        <v>484</v>
      </c>
      <c r="C19" s="173"/>
    </row>
    <row r="20" spans="1:3" ht="18" customHeight="1">
      <c r="A20" s="308" t="s">
        <v>400</v>
      </c>
      <c r="B20" s="172" t="s">
        <v>486</v>
      </c>
      <c r="C20" s="377">
        <v>1200000</v>
      </c>
    </row>
    <row r="21" spans="1:3" ht="18" customHeight="1">
      <c r="A21" s="308"/>
      <c r="B21" s="168" t="s">
        <v>2</v>
      </c>
      <c r="C21" s="173">
        <f>C20</f>
        <v>1200000</v>
      </c>
    </row>
    <row r="22" spans="1:3" ht="18" customHeight="1">
      <c r="A22" s="308"/>
      <c r="B22" s="168"/>
      <c r="C22" s="173"/>
    </row>
    <row r="23" spans="1:3" ht="18" customHeight="1">
      <c r="A23" s="308" t="s">
        <v>34</v>
      </c>
      <c r="B23" s="300" t="s">
        <v>483</v>
      </c>
      <c r="C23" s="173"/>
    </row>
    <row r="24" spans="1:3" ht="18" customHeight="1">
      <c r="A24" s="308" t="s">
        <v>381</v>
      </c>
      <c r="B24" s="172" t="s">
        <v>345</v>
      </c>
      <c r="C24" s="171">
        <v>141700</v>
      </c>
    </row>
    <row r="25" spans="1:3" ht="18" customHeight="1">
      <c r="A25" s="308"/>
      <c r="B25" s="172" t="s">
        <v>281</v>
      </c>
      <c r="C25" s="227">
        <v>38259</v>
      </c>
    </row>
    <row r="26" spans="1:3" ht="18" customHeight="1">
      <c r="A26" s="308"/>
      <c r="B26" s="168" t="s">
        <v>2</v>
      </c>
      <c r="C26" s="173">
        <f>SUM(C24:C25)</f>
        <v>179959</v>
      </c>
    </row>
    <row r="27" spans="1:3" ht="18" customHeight="1">
      <c r="A27" s="308"/>
      <c r="B27" s="168"/>
      <c r="C27" s="173"/>
    </row>
    <row r="28" spans="1:3" ht="18" customHeight="1">
      <c r="A28" s="308" t="s">
        <v>79</v>
      </c>
      <c r="B28" s="300" t="s">
        <v>444</v>
      </c>
      <c r="C28" s="169"/>
    </row>
    <row r="29" spans="1:3" ht="18" customHeight="1">
      <c r="A29" s="308" t="s">
        <v>389</v>
      </c>
      <c r="B29" s="301" t="s">
        <v>445</v>
      </c>
      <c r="C29" s="225">
        <v>6096007</v>
      </c>
    </row>
    <row r="30" spans="1:3" ht="18" customHeight="1">
      <c r="A30" s="308"/>
      <c r="B30" s="172" t="s">
        <v>281</v>
      </c>
      <c r="C30" s="226">
        <f>C29*0.27</f>
        <v>1645921.8900000001</v>
      </c>
    </row>
    <row r="31" spans="1:3" ht="18" customHeight="1">
      <c r="A31" s="308"/>
      <c r="B31" s="168" t="s">
        <v>2</v>
      </c>
      <c r="C31" s="173">
        <f>SUM(C29:C30)</f>
        <v>7741928.890000001</v>
      </c>
    </row>
    <row r="32" spans="2:3" ht="18" customHeight="1">
      <c r="B32" s="172"/>
      <c r="C32" s="225"/>
    </row>
    <row r="33" spans="1:3" ht="18" customHeight="1">
      <c r="A33" s="13" t="s">
        <v>80</v>
      </c>
      <c r="B33" s="172" t="s">
        <v>482</v>
      </c>
      <c r="C33" s="225">
        <v>86600</v>
      </c>
    </row>
    <row r="34" spans="1:3" ht="18" customHeight="1">
      <c r="A34" s="376" t="s">
        <v>485</v>
      </c>
      <c r="B34" s="172" t="s">
        <v>281</v>
      </c>
      <c r="C34" s="226">
        <v>23382</v>
      </c>
    </row>
    <row r="35" spans="1:3" ht="18" customHeight="1">
      <c r="A35" s="308"/>
      <c r="B35" s="168" t="s">
        <v>2</v>
      </c>
      <c r="C35" s="173">
        <f>C33+C34</f>
        <v>109982</v>
      </c>
    </row>
    <row r="36" spans="1:3" ht="18" customHeight="1">
      <c r="A36" s="308"/>
      <c r="B36" s="168"/>
      <c r="C36" s="173"/>
    </row>
    <row r="37" spans="1:3" ht="18" customHeight="1">
      <c r="A37" s="308"/>
      <c r="B37" s="168"/>
      <c r="C37" s="170"/>
    </row>
    <row r="38" spans="1:3" ht="18" customHeight="1">
      <c r="A38" s="308" t="s">
        <v>214</v>
      </c>
      <c r="B38" s="168" t="s">
        <v>282</v>
      </c>
      <c r="C38" s="173">
        <f>C17+C26+C35+C31+C21</f>
        <v>9333469.89</v>
      </c>
    </row>
  </sheetData>
  <sheetProtection/>
  <mergeCells count="6">
    <mergeCell ref="A1:C1"/>
    <mergeCell ref="B7:C7"/>
    <mergeCell ref="B8:C8"/>
    <mergeCell ref="B4:C4"/>
    <mergeCell ref="A10:A12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2019-05-22T07:40:13Z</cp:lastPrinted>
  <dcterms:created xsi:type="dcterms:W3CDTF">2002-11-26T17:22:50Z</dcterms:created>
  <dcterms:modified xsi:type="dcterms:W3CDTF">2019-06-25T07:27:57Z</dcterms:modified>
  <cp:category/>
  <cp:version/>
  <cp:contentType/>
  <cp:contentStatus/>
</cp:coreProperties>
</file>