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506" windowWidth="12120" windowHeight="6600" tabRatio="60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táj.1." sheetId="13" r:id="rId13"/>
    <sheet name="táj.2." sheetId="14" r:id="rId14"/>
  </sheets>
  <definedNames>
    <definedName name="_xlnm.Print_Titles" localSheetId="10">'11'!$1:$2</definedName>
    <definedName name="_xlnm.Print_Titles" localSheetId="11">'12'!$1:$2</definedName>
    <definedName name="_xlnm.Print_Titles" localSheetId="2">'3'!$1:$2</definedName>
    <definedName name="_xlnm.Print_Titles" localSheetId="6">'7'!$1:$2</definedName>
    <definedName name="_xlnm.Print_Titles" localSheetId="7">'8'!$1:$2</definedName>
    <definedName name="_xlnm.Print_Area" localSheetId="11">'12'!$A$1:$Q$117</definedName>
  </definedNames>
  <calcPr fullCalcOnLoad="1"/>
</workbook>
</file>

<file path=xl/sharedStrings.xml><?xml version="1.0" encoding="utf-8"?>
<sst xmlns="http://schemas.openxmlformats.org/spreadsheetml/2006/main" count="1698" uniqueCount="1151">
  <si>
    <t>Vásárcsarnok</t>
  </si>
  <si>
    <t>2./2</t>
  </si>
  <si>
    <t>Magánerős ivóvíz bekötések</t>
  </si>
  <si>
    <t xml:space="preserve"> Helyi és helyközi közösségi közlekedés fejlesztése pályázati  támogatással NYDOP -3.2.1/B-12-2013-0001</t>
  </si>
  <si>
    <t>7./1.</t>
  </si>
  <si>
    <t xml:space="preserve"> Buslakpusztai bezárt szilárd hulladéklerakó okozta szennyezés lokalizációja  pályázati támogatással KEOP-2.4.0/B/2F/10-11-2012-0005</t>
  </si>
  <si>
    <t>LÉSZ Kft.részére önk-i tulajdonú ingatlanok utáni felújítási hj.</t>
  </si>
  <si>
    <t>Egészségügyi és humánigazgatási feladatok</t>
  </si>
  <si>
    <t>Oktatási feladatok</t>
  </si>
  <si>
    <t>Kulturális és ifjúsági feladatok</t>
  </si>
  <si>
    <t>feladat jellege</t>
  </si>
  <si>
    <t>3./4</t>
  </si>
  <si>
    <t>Önkormányzat</t>
  </si>
  <si>
    <t>Költségvetési szervek</t>
  </si>
  <si>
    <t>Felhalmozási bevételek</t>
  </si>
  <si>
    <t xml:space="preserve">Önkormányzat </t>
  </si>
  <si>
    <t xml:space="preserve">Önkormányzat összesen költségvetési szervek nélkül </t>
  </si>
  <si>
    <t>Költségvetési szerv megnevezése</t>
  </si>
  <si>
    <t>Költségvetési szervek mindösszesen:</t>
  </si>
  <si>
    <t>Ebergényben sportpálya és pihenőpark kialakítása</t>
  </si>
  <si>
    <t xml:space="preserve">Vasútfejlesztés </t>
  </si>
  <si>
    <t>Év közben jelentkező feladatok</t>
  </si>
  <si>
    <t>Belvárosrehabilitáció II.ütemének előkészítő munkái</t>
  </si>
  <si>
    <t>9.a/2</t>
  </si>
  <si>
    <t>Építési telek kialakítása, közművesítése (Flórián u. , Andráshida ) Lakásalap</t>
  </si>
  <si>
    <t>kgy</t>
  </si>
  <si>
    <t>Elővásárlási jog gyakorlásával történő lakóingatlan vásárlása (Lakásalap)</t>
  </si>
  <si>
    <t>841908 Fejezeti és általános tartalékok elszámolása</t>
  </si>
  <si>
    <t>1.a/1.</t>
  </si>
  <si>
    <t>1.a/1</t>
  </si>
  <si>
    <t>Deák Ferenc Megyei és Városi Könyvtár</t>
  </si>
  <si>
    <t>Göcseji Múzeum</t>
  </si>
  <si>
    <t>Városi Sportlétesítmények Gondnoksága</t>
  </si>
  <si>
    <t>Griff Bábszínház</t>
  </si>
  <si>
    <t>6./4</t>
  </si>
  <si>
    <t>6./5</t>
  </si>
  <si>
    <t>Csatornarendszer (szennyvíz-csapadékvíz)</t>
  </si>
  <si>
    <t>I. Működési célú bevételek</t>
  </si>
  <si>
    <t>I. Működési célú kiadások</t>
  </si>
  <si>
    <t>4.) Céltartalékból működésre</t>
  </si>
  <si>
    <t>5.) Általános tartalék</t>
  </si>
  <si>
    <t>6./8</t>
  </si>
  <si>
    <t xml:space="preserve">   Költségvetési műk. kiadásai összesen:</t>
  </si>
  <si>
    <t xml:space="preserve">     Költségvetési műk. bevételei összesen:</t>
  </si>
  <si>
    <t>MŰKÖDÉSI CÉLÚ KIADÁSOK ÖSSZ.:</t>
  </si>
  <si>
    <t>II. Felhalmozási célú kiadások</t>
  </si>
  <si>
    <t xml:space="preserve">          ebből:    - felújítás</t>
  </si>
  <si>
    <t xml:space="preserve">MŰKÖDÉSI CÉLÚ BEVÉTELEK ÖSSZ:                      </t>
  </si>
  <si>
    <t xml:space="preserve">                        - fejlesztés</t>
  </si>
  <si>
    <t>II. Felhalmozási célú bevételek</t>
  </si>
  <si>
    <t>2.) Beruházás</t>
  </si>
  <si>
    <t>3.) Felújítás</t>
  </si>
  <si>
    <t>4.) Céltartalék</t>
  </si>
  <si>
    <t xml:space="preserve">     Költségvetési felhalm. bevételei összesen:</t>
  </si>
  <si>
    <t xml:space="preserve">      Költségvetési felh.célú kiadásai összesen:</t>
  </si>
  <si>
    <t>Hevesi Sándor Színház</t>
  </si>
  <si>
    <t>FELHALMOZÁSI CÉLÚ BEVÉTELEK  ÖSSZESEN:</t>
  </si>
  <si>
    <t>FELHALMOZÁSI CÉLÚ KIADÁSOK ÖSSZESEN:</t>
  </si>
  <si>
    <t>BEVÉTELEK</t>
  </si>
  <si>
    <t>6./9</t>
  </si>
  <si>
    <t>Tartalékok</t>
  </si>
  <si>
    <t>1.a/2</t>
  </si>
  <si>
    <t>1.a/3</t>
  </si>
  <si>
    <t>1.a/4</t>
  </si>
  <si>
    <t>2.a/1</t>
  </si>
  <si>
    <t>4.a/1</t>
  </si>
  <si>
    <t>4.a/2</t>
  </si>
  <si>
    <t>4.a/3</t>
  </si>
  <si>
    <t>4.a/4</t>
  </si>
  <si>
    <t>4.a/5</t>
  </si>
  <si>
    <t>4.a/6</t>
  </si>
  <si>
    <t>4.a/7</t>
  </si>
  <si>
    <t>Előtervezések</t>
  </si>
  <si>
    <t>6.1.a/1</t>
  </si>
  <si>
    <t>6./6</t>
  </si>
  <si>
    <t>6./7</t>
  </si>
  <si>
    <t>6.b/1</t>
  </si>
  <si>
    <t>6.b/2</t>
  </si>
  <si>
    <t>6.b/3</t>
  </si>
  <si>
    <t>6.b/4</t>
  </si>
  <si>
    <t>6.b/5</t>
  </si>
  <si>
    <t>6.b/6</t>
  </si>
  <si>
    <t>Hulladékgazdálkodás</t>
  </si>
  <si>
    <t>Aquapark  fejlesztés</t>
  </si>
  <si>
    <t>9.a/1</t>
  </si>
  <si>
    <t>Önkormányzat tulajdonában lévő lakóépületek (lakások)  teljes vagy részleges  felújítása, korszerűsítése  (Lakásalap)</t>
  </si>
  <si>
    <t xml:space="preserve"> - iparűzési adó</t>
  </si>
  <si>
    <t xml:space="preserve"> - előző évek tartalékának bevonása</t>
  </si>
  <si>
    <t>Társasház felújításához pénzeszköz átadás Kossuth L.u. 32. sz.társasház részére</t>
  </si>
  <si>
    <t>A lakáscélú állami támogatásokról szóló külön jogszabály szerinti pályázati önrész finanszírozása (egycsatornás gyűjtőkémények felújítása) Lakásalapból</t>
  </si>
  <si>
    <t>Jogi és közig.feladatok</t>
  </si>
  <si>
    <t>Magánerős útépítések támogatása</t>
  </si>
  <si>
    <t>Rendezési tervek</t>
  </si>
  <si>
    <t>1.</t>
  </si>
  <si>
    <t>Közvilágítás és egyéb közmű beruházások</t>
  </si>
  <si>
    <t>Parkok, terek, játszóterek</t>
  </si>
  <si>
    <t>Stratégiai tervezés, fejlesztés és területszerzés</t>
  </si>
  <si>
    <t>Széchenyi tér buszmegálló felújítása szigeteléssel együtt, nyilvános WC felúj.</t>
  </si>
  <si>
    <t>Zárda u. - Alsójánkahegyi u. közötti tereplécső felújítása</t>
  </si>
  <si>
    <t>Hitel-, kölcsönfelvétel áht-n kívülről</t>
  </si>
  <si>
    <t>Ola utcai és Rákóczi utcai járda felújítása, zöldfelület rendezése</t>
  </si>
  <si>
    <t>Járdafelújítások Páterdombon</t>
  </si>
  <si>
    <t>4./25</t>
  </si>
  <si>
    <t xml:space="preserve"> Kis utca óvoda vizesblokk felújítás</t>
  </si>
  <si>
    <t xml:space="preserve"> Napsugár úti óvoda felújítása</t>
  </si>
  <si>
    <t>Kosztolányi téri Óvoda felújítása</t>
  </si>
  <si>
    <t xml:space="preserve"> Ady iskolában nagytornatermi 2 db vizesblokk felújítása</t>
  </si>
  <si>
    <t xml:space="preserve"> Petőfi Iskolában vizesblokk felújítás II. üteme</t>
  </si>
  <si>
    <t>1./1/10.</t>
  </si>
  <si>
    <t>1./1/11.</t>
  </si>
  <si>
    <t>1./2/7.</t>
  </si>
  <si>
    <t>1./2/8.</t>
  </si>
  <si>
    <t>1./2/9.</t>
  </si>
  <si>
    <t>Általános tartalék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</si>
  <si>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</si>
  <si>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</si>
  <si>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</si>
  <si>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</si>
  <si>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</si>
  <si>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</si>
  <si>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</si>
  <si>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</si>
  <si>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</si>
  <si>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</si>
  <si>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</si>
  <si>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</si>
  <si>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</si>
  <si>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</si>
  <si>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4./40</t>
  </si>
  <si>
    <t>4.a./1</t>
  </si>
  <si>
    <t>4.a./2</t>
  </si>
  <si>
    <t>4.a./3</t>
  </si>
  <si>
    <t>4.a./4</t>
  </si>
  <si>
    <t>4.a./5</t>
  </si>
  <si>
    <t>4.a./6</t>
  </si>
  <si>
    <t>4.a./7</t>
  </si>
  <si>
    <t>4.a./8</t>
  </si>
  <si>
    <t>4.a./9</t>
  </si>
  <si>
    <t>4.a./10</t>
  </si>
  <si>
    <t>4.a./11</t>
  </si>
  <si>
    <t>4.a./12</t>
  </si>
  <si>
    <t>Belvárosi zöldfelület és játszótér felújítások</t>
  </si>
  <si>
    <t>Költségvetési szervek felújítási kerete (Vis maior)</t>
  </si>
  <si>
    <t>1.) Költségvetési szervek kiadásai</t>
  </si>
  <si>
    <t>2.) Önkormányzat szakosztályainak  kiadásai</t>
  </si>
  <si>
    <t xml:space="preserve">                        - költségvetési szervek</t>
  </si>
  <si>
    <t xml:space="preserve">         ebből: költségvetési szervek</t>
  </si>
  <si>
    <t>ÖNKORMÁNYZAT ÖSSZESEN:</t>
  </si>
  <si>
    <t>Hozzájárulás jogcíme</t>
  </si>
  <si>
    <t>létszám</t>
  </si>
  <si>
    <t>mutató</t>
  </si>
  <si>
    <t>Normatíva     Ft/fő</t>
  </si>
  <si>
    <t>Hozzájárulás       ezer Ft-ban</t>
  </si>
  <si>
    <t>Módosítás
döntési
hatáskör
szerint *</t>
  </si>
  <si>
    <t>Városüzemelési feladatok összesen:</t>
  </si>
  <si>
    <t>Kiadások összesen</t>
  </si>
  <si>
    <t>Építéshatósági feladatok</t>
  </si>
  <si>
    <t>Polgármesteri Iroda kiadásai</t>
  </si>
  <si>
    <t>1./4</t>
  </si>
  <si>
    <t>1./5</t>
  </si>
  <si>
    <t>4./16</t>
  </si>
  <si>
    <t>4./17</t>
  </si>
  <si>
    <t>4./18</t>
  </si>
  <si>
    <t>4./19</t>
  </si>
  <si>
    <t>4./20</t>
  </si>
  <si>
    <t>4./21</t>
  </si>
  <si>
    <t>4./22</t>
  </si>
  <si>
    <t>4./23</t>
  </si>
  <si>
    <t>4./24</t>
  </si>
  <si>
    <t>1./1</t>
  </si>
  <si>
    <t>1./2</t>
  </si>
  <si>
    <t>1./3</t>
  </si>
  <si>
    <t>2.</t>
  </si>
  <si>
    <t>2./1</t>
  </si>
  <si>
    <t>3.</t>
  </si>
  <si>
    <t>Polgármesteri Iroda működési kiadásai összesen:</t>
  </si>
  <si>
    <t>4.</t>
  </si>
  <si>
    <t>5.</t>
  </si>
  <si>
    <t>6.</t>
  </si>
  <si>
    <t>3./1</t>
  </si>
  <si>
    <t>3./2</t>
  </si>
  <si>
    <t>Út-járda parkoló beruházások</t>
  </si>
  <si>
    <t>4./1</t>
  </si>
  <si>
    <t>4./2</t>
  </si>
  <si>
    <t>4./3</t>
  </si>
  <si>
    <t>4./4</t>
  </si>
  <si>
    <t>4./5</t>
  </si>
  <si>
    <t>4./6</t>
  </si>
  <si>
    <t>4./7</t>
  </si>
  <si>
    <t>számított hozzájárulás</t>
  </si>
  <si>
    <t>1.a) önkormányzati hivatal működésénak támogatása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</si>
  <si>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</si>
  <si>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</si>
  <si>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</si>
  <si>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ZTE Kosárlabda Klub Kft. tőketartalék</t>
  </si>
  <si>
    <t>1.c) egyéb kötelező önkormányzati feladatok támogatása</t>
  </si>
  <si>
    <t>1.c) egyéb kötelező önkormányzati feladatok támogatása - beszámítás után</t>
  </si>
  <si>
    <t>III.2. Hozzájárulás a pénzbeli szociális ellátásokhoz ( egyösszegű)</t>
  </si>
  <si>
    <t>III.2. Hozzájárulás a pénzbeli szociális ellátásokhoz ( egyösszegű) beszámítás után</t>
  </si>
  <si>
    <t>Beszámítás összege</t>
  </si>
  <si>
    <t xml:space="preserve"> - önk.működésének általános támogatása</t>
  </si>
  <si>
    <t>I.2.Lakossági folyékony hulladék ártalmatlanítás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</si>
  <si>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</si>
  <si>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</si>
  <si>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 - pótlólagos tám. 2014. őszi béremeléshez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</si>
  <si>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</si>
  <si>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</si>
  <si>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 xml:space="preserve">       Bölcsődei ellátás hátrányos helyzetű gyermek</t>
  </si>
  <si>
    <t>III.5.Gyermekétkeztetés támogatása</t>
  </si>
  <si>
    <t xml:space="preserve"> a) a finanszírozás szempontjából elismert szakmai dolgozók bértámogatása</t>
  </si>
  <si>
    <t>b) Gyermekétkeztetés-üzemeltetési támogatás</t>
  </si>
  <si>
    <t>Hevesi Sándor Színház és Griff Bábszínház állami támogatása</t>
  </si>
  <si>
    <t>4./8</t>
  </si>
  <si>
    <t>4./9</t>
  </si>
  <si>
    <t>4./10</t>
  </si>
  <si>
    <t>4./11</t>
  </si>
  <si>
    <t>4./12</t>
  </si>
  <si>
    <t>4./13</t>
  </si>
  <si>
    <t>4./14</t>
  </si>
  <si>
    <t>4./15</t>
  </si>
  <si>
    <t>5./1</t>
  </si>
  <si>
    <t>5./2</t>
  </si>
  <si>
    <t>5./3</t>
  </si>
  <si>
    <t>5./4</t>
  </si>
  <si>
    <t>3./3</t>
  </si>
  <si>
    <t>Lakossági közműfejlesztési hozzájárulás (állami)</t>
  </si>
  <si>
    <t xml:space="preserve">Céltartalék </t>
  </si>
  <si>
    <t>6./1</t>
  </si>
  <si>
    <t>6./2</t>
  </si>
  <si>
    <t>6./3</t>
  </si>
  <si>
    <t>7.</t>
  </si>
  <si>
    <t>8.</t>
  </si>
  <si>
    <t>Köztemető</t>
  </si>
  <si>
    <t>9.</t>
  </si>
  <si>
    <t>Egyéb feladatok</t>
  </si>
  <si>
    <t>9./1</t>
  </si>
  <si>
    <t>9./2</t>
  </si>
  <si>
    <t>9./3</t>
  </si>
  <si>
    <t>9./4</t>
  </si>
  <si>
    <t>Megnevezés</t>
  </si>
  <si>
    <t>Cím              szám</t>
  </si>
  <si>
    <t>Alcím                    szám</t>
  </si>
  <si>
    <t>Összesen</t>
  </si>
  <si>
    <t>Polgármesteri Hivatal</t>
  </si>
  <si>
    <t>Városüzemelési feladatok</t>
  </si>
  <si>
    <t>Vagyonkezelési feladatok</t>
  </si>
  <si>
    <t>Pénzügyi lebonyolítás</t>
  </si>
  <si>
    <t>Pénzügyi lebonyolítás összesen:</t>
  </si>
  <si>
    <t>Cím szám</t>
  </si>
  <si>
    <t>Alcím szám</t>
  </si>
  <si>
    <t>Ellátottak pénzbeni juttatásai</t>
  </si>
  <si>
    <t>Felújítási kiadások</t>
  </si>
  <si>
    <t>Belvárosi járdák felújítása</t>
  </si>
  <si>
    <t>Göcseji Pataki u. páros oldal parkoló aszfaltozása</t>
  </si>
  <si>
    <t>6.) Hitel felvétel</t>
  </si>
  <si>
    <t>Felújítási kiadások:</t>
  </si>
  <si>
    <t>Szennyvízberuházások és csapadékcsatornák</t>
  </si>
  <si>
    <t>pm</t>
  </si>
  <si>
    <t>Járdafelújítások Zalabesenyőben</t>
  </si>
  <si>
    <t>Helyi építészeti értékek védelme</t>
  </si>
  <si>
    <t>Felhalmozási célú céltartalék</t>
  </si>
  <si>
    <t xml:space="preserve"> - "Zalaegerszeg elővárosi közlekedési rendszereinek fejlesztése"  projekt KÖZOP-5.5.0-09-11-2012-0016 </t>
  </si>
  <si>
    <t xml:space="preserve"> - "Zalaegerszeg intermodális közösségi közlekedési csomópont létesítése" projekt KÖZOP-5.5.0-09-11-2012-0019 </t>
  </si>
  <si>
    <t>4./61</t>
  </si>
  <si>
    <t>3./9.</t>
  </si>
  <si>
    <t>"Ivóvízminőség javítása" KEOP pályázathoz Önerő alap támogatás átadása</t>
  </si>
  <si>
    <t>Városépítészeti feladatok működési kiadásai:</t>
  </si>
  <si>
    <t xml:space="preserve"> - ÁFA befizetés</t>
  </si>
  <si>
    <t xml:space="preserve"> - Településrészi Önkormányzatok</t>
  </si>
  <si>
    <t>Zalaegerszegi Gazdasági Ellátó Szervezet</t>
  </si>
  <si>
    <t>Zalaegerszegi Egyesített Bölcsődék</t>
  </si>
  <si>
    <t>Zalaegerszegi Egészségügyi Alapellátás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</si>
  <si>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</si>
  <si>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</si>
  <si>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</si>
  <si>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</si>
  <si>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Városrészek Művelődési Központja és Könyvtára</t>
  </si>
  <si>
    <t>Keresztury Dezső VMK</t>
  </si>
  <si>
    <t>Zalaegerszegi Turisztikai Hivatal és Információs Iroda</t>
  </si>
  <si>
    <t>Címszám</t>
  </si>
  <si>
    <t>Költségvetési kiadások</t>
  </si>
  <si>
    <t>Munkaadókat terhelő járulékok és szociális hozzájárulási adó</t>
  </si>
  <si>
    <t>Ellátottak pénzbeli juttatásai</t>
  </si>
  <si>
    <t>Egyéb felhalmozási célú kiadások</t>
  </si>
  <si>
    <t>Finanszírozási kiadások</t>
  </si>
  <si>
    <t>2014. eredeti előirányzat</t>
  </si>
  <si>
    <t>Költségvetési bevételek</t>
  </si>
  <si>
    <t>Finanszírozási bevételek</t>
  </si>
  <si>
    <t>Bevételek összesen</t>
  </si>
  <si>
    <t>Működési célú támogatások áht-n belülről</t>
  </si>
  <si>
    <t>Felhalmozási célú támogatások áht-n belülről</t>
  </si>
  <si>
    <t>Működési bevételek</t>
  </si>
  <si>
    <t>Működési célú átvett pénzeszközök</t>
  </si>
  <si>
    <t>Felhalmozási célú átvett pénzeszközök</t>
  </si>
  <si>
    <t>Maradvány igénybevétele</t>
  </si>
  <si>
    <t>Központi, irányító szervi támogatás</t>
  </si>
  <si>
    <t>Egyéb finanszírozási bevétel</t>
  </si>
  <si>
    <t>Önkormányzat által nyújtott lakástámogatás első lakáshoz jutók részére  (Lakásalapból)</t>
  </si>
  <si>
    <t>Kamatmentes kölcsön az ideiglenesen nehéz helyzetbe került zeg-i polgárok számára (Lakásalapból)</t>
  </si>
  <si>
    <t>Szociális és igazgatási feladatok össszesen:</t>
  </si>
  <si>
    <t>1./2.</t>
  </si>
  <si>
    <t xml:space="preserve">             Általános iskolák</t>
  </si>
  <si>
    <t>1./2/1.</t>
  </si>
  <si>
    <t>Izsák I. Általános Iskola eszközfejlesztés</t>
  </si>
  <si>
    <t xml:space="preserve">2. </t>
  </si>
  <si>
    <t>"Art" mozihálózat digitális fejlesztése pályázati támogatással</t>
  </si>
  <si>
    <t>Hevesi Sándor Színház tűzjelző rendszer</t>
  </si>
  <si>
    <t>Zsinagóga önálló fűtési rendszer kialakítása</t>
  </si>
  <si>
    <t xml:space="preserve">4. </t>
  </si>
  <si>
    <t>Sportfeladatok</t>
  </si>
  <si>
    <t>4./1.</t>
  </si>
  <si>
    <t>4./2.</t>
  </si>
  <si>
    <t>4./3.</t>
  </si>
  <si>
    <t xml:space="preserve">Nehézatlétikai pálya kialakítása Városi Sportcentrum területén </t>
  </si>
  <si>
    <t>4./4.</t>
  </si>
  <si>
    <t>Városi Sportcentrum atlétikai pálya kivilágítása</t>
  </si>
  <si>
    <t>4./5.</t>
  </si>
  <si>
    <t>Andráshidai LSC sportfejlesztési program támogatása</t>
  </si>
  <si>
    <t>2013. évről áthúzódó feladatok</t>
  </si>
  <si>
    <t>5.a/1</t>
  </si>
  <si>
    <t>Páterdombi LSC sportpálya igényének megoldása</t>
  </si>
  <si>
    <t>5.a/2</t>
  </si>
  <si>
    <t>5.a/3</t>
  </si>
  <si>
    <t>5.a/4</t>
  </si>
  <si>
    <t>5.a/5</t>
  </si>
  <si>
    <t>Göcseji Múzeum részére  pe. átadás kiállítóterem fejlesztéséhez pályázati támogatással</t>
  </si>
  <si>
    <t>Zala utcai árvízkapu építése</t>
  </si>
  <si>
    <t>Bazitai u. 80. sz. előtti terület csapadékvízelvezetése</t>
  </si>
  <si>
    <t>Vízelvezetési problémák megoldása Páterdombon</t>
  </si>
  <si>
    <t>1./5.</t>
  </si>
  <si>
    <t>Szennyvíztársulástól átvett viziközmű vagyon fejlesztésére pénzeszköz átadás Szennyvíztársulás részére</t>
  </si>
  <si>
    <t xml:space="preserve"> Lakásvásárlás és -építés támogatásból "Bébi kedvezmény"</t>
  </si>
  <si>
    <t>Társasházi felúj.alap átadása LÉSZ Kft. részére (Széchenyi tér 4-6.)</t>
  </si>
  <si>
    <t xml:space="preserve"> - közterületi reklám bevétel</t>
  </si>
  <si>
    <t xml:space="preserve"> - közterületi reklám </t>
  </si>
  <si>
    <t>Kossuth L.u. 45.  felújítás</t>
  </si>
  <si>
    <t xml:space="preserve">                                                                                            </t>
  </si>
  <si>
    <t>Vis maior támogatás</t>
  </si>
  <si>
    <t>Köztársaság u. 76-82. mögötti belső tér (Bóbita alatt) csapadékvízelvezetés megoldása, aszfaltozás</t>
  </si>
  <si>
    <t>Szent-István u. csapadékvízelvezetése</t>
  </si>
  <si>
    <t>Pintér M. u. nyugati oldal Lörincz b. u. és Püspöki G. u. közötti szakaszának csapadékvízelvezetése</t>
  </si>
  <si>
    <t>1./9</t>
  </si>
  <si>
    <t>Önkormányzati tulajdonú ingatlanok szennyvízbekötései</t>
  </si>
  <si>
    <t>Zalaegerszeg szennyvíz-elvezetés és tisztítás fejlesztése</t>
  </si>
  <si>
    <t>KEOP vízvezeték építéshez pályázatban nem támogatott munkák</t>
  </si>
  <si>
    <t>Ivóvízminőség javítása KEOP pályázathoz önrész Önerőalapból (KEOP-7.1.3.0/09-201-0017 )</t>
  </si>
  <si>
    <t>Szent L. u.-i közösségi ház közműhálózat leválasztása</t>
  </si>
  <si>
    <t>Közvilágítás kiépítése ellátatlan területen</t>
  </si>
  <si>
    <t>Avashegyi közvilágítás kiépítése</t>
  </si>
  <si>
    <t>Ola u. és Platán sor  kereszteződésénél lévő 10 emeletes épület  NY-i, bejárati oldala előtti (posta, boltok, zöldséges,stb.) „sötét” járda megvilágítása</t>
  </si>
  <si>
    <t>Alkotmány utcai garázssor lámpatestek létesítése</t>
  </si>
  <si>
    <t>Csácsi hegyi kápolna díszkivilágítása</t>
  </si>
  <si>
    <t>Közvilágítás fejlesztése a Csács-bozsoki városrészben</t>
  </si>
  <si>
    <t>3.a/1</t>
  </si>
  <si>
    <t>Bánya utca aszfaltozása, csapadék víz elvezetéssel</t>
  </si>
  <si>
    <t xml:space="preserve">Babits u. 5. szám előtti parkoló bővítése </t>
  </si>
  <si>
    <t>Biológuspark útcsatlakozás kialakítása</t>
  </si>
  <si>
    <t>Csány - Zrínyi iskolák közötti belső sétány építése</t>
  </si>
  <si>
    <t>Tervek készítése, műszaki ellenőrzések és egyéb hatósági díjak</t>
  </si>
  <si>
    <t>Becsali u. gyalogos átkelőhely létesítése</t>
  </si>
  <si>
    <t>Buszváró létesítése Kaszaházán</t>
  </si>
  <si>
    <t>Berek u. zöldterület rendbetétele, játszótér kialakítása</t>
  </si>
  <si>
    <t>Szent András park és játszótér fejlesztésének folytatása</t>
  </si>
  <si>
    <t>Szent András park játszóeszköz telepítése</t>
  </si>
  <si>
    <t>Gébárti tó Ny-i oldal parkosítása</t>
  </si>
  <si>
    <t>5./5</t>
  </si>
  <si>
    <t>Szenterzsébethegy virágosítási munkák</t>
  </si>
  <si>
    <t>5./6</t>
  </si>
  <si>
    <t>Pózva játszótér fejlesztése</t>
  </si>
  <si>
    <t>5./7</t>
  </si>
  <si>
    <t>Ságodi játszótér fejlesztése</t>
  </si>
  <si>
    <t>5./8</t>
  </si>
  <si>
    <t>Idősek Otthona mögötti tömbbelső parkoló-zöldsáv megújítás</t>
  </si>
  <si>
    <t>5./9</t>
  </si>
  <si>
    <t>1./4/1.</t>
  </si>
  <si>
    <t xml:space="preserve">ERESCO ipari röntgengép megvásárlása TISZK-től  </t>
  </si>
  <si>
    <t>Városi középiskolai kollégiumban felújítások</t>
  </si>
  <si>
    <t>Aquacity jótékonysági nap bevételéből támogatás</t>
  </si>
  <si>
    <t>6./4.</t>
  </si>
  <si>
    <t>Vásárcsarnok felújításánek járulékos munkái</t>
  </si>
  <si>
    <t>Sport feladatok</t>
  </si>
  <si>
    <t>081043 Iskolai, diáksport-tevékenység és támogatása</t>
  </si>
  <si>
    <t>Helyi közösségi közlekedés támogatása</t>
  </si>
  <si>
    <t>Játszóterek, zöldfelületek fejlesztése Páterdombon</t>
  </si>
  <si>
    <t>5./10</t>
  </si>
  <si>
    <t>Botfai sporpályához padok telepítése</t>
  </si>
  <si>
    <t>5./11</t>
  </si>
  <si>
    <t>József Attila Játszótér felújítása (növényzettel, játszóeszközökkel és térbútorokkal)</t>
  </si>
  <si>
    <t>5./12</t>
  </si>
  <si>
    <t>Landorhegyi köztéri padok beszerzése</t>
  </si>
  <si>
    <t>5./13</t>
  </si>
  <si>
    <t>Városi Középiskolai Kollégium Kaffka Margit Tagkollégium udvari pavilon építés és udvarrendezés</t>
  </si>
  <si>
    <t>5./14</t>
  </si>
  <si>
    <t>Csillagközi óvoda udvar parkosítás, füvesítés</t>
  </si>
  <si>
    <t>5./15</t>
  </si>
  <si>
    <t>Nemzetőr u. vége (Cinke park alatti) rendezetlen tér parkosítása</t>
  </si>
  <si>
    <t>5./16</t>
  </si>
  <si>
    <t>Izsák Általános Iskola melletti sportlétesítmények és környezetének fejlesztése, parkosítás</t>
  </si>
  <si>
    <t>5./17</t>
  </si>
  <si>
    <t>Berzsenyi utcai tízemeletesek közötti parkfejlesztés illetve egyéb beruházás</t>
  </si>
  <si>
    <t>5./18</t>
  </si>
  <si>
    <t>Önkormányzati erdő telepítése</t>
  </si>
  <si>
    <t>5./19</t>
  </si>
  <si>
    <t>Köztemető fenntartási feladatok ellátásához anyageszközigény biztosítása</t>
  </si>
  <si>
    <t>5./20</t>
  </si>
  <si>
    <t>Gyepmesteri feladatok ellátásához anyag -eszközigény biztosítása</t>
  </si>
  <si>
    <t>Kinizsi u. tömbbelsőben játszótér eszközbővítés</t>
  </si>
  <si>
    <t>Göcseji úti köztemető közkútjának szennyvízhálózatra való rácsatlakozása</t>
  </si>
  <si>
    <t>Zalaegerszegi Televízió Kft.felhalmozási célú pénzeszköz átadás</t>
  </si>
  <si>
    <t>Temetői fejlesztések</t>
  </si>
  <si>
    <t>Lukahegyi horhos burkolatemelés</t>
  </si>
  <si>
    <t>Bozsoki horhos partfal stabilizációk</t>
  </si>
  <si>
    <t>Szenterzsébethegyi Közösségi tér fejlesztése</t>
  </si>
  <si>
    <t>Erzsébethegy Közösségi tér kialakítás</t>
  </si>
  <si>
    <t>9.a/3</t>
  </si>
  <si>
    <t>Vis maior pályázat árvízvédelem és partfalomlás helyreállítás</t>
  </si>
  <si>
    <t>9.a/4</t>
  </si>
  <si>
    <t>Buslakpuszta bezárt szilárd hulladék-lerakó szennyezés lokalizációja</t>
  </si>
  <si>
    <t>6.) Egyéb finanszírozási kiadás</t>
  </si>
  <si>
    <t>Platán sor 18.szám mögötti parkoló építés</t>
  </si>
  <si>
    <t>1./2/10.</t>
  </si>
  <si>
    <t>Petőfi Iskolában parketta csere</t>
  </si>
  <si>
    <t>3./1/2.</t>
  </si>
  <si>
    <t>Páterdombi orvosi rendelő nyílászáró felújítás</t>
  </si>
  <si>
    <t>4./62</t>
  </si>
  <si>
    <t>4./63</t>
  </si>
  <si>
    <t>4./64</t>
  </si>
  <si>
    <t>4./65</t>
  </si>
  <si>
    <t>4./66</t>
  </si>
  <si>
    <t>Termálfürdő sétány felújítása</t>
  </si>
  <si>
    <t>Zala lakópark bejárat felújítása</t>
  </si>
  <si>
    <t>Berzsenyi u.11.sz. rámpa</t>
  </si>
  <si>
    <t>Cserfa utcai átkötő járda felújítása</t>
  </si>
  <si>
    <t>Május 1. u.útburkolat felújítás</t>
  </si>
  <si>
    <t>Bartók Béla u. felújítás</t>
  </si>
  <si>
    <t>4./67</t>
  </si>
  <si>
    <t>Termálfürdő balesetveszélyes külső gyermekmedence gumiburkolat csere</t>
  </si>
  <si>
    <t>Alsójánkahegyi Közösségi Ház felújítása</t>
  </si>
  <si>
    <t>6./2.</t>
  </si>
  <si>
    <t>Előtervezés</t>
  </si>
  <si>
    <t>6./3.</t>
  </si>
  <si>
    <t>4./9.</t>
  </si>
  <si>
    <t>Parkolóépítés parkolómegváltás bevételéből</t>
  </si>
  <si>
    <t>4./10.</t>
  </si>
  <si>
    <t>Ebergény buszváró létesítés</t>
  </si>
  <si>
    <t>4./11.</t>
  </si>
  <si>
    <t>4./12.</t>
  </si>
  <si>
    <t>Páterdombon buszváró létesítése</t>
  </si>
  <si>
    <t>9./10</t>
  </si>
  <si>
    <t>Lakossági-civil kezdeményezések támogatása</t>
  </si>
  <si>
    <t>Liget utca 0651/65 hrsz.magánerős útépítés</t>
  </si>
  <si>
    <t>Egyéb szervezetek támogatása</t>
  </si>
  <si>
    <t>Holokauszt 70. évforduló emléktábla</t>
  </si>
  <si>
    <t xml:space="preserve"> - intézmények támogatása, rendezvényeik finanszírozása</t>
  </si>
  <si>
    <t>082010 Kultúra igazgatása</t>
  </si>
  <si>
    <t>047410 Ár- és belvízvédelemmel összefüggő tevékenység</t>
  </si>
  <si>
    <t xml:space="preserve"> - parkolási közszolgáltatási tevékenység ellátásával kapcsolatos költségek</t>
  </si>
  <si>
    <t>Elmaradt bevételek pótlására</t>
  </si>
  <si>
    <t>081061 Szabadidős park, fürdő és strandszolgáltatás</t>
  </si>
  <si>
    <t>082030 Művészeti tevékenység</t>
  </si>
  <si>
    <t>045170 Parkoló, garázs üzemeltetése, fenntartása</t>
  </si>
  <si>
    <t>900020 Önkormányzatok funkcióra nem sorolható bevételei áht-n kívűlről</t>
  </si>
  <si>
    <t xml:space="preserve"> - művészeti ösztöndíjak</t>
  </si>
  <si>
    <t xml:space="preserve"> - Aquaparkba kisértékű eszközök beszerzése</t>
  </si>
  <si>
    <t xml:space="preserve"> - egyéb város- és községgazdálkoddás</t>
  </si>
  <si>
    <t>Pannon Fejlesztési Alapítvány részére pénzeszköz átadás e-formaautó fejlesztési projekthez</t>
  </si>
  <si>
    <t>Zalaegerszeg, 4815/6 hrsz-ú ingatlan vízbekötésének és szennyvízelvezetésének, valamint az Alkotmány utca 2, 4 és 6. sz. ingatlanok szennyvízelvezetésének megvalósítása</t>
  </si>
  <si>
    <t>Rovat száma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</si>
  <si>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</si>
  <si>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</si>
  <si>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</si>
  <si>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</si>
  <si>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</si>
  <si>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</si>
  <si>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</si>
  <si>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</si>
  <si>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Települési önkormányzatok egyes köznevelési feladatainak tám.</t>
  </si>
  <si>
    <t>B113</t>
  </si>
  <si>
    <t>Települési önkormányzatok szociális és gyermekjóléti feladatainak támogatása</t>
  </si>
  <si>
    <t>B114</t>
  </si>
  <si>
    <t>Települési önkormányzatok kulturális feladatainak támogatása</t>
  </si>
  <si>
    <t>B115</t>
  </si>
  <si>
    <t>Működési célú központosított előirányzatok</t>
  </si>
  <si>
    <t>B16</t>
  </si>
  <si>
    <t>Egyéb működési célú támogatások bevételei államháztartáson belülről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</si>
  <si>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</si>
  <si>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</si>
  <si>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</si>
  <si>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</si>
  <si>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</si>
  <si>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</si>
  <si>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</si>
  <si>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Felhalmozási célú támogatások államháztartáson belülről összesen</t>
  </si>
  <si>
    <t>B3</t>
  </si>
  <si>
    <t>B35</t>
  </si>
  <si>
    <t xml:space="preserve">Termékek és szolgáltatások adói </t>
  </si>
  <si>
    <t>B351</t>
  </si>
  <si>
    <t>Értékesítési és forgalmi adók ( helyi iparűzési adó)</t>
  </si>
  <si>
    <t>B354</t>
  </si>
  <si>
    <t>Gépjárműadók</t>
  </si>
  <si>
    <t>B355</t>
  </si>
  <si>
    <t>Egyéb áruhasználati és szolgáltatási adók (talajterhelési díj)</t>
  </si>
  <si>
    <t>B36</t>
  </si>
  <si>
    <t>Egyéb közhatalmi bevételek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</si>
  <si>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</si>
  <si>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</si>
  <si>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</si>
  <si>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</si>
  <si>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</si>
  <si>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</si>
  <si>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</si>
  <si>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</si>
  <si>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</si>
  <si>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</si>
  <si>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</si>
  <si>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</si>
  <si>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</si>
  <si>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</si>
  <si>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</si>
  <si>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</si>
  <si>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</si>
  <si>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</si>
  <si>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</si>
  <si>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</si>
  <si>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</si>
  <si>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</si>
  <si>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</si>
  <si>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</si>
  <si>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</si>
  <si>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</si>
  <si>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</si>
  <si>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</si>
  <si>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</si>
  <si>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</si>
  <si>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</si>
  <si>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 xml:space="preserve"> - Belvárosrehabilitáció II.ütemének előkészítő munkái</t>
  </si>
  <si>
    <t>Fejlesztési céltartalék</t>
  </si>
  <si>
    <t>2./7.</t>
  </si>
  <si>
    <t xml:space="preserve"> - egyéb egészségügyi feladat</t>
  </si>
  <si>
    <t>2014. évi közösségi - művészeti pályázatok felhalmozási célú pe.átadás</t>
  </si>
  <si>
    <t>6./22</t>
  </si>
  <si>
    <t xml:space="preserve"> Vagyongazdálkodási feladatok és szakértői díjak</t>
  </si>
  <si>
    <t xml:space="preserve">   B818</t>
  </si>
  <si>
    <t>Betétek megszüntetése</t>
  </si>
  <si>
    <t>8.) Betétek megszüntetése</t>
  </si>
  <si>
    <t xml:space="preserve"> - parkolási közszolgáltatási tevékenység </t>
  </si>
  <si>
    <t xml:space="preserve">Támogatás az önkormányzat feladatainak biztonságos finanszírozása érdekében </t>
  </si>
  <si>
    <t xml:space="preserve"> - egyéb központi támogatások</t>
  </si>
  <si>
    <t xml:space="preserve">  -központosított támogatás </t>
  </si>
  <si>
    <t>Költségvetési kiadások összesen:</t>
  </si>
  <si>
    <t>K9</t>
  </si>
  <si>
    <t>Landorhegyi út 1-3-5. szennyvízcsatorna rekonstrukció, csapadékcsatorna leválasztás</t>
  </si>
  <si>
    <t>Zalaegerszeg, Aquacity élményfürdő területén belül található csapadékvíz-elvezető csatorna bővítése</t>
  </si>
  <si>
    <t>Béke utca szennyvízcsatorna rekonstrukció és járulékos munkák</t>
  </si>
  <si>
    <t>Tüttő Gy u. 15.. és a szomszédos ingatlanok csapadékvízelvezetése</t>
  </si>
  <si>
    <t>Gébárti kézművesház tűzivízellátása</t>
  </si>
  <si>
    <t xml:space="preserve">Posta út csatornázása </t>
  </si>
  <si>
    <t>Csapadékvíz-elvezetések, vízrendezések tervezése</t>
  </si>
  <si>
    <t>Zalaegerszeg, Rákóczi Ferenc utca Arany János utca és Mártírok útja között lévő szakaszán üzemelő csapadékcsatorna és ivóvízvezeték rekonstrukciója</t>
  </si>
  <si>
    <t>2014. évi módosított ei. a IV. negyedévi módosítás után</t>
  </si>
  <si>
    <t>2014. évi  módosítás</t>
  </si>
  <si>
    <t>2014. módosítás</t>
  </si>
  <si>
    <t>Budai völgy vízellátása I. ütem befejező munkái</t>
  </si>
  <si>
    <t>Ságodi mélyfúrású kutakhoz kapcsolódó feladatok</t>
  </si>
  <si>
    <t xml:space="preserve">Közvilágítás korszerűsítés Zalaegerszeg I. (KEOP-5.5.0/A/12-2013-0191) </t>
  </si>
  <si>
    <t>3.a/2</t>
  </si>
  <si>
    <t xml:space="preserve">Közvilágítás korszerűsítés Zalaegerszeg II. (KEOP-5.5.0/A)/12-2013-0182 </t>
  </si>
  <si>
    <t>Zalaegerszeg, Déryné utcai gyalogátkelőhely létesítése</t>
  </si>
  <si>
    <t>Landorhegyi u. 8. sz. alatti orvosi rendelő parkoló kialakítási munkái</t>
  </si>
  <si>
    <t>Takarék köz közműcsere utáni helyreállítás</t>
  </si>
  <si>
    <t>Petőfi iskola parkoló építés</t>
  </si>
  <si>
    <t>Kertvárosi templom alsó parkoló építése</t>
  </si>
  <si>
    <t>Andráshidán járdaburkolat építés</t>
  </si>
  <si>
    <t xml:space="preserve">Újtemető parkoló bővítés </t>
  </si>
  <si>
    <t>Göcseji u.- Závoczki I.u. jobbra kanyarodó sáv kialakítási munkái pályázati önrész</t>
  </si>
  <si>
    <t>Petőfi S. Iskola mögötti tömbbelsőben parkolóépítés</t>
  </si>
  <si>
    <t>Játszótér és park kialakítása Hatházán</t>
  </si>
  <si>
    <t>Kerékpárút építésekhez kapcsolódó fásítások és területrendezések</t>
  </si>
  <si>
    <t>Előtervezésekből 2013. évről áthúzódó feladatok</t>
  </si>
  <si>
    <t>Béke utca felújításának előkészítése, tervezése</t>
  </si>
  <si>
    <t>Rákóczi u. felújításához kapcsolódó vízi-közmű kiváltások előkészítése, tervezése</t>
  </si>
  <si>
    <t>6.1.a/3</t>
  </si>
  <si>
    <t>Vizslapark funkcióbővítés és fejlesztés előkészítése, tervezése</t>
  </si>
  <si>
    <t>6.1.a/4</t>
  </si>
  <si>
    <t>062020 Területfejlesztési projektek és támogatásuk</t>
  </si>
  <si>
    <t>B53</t>
  </si>
  <si>
    <t>Egyéb tárgyi eszközök értékesítése</t>
  </si>
  <si>
    <t>Gébárti fürdőlétesítmények (Aquacity) fejlesztési koncepció terv készítés</t>
  </si>
  <si>
    <t>6.1.a/5</t>
  </si>
  <si>
    <t>Fenyő u. korszerűsítése</t>
  </si>
  <si>
    <t>Zalaegerszeg történelmi városközpont rehabilitációs és revitalizációs program NYDOP-3.1.1/B-2009-0005</t>
  </si>
  <si>
    <t>Tehermentesítő út II. ütem építéséhez kapcsolódó közműépítések</t>
  </si>
  <si>
    <t>Kosztolányi u. kétirányúsítása</t>
  </si>
  <si>
    <t>Városrehab. II. ütem kapcsolódó közműépítések</t>
  </si>
  <si>
    <t>Egyéb 2014. évi pályázatok területszerzés, -rendezés</t>
  </si>
  <si>
    <t>6./11</t>
  </si>
  <si>
    <t>Ipari környezet fejlesztése</t>
  </si>
  <si>
    <t>6./13</t>
  </si>
  <si>
    <t>Ingatlanvásárlások</t>
  </si>
  <si>
    <t>AGORA-program - Ady mozi területszerzés (pince), jogi rendezés</t>
  </si>
  <si>
    <t xml:space="preserve">Kossuth u. 50. udvari épület bontása </t>
  </si>
  <si>
    <t>Belvárosi területrendezések, nem felújítható épületek bontása</t>
  </si>
  <si>
    <t>Harasztifalu területszerzés</t>
  </si>
  <si>
    <t>Ipari parkban internet kapcsolat kiépítése</t>
  </si>
  <si>
    <t>6./20</t>
  </si>
  <si>
    <t>Labdarúgó Stadionban fejlesztési munkák</t>
  </si>
  <si>
    <t>6./21</t>
  </si>
  <si>
    <t>LÉSZ Kft. telephely útcsatlakozás és szervízút építés</t>
  </si>
  <si>
    <t>6.b/7</t>
  </si>
  <si>
    <t>6.b/8</t>
  </si>
  <si>
    <t>"Zalaegerszeg 2020-Integrált településfejlesztési stratégia megalkotása" projekt pályázati támogatással  NYDOP-3.1.1/F-13-2013-0001</t>
  </si>
  <si>
    <t>6.b/9</t>
  </si>
  <si>
    <t xml:space="preserve">"Komplex belváros rehabilitációs program Zalaegerszegen" projekt pályázati támogatással NYDOP-3.1.1/B1-13-k-2013-0005 </t>
  </si>
  <si>
    <t>6.b/10</t>
  </si>
  <si>
    <t>Barnamezős vásárlás/fejlesztés</t>
  </si>
  <si>
    <t>6.b/11</t>
  </si>
  <si>
    <t>Barnamezős területek rehabilitációja</t>
  </si>
  <si>
    <t>6.b/12</t>
  </si>
  <si>
    <t>Szociális városrehabilitáció Zalaegerszegen NYDOP-3.1.1/B2-13-k2-2013-0001</t>
  </si>
  <si>
    <t>6.b/13</t>
  </si>
  <si>
    <t>6.b/14</t>
  </si>
  <si>
    <t>6.b/15</t>
  </si>
  <si>
    <t>Buslakpuszta hulladékdepó bővítéséhez területszerzés, kisajátítás</t>
  </si>
  <si>
    <t>7.a./2</t>
  </si>
  <si>
    <t>8.a/1</t>
  </si>
  <si>
    <t>Öveges ÁMK területén gázvezeték kiváltása</t>
  </si>
  <si>
    <t xml:space="preserve">Zalaegerszeg, 5530/12 hrsz területén üzemelő hírközlési földkábel teljeskörű kiváltása </t>
  </si>
  <si>
    <t>Dísz tér átépítéséhez kapcsolódó építési munkák</t>
  </si>
  <si>
    <t>Beruházásokhoz kapcsolódó egyéb feladatok ( tervezés, eljárási díjak)</t>
  </si>
  <si>
    <t>Vorhotai közösségi tér fejlesztése</t>
  </si>
  <si>
    <t xml:space="preserve">Vagyonkezelési feladatok </t>
  </si>
  <si>
    <t>Területcsere É-i és D-i ipari parkban 254/2013. kgy.hat.alapján</t>
  </si>
  <si>
    <t>1.a./4</t>
  </si>
  <si>
    <t>Városrehabilitációra, valamint lakóövezetbe sorolt építési telek kialakítása, lakásvásárlás Lakásalapból</t>
  </si>
  <si>
    <t>1.a./5</t>
  </si>
  <si>
    <t>Zalavíz Zrt. részvény vásárlás</t>
  </si>
  <si>
    <t>Térfigyelő kamera felszerelése Botfán</t>
  </si>
  <si>
    <t xml:space="preserve">Stúdió Rádió fejlesztési célú támogatása </t>
  </si>
  <si>
    <t>Alcímszám</t>
  </si>
  <si>
    <t>Sorszám</t>
  </si>
  <si>
    <t>2014. évi eredeti előirányzat</t>
  </si>
  <si>
    <t>2014. évi módosított előirányzat</t>
  </si>
  <si>
    <t>Módosítás hatáskör szerint</t>
  </si>
  <si>
    <t>Felúj. célú pénzeszk. átad.és egyéb felújítási célú kiadás</t>
  </si>
  <si>
    <t xml:space="preserve">            Óvodák</t>
  </si>
  <si>
    <t>1./1/1.</t>
  </si>
  <si>
    <t>Landorhegyi óvoda ( Űrhajós u. 2. ) gyermek vizesblokk felújítás II. ütem</t>
  </si>
  <si>
    <t>1./1/2.</t>
  </si>
  <si>
    <t>Óvodák felújítása</t>
  </si>
  <si>
    <t>1./1/3.</t>
  </si>
  <si>
    <t>Petőfi Óvoda udvar felújítás</t>
  </si>
  <si>
    <t>1./1/4.</t>
  </si>
  <si>
    <t>Radnóti u. óvoda kerítés felújítása</t>
  </si>
  <si>
    <t>1./1/5.</t>
  </si>
  <si>
    <t>1./1/6.</t>
  </si>
  <si>
    <t>Kis utcai Óvodában udvarfelújítás</t>
  </si>
  <si>
    <t>1./1/7.</t>
  </si>
  <si>
    <t>1./13.</t>
  </si>
  <si>
    <t>4./69.</t>
  </si>
  <si>
    <t xml:space="preserve"> - Lakásalap előző évek maradványának igénybevétele</t>
  </si>
  <si>
    <t>1./1./12.</t>
  </si>
  <si>
    <t>Belvárosi I.sz.Óvoda Mikes tagóvoda részére pe.átadás belső felújításhoz</t>
  </si>
  <si>
    <t>1./3/3.</t>
  </si>
  <si>
    <t>Kölcsey Gimnázium labor tetőfelépítményeinek beázás elleni védelme</t>
  </si>
  <si>
    <t>1./4.</t>
  </si>
  <si>
    <t>4./68.</t>
  </si>
  <si>
    <t>Alsóerdei út- Gyimesi u. összekötő tereplépcső felújítása</t>
  </si>
  <si>
    <t>6./5.</t>
  </si>
  <si>
    <t>9./4.</t>
  </si>
  <si>
    <t>Aquapark felújítás</t>
  </si>
  <si>
    <t>Önk-i tulajdonú lakások iparosított tehnológiájú felújításhoz pe. átadás LÉSZ Kft. részére (Lakásalapból)</t>
  </si>
  <si>
    <t>2./5.</t>
  </si>
  <si>
    <t>Intézmények támogatása, rendezvényeik finanszírozása</t>
  </si>
  <si>
    <t>2./6.</t>
  </si>
  <si>
    <t>Hevesi Sándor Színházban szőnyeg beszerzés</t>
  </si>
  <si>
    <t>1./12.</t>
  </si>
  <si>
    <t>Állatmenhely szennyvízbekötése</t>
  </si>
  <si>
    <t>Mártírok úton és a Csácsi arborétum közelében és a Fórum körforgalmi csomópontnál autóbuszváró létesítése</t>
  </si>
  <si>
    <t>Lakásvásárlás (lakásalapból)</t>
  </si>
  <si>
    <t>Önkormányzat kezelésében lévő ingatlanok hasznosításához kapcsolódó kiadások</t>
  </si>
  <si>
    <t>Befektetés támogatás Nova Bútor Kft. részére 146/2014. kgy.hat.</t>
  </si>
  <si>
    <t>106020 Lakásfenntartással, lakhatással összefüggő ellátások</t>
  </si>
  <si>
    <t xml:space="preserve"> - lakásfenntartási támogatás normatív alapon</t>
  </si>
  <si>
    <t xml:space="preserve"> - Zalaegerszegi Városi Diákönkormányzat </t>
  </si>
  <si>
    <t xml:space="preserve"> - Zalaegerszegi Ifjúsági Kerekasztal</t>
  </si>
  <si>
    <t>074054 Komplex egészségfejl., prevenciós programok</t>
  </si>
  <si>
    <t xml:space="preserve"> - Egészséges Városok Mozgalom</t>
  </si>
  <si>
    <t>109010 Szociális szolgáltatás igazgatása</t>
  </si>
  <si>
    <t xml:space="preserve"> - Idősügyi feladatok</t>
  </si>
  <si>
    <t>081041 Versenysport- és utánpótlás-nevelési tevékenység</t>
  </si>
  <si>
    <t>Településrészi önkorm. tárgyi eszköz beszerzés és felhalm.célú pe.átadás</t>
  </si>
  <si>
    <t xml:space="preserve"> - eredményességi támogatás</t>
  </si>
  <si>
    <t xml:space="preserve"> - DO rendezvények lebonyolítása</t>
  </si>
  <si>
    <t>081045 Szabadidősport-tevékenység és támogatása</t>
  </si>
  <si>
    <t xml:space="preserve"> - sport- és humánigazgatási feladatok</t>
  </si>
  <si>
    <t xml:space="preserve">   - rendezvények támogatása</t>
  </si>
  <si>
    <t xml:space="preserve"> - csapadékvízelvezető és árvízvédelmi létesítmények fenntartása</t>
  </si>
  <si>
    <t xml:space="preserve"> - Környezetvédelmi Jeles napok rendezvény lebonyolítása</t>
  </si>
  <si>
    <t>051030 Nem veszélyes hulladék vegyes begyűjtése, szállítása, átrakása</t>
  </si>
  <si>
    <t>"Települési szilárdhulladék-gazdálkodási rendszerek eszközparkjának fejlesztése, informatikai korszerűsítése"és Áfa  kiadás megelőlegezése KEOP-1.1.1/C/13.</t>
  </si>
  <si>
    <t xml:space="preserve"> - felhalmozási kiadásokhoz kapcsolódó dologi kiadások</t>
  </si>
  <si>
    <t xml:space="preserve"> - önkormányzat kezelésében lévő ingatlanok hasznosításához kapcsolódó kiadások</t>
  </si>
  <si>
    <t xml:space="preserve"> - hatósági, szakhatósági eljárásokkal kapcs.kiadások</t>
  </si>
  <si>
    <t xml:space="preserve"> -  vagyongazdálkodási feladatok és szakértői díjak</t>
  </si>
  <si>
    <t>Napsugár úti óvoda udvari létesítmények és belső vizesblokk felújítás</t>
  </si>
  <si>
    <t>1./1/8.</t>
  </si>
  <si>
    <t>Űrhajós úti óvoda udvari létesítmények és belső vizesblokk felújítás</t>
  </si>
  <si>
    <t>1./1/9.</t>
  </si>
  <si>
    <t>Kodály úti tagóvodában vizesblokk felújítás</t>
  </si>
  <si>
    <t>1./2/1..</t>
  </si>
  <si>
    <t>Általános iskolákban felújítási munkák</t>
  </si>
  <si>
    <t>1./2/2..</t>
  </si>
  <si>
    <t xml:space="preserve">Dózsa Gy. tagiskola felújítás </t>
  </si>
  <si>
    <t>1./2/3..</t>
  </si>
  <si>
    <t>1./2/4.</t>
  </si>
  <si>
    <t xml:space="preserve">Ady Iskola felújítás                 </t>
  </si>
  <si>
    <t>1./2/5..</t>
  </si>
  <si>
    <t xml:space="preserve">Petőfi Iskola felújítás </t>
  </si>
  <si>
    <t>1./2/6.</t>
  </si>
  <si>
    <t>Béke ligeti Iskola felújítás</t>
  </si>
  <si>
    <t>Liszt Ferenc Tagiskola udvarának felújítása</t>
  </si>
  <si>
    <t>1./3/1.</t>
  </si>
  <si>
    <t>Kölcsey Gimnázium TÁMOP pályázatához nem támogatott munkarész költsége (labor lapostető szigetelés munkái)</t>
  </si>
  <si>
    <t>1./3/2.</t>
  </si>
  <si>
    <t>Zrínyi Gimnázium felújítás</t>
  </si>
  <si>
    <t>2./1.</t>
  </si>
  <si>
    <t>Zalaegerszegi VMK DK-i szárny belső átalakítása (Családsegítő Szolgálat és Gyermekjóléti Központ)</t>
  </si>
  <si>
    <t>2./2.</t>
  </si>
  <si>
    <t>"Települési szilárdhulladék-gazdálkodási rendszerek eszközparkjának fejlesztése, informatikai korszerűsítése" pályázati támogatással KEOP-1.1.1/C/13.</t>
  </si>
  <si>
    <t xml:space="preserve">Hevesi Sándor Színház ponthúzó hajtásrendszerének felújítása  </t>
  </si>
  <si>
    <t>3./1.</t>
  </si>
  <si>
    <t>3./1/1.</t>
  </si>
  <si>
    <t>Orvosi rendelők felújítása</t>
  </si>
  <si>
    <t>3./2.</t>
  </si>
  <si>
    <t>3./2/1.</t>
  </si>
  <si>
    <t>Bölcsődék felújítása</t>
  </si>
  <si>
    <t>3./2/2.</t>
  </si>
  <si>
    <t>Kis utcai Tipegő Bölcsődében nyílászáró csere</t>
  </si>
  <si>
    <t>3./2/3.</t>
  </si>
  <si>
    <t>Napsugár úti bölcsőde udvari létesítmények és belső vizesblokk felújítás</t>
  </si>
  <si>
    <t>3./2/4.</t>
  </si>
  <si>
    <t>Űrhajós úti bölcsőde udvari létesítmények és belső vizesblokk felújítás</t>
  </si>
  <si>
    <t>3./3.</t>
  </si>
  <si>
    <t>3./3/1.</t>
  </si>
  <si>
    <t>Landorhegyi Idősek Klubja tetőcsere</t>
  </si>
  <si>
    <t xml:space="preserve">5. </t>
  </si>
  <si>
    <t>Sportcsarnokban ZTE KK Kft. TAO-s pályázatához kapcsolódó felújítási feladatokhoz</t>
  </si>
  <si>
    <t>Kis utcai óvoda kazánház ablakcsere</t>
  </si>
  <si>
    <t>Landorhegyi u. 8. szám alatti gyermekorvosi rendelők felújítása</t>
  </si>
  <si>
    <t>Ilosvai u.-i csapadékvízelvezető műtárgyak felújítása</t>
  </si>
  <si>
    <t>Önkormányzati kezelésben lévő intézmények közműveinek felújítása</t>
  </si>
  <si>
    <t>Vagyonkezelésre a Zalavíznek nem átadott szennyvízcsatornák felúj.</t>
  </si>
  <si>
    <t>Mátyás k. u. csapadékvízelvezetés  és útfelújítás</t>
  </si>
  <si>
    <t>Mártírok u. burkolatfelújítás, csapadékcsatorna építés</t>
  </si>
  <si>
    <t>Olajmunkás utca burkolatfelújítás</t>
  </si>
  <si>
    <t>Ady utca út- és járda felújítása (vízkiváltással)</t>
  </si>
  <si>
    <t>Csendes utca burkolatfelújítás II. ütem</t>
  </si>
  <si>
    <t>Bozsoki hegy beton burkolat építések</t>
  </si>
  <si>
    <t>Május 1. utca útfelújítása</t>
  </si>
  <si>
    <t>Mezőgazdasági utak felújítása</t>
  </si>
  <si>
    <t>Szenterzsébethegyi út végének felújítása</t>
  </si>
  <si>
    <t>Balassi u. felújítás IV. ütem</t>
  </si>
  <si>
    <t>KI-SZO-SAN lakóparkhoz vezető út aszfaltozása</t>
  </si>
  <si>
    <t>Katona József utca burkolatfelújítás</t>
  </si>
  <si>
    <t>Gyimesi utca parkolófelújítás I. ütem</t>
  </si>
  <si>
    <t>Cimpóhegy aszfaltozás I. ütem</t>
  </si>
  <si>
    <t xml:space="preserve">Zalagyöngye utca </t>
  </si>
  <si>
    <t>Cserlapi út - Gombás utca útfelújítás</t>
  </si>
  <si>
    <t>Szekeresvölgyi - Petúnia - Barka u. felújítás</t>
  </si>
  <si>
    <t>Munkaügyi központ mellett zúzalékos parkolók felújítása</t>
  </si>
  <si>
    <t>Útfelújítások Gógánhegyen</t>
  </si>
  <si>
    <t>Virágszer Gógánhegy közötti útra mart aszfalt, beton</t>
  </si>
  <si>
    <t>Virágzómező u. felújítás IV. ütem</t>
  </si>
  <si>
    <t xml:space="preserve">Telekalja u. felújítása </t>
  </si>
  <si>
    <t xml:space="preserve">Ságodi u. párhuzamos lakóút felújítása </t>
  </si>
  <si>
    <t>A pózvai köztemetőnél zúzalékkavicsos parkoló kiépítése</t>
  </si>
  <si>
    <t>Kinizsi u. 78. társasház előtt parkoló szegély javítása</t>
  </si>
  <si>
    <t>Hegyi u. aszfaltos focipálya aszfaltozása, fejlesztése</t>
  </si>
  <si>
    <t>Öreghegyi u. aszfaltozása</t>
  </si>
  <si>
    <t>Arany J. u. 69-71. társasházak közötti belső út felújítása</t>
  </si>
  <si>
    <t>Landorhegyi u. 20. mögötti parkoló felújítása</t>
  </si>
  <si>
    <t>Gasparich út 11.-13. – út és parkolófelújítás</t>
  </si>
  <si>
    <t>Babits utca 2. szám előtti útszakasz burkolatfelújítás</t>
  </si>
  <si>
    <t xml:space="preserve">Zárda u. - Orsolya tér útfelújítás                         </t>
  </si>
  <si>
    <t>Hegyalja u. 11. mögötti terület parkoló bővítés, parkosítás</t>
  </si>
  <si>
    <t>Dombalja utca aszfaltozása</t>
  </si>
  <si>
    <t>Csácsi és Bozsoki hegyi utak felújítása</t>
  </si>
  <si>
    <t xml:space="preserve">Patkó utcáról keletre nyíló rövid útszakasz felújítása </t>
  </si>
  <si>
    <t>Szabadság útról Bozsoki hegyre vezető 21354 hrsz út építése és a Bozsoki horhos támfalának javítása</t>
  </si>
  <si>
    <t>4./41</t>
  </si>
  <si>
    <t>Alsóerdei u. balesetveszélyes fahíd felújítása</t>
  </si>
  <si>
    <t>4./42</t>
  </si>
  <si>
    <t>4./43</t>
  </si>
  <si>
    <t>Balesetveszélyes tereplépcsők, járdák, volt Skála melletti lépcső  felújítása</t>
  </si>
  <si>
    <t>4./44</t>
  </si>
  <si>
    <t>Neszelében a Gébárti utcai járda felújítása</t>
  </si>
  <si>
    <t>4./45</t>
  </si>
  <si>
    <t>Ságodi u. járdaburkolat felújítás</t>
  </si>
  <si>
    <t>4./46</t>
  </si>
  <si>
    <t>Kaszaházi u. Thifim közötti járdaszakasz felújítás</t>
  </si>
  <si>
    <t>4./47</t>
  </si>
  <si>
    <t>Ola utca járda felújítás és zöldfelület rendezés</t>
  </si>
  <si>
    <t>4./48</t>
  </si>
  <si>
    <t>Kosztolányi tér járda felújítás és zöldfelület rendezés:</t>
  </si>
  <si>
    <t>4./49</t>
  </si>
  <si>
    <t>Kovács Károly térről buszállomás felé az átkötő járda szélesítése és felújítása</t>
  </si>
  <si>
    <t>4./50</t>
  </si>
  <si>
    <t>4./51</t>
  </si>
  <si>
    <t>4./52</t>
  </si>
  <si>
    <t>Juhász Gy. u. útszűkület, vasúti átjáró burkolat javítás</t>
  </si>
  <si>
    <t>4./53</t>
  </si>
  <si>
    <t>Arany J.u.-tól nyugatra lévő lakóövezet járda felújítási munkái</t>
  </si>
  <si>
    <t>4./54</t>
  </si>
  <si>
    <t>Madách u. – Landorhegyi u. 37. – 51. sz. társasházakat összekötő lépcső felújítása</t>
  </si>
  <si>
    <t>4./55</t>
  </si>
  <si>
    <t>Bazita u. járdaburkolat felújítás</t>
  </si>
  <si>
    <t>4./56</t>
  </si>
  <si>
    <t>Ebergényi járdák</t>
  </si>
  <si>
    <t>4./57</t>
  </si>
  <si>
    <t>Szent László utca és környéke járdafelújítások</t>
  </si>
  <si>
    <t>4./58</t>
  </si>
  <si>
    <t>Bozsoki úti járda felújítás II. ütem</t>
  </si>
  <si>
    <t>4./59</t>
  </si>
  <si>
    <t>Kertváros  út-, járdaburkolat felújítási munkák</t>
  </si>
  <si>
    <t>4./60</t>
  </si>
  <si>
    <t>Stadion u. járdaburkolat felújítás</t>
  </si>
  <si>
    <t>Bozsok Hegy út felújítása</t>
  </si>
  <si>
    <t>Balesetveszélyes tereplépcsők, járdák  felújítása</t>
  </si>
  <si>
    <t>Hegyalja u. 11-13. parkoló burkolatfelújítás, Hegyalja  u. 9-11. között betonlapos gyalogjárda felújítás</t>
  </si>
  <si>
    <t>Lakótelepek faállományának felújítása</t>
  </si>
  <si>
    <t>Belvárosi zöldterület felújítás</t>
  </si>
  <si>
    <t>Béke liget felújítása</t>
  </si>
  <si>
    <t>Pázmány P. u. Színház hátsó bejárati zöldsáv felújítás</t>
  </si>
  <si>
    <t>Kinizsi u. fák cseréje, karbantartása</t>
  </si>
  <si>
    <t>Landorhegyi járdák, parkok felújítása</t>
  </si>
  <si>
    <t>Bazitai kilátó környékének rendbetétele</t>
  </si>
  <si>
    <t>Önkormányzati erdő ápolási, felújítási munkálatainak elvégzése</t>
  </si>
  <si>
    <t>Göcseji úti köztemető ravatalozójának padozat cseréje, felújítása</t>
  </si>
  <si>
    <t>Új köztemető ravatalozó tetőfelújítás</t>
  </si>
  <si>
    <t>Olasz hősi temető sírhelyek felújítása</t>
  </si>
  <si>
    <t>Első világháborús történelmi emlékművek helyreállítása pályázati önrész</t>
  </si>
  <si>
    <t>8./5</t>
  </si>
  <si>
    <t>Göcseji úti köztemető hősi halottak sírjelének felújítása</t>
  </si>
  <si>
    <t>8./6</t>
  </si>
  <si>
    <t>Botfai temető kerítésének javítása</t>
  </si>
  <si>
    <t xml:space="preserve">Pózvai Közösségi Ház (a harangláb melletti) tetőfelújítása </t>
  </si>
  <si>
    <t xml:space="preserve">Idősek Otthona kialakítása </t>
  </si>
  <si>
    <t>Botfa közösségi ház festése, ajtók cseréje</t>
  </si>
  <si>
    <t xml:space="preserve">Bazitai templom felújítása </t>
  </si>
  <si>
    <t>Mozgássérültek Zm.Egyesülete részére pe. átad. a Gébárti faház felúj.</t>
  </si>
  <si>
    <t>Vorhota Közösségi Ház felújítása</t>
  </si>
  <si>
    <t>Út-járda parkoló</t>
  </si>
  <si>
    <t>Olajmunkás utca 4. szám mögött parkolóépítés</t>
  </si>
  <si>
    <t>Tüttőssy utca 6. szám előtti (Európa tér) járda felújítása</t>
  </si>
  <si>
    <t>Ady utca járda - Strand előtti szakasz felújítása</t>
  </si>
  <si>
    <t>Berzsenyi-Stadion utcai tömbbelsőben és környékén járda felújítás és zöldfelület rendezés</t>
  </si>
  <si>
    <t>Ferences Plébánia részére felújításhoz pénzeszköz átadás</t>
  </si>
  <si>
    <t>Lakásalap</t>
  </si>
  <si>
    <r>
      <t xml:space="preserve">            </t>
    </r>
    <r>
      <rPr>
        <i/>
        <sz val="9"/>
        <rFont val="Times New Roman"/>
        <family val="1"/>
      </rPr>
      <t>Középiskolák</t>
    </r>
  </si>
  <si>
    <r>
      <t xml:space="preserve">         </t>
    </r>
    <r>
      <rPr>
        <i/>
        <sz val="9"/>
        <rFont val="Times New Roman"/>
        <family val="1"/>
      </rPr>
      <t>Orvosi rendelők</t>
    </r>
  </si>
  <si>
    <r>
      <t xml:space="preserve">   </t>
    </r>
    <r>
      <rPr>
        <i/>
        <sz val="9"/>
        <rFont val="Times New Roman"/>
        <family val="1"/>
      </rPr>
      <t xml:space="preserve">       Bölcsődék</t>
    </r>
  </si>
  <si>
    <r>
      <t xml:space="preserve">       </t>
    </r>
    <r>
      <rPr>
        <i/>
        <sz val="10"/>
        <rFont val="Times New Roman"/>
        <family val="1"/>
      </rPr>
      <t xml:space="preserve"> Szociális feladatok</t>
    </r>
  </si>
  <si>
    <r>
      <t xml:space="preserve">Platán sor alépítmény megerősítés - </t>
    </r>
    <r>
      <rPr>
        <i/>
        <sz val="9"/>
        <rFont val="Times New Roman"/>
        <family val="1"/>
      </rPr>
      <t>Hydrocomppal közös felújítás</t>
    </r>
  </si>
  <si>
    <t>4./8.</t>
  </si>
  <si>
    <t>Havasi gyopár u. magánerős útépítés</t>
  </si>
  <si>
    <t>Cserével vegyes ingatlanszerződések</t>
  </si>
  <si>
    <t>Magánerős szennyvízcsatorna bekötések</t>
  </si>
  <si>
    <t>Ivóvíz beruházások</t>
  </si>
  <si>
    <t xml:space="preserve">Közvilágítás fejlesztése </t>
  </si>
  <si>
    <t>Információs táblák pótlása, kihelyezése</t>
  </si>
  <si>
    <t>5.a./1</t>
  </si>
  <si>
    <t>8./1</t>
  </si>
  <si>
    <t>8./2</t>
  </si>
  <si>
    <t>Beszerzésekhez szükséges egyszerű műszaki tervdokumentációk elkészítése, műszaki ellenőrzések és egyéb hatósági díjak</t>
  </si>
  <si>
    <t>9./5</t>
  </si>
  <si>
    <t>9./6</t>
  </si>
  <si>
    <t xml:space="preserve">Vorhotán Újhegyi u. járdaépítés és kapcsolódó árok zárttá tétele </t>
  </si>
  <si>
    <t>2./3</t>
  </si>
  <si>
    <t>Csácsi hegy nyomásövezetek összekötése</t>
  </si>
  <si>
    <t>I. Helyi önkormányzatok működésének általános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</si>
  <si>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</si>
  <si>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</si>
  <si>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</si>
  <si>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</si>
  <si>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II. Települési önkormányzatok egyes köznevelési feladatainak támogatása</t>
  </si>
  <si>
    <t>1. Óvodapedagógusok és az óvodapedagógusok nevelő munkáját közvetlenül segítők bértámogatása</t>
  </si>
  <si>
    <t>2. Óvodaműködtetési támogatás</t>
  </si>
  <si>
    <t>1./8</t>
  </si>
  <si>
    <t>1./6</t>
  </si>
  <si>
    <t>1./7</t>
  </si>
  <si>
    <t>III. Települési önkormányzatok szociális és gyermekjóléti feladatainak támogatása</t>
  </si>
  <si>
    <t>1000-25000</t>
  </si>
  <si>
    <t>3. Egyes szociális és gyermekjóléti feladatok támogatása</t>
  </si>
  <si>
    <t xml:space="preserve">     3.ae) (1) kiegészítő tám. Társult formában történő ellátás esetén családsegítés</t>
  </si>
  <si>
    <t xml:space="preserve">     3.ae) (2) kiegészítő tám. Társult formában történő ellátás esetén gyermekjóléti szolgálat</t>
  </si>
  <si>
    <t xml:space="preserve">  a) Szociális és gyermekjóléti alapszolgáltatások általános feladatai</t>
  </si>
  <si>
    <t xml:space="preserve">   b) Gyermekjóléti Központ </t>
  </si>
  <si>
    <t xml:space="preserve">   c) Szociális étkeztetés</t>
  </si>
  <si>
    <t xml:space="preserve">   d) Házi segítségnyújtás</t>
  </si>
  <si>
    <t>Helyi önkormányzatok kiegészítő támogatásai</t>
  </si>
  <si>
    <t xml:space="preserve">   f) Időskorúak nappali intézményi  ellátása</t>
  </si>
  <si>
    <t>Hitel-, kölcsöntörlesztés áht-n kívülre</t>
  </si>
  <si>
    <t>Egyéb finanszírozási kiadás</t>
  </si>
  <si>
    <t>Beruházási kiadások:</t>
  </si>
  <si>
    <t>Beruházási kiadások</t>
  </si>
  <si>
    <t>Beruházási  kiadások:</t>
  </si>
  <si>
    <t>Beruházás kiadások</t>
  </si>
  <si>
    <t>1.) Működési célú támogatások államháztartáson belülről</t>
  </si>
  <si>
    <t>2014. évi bevétel eredeti előirányzat</t>
  </si>
  <si>
    <t>2014. évi bevétel módosított előirányzat</t>
  </si>
  <si>
    <t>2.) Közhatalmi bevételek</t>
  </si>
  <si>
    <t>3.) Működési bevételek</t>
  </si>
  <si>
    <t>4.) Működési célú átvett pénzeszközök</t>
  </si>
  <si>
    <t xml:space="preserve"> Finanszírozási bevételek</t>
  </si>
  <si>
    <t>5.) Előző év költségvetési maradványának igénybevétele</t>
  </si>
  <si>
    <t>6.) Előző év vállalkozási maradványának igénybevétele</t>
  </si>
  <si>
    <t xml:space="preserve">1.) Felhalmozási célú támogatások államháztartáson belülről </t>
  </si>
  <si>
    <t>1.) Egyéb  felhalmozási célú kiadások</t>
  </si>
  <si>
    <t>3.) Felhalmozási bevételek</t>
  </si>
  <si>
    <t>4.) Felhalmozási célú átvett pénzeszközök</t>
  </si>
  <si>
    <t>5.) Működési bevételek (áfa visszaigénylés)</t>
  </si>
  <si>
    <t>7.) Előző év költségvetési maradványának igénybevétele</t>
  </si>
  <si>
    <t>5.)Fejlesztési hitel kamata</t>
  </si>
  <si>
    <t xml:space="preserve"> Finanszírozási kiadások</t>
  </si>
  <si>
    <t xml:space="preserve">6.) Hitel- és kölcsön törlesztések,lízing </t>
  </si>
  <si>
    <t>2014. évi  módosított előirányzat</t>
  </si>
  <si>
    <t xml:space="preserve">   g) Fogyatékos és demens személyek nappali intézményi ellátása</t>
  </si>
  <si>
    <t>3./5</t>
  </si>
  <si>
    <t>3./6</t>
  </si>
  <si>
    <t>3./7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</si>
  <si>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</si>
  <si>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</si>
  <si>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</si>
  <si>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 xml:space="preserve">      Bölcsödei ellátás fogyatékos gyermek</t>
  </si>
  <si>
    <t xml:space="preserve"> l) Gyermekek átmeneti intézményei ( helyettes szülői ellátás)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</si>
  <si>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</si>
  <si>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</si>
  <si>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</si>
  <si>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</si>
  <si>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</si>
  <si>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 xml:space="preserve">1.b) megyei hatáskörű könyvtárak feladatainak támogatása ( (Deák Ferenc Megyei    Könyvtár és a  városi könyvtár) </t>
  </si>
  <si>
    <t>1.c) megyei jogú városok közművelődési támogatása</t>
  </si>
  <si>
    <t>1.h) megyei hatókörű könyvtár kistelepülési könyvtári és közművelődési célú kieg. Támogatása ( év közben pályázat)</t>
  </si>
  <si>
    <t>2. Települési önk.által fenntartott előadó-művészeti szervezetek támogatása</t>
  </si>
  <si>
    <t>3).Egyéb működési célú kiadások (költségvetési szervek és tartalék nélkül)</t>
  </si>
  <si>
    <t>Létszámcsökkentési pályázat (Többcélú Társulás)</t>
  </si>
  <si>
    <t>B54</t>
  </si>
  <si>
    <t>Részesedések értékesítése</t>
  </si>
  <si>
    <t>2.a) színházművészeti szervezetek támogatása</t>
  </si>
  <si>
    <t>Központosított előirányzatok</t>
  </si>
  <si>
    <t>Állami hozzájárulás összesen:</t>
  </si>
  <si>
    <t>Módosítás összege</t>
  </si>
  <si>
    <t>Személyi juttatások</t>
  </si>
  <si>
    <t>Munkaadókat terhelő járulékok és szociális hj. adó</t>
  </si>
  <si>
    <t xml:space="preserve">Dologi kiadások </t>
  </si>
  <si>
    <t>Egyéb működési célú kiadások</t>
  </si>
  <si>
    <t>084070 A fiatalok társ. integrációját seg. struktúra, szakmai szolgált. fejlesztése, működtetése</t>
  </si>
  <si>
    <t xml:space="preserve"> - ifjúsági rendezvények</t>
  </si>
  <si>
    <t>Nyári gyermekétkeztetés</t>
  </si>
  <si>
    <t>Jövedelempótló támogatások</t>
  </si>
  <si>
    <t>Óvodáztatási támogatás</t>
  </si>
  <si>
    <t>Működési költségvetés összesen:</t>
  </si>
  <si>
    <t>Beruházások</t>
  </si>
  <si>
    <t>Felújítások</t>
  </si>
  <si>
    <t>Egyéb felhalmozási kiadások</t>
  </si>
  <si>
    <t>Felhalmozási költségvetés összesen:</t>
  </si>
  <si>
    <t>Önkormányzat kiadásai összesen</t>
  </si>
  <si>
    <t xml:space="preserve">Körzeti megbízotti iroda céljára ingatlan vásárlás </t>
  </si>
  <si>
    <t>7.a./1</t>
  </si>
  <si>
    <t>Közhatalmi bevételek</t>
  </si>
  <si>
    <t>Szociális és igazgatási feladatok</t>
  </si>
  <si>
    <t>Humánigazgatási feladatok</t>
  </si>
  <si>
    <t>Szakosztályok</t>
  </si>
  <si>
    <t>Szociális és igazgatási feladatok összesen:</t>
  </si>
  <si>
    <t>Humánigazgatási feladatok összesen:</t>
  </si>
  <si>
    <t>Jogi igazgatási feladatok</t>
  </si>
  <si>
    <t>Jogi igazgatási feladatok összesen:</t>
  </si>
  <si>
    <t>Építéshatósági feladatok összesen:</t>
  </si>
  <si>
    <t>Polgármesteri Iroda</t>
  </si>
  <si>
    <t>Polgármesteri Iroda összesen:</t>
  </si>
  <si>
    <t>066020 Város-, községgazdálkodási egyéb szolgáltatás</t>
  </si>
  <si>
    <t>013350 Önk-i vagyonnal való gazdálkodáshoz kapcs.fa.</t>
  </si>
  <si>
    <t>Telekalja u.csapadékvíz elvezetés</t>
  </si>
  <si>
    <t>105010 Munkanélküli aktív korúak ellátásai</t>
  </si>
  <si>
    <t xml:space="preserve"> - foglalkoztatást helyettesítő támogatás</t>
  </si>
  <si>
    <t>042180 Állat-egészségügy</t>
  </si>
  <si>
    <t>Felhalmozási célú pénzeszköz átadás a Z.M.Katasztrófavéd. Igazgatóság részére</t>
  </si>
  <si>
    <t>013350 Önk-i vagyonnal való gazdálkodáshoz kapcs. fa.</t>
  </si>
  <si>
    <t xml:space="preserve">018030 Támogatás célú finanszírozási műveletek </t>
  </si>
  <si>
    <t xml:space="preserve"> - kulturális városi rendezvények</t>
  </si>
  <si>
    <t>018010 Önkormányzatok elszámolásai a központi költségvetéssel</t>
  </si>
  <si>
    <t xml:space="preserve">ZTE-SPORTSZOLG Kft.törzstőke és tőketartalék </t>
  </si>
  <si>
    <t>MÜLLEX Közszolgáltató Nonprofit Kft. üzletrészének megvásárlás</t>
  </si>
  <si>
    <t>Kutilapi u. aszfaltozása</t>
  </si>
  <si>
    <t>4./7.</t>
  </si>
  <si>
    <t>Botfai sportöltöző szigetelése, fűtéskorszerűsítéspályázati önrész Botfai LSC részére</t>
  </si>
  <si>
    <t>3./8.</t>
  </si>
  <si>
    <t>Botfai közvilágítás fejlesztés</t>
  </si>
  <si>
    <t>6./1.</t>
  </si>
  <si>
    <t>4./6.</t>
  </si>
  <si>
    <t>1./11</t>
  </si>
  <si>
    <t>5./21</t>
  </si>
  <si>
    <t>5./22</t>
  </si>
  <si>
    <t xml:space="preserve">Eötvös Iskola főépület déli és keleti oldalán nyílászárók cseréje és homlokzati  hőszigetelés </t>
  </si>
  <si>
    <t>Zalabesenyő közösségi ház fejlesztéséhez pe. átadás Besenyő a 2000-es években Alapítvány részére</t>
  </si>
  <si>
    <t>Várberki utcában felépülő 22x44 m méretű műfüves labdarúgó pálya építés pályázati önerő és egyéb feladatok</t>
  </si>
  <si>
    <t>Sportcentrumban felépülő 111 x 72 m méretű műfüves labdarúgó pálya építés pályázati önerő és egyéb feladatok</t>
  </si>
  <si>
    <t>9./8</t>
  </si>
  <si>
    <t>9./9</t>
  </si>
  <si>
    <t>Dolgozói lakásépítés és -vásárlás támogatása</t>
  </si>
  <si>
    <t>Városi középiskolai Kollégium udvari pihenő kialakítása</t>
  </si>
  <si>
    <t>Sas u. - Jánkahegy útcsatlakozás kiépítése</t>
  </si>
  <si>
    <t>4.a/1.</t>
  </si>
  <si>
    <t>Duális képzőközpont kialakítása</t>
  </si>
  <si>
    <t>2./4.</t>
  </si>
  <si>
    <t>Keresztury ház Németh János dombormű</t>
  </si>
  <si>
    <t>9./7</t>
  </si>
  <si>
    <t xml:space="preserve"> Aquaparkba kisértékű eszközök beszerzése</t>
  </si>
  <si>
    <t>Egyéb város- és községgazdálkodás kisértékű tárgyi eszközök beszerzése</t>
  </si>
  <si>
    <t>Szennyvíztársulástól átvett víziközművagyon felújítása és eseményvezérelt felújítások használati díj terhére, Társulási elszámolás</t>
  </si>
  <si>
    <t xml:space="preserve"> Mikes u.tagóvoda udvarára kültéri játékok beszerzése pe. Átadás "Játékvár Alapítvány a Mikes Kelemen Úti Óvodáért"részére</t>
  </si>
  <si>
    <t>Erkel F.utcai régi rönk játszótér eszközbővítés</t>
  </si>
  <si>
    <t>Környezetvédelmi Jeles napok kisértékű tárgyi eszköz beszerzés</t>
  </si>
  <si>
    <t xml:space="preserve"> Közfoglalkoztatás anyag- és eszközigény biztosítása</t>
  </si>
  <si>
    <t>Városüzemelteéssel kapcsolatos kisértékű eszköz beszerzése</t>
  </si>
  <si>
    <t>1./10</t>
  </si>
  <si>
    <t>Szennyvíztársulástól átvett viziközmű vagyon működtetésére pénzeszköz átadás Zalavíz Zrt. részére</t>
  </si>
  <si>
    <t>Ady utcai szennyvízbekötések</t>
  </si>
  <si>
    <t>011130 Önkorm. és önkorm. hivatal. jogalk. és ált.ig.tev.</t>
  </si>
  <si>
    <t>098010 Oktatás igazgatása</t>
  </si>
  <si>
    <t>Munkaadót terhelő járulékok és szociális hj.adó</t>
  </si>
  <si>
    <t>Önkormányzat összesen költségvetési szervek nélkül</t>
  </si>
  <si>
    <t>Szociális és igazgatási fa. működési kiadás összesen:</t>
  </si>
  <si>
    <t>6.b/16</t>
  </si>
  <si>
    <t>Szociális városrehabilitáció területszerzés, -rendezés, bontás</t>
  </si>
  <si>
    <t>Intézményi fejlesztések előkészítési munkái (tervezési, bonyolítási,  műszaki ellenőrzési díjak és kivitelezés)</t>
  </si>
  <si>
    <t xml:space="preserve">3. Szociális ágazati pótlék </t>
  </si>
  <si>
    <t>Közművelődési érdekeltségnövelő támogatás</t>
  </si>
  <si>
    <t>Könyvtári érdekeltségnövelő támogatás</t>
  </si>
  <si>
    <t>Szociális és igazgatási fa. kiadásai összesen:</t>
  </si>
  <si>
    <t>Humánigazgatási feladatok működési kiadásai:</t>
  </si>
  <si>
    <t>Városüzemelési feladatok:</t>
  </si>
  <si>
    <t>Városüzemelési működési kiadások összesen:</t>
  </si>
  <si>
    <t>Vagyonkezelési feladatok működési kiadások</t>
  </si>
  <si>
    <t>Jogi és igazgatási feladatok:</t>
  </si>
  <si>
    <t>Jogi és igazgatási feladatok működési kiadási:</t>
  </si>
  <si>
    <t>Pénzügyi lebonyolítás működési kiadásai  összesen:</t>
  </si>
  <si>
    <t>Beruházási célú pénzeszk. átadás és egyéb felhalmozási kiadás</t>
  </si>
  <si>
    <t>Összes beruh. célú kiadás</t>
  </si>
  <si>
    <t>Landorhegyi Óvoda energetikai beruházáshoz kapcsolódó kiegészítő építések</t>
  </si>
  <si>
    <t>Mikes Óvoda energetikai beruházáshoz kapcsolódó kiegészítő építések</t>
  </si>
  <si>
    <t>Természettudományos oktatás eszközrendszerének és módszertanának fejlesztése a Kölcsey F. Gimnáziumban TÁMOP 3.1.3.-11/2-2012-0023</t>
  </si>
  <si>
    <t>1.a/5</t>
  </si>
  <si>
    <t>1.a/6</t>
  </si>
  <si>
    <t>Humánigazgatási  feladatok összesen:</t>
  </si>
  <si>
    <t>Köztársaság út 92.-102. sz t.ház K.-i oldalán lévő terület vízelvezetése</t>
  </si>
  <si>
    <t>Köztársaság útja - Czobor M. u. csomópont (Szentcsalád Óvoda) korrekció és gyalogos átkelőhely létesítése</t>
  </si>
  <si>
    <t xml:space="preserve">Bekeháza temető környezetének rendezése, temetőt megközelítő út kialakítása </t>
  </si>
  <si>
    <t>8./3</t>
  </si>
  <si>
    <t>8./4</t>
  </si>
  <si>
    <t>Vízjogi engedélyezési eljárások díja</t>
  </si>
  <si>
    <t>Beruházásokhoz kapcsolódó csatornadiagnosztikák költsége</t>
  </si>
  <si>
    <t>Ivóvízvezeték építési munkák</t>
  </si>
  <si>
    <t xml:space="preserve">Útterületek rendezése, területvásárlás </t>
  </si>
  <si>
    <t>Fenyő utca útépítés, közműfejlesztés, bővítés</t>
  </si>
  <si>
    <t>Kölcsey u. északi szakasz átépítése</t>
  </si>
  <si>
    <t>Október 6. tér - Batthyány u. csomópont jelzőlámpásítása</t>
  </si>
  <si>
    <t>Pályázati műszaki előkészítés</t>
  </si>
  <si>
    <t xml:space="preserve"> Állami ingatlanok tulajdonszerzésével kapcs. kiadások </t>
  </si>
  <si>
    <t>Egyéb területrendezések, bontások</t>
  </si>
  <si>
    <t>6./10</t>
  </si>
  <si>
    <t>Botfa sportpálya fejlesztés területrendezés, kompenzáció</t>
  </si>
  <si>
    <t>6./12</t>
  </si>
  <si>
    <t>100 %-os támogatottságú pályázatok előkészítésének költségei</t>
  </si>
  <si>
    <t>6./14</t>
  </si>
  <si>
    <t>6./15</t>
  </si>
  <si>
    <t>6./16</t>
  </si>
  <si>
    <t>Épületenergetikai korszerűsítések a zalaegerszegi közintézményekben (KEOP-5.5.0/A) - önrész, előkészítés</t>
  </si>
  <si>
    <t>6./17</t>
  </si>
  <si>
    <t>Épületenergetikai korszerűsítések megújuló energiaforrás hasznosításával a zalaegerszegi közintézményekben (KEOP-5.5.0/B) - önrész, előkészítés</t>
  </si>
  <si>
    <t>6./18</t>
  </si>
  <si>
    <t>6./19</t>
  </si>
  <si>
    <t>Inkubátorház villamos energia ellátásának bővítése</t>
  </si>
  <si>
    <t>Ökováros projekt</t>
  </si>
  <si>
    <t>Városrehabilitáció II. ütem folytatása Lakásalapból</t>
  </si>
  <si>
    <t>Jogi Igazgatási feladatok</t>
  </si>
  <si>
    <t>Jogi Igazgatási feladatok összesen:</t>
  </si>
  <si>
    <t>Kvártélyház Kft. részére támogatás eszközfejlesztési pályázat önrészéhez</t>
  </si>
  <si>
    <t>Önkormányzat összesen költségetési szervek nélkül</t>
  </si>
  <si>
    <t>A *-gal jelzett fejlesztési feladatok megvalósításához hitelfelvétel szükséges</t>
  </si>
  <si>
    <t>Vízelvezetési problémák megoldása Botfán</t>
  </si>
  <si>
    <t>Vízelvezetési problémák megoldása Zalabesenyőben</t>
  </si>
  <si>
    <t>Botfy L. u. Vizslaparki u. - Mártírok u. közötti szakaszon csapadékcsatorna felúj.</t>
  </si>
  <si>
    <t>Landorhegyi u. 24. parkoló felújítás</t>
  </si>
  <si>
    <t>Hegybíró u. aszfaltozása</t>
  </si>
  <si>
    <t>Madách I. u. lépcsőfelújítás</t>
  </si>
  <si>
    <t>Mártírok u. burkolatfelújítás I. ütem, ivóvízvezeték rekonstrukció</t>
  </si>
  <si>
    <t>Belvárosi járdák felújítása (Kazinczy tér É-i oldal)</t>
  </si>
  <si>
    <t>Kovács K. tér buszmegálló járdaburkolat felújítás</t>
  </si>
  <si>
    <t>Kertvárosban járdák, lépcsők felújítása</t>
  </si>
  <si>
    <t>Zalabesenyő temető kápolna állagmegóvás (építészeti érték)</t>
  </si>
  <si>
    <t xml:space="preserve"> - helyi védelmi igazgatás</t>
  </si>
  <si>
    <t>032020 Tűz- és katasztrófavéd. tevékenység</t>
  </si>
  <si>
    <t xml:space="preserve"> - Kábítószerügyi Fórum</t>
  </si>
  <si>
    <t>107060 Egyéb szociális pénzbeli és természetbeni ellátások, támogatások</t>
  </si>
  <si>
    <t xml:space="preserve"> - Labdarúgó Stadionban fejlesztési munkák</t>
  </si>
  <si>
    <t xml:space="preserve"> - cserével vegyes ingatlanszerződések</t>
  </si>
  <si>
    <t>Kiegészítő állami támogatás 2015. évi önkormányzati feladatokhoz</t>
  </si>
  <si>
    <t>Egyéb központi támogatás</t>
  </si>
  <si>
    <t>1. 2014. évi bérkompenzáció</t>
  </si>
  <si>
    <t>2. Adósságkonszolídáció</t>
  </si>
  <si>
    <t xml:space="preserve"> Lakott külterülettel kapcsolatos feladatok</t>
  </si>
  <si>
    <t xml:space="preserve"> Üdülőhelyi feladatok</t>
  </si>
  <si>
    <t>EU Önerőalap támogatás</t>
  </si>
  <si>
    <t>Eútdíj bevezetésével kapcsolatos bevételkiesés ellentételezése</t>
  </si>
  <si>
    <t>Lakossági közműfejlesztés támogatása</t>
  </si>
  <si>
    <t>2013.évről áthúzódó bérkompenzáció</t>
  </si>
  <si>
    <t>Múzeális intézmények szakmai támoagatása</t>
  </si>
  <si>
    <t>B116</t>
  </si>
  <si>
    <t>Termálmedence csempeburkolat felújítás</t>
  </si>
  <si>
    <t>Városépítészeti  feladatok</t>
  </si>
  <si>
    <t>5./1.</t>
  </si>
  <si>
    <t>Ebergényi sport park</t>
  </si>
  <si>
    <t xml:space="preserve"> Református Egyház részére orgona felújításhoz támogatás</t>
  </si>
  <si>
    <t>A *-gal jelzett felújítási feladatok megvalósításához hitel felvétel szükséges</t>
  </si>
  <si>
    <t>1.a./1</t>
  </si>
  <si>
    <t>1.a./2</t>
  </si>
  <si>
    <t>1.a./3</t>
  </si>
  <si>
    <t>Városüzemelési kiadások összesen:</t>
  </si>
  <si>
    <t>Városépítészet összesen:</t>
  </si>
  <si>
    <t>Vagyonkezelési feladatok összesen:</t>
  </si>
  <si>
    <t>Jogi és igazgatási feladatok összesen:</t>
  </si>
  <si>
    <t>6.1.a/2</t>
  </si>
  <si>
    <t>Céltartalék</t>
  </si>
  <si>
    <t>Céltartalék összesen:</t>
  </si>
  <si>
    <t>Tartalék összesen:</t>
  </si>
  <si>
    <t>Önkormányzat összesen:</t>
  </si>
  <si>
    <t>*</t>
  </si>
  <si>
    <t>Út-járda, parkoló felújítások</t>
  </si>
  <si>
    <t>Jogi és közig. feladatok</t>
  </si>
  <si>
    <t>Városépítészeti feladatok</t>
  </si>
  <si>
    <t>Feladat megnevezése</t>
  </si>
  <si>
    <t>Beruházási célú kiadás</t>
  </si>
  <si>
    <t>Városépítészeti feladatok összesen:</t>
  </si>
  <si>
    <t>Cím  szám</t>
  </si>
  <si>
    <t>Alcím-          szám</t>
  </si>
  <si>
    <t>Sor-                     szám</t>
  </si>
  <si>
    <t>Felújítási cél megnevezése</t>
  </si>
  <si>
    <t>Felújítási célú kiad.</t>
  </si>
  <si>
    <t>Felújítás összesen</t>
  </si>
  <si>
    <t>Dologi kiadások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</si>
</sst>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hh:mm"/>
    <numFmt numFmtId="169" formatCode="hh:mm:ss"/>
    <numFmt numFmtId="170" formatCode="yyyy/mm/dd\ hh:mm"/>
    <numFmt numFmtId="171" formatCode="0\1\40\2\3"/>
    <numFmt numFmtId="172" formatCode="0\20\2\1\5"/>
    <numFmt numFmtId="173" formatCode="0\1\40\3\4"/>
    <numFmt numFmtId="174" formatCode="0##,###"/>
    <numFmt numFmtId="175" formatCode="0.0"/>
    <numFmt numFmtId="176" formatCode="_-* #,##0.000\ &quot;Ft&quot;_-;\-* #,##0.000\ &quot;Ft&quot;_-;_-* &quot;-&quot;??\ &quot;Ft&quot;_-;_-@_-"/>
    <numFmt numFmtId="177" formatCode="00.0"/>
    <numFmt numFmtId="178" formatCode="\4\4.\7"/>
    <numFmt numFmtId="179" formatCode="#,##0.0"/>
    <numFmt numFmtId="180" formatCode="0.000"/>
    <numFmt numFmtId="181" formatCode="##.###"/>
    <numFmt numFmtId="182" formatCode="#,###.###"/>
    <numFmt numFmtId="183" formatCode="######.#"/>
    <numFmt numFmtId="184" formatCode="0."/>
    <numFmt numFmtId="185" formatCode="0.00,"/>
    <numFmt numFmtId="186" formatCode="\ 0.0"/>
    <numFmt numFmtId="187" formatCode="#,##0.000"/>
    <numFmt numFmtId="188" formatCode="0.00;[Red]0.00"/>
    <numFmt numFmtId="189" formatCode="#,##0.00;[Red]#,##0.00"/>
    <numFmt numFmtId="190" formatCode="&quot;H-&quot;0000"/>
    <numFmt numFmtId="191" formatCode="0.0000"/>
    <numFmt numFmtId="192" formatCode="#,##0;0;"/>
    <numFmt numFmtId="193" formatCode="#,##0;\-#,##0;"/>
    <numFmt numFmtId="194" formatCode="00000000\-0\-00"/>
    <numFmt numFmtId="195" formatCode="0.0%"/>
    <numFmt numFmtId="196" formatCode="#,##0.0000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[$-40E]mmmm\ d\.;@"/>
    <numFmt numFmtId="201" formatCode="_-* #,##0.0\ _F_t_-;\-* #,##0.0\ _F_t_-;_-* &quot;-&quot;??\ _F_t_-;_-@_-"/>
    <numFmt numFmtId="202" formatCode="_-* #,##0\ _F_t_-;\-* #,##0\ _F_t_-;_-* &quot;-&quot;??\ _F_t_-;_-@_-"/>
    <numFmt numFmtId="203" formatCode="&quot;SFr.&quot;\ #,##0;&quot;SFr.&quot;\ \-#,##0"/>
    <numFmt numFmtId="204" formatCode="&quot;SFr.&quot;\ #,##0;[Red]&quot;SFr.&quot;\ \-#,##0"/>
    <numFmt numFmtId="205" formatCode="&quot;SFr.&quot;\ #,##0.00;&quot;SFr.&quot;\ \-#,##0.00"/>
    <numFmt numFmtId="206" formatCode="&quot;SFr.&quot;\ #,##0.00;[Red]&quot;SFr.&quot;\ \-#,##0.00"/>
    <numFmt numFmtId="207" formatCode="_ &quot;SFr.&quot;\ * #,##0_ ;_ &quot;SFr.&quot;\ * \-#,##0_ ;_ &quot;SFr.&quot;\ * &quot;-&quot;_ ;_ @_ "/>
    <numFmt numFmtId="208" formatCode="_ * #,##0_ ;_ * \-#,##0_ ;_ * &quot;-&quot;_ ;_ @_ "/>
    <numFmt numFmtId="209" formatCode="_ &quot;SFr.&quot;\ * #,##0.00_ ;_ &quot;SFr.&quot;\ * \-#,##0.00_ ;_ &quot;SFr.&quot;\ * &quot;-&quot;??_ ;_ @_ "/>
    <numFmt numFmtId="210" formatCode="_ * #,##0.00_ ;_ * \-#,##0.00_ ;_ * &quot;-&quot;??_ ;_ @_ "/>
    <numFmt numFmtId="211" formatCode="_-* #,##0.000\ &quot;SFr.&quot;_-;\-* #,##0.000\ &quot;SFr.&quot;_-;_-* &quot;-&quot;??\ &quot;SFr.&quot;_-;_-@_-"/>
    <numFmt numFmtId="212" formatCode="_-* #,##0.000\ _F_t_-;\-* #,##0.000\ _F_t_-;_-* &quot;-&quot;??\ _F_t_-;_-@_-"/>
    <numFmt numFmtId="213" formatCode="#,##0\ &quot;Ft&quot;"/>
    <numFmt numFmtId="214" formatCode="0000000\-0"/>
    <numFmt numFmtId="215" formatCode="&quot;€&quot;#,##0;\-&quot;€&quot;#,##0"/>
    <numFmt numFmtId="216" formatCode="&quot;€&quot;#,##0;[Red]\-&quot;€&quot;#,##0"/>
    <numFmt numFmtId="217" formatCode="&quot;€&quot;#,##0.00;\-&quot;€&quot;#,##0.00"/>
    <numFmt numFmtId="218" formatCode="&quot;€&quot;#,##0.00;[Red]\-&quot;€&quot;#,##0.00"/>
    <numFmt numFmtId="219" formatCode="_-&quot;€&quot;* #,##0_-;\-&quot;€&quot;* #,##0_-;_-&quot;€&quot;* &quot;-&quot;_-;_-@_-"/>
    <numFmt numFmtId="220" formatCode="_-* #,##0_-;\-* #,##0_-;_-* &quot;-&quot;_-;_-@_-"/>
    <numFmt numFmtId="221" formatCode="_-&quot;€&quot;* #,##0.00_-;\-&quot;€&quot;* #,##0.00_-;_-&quot;€&quot;* &quot;-&quot;??_-;_-@_-"/>
    <numFmt numFmtId="222" formatCode="_-* #,##0.00_-;\-* #,##0.00_-;_-* &quot;-&quot;??_-;_-@_-"/>
    <numFmt numFmtId="223" formatCode="[$-40E]yyyy\.\ mmmm\ d\."/>
    <numFmt numFmtId="224" formatCode="[$-40E]mmm/\ d\.;@"/>
    <numFmt numFmtId="225" formatCode="#,##0.00000"/>
    <numFmt numFmtId="226" formatCode="#,##0_ ;\-#,##0\ "/>
    <numFmt numFmtId="227" formatCode="mmm\ d/"/>
  </numFmts>
  <fonts count="6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10"/>
      <name val="MS Sans Serif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8"/>
      <name val="Arial CE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0"/>
    </font>
    <font>
      <i/>
      <sz val="9"/>
      <name val="Arial CE"/>
      <family val="2"/>
    </font>
    <font>
      <sz val="8"/>
      <name val="Times New Roman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i/>
      <sz val="10"/>
      <name val="Times New Roman"/>
      <family val="1"/>
    </font>
    <font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i/>
      <sz val="9"/>
      <name val="Times New Roman CE"/>
      <family val="1"/>
    </font>
    <font>
      <b/>
      <i/>
      <sz val="10"/>
      <color indexed="10"/>
      <name val="Times New Roman"/>
      <family val="1"/>
    </font>
    <font>
      <sz val="10"/>
      <color indexed="10"/>
      <name val="MS Sans Serif"/>
      <family val="2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z val="9"/>
      <color indexed="17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24" fillId="7" borderId="1" applyNumberFormat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51" fillId="7" borderId="1" applyNumberFormat="0" applyAlignment="0" applyProtection="0"/>
    <xf numFmtId="0" fontId="0" fillId="22" borderId="7" applyNumberFormat="0" applyFont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32" fillId="4" borderId="0" applyNumberFormat="0" applyBorder="0" applyAlignment="0" applyProtection="0"/>
    <xf numFmtId="0" fontId="33" fillId="20" borderId="8" applyNumberFormat="0" applyAlignment="0" applyProtection="0"/>
    <xf numFmtId="0" fontId="1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1" fillId="22" borderId="7" applyNumberFormat="0" applyFont="0" applyAlignment="0" applyProtection="0"/>
    <xf numFmtId="0" fontId="55" fillId="20" borderId="8" applyNumberFormat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9">
    <xf numFmtId="0" fontId="0" fillId="0" borderId="0" xfId="0" applyAlignment="1">
      <alignment/>
    </xf>
    <xf numFmtId="0" fontId="12" fillId="4" borderId="10" xfId="111" applyFont="1" applyFill="1" applyBorder="1" applyAlignment="1">
      <alignment vertical="center"/>
      <protection/>
    </xf>
    <xf numFmtId="0" fontId="12" fillId="4" borderId="11" xfId="111" applyFont="1" applyFill="1" applyBorder="1" applyAlignment="1">
      <alignment vertical="center"/>
      <protection/>
    </xf>
    <xf numFmtId="0" fontId="5" fillId="0" borderId="0" xfId="97" applyAlignment="1">
      <alignment vertical="center"/>
      <protection/>
    </xf>
    <xf numFmtId="0" fontId="5" fillId="0" borderId="0" xfId="97">
      <alignment/>
      <protection/>
    </xf>
    <xf numFmtId="0" fontId="9" fillId="4" borderId="11" xfId="111" applyFont="1" applyFill="1" applyBorder="1" applyAlignment="1">
      <alignment vertical="center"/>
      <protection/>
    </xf>
    <xf numFmtId="0" fontId="8" fillId="0" borderId="0" xfId="97" applyFont="1">
      <alignment/>
      <protection/>
    </xf>
    <xf numFmtId="0" fontId="9" fillId="4" borderId="12" xfId="111" applyFont="1" applyFill="1" applyBorder="1" applyAlignment="1">
      <alignment horizontal="center" vertical="center" wrapText="1"/>
      <protection/>
    </xf>
    <xf numFmtId="0" fontId="9" fillId="4" borderId="13" xfId="111" applyFont="1" applyFill="1" applyBorder="1" applyAlignment="1">
      <alignment horizontal="center" vertical="center" wrapText="1"/>
      <protection/>
    </xf>
    <xf numFmtId="0" fontId="8" fillId="0" borderId="14" xfId="111" applyFont="1" applyBorder="1" applyAlignment="1">
      <alignment horizontal="center" vertical="center"/>
      <protection/>
    </xf>
    <xf numFmtId="0" fontId="9" fillId="4" borderId="14" xfId="111" applyFont="1" applyFill="1" applyBorder="1" applyAlignment="1">
      <alignment horizontal="center" vertical="center"/>
      <protection/>
    </xf>
    <xf numFmtId="0" fontId="8" fillId="4" borderId="14" xfId="111" applyFont="1" applyFill="1" applyBorder="1" applyAlignment="1">
      <alignment horizontal="center" vertical="center"/>
      <protection/>
    </xf>
    <xf numFmtId="0" fontId="9" fillId="4" borderId="13" xfId="111" applyFont="1" applyFill="1" applyBorder="1" applyAlignment="1">
      <alignment horizontal="center" vertical="center"/>
      <protection/>
    </xf>
    <xf numFmtId="0" fontId="9" fillId="0" borderId="14" xfId="111" applyFont="1" applyBorder="1" applyAlignment="1">
      <alignment vertical="center"/>
      <protection/>
    </xf>
    <xf numFmtId="3" fontId="8" fillId="0" borderId="14" xfId="111" applyNumberFormat="1" applyFont="1" applyBorder="1" applyAlignment="1">
      <alignment vertical="center"/>
      <protection/>
    </xf>
    <xf numFmtId="3" fontId="1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4" fillId="0" borderId="14" xfId="114" applyNumberFormat="1" applyFont="1" applyFill="1" applyBorder="1" applyAlignment="1">
      <alignment horizontal="center" vertical="center" wrapText="1"/>
      <protection/>
    </xf>
    <xf numFmtId="3" fontId="13" fillId="0" borderId="15" xfId="114" applyNumberFormat="1" applyFont="1" applyFill="1" applyBorder="1" applyAlignment="1">
      <alignment vertical="center"/>
      <protection/>
    </xf>
    <xf numFmtId="3" fontId="14" fillId="0" borderId="16" xfId="0" applyNumberFormat="1" applyFont="1" applyBorder="1" applyAlignment="1">
      <alignment vertical="center"/>
    </xf>
    <xf numFmtId="3" fontId="13" fillId="0" borderId="14" xfId="114" applyNumberFormat="1" applyFont="1" applyFill="1" applyBorder="1" applyAlignment="1">
      <alignment horizontal="center" vertical="center" wrapText="1"/>
      <protection/>
    </xf>
    <xf numFmtId="3" fontId="14" fillId="0" borderId="14" xfId="114" applyNumberFormat="1" applyFont="1" applyBorder="1" applyAlignment="1">
      <alignment horizontal="center" vertical="center"/>
      <protection/>
    </xf>
    <xf numFmtId="3" fontId="14" fillId="0" borderId="14" xfId="114" applyNumberFormat="1" applyFont="1" applyBorder="1" applyAlignment="1">
      <alignment horizontal="right" vertical="center"/>
      <protection/>
    </xf>
    <xf numFmtId="3" fontId="14" fillId="0" borderId="14" xfId="114" applyNumberFormat="1" applyFont="1" applyBorder="1" applyAlignment="1">
      <alignment vertical="center"/>
      <protection/>
    </xf>
    <xf numFmtId="3" fontId="14" fillId="0" borderId="14" xfId="114" applyNumberFormat="1" applyFont="1" applyFill="1" applyBorder="1" applyAlignment="1">
      <alignment horizontal="center" vertical="center"/>
      <protection/>
    </xf>
    <xf numFmtId="3" fontId="14" fillId="0" borderId="14" xfId="114" applyNumberFormat="1" applyFont="1" applyFill="1" applyBorder="1" applyAlignment="1">
      <alignment vertical="center"/>
      <protection/>
    </xf>
    <xf numFmtId="3" fontId="13" fillId="4" borderId="14" xfId="114" applyNumberFormat="1" applyFont="1" applyFill="1" applyBorder="1" applyAlignment="1">
      <alignment horizontal="right" vertical="center"/>
      <protection/>
    </xf>
    <xf numFmtId="3" fontId="13" fillId="0" borderId="14" xfId="114" applyNumberFormat="1" applyFont="1" applyFill="1" applyBorder="1" applyAlignment="1">
      <alignment horizontal="center" vertical="center"/>
      <protection/>
    </xf>
    <xf numFmtId="3" fontId="14" fillId="0" borderId="17" xfId="114" applyNumberFormat="1" applyFont="1" applyFill="1" applyBorder="1" applyAlignment="1">
      <alignment vertical="center"/>
      <protection/>
    </xf>
    <xf numFmtId="3" fontId="14" fillId="0" borderId="14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vertical="center"/>
    </xf>
    <xf numFmtId="3" fontId="14" fillId="0" borderId="14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3" fontId="13" fillId="4" borderId="14" xfId="0" applyNumberFormat="1" applyFont="1" applyFill="1" applyBorder="1" applyAlignment="1">
      <alignment horizontal="center" vertical="center"/>
    </xf>
    <xf numFmtId="3" fontId="13" fillId="4" borderId="17" xfId="0" applyNumberFormat="1" applyFont="1" applyFill="1" applyBorder="1" applyAlignment="1">
      <alignment vertical="center"/>
    </xf>
    <xf numFmtId="3" fontId="13" fillId="4" borderId="14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0" fontId="5" fillId="0" borderId="0" xfId="93" applyAlignment="1">
      <alignment vertical="center"/>
      <protection/>
    </xf>
    <xf numFmtId="0" fontId="5" fillId="0" borderId="0" xfId="93" applyAlignment="1">
      <alignment vertical="top"/>
      <protection/>
    </xf>
    <xf numFmtId="0" fontId="19" fillId="0" borderId="0" xfId="93" applyFont="1" applyAlignment="1">
      <alignment vertical="center"/>
      <protection/>
    </xf>
    <xf numFmtId="3" fontId="5" fillId="0" borderId="0" xfId="93" applyNumberFormat="1" applyAlignment="1">
      <alignment vertical="center"/>
      <protection/>
    </xf>
    <xf numFmtId="0" fontId="4" fillId="0" borderId="0" xfId="109">
      <alignment/>
      <protection/>
    </xf>
    <xf numFmtId="0" fontId="4" fillId="0" borderId="0" xfId="109" applyAlignment="1">
      <alignment vertical="center"/>
      <protection/>
    </xf>
    <xf numFmtId="0" fontId="4" fillId="0" borderId="0" xfId="109" applyAlignment="1">
      <alignment horizontal="center" vertical="center"/>
      <protection/>
    </xf>
    <xf numFmtId="0" fontId="4" fillId="0" borderId="0" xfId="109" applyAlignment="1">
      <alignment horizontal="center"/>
      <protection/>
    </xf>
    <xf numFmtId="0" fontId="14" fillId="0" borderId="14" xfId="93" applyFont="1" applyBorder="1" applyAlignment="1">
      <alignment vertical="center"/>
      <protection/>
    </xf>
    <xf numFmtId="0" fontId="14" fillId="0" borderId="14" xfId="93" applyFont="1" applyBorder="1" applyAlignment="1">
      <alignment horizontal="center" vertical="center"/>
      <protection/>
    </xf>
    <xf numFmtId="3" fontId="14" fillId="0" borderId="14" xfId="93" applyNumberFormat="1" applyFont="1" applyBorder="1" applyAlignment="1">
      <alignment vertical="center"/>
      <protection/>
    </xf>
    <xf numFmtId="0" fontId="13" fillId="4" borderId="14" xfId="93" applyFont="1" applyFill="1" applyBorder="1" applyAlignment="1">
      <alignment horizontal="center" vertical="center"/>
      <protection/>
    </xf>
    <xf numFmtId="0" fontId="13" fillId="4" borderId="14" xfId="93" applyFont="1" applyFill="1" applyBorder="1" applyAlignment="1">
      <alignment vertical="center"/>
      <protection/>
    </xf>
    <xf numFmtId="0" fontId="8" fillId="0" borderId="14" xfId="93" applyFont="1" applyBorder="1" applyAlignment="1">
      <alignment horizontal="center" vertical="center"/>
      <protection/>
    </xf>
    <xf numFmtId="0" fontId="8" fillId="4" borderId="14" xfId="109" applyFont="1" applyFill="1" applyBorder="1" applyAlignment="1">
      <alignment horizontal="center" vertical="center"/>
      <protection/>
    </xf>
    <xf numFmtId="0" fontId="9" fillId="4" borderId="14" xfId="109" applyFont="1" applyFill="1" applyBorder="1" applyAlignment="1">
      <alignment vertical="center"/>
      <protection/>
    </xf>
    <xf numFmtId="3" fontId="9" fillId="4" borderId="14" xfId="109" applyNumberFormat="1" applyFont="1" applyFill="1" applyBorder="1" applyAlignment="1">
      <alignment horizontal="right" vertical="center"/>
      <protection/>
    </xf>
    <xf numFmtId="3" fontId="8" fillId="24" borderId="14" xfId="111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3" fontId="20" fillId="0" borderId="0" xfId="114" applyNumberFormat="1" applyFont="1" applyFill="1" applyAlignment="1">
      <alignment vertical="center"/>
      <protection/>
    </xf>
    <xf numFmtId="3" fontId="6" fillId="0" borderId="0" xfId="114" applyNumberFormat="1" applyFont="1" applyAlignment="1">
      <alignment vertical="center"/>
      <protection/>
    </xf>
    <xf numFmtId="3" fontId="6" fillId="0" borderId="0" xfId="114" applyNumberFormat="1" applyFont="1" applyAlignment="1">
      <alignment horizontal="right" vertical="center"/>
      <protection/>
    </xf>
    <xf numFmtId="3" fontId="6" fillId="0" borderId="0" xfId="114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3" fillId="4" borderId="12" xfId="114" applyNumberFormat="1" applyFont="1" applyFill="1" applyBorder="1" applyAlignment="1">
      <alignment horizontal="center" vertical="top" wrapText="1"/>
      <protection/>
    </xf>
    <xf numFmtId="3" fontId="13" fillId="4" borderId="13" xfId="114" applyNumberFormat="1" applyFont="1" applyFill="1" applyBorder="1" applyAlignment="1">
      <alignment horizontal="center" vertical="top" wrapText="1"/>
      <protection/>
    </xf>
    <xf numFmtId="3" fontId="14" fillId="0" borderId="14" xfId="114" applyNumberFormat="1" applyFont="1" applyBorder="1" applyAlignment="1">
      <alignment horizontal="left" vertical="center" wrapText="1"/>
      <protection/>
    </xf>
    <xf numFmtId="3" fontId="14" fillId="0" borderId="14" xfId="114" applyNumberFormat="1" applyFont="1" applyBorder="1" applyAlignment="1">
      <alignment horizontal="left" vertical="center"/>
      <protection/>
    </xf>
    <xf numFmtId="3" fontId="14" fillId="4" borderId="14" xfId="114" applyNumberFormat="1" applyFont="1" applyFill="1" applyBorder="1" applyAlignment="1">
      <alignment horizontal="center" vertical="center"/>
      <protection/>
    </xf>
    <xf numFmtId="0" fontId="8" fillId="0" borderId="14" xfId="111" applyFont="1" applyFill="1" applyBorder="1" applyAlignment="1">
      <alignment vertical="center"/>
      <protection/>
    </xf>
    <xf numFmtId="0" fontId="13" fillId="4" borderId="17" xfId="98" applyFont="1" applyFill="1" applyBorder="1" applyAlignment="1">
      <alignment vertical="center"/>
      <protection/>
    </xf>
    <xf numFmtId="0" fontId="9" fillId="0" borderId="14" xfId="111" applyFont="1" applyFill="1" applyBorder="1" applyAlignment="1">
      <alignment horizontal="center" vertical="center"/>
      <protection/>
    </xf>
    <xf numFmtId="3" fontId="13" fillId="4" borderId="19" xfId="0" applyNumberFormat="1" applyFont="1" applyFill="1" applyBorder="1" applyAlignment="1">
      <alignment horizontal="center" vertical="center" wrapText="1"/>
    </xf>
    <xf numFmtId="3" fontId="13" fillId="4" borderId="20" xfId="0" applyNumberFormat="1" applyFont="1" applyFill="1" applyBorder="1" applyAlignment="1">
      <alignment horizontal="center" vertical="center" wrapText="1"/>
    </xf>
    <xf numFmtId="3" fontId="13" fillId="4" borderId="2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13" fillId="0" borderId="14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14" fillId="0" borderId="14" xfId="0" applyNumberFormat="1" applyFont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 wrapText="1"/>
    </xf>
    <xf numFmtId="3" fontId="14" fillId="0" borderId="14" xfId="0" applyNumberFormat="1" applyFont="1" applyFill="1" applyBorder="1" applyAlignment="1">
      <alignment vertical="center" wrapText="1"/>
    </xf>
    <xf numFmtId="3" fontId="13" fillId="4" borderId="14" xfId="0" applyNumberFormat="1" applyFont="1" applyFill="1" applyBorder="1" applyAlignment="1">
      <alignment vertical="center" wrapText="1"/>
    </xf>
    <xf numFmtId="3" fontId="13" fillId="4" borderId="22" xfId="0" applyNumberFormat="1" applyFont="1" applyFill="1" applyBorder="1" applyAlignment="1">
      <alignment horizontal="left" vertical="center" wrapText="1"/>
    </xf>
    <xf numFmtId="3" fontId="13" fillId="4" borderId="2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3" fontId="9" fillId="4" borderId="19" xfId="0" applyNumberFormat="1" applyFont="1" applyFill="1" applyBorder="1" applyAlignment="1">
      <alignment horizontal="center" vertical="center" wrapText="1"/>
    </xf>
    <xf numFmtId="3" fontId="9" fillId="4" borderId="2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3" fontId="8" fillId="0" borderId="14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9" fillId="4" borderId="14" xfId="0" applyNumberFormat="1" applyFont="1" applyFill="1" applyBorder="1" applyAlignment="1">
      <alignment horizontal="center" vertical="center" wrapText="1"/>
    </xf>
    <xf numFmtId="3" fontId="9" fillId="4" borderId="14" xfId="0" applyNumberFormat="1" applyFont="1" applyFill="1" applyBorder="1" applyAlignment="1">
      <alignment vertical="center" wrapText="1"/>
    </xf>
    <xf numFmtId="3" fontId="8" fillId="4" borderId="14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0" fontId="14" fillId="0" borderId="23" xfId="93" applyFont="1" applyBorder="1" applyAlignment="1">
      <alignment vertical="center"/>
      <protection/>
    </xf>
    <xf numFmtId="3" fontId="13" fillId="4" borderId="14" xfId="93" applyNumberFormat="1" applyFont="1" applyFill="1" applyBorder="1" applyAlignment="1">
      <alignment vertical="center"/>
      <protection/>
    </xf>
    <xf numFmtId="3" fontId="13" fillId="4" borderId="14" xfId="114" applyNumberFormat="1" applyFont="1" applyFill="1" applyBorder="1" applyAlignment="1">
      <alignment vertical="center"/>
      <protection/>
    </xf>
    <xf numFmtId="0" fontId="8" fillId="0" borderId="14" xfId="111" applyFont="1" applyFill="1" applyBorder="1" applyAlignment="1">
      <alignment horizontal="center" vertical="center"/>
      <protection/>
    </xf>
    <xf numFmtId="3" fontId="13" fillId="0" borderId="18" xfId="0" applyNumberFormat="1" applyFont="1" applyBorder="1" applyAlignment="1">
      <alignment vertical="center" wrapText="1"/>
    </xf>
    <xf numFmtId="0" fontId="13" fillId="4" borderId="14" xfId="93" applyFont="1" applyFill="1" applyBorder="1" applyAlignment="1">
      <alignment vertical="center" wrapText="1"/>
      <protection/>
    </xf>
    <xf numFmtId="0" fontId="8" fillId="0" borderId="14" xfId="109" applyFont="1" applyFill="1" applyBorder="1" applyAlignment="1">
      <alignment vertical="center"/>
      <protection/>
    </xf>
    <xf numFmtId="3" fontId="14" fillId="0" borderId="14" xfId="0" applyNumberFormat="1" applyFont="1" applyFill="1" applyBorder="1" applyAlignment="1">
      <alignment horizontal="right" vertical="center"/>
    </xf>
    <xf numFmtId="3" fontId="6" fillId="0" borderId="0" xfId="103" applyNumberFormat="1" applyFont="1" applyAlignment="1">
      <alignment vertical="center"/>
      <protection/>
    </xf>
    <xf numFmtId="0" fontId="6" fillId="0" borderId="0" xfId="103" applyFont="1" applyAlignment="1">
      <alignment vertical="center"/>
      <protection/>
    </xf>
    <xf numFmtId="3" fontId="6" fillId="0" borderId="0" xfId="103" applyNumberFormat="1" applyFont="1" applyBorder="1" applyAlignment="1">
      <alignment vertical="center"/>
      <protection/>
    </xf>
    <xf numFmtId="0" fontId="6" fillId="0" borderId="0" xfId="103" applyFont="1" applyBorder="1" applyAlignment="1">
      <alignment vertical="center"/>
      <protection/>
    </xf>
    <xf numFmtId="0" fontId="13" fillId="0" borderId="0" xfId="103" applyFont="1" applyFill="1" applyBorder="1" applyAlignment="1">
      <alignment vertical="center"/>
      <protection/>
    </xf>
    <xf numFmtId="0" fontId="6" fillId="0" borderId="0" xfId="103" applyFont="1" applyFill="1" applyBorder="1" applyAlignment="1">
      <alignment vertical="center" wrapText="1"/>
      <protection/>
    </xf>
    <xf numFmtId="0" fontId="6" fillId="0" borderId="0" xfId="103" applyFont="1" applyBorder="1" applyAlignment="1">
      <alignment vertical="center" wrapText="1"/>
      <protection/>
    </xf>
    <xf numFmtId="3" fontId="8" fillId="0" borderId="14" xfId="109" applyNumberFormat="1" applyFont="1" applyFill="1" applyBorder="1" applyAlignment="1">
      <alignment horizontal="right" vertical="center" wrapText="1"/>
      <protection/>
    </xf>
    <xf numFmtId="3" fontId="8" fillId="0" borderId="0" xfId="97" applyNumberFormat="1" applyFont="1">
      <alignment/>
      <protection/>
    </xf>
    <xf numFmtId="3" fontId="8" fillId="0" borderId="14" xfId="109" applyNumberFormat="1" applyFont="1" applyFill="1" applyBorder="1" applyAlignment="1">
      <alignment horizontal="right" vertical="center"/>
      <protection/>
    </xf>
    <xf numFmtId="3" fontId="13" fillId="0" borderId="0" xfId="103" applyNumberFormat="1" applyFont="1" applyFill="1" applyBorder="1" applyAlignment="1">
      <alignment vertical="center"/>
      <protection/>
    </xf>
    <xf numFmtId="3" fontId="6" fillId="0" borderId="0" xfId="103" applyNumberFormat="1" applyFont="1" applyBorder="1" applyAlignment="1">
      <alignment vertical="center" wrapText="1"/>
      <protection/>
    </xf>
    <xf numFmtId="3" fontId="20" fillId="0" borderId="0" xfId="114" applyNumberFormat="1" applyFont="1" applyAlignment="1">
      <alignment vertical="center"/>
      <protection/>
    </xf>
    <xf numFmtId="3" fontId="9" fillId="0" borderId="14" xfId="114" applyNumberFormat="1" applyFont="1" applyFill="1" applyBorder="1" applyAlignment="1">
      <alignment horizontal="left" vertical="center" wrapText="1"/>
      <protection/>
    </xf>
    <xf numFmtId="3" fontId="8" fillId="0" borderId="14" xfId="114" applyNumberFormat="1" applyFont="1" applyFill="1" applyBorder="1" applyAlignment="1">
      <alignment horizontal="center" vertical="center" wrapText="1"/>
      <protection/>
    </xf>
    <xf numFmtId="3" fontId="8" fillId="0" borderId="14" xfId="114" applyNumberFormat="1" applyFont="1" applyFill="1" applyBorder="1" applyAlignment="1">
      <alignment horizontal="left" vertical="center" wrapText="1"/>
      <protection/>
    </xf>
    <xf numFmtId="3" fontId="8" fillId="0" borderId="14" xfId="114" applyNumberFormat="1" applyFont="1" applyFill="1" applyBorder="1" applyAlignment="1">
      <alignment vertical="center" wrapText="1"/>
      <protection/>
    </xf>
    <xf numFmtId="3" fontId="6" fillId="0" borderId="0" xfId="114" applyNumberFormat="1" applyFont="1" applyFill="1" applyAlignment="1">
      <alignment vertical="center"/>
      <protection/>
    </xf>
    <xf numFmtId="3" fontId="8" fillId="0" borderId="14" xfId="114" applyNumberFormat="1" applyFont="1" applyBorder="1" applyAlignment="1">
      <alignment horizontal="left" vertical="center" wrapText="1"/>
      <protection/>
    </xf>
    <xf numFmtId="3" fontId="8" fillId="0" borderId="14" xfId="114" applyNumberFormat="1" applyFont="1" applyBorder="1" applyAlignment="1">
      <alignment vertical="center"/>
      <protection/>
    </xf>
    <xf numFmtId="3" fontId="8" fillId="0" borderId="14" xfId="114" applyNumberFormat="1" applyFont="1" applyBorder="1" applyAlignment="1">
      <alignment horizontal="left" vertical="center"/>
      <protection/>
    </xf>
    <xf numFmtId="3" fontId="8" fillId="0" borderId="14" xfId="114" applyNumberFormat="1" applyFont="1" applyFill="1" applyBorder="1" applyAlignment="1">
      <alignment vertical="center"/>
      <protection/>
    </xf>
    <xf numFmtId="3" fontId="9" fillId="0" borderId="14" xfId="114" applyNumberFormat="1" applyFont="1" applyBorder="1" applyAlignment="1">
      <alignment vertical="center"/>
      <protection/>
    </xf>
    <xf numFmtId="3" fontId="9" fillId="0" borderId="14" xfId="114" applyNumberFormat="1" applyFont="1" applyBorder="1" applyAlignment="1">
      <alignment horizontal="left" vertical="center" wrapText="1"/>
      <protection/>
    </xf>
    <xf numFmtId="3" fontId="8" fillId="0" borderId="14" xfId="114" applyNumberFormat="1" applyFont="1" applyBorder="1" applyAlignment="1">
      <alignment horizontal="center" vertical="center"/>
      <protection/>
    </xf>
    <xf numFmtId="3" fontId="9" fillId="0" borderId="14" xfId="114" applyNumberFormat="1" applyFont="1" applyFill="1" applyBorder="1" applyAlignment="1">
      <alignment vertical="center"/>
      <protection/>
    </xf>
    <xf numFmtId="3" fontId="8" fillId="4" borderId="14" xfId="114" applyNumberFormat="1" applyFont="1" applyFill="1" applyBorder="1" applyAlignment="1">
      <alignment horizontal="center" vertical="center"/>
      <protection/>
    </xf>
    <xf numFmtId="3" fontId="9" fillId="4" borderId="14" xfId="114" applyNumberFormat="1" applyFont="1" applyFill="1" applyBorder="1" applyAlignment="1">
      <alignment horizontal="left" vertical="center" wrapText="1"/>
      <protection/>
    </xf>
    <xf numFmtId="3" fontId="9" fillId="4" borderId="14" xfId="114" applyNumberFormat="1" applyFont="1" applyFill="1" applyBorder="1" applyAlignment="1">
      <alignment vertical="center"/>
      <protection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8" fillId="0" borderId="14" xfId="111" applyNumberFormat="1" applyFont="1" applyFill="1" applyBorder="1" applyAlignment="1">
      <alignment horizontal="right" vertical="center"/>
      <protection/>
    </xf>
    <xf numFmtId="0" fontId="14" fillId="0" borderId="23" xfId="93" applyFont="1" applyBorder="1" applyAlignment="1">
      <alignment horizontal="center" vertical="center"/>
      <protection/>
    </xf>
    <xf numFmtId="3" fontId="13" fillId="4" borderId="13" xfId="114" applyNumberFormat="1" applyFont="1" applyFill="1" applyBorder="1" applyAlignment="1">
      <alignment horizontal="center" vertical="center" wrapText="1"/>
      <protection/>
    </xf>
    <xf numFmtId="3" fontId="13" fillId="4" borderId="26" xfId="114" applyNumberFormat="1" applyFont="1" applyFill="1" applyBorder="1" applyAlignment="1">
      <alignment horizontal="center" vertical="center" wrapText="1"/>
      <protection/>
    </xf>
    <xf numFmtId="0" fontId="14" fillId="0" borderId="14" xfId="94" applyFont="1" applyBorder="1" applyAlignment="1">
      <alignment vertical="center"/>
      <protection/>
    </xf>
    <xf numFmtId="3" fontId="14" fillId="0" borderId="15" xfId="114" applyNumberFormat="1" applyFont="1" applyFill="1" applyBorder="1" applyAlignment="1">
      <alignment vertical="center"/>
      <protection/>
    </xf>
    <xf numFmtId="0" fontId="13" fillId="4" borderId="14" xfId="94" applyFont="1" applyFill="1" applyBorder="1" applyAlignment="1">
      <alignment vertical="center" wrapText="1"/>
      <protection/>
    </xf>
    <xf numFmtId="0" fontId="14" fillId="0" borderId="14" xfId="94" applyFont="1" applyFill="1" applyBorder="1" applyAlignment="1">
      <alignment vertical="center"/>
      <protection/>
    </xf>
    <xf numFmtId="3" fontId="14" fillId="0" borderId="14" xfId="114" applyNumberFormat="1" applyFont="1" applyFill="1" applyBorder="1" applyAlignment="1">
      <alignment horizontal="right" vertical="center" wrapText="1"/>
      <protection/>
    </xf>
    <xf numFmtId="3" fontId="14" fillId="4" borderId="14" xfId="114" applyNumberFormat="1" applyFont="1" applyFill="1" applyBorder="1" applyAlignment="1">
      <alignment horizontal="center" vertical="center" wrapText="1"/>
      <protection/>
    </xf>
    <xf numFmtId="3" fontId="14" fillId="4" borderId="16" xfId="0" applyNumberFormat="1" applyFont="1" applyFill="1" applyBorder="1" applyAlignment="1">
      <alignment vertical="center"/>
    </xf>
    <xf numFmtId="3" fontId="13" fillId="4" borderId="14" xfId="114" applyNumberFormat="1" applyFont="1" applyFill="1" applyBorder="1" applyAlignment="1">
      <alignment horizontal="center" vertical="center" wrapText="1"/>
      <protection/>
    </xf>
    <xf numFmtId="3" fontId="13" fillId="4" borderId="14" xfId="114" applyNumberFormat="1" applyFont="1" applyFill="1" applyBorder="1" applyAlignment="1">
      <alignment horizontal="right" vertical="center" wrapText="1"/>
      <protection/>
    </xf>
    <xf numFmtId="3" fontId="14" fillId="4" borderId="14" xfId="0" applyNumberFormat="1" applyFont="1" applyFill="1" applyBorder="1" applyAlignment="1">
      <alignment horizontal="center" vertical="center"/>
    </xf>
    <xf numFmtId="3" fontId="13" fillId="0" borderId="14" xfId="114" applyNumberFormat="1" applyFont="1" applyFill="1" applyBorder="1" applyAlignment="1">
      <alignment horizontal="right" vertical="center" wrapText="1"/>
      <protection/>
    </xf>
    <xf numFmtId="0" fontId="8" fillId="0" borderId="14" xfId="98" applyFont="1" applyFill="1" applyBorder="1" applyAlignment="1">
      <alignment horizontal="center"/>
      <protection/>
    </xf>
    <xf numFmtId="3" fontId="13" fillId="4" borderId="15" xfId="114" applyNumberFormat="1" applyFont="1" applyFill="1" applyBorder="1" applyAlignment="1">
      <alignment vertical="center"/>
      <protection/>
    </xf>
    <xf numFmtId="3" fontId="13" fillId="0" borderId="16" xfId="0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vertical="center"/>
    </xf>
    <xf numFmtId="0" fontId="13" fillId="4" borderId="17" xfId="93" applyFont="1" applyFill="1" applyBorder="1" applyAlignment="1">
      <alignment vertical="center"/>
      <protection/>
    </xf>
    <xf numFmtId="3" fontId="14" fillId="0" borderId="16" xfId="0" applyNumberFormat="1" applyFont="1" applyFill="1" applyBorder="1" applyAlignment="1">
      <alignment vertical="center"/>
    </xf>
    <xf numFmtId="3" fontId="16" fillId="0" borderId="14" xfId="114" applyNumberFormat="1" applyFont="1" applyFill="1" applyBorder="1" applyAlignment="1">
      <alignment horizontal="right" vertical="center" wrapText="1"/>
      <protection/>
    </xf>
    <xf numFmtId="0" fontId="9" fillId="4" borderId="14" xfId="98" applyFont="1" applyFill="1" applyBorder="1" applyAlignment="1">
      <alignment horizontal="center"/>
      <protection/>
    </xf>
    <xf numFmtId="0" fontId="60" fillId="4" borderId="16" xfId="0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horizontal="left" vertical="center"/>
    </xf>
    <xf numFmtId="3" fontId="17" fillId="0" borderId="17" xfId="0" applyNumberFormat="1" applyFont="1" applyBorder="1" applyAlignment="1">
      <alignment vertical="center"/>
    </xf>
    <xf numFmtId="3" fontId="14" fillId="0" borderId="15" xfId="0" applyNumberFormat="1" applyFont="1" applyFill="1" applyBorder="1" applyAlignment="1">
      <alignment vertical="center"/>
    </xf>
    <xf numFmtId="0" fontId="14" fillId="0" borderId="16" xfId="0" applyFont="1" applyBorder="1" applyAlignment="1">
      <alignment vertical="center" wrapText="1"/>
    </xf>
    <xf numFmtId="0" fontId="14" fillId="0" borderId="18" xfId="0" applyFont="1" applyFill="1" applyBorder="1" applyAlignment="1">
      <alignment horizontal="left" vertical="center"/>
    </xf>
    <xf numFmtId="3" fontId="14" fillId="0" borderId="15" xfId="0" applyNumberFormat="1" applyFont="1" applyFill="1" applyBorder="1" applyAlignment="1">
      <alignment horizontal="left" vertical="center"/>
    </xf>
    <xf numFmtId="3" fontId="58" fillId="0" borderId="0" xfId="0" applyNumberFormat="1" applyFont="1" applyBorder="1" applyAlignment="1">
      <alignment vertical="center"/>
    </xf>
    <xf numFmtId="3" fontId="9" fillId="0" borderId="14" xfId="111" applyNumberFormat="1" applyFont="1" applyBorder="1" applyAlignment="1">
      <alignment vertical="center"/>
      <protection/>
    </xf>
    <xf numFmtId="3" fontId="8" fillId="0" borderId="14" xfId="68" applyNumberFormat="1" applyFont="1" applyBorder="1" applyAlignment="1">
      <alignment vertical="center"/>
    </xf>
    <xf numFmtId="3" fontId="8" fillId="24" borderId="14" xfId="68" applyNumberFormat="1" applyFont="1" applyFill="1" applyBorder="1" applyAlignment="1">
      <alignment vertical="center"/>
    </xf>
    <xf numFmtId="3" fontId="9" fillId="4" borderId="14" xfId="111" applyNumberFormat="1" applyFont="1" applyFill="1" applyBorder="1" applyAlignment="1">
      <alignment vertical="center"/>
      <protection/>
    </xf>
    <xf numFmtId="3" fontId="9" fillId="4" borderId="14" xfId="68" applyNumberFormat="1" applyFont="1" applyFill="1" applyBorder="1" applyAlignment="1">
      <alignment vertical="center"/>
    </xf>
    <xf numFmtId="3" fontId="8" fillId="0" borderId="18" xfId="68" applyNumberFormat="1" applyFont="1" applyBorder="1" applyAlignment="1">
      <alignment vertical="center"/>
    </xf>
    <xf numFmtId="3" fontId="8" fillId="0" borderId="14" xfId="111" applyNumberFormat="1" applyFont="1" applyFill="1" applyBorder="1" applyAlignment="1">
      <alignment vertical="center" wrapText="1"/>
      <protection/>
    </xf>
    <xf numFmtId="3" fontId="9" fillId="0" borderId="14" xfId="111" applyNumberFormat="1" applyFont="1" applyFill="1" applyBorder="1" applyAlignment="1">
      <alignment vertical="center"/>
      <protection/>
    </xf>
    <xf numFmtId="3" fontId="9" fillId="0" borderId="14" xfId="68" applyNumberFormat="1" applyFont="1" applyFill="1" applyBorder="1" applyAlignment="1">
      <alignment vertical="center"/>
    </xf>
    <xf numFmtId="3" fontId="8" fillId="0" borderId="14" xfId="111" applyNumberFormat="1" applyFont="1" applyFill="1" applyBorder="1" applyAlignment="1">
      <alignment vertical="center"/>
      <protection/>
    </xf>
    <xf numFmtId="3" fontId="8" fillId="0" borderId="14" xfId="68" applyNumberFormat="1" applyFont="1" applyFill="1" applyBorder="1" applyAlignment="1">
      <alignment vertical="center"/>
    </xf>
    <xf numFmtId="3" fontId="9" fillId="4" borderId="14" xfId="93" applyNumberFormat="1" applyFont="1" applyFill="1" applyBorder="1" applyAlignment="1">
      <alignment vertical="center" wrapText="1"/>
      <protection/>
    </xf>
    <xf numFmtId="0" fontId="8" fillId="0" borderId="14" xfId="111" applyFont="1" applyFill="1" applyBorder="1" applyAlignment="1">
      <alignment vertical="center" wrapText="1"/>
      <protection/>
    </xf>
    <xf numFmtId="0" fontId="8" fillId="0" borderId="14" xfId="109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9" fillId="4" borderId="14" xfId="109" applyFont="1" applyFill="1" applyBorder="1" applyAlignment="1">
      <alignment horizontal="center" vertical="center" wrapText="1"/>
      <protection/>
    </xf>
    <xf numFmtId="3" fontId="8" fillId="0" borderId="14" xfId="109" applyNumberFormat="1" applyFont="1" applyBorder="1" applyAlignment="1">
      <alignment horizontal="right" vertical="center" wrapText="1"/>
      <protection/>
    </xf>
    <xf numFmtId="3" fontId="8" fillId="0" borderId="14" xfId="109" applyNumberFormat="1" applyFont="1" applyBorder="1" applyAlignment="1">
      <alignment horizontal="right"/>
      <protection/>
    </xf>
    <xf numFmtId="0" fontId="5" fillId="0" borderId="0" xfId="102">
      <alignment/>
      <protection/>
    </xf>
    <xf numFmtId="0" fontId="8" fillId="0" borderId="27" xfId="102" applyFont="1" applyFill="1" applyBorder="1" applyAlignment="1">
      <alignment horizontal="center" vertical="top" wrapText="1"/>
      <protection/>
    </xf>
    <xf numFmtId="0" fontId="8" fillId="0" borderId="27" xfId="102" applyFont="1" applyFill="1" applyBorder="1" applyAlignment="1">
      <alignment vertical="top" wrapText="1"/>
      <protection/>
    </xf>
    <xf numFmtId="0" fontId="9" fillId="0" borderId="28" xfId="102" applyFont="1" applyFill="1" applyBorder="1" applyAlignment="1">
      <alignment horizontal="left" vertical="top"/>
      <protection/>
    </xf>
    <xf numFmtId="3" fontId="8" fillId="0" borderId="27" xfId="102" applyNumberFormat="1" applyFont="1" applyFill="1" applyBorder="1" applyAlignment="1">
      <alignment vertical="center"/>
      <protection/>
    </xf>
    <xf numFmtId="3" fontId="14" fillId="0" borderId="27" xfId="115" applyNumberFormat="1" applyFont="1" applyFill="1" applyBorder="1" applyAlignment="1">
      <alignment horizontal="center" vertical="center"/>
      <protection/>
    </xf>
    <xf numFmtId="0" fontId="14" fillId="0" borderId="27" xfId="96" applyFont="1" applyBorder="1" applyAlignment="1">
      <alignment vertical="center"/>
      <protection/>
    </xf>
    <xf numFmtId="0" fontId="14" fillId="0" borderId="29" xfId="96" applyFont="1" applyBorder="1" applyAlignment="1">
      <alignment vertical="center"/>
      <protection/>
    </xf>
    <xf numFmtId="3" fontId="14" fillId="0" borderId="29" xfId="104" applyNumberFormat="1" applyFont="1" applyFill="1" applyBorder="1" applyAlignment="1">
      <alignment vertical="center" wrapText="1"/>
      <protection/>
    </xf>
    <xf numFmtId="3" fontId="14" fillId="0" borderId="30" xfId="110" applyNumberFormat="1" applyFont="1" applyFill="1" applyBorder="1" applyAlignment="1">
      <alignment horizontal="left" vertical="center"/>
      <protection/>
    </xf>
    <xf numFmtId="3" fontId="8" fillId="0" borderId="27" xfId="102" applyNumberFormat="1" applyFont="1" applyFill="1" applyBorder="1" applyAlignment="1">
      <alignment horizontal="right" vertical="center" wrapText="1"/>
      <protection/>
    </xf>
    <xf numFmtId="3" fontId="14" fillId="0" borderId="31" xfId="104" applyNumberFormat="1" applyFont="1" applyFill="1" applyBorder="1" applyAlignment="1">
      <alignment vertical="center" wrapText="1"/>
      <protection/>
    </xf>
    <xf numFmtId="0" fontId="0" fillId="0" borderId="32" xfId="110" applyFill="1" applyBorder="1" applyAlignment="1">
      <alignment vertical="center"/>
      <protection/>
    </xf>
    <xf numFmtId="0" fontId="8" fillId="25" borderId="27" xfId="102" applyFont="1" applyFill="1" applyBorder="1" applyAlignment="1">
      <alignment horizontal="center" vertical="top" wrapText="1"/>
      <protection/>
    </xf>
    <xf numFmtId="0" fontId="8" fillId="25" borderId="27" xfId="102" applyFont="1" applyFill="1" applyBorder="1" applyAlignment="1">
      <alignment vertical="top" wrapText="1"/>
      <protection/>
    </xf>
    <xf numFmtId="0" fontId="9" fillId="25" borderId="29" xfId="102" applyFont="1" applyFill="1" applyBorder="1" applyAlignment="1">
      <alignment horizontal="left" vertical="top"/>
      <protection/>
    </xf>
    <xf numFmtId="0" fontId="9" fillId="25" borderId="28" xfId="102" applyFont="1" applyFill="1" applyBorder="1" applyAlignment="1">
      <alignment horizontal="left" vertical="top"/>
      <protection/>
    </xf>
    <xf numFmtId="0" fontId="8" fillId="26" borderId="27" xfId="102" applyFont="1" applyFill="1" applyBorder="1" applyAlignment="1">
      <alignment horizontal="center"/>
      <protection/>
    </xf>
    <xf numFmtId="0" fontId="8" fillId="26" borderId="27" xfId="102" applyFont="1" applyFill="1" applyBorder="1" applyAlignment="1">
      <alignment horizontal="center" vertical="center"/>
      <protection/>
    </xf>
    <xf numFmtId="0" fontId="8" fillId="0" borderId="29" xfId="96" applyFont="1" applyBorder="1" applyAlignment="1">
      <alignment vertical="center"/>
      <protection/>
    </xf>
    <xf numFmtId="0" fontId="9" fillId="26" borderId="28" xfId="102" applyFont="1" applyFill="1" applyBorder="1" applyAlignment="1">
      <alignment vertical="center"/>
      <protection/>
    </xf>
    <xf numFmtId="3" fontId="8" fillId="26" borderId="27" xfId="102" applyNumberFormat="1" applyFont="1" applyFill="1" applyBorder="1" applyAlignment="1">
      <alignment vertical="center"/>
      <protection/>
    </xf>
    <xf numFmtId="0" fontId="8" fillId="26" borderId="33" xfId="102" applyFont="1" applyFill="1" applyBorder="1" applyAlignment="1">
      <alignment horizontal="center"/>
      <protection/>
    </xf>
    <xf numFmtId="0" fontId="8" fillId="26" borderId="34" xfId="102" applyFont="1" applyFill="1" applyBorder="1" applyAlignment="1">
      <alignment horizontal="center"/>
      <protection/>
    </xf>
    <xf numFmtId="0" fontId="16" fillId="0" borderId="27" xfId="113" applyFont="1" applyFill="1" applyBorder="1" applyAlignment="1">
      <alignment horizontal="center" vertical="center"/>
      <protection/>
    </xf>
    <xf numFmtId="0" fontId="16" fillId="0" borderId="29" xfId="96" applyFont="1" applyBorder="1" applyAlignment="1">
      <alignment vertical="center"/>
      <protection/>
    </xf>
    <xf numFmtId="227" fontId="16" fillId="0" borderId="27" xfId="113" applyNumberFormat="1" applyFont="1" applyFill="1" applyBorder="1" applyAlignment="1">
      <alignment horizontal="center" vertical="center"/>
      <protection/>
    </xf>
    <xf numFmtId="3" fontId="16" fillId="0" borderId="29" xfId="106" applyNumberFormat="1" applyFont="1" applyBorder="1" applyAlignment="1">
      <alignment vertical="top" wrapText="1"/>
      <protection/>
    </xf>
    <xf numFmtId="227" fontId="14" fillId="0" borderId="27" xfId="113" applyNumberFormat="1" applyFont="1" applyFill="1" applyBorder="1" applyAlignment="1">
      <alignment horizontal="center" vertical="center"/>
      <protection/>
    </xf>
    <xf numFmtId="49" fontId="14" fillId="0" borderId="29" xfId="106" applyNumberFormat="1" applyFont="1" applyBorder="1" applyAlignment="1">
      <alignment horizontal="left" vertical="center" wrapText="1"/>
      <protection/>
    </xf>
    <xf numFmtId="0" fontId="8" fillId="0" borderId="28" xfId="110" applyFont="1" applyFill="1" applyBorder="1" applyAlignment="1">
      <alignment horizontal="left" vertical="center" wrapText="1"/>
      <protection/>
    </xf>
    <xf numFmtId="3" fontId="13" fillId="0" borderId="27" xfId="113" applyNumberFormat="1" applyFont="1" applyFill="1" applyBorder="1" applyAlignment="1">
      <alignment vertical="center"/>
      <protection/>
    </xf>
    <xf numFmtId="49" fontId="62" fillId="0" borderId="30" xfId="106" applyNumberFormat="1" applyFont="1" applyBorder="1" applyAlignment="1">
      <alignment horizontal="left" vertical="top" wrapText="1"/>
      <protection/>
    </xf>
    <xf numFmtId="0" fontId="8" fillId="0" borderId="35" xfId="110" applyFont="1" applyFill="1" applyBorder="1" applyAlignment="1">
      <alignment horizontal="left" vertical="center" wrapText="1"/>
      <protection/>
    </xf>
    <xf numFmtId="0" fontId="8" fillId="0" borderId="29" xfId="102" applyFont="1" applyBorder="1" applyAlignment="1">
      <alignment vertical="center"/>
      <protection/>
    </xf>
    <xf numFmtId="49" fontId="8" fillId="26" borderId="29" xfId="110" applyNumberFormat="1" applyFont="1" applyFill="1" applyBorder="1" applyAlignment="1">
      <alignment horizontal="left" vertical="top" wrapText="1"/>
      <protection/>
    </xf>
    <xf numFmtId="0" fontId="8" fillId="26" borderId="36" xfId="113" applyFont="1" applyFill="1" applyBorder="1" applyAlignment="1">
      <alignment vertical="top" wrapText="1"/>
      <protection/>
    </xf>
    <xf numFmtId="0" fontId="39" fillId="26" borderId="36" xfId="113" applyFont="1" applyFill="1" applyBorder="1" applyAlignment="1">
      <alignment vertical="top" wrapText="1"/>
      <protection/>
    </xf>
    <xf numFmtId="49" fontId="8" fillId="0" borderId="36" xfId="106" applyNumberFormat="1" applyFont="1" applyFill="1" applyBorder="1" applyAlignment="1">
      <alignment horizontal="left" vertical="center" wrapText="1"/>
      <protection/>
    </xf>
    <xf numFmtId="0" fontId="39" fillId="0" borderId="29" xfId="113" applyFont="1" applyBorder="1" applyAlignment="1">
      <alignment vertical="center"/>
      <protection/>
    </xf>
    <xf numFmtId="0" fontId="8" fillId="0" borderId="27" xfId="102" applyFont="1" applyBorder="1" applyAlignment="1">
      <alignment horizontal="center" vertical="center"/>
      <protection/>
    </xf>
    <xf numFmtId="49" fontId="0" fillId="0" borderId="36" xfId="106" applyNumberFormat="1" applyFont="1" applyFill="1" applyBorder="1" applyAlignment="1">
      <alignment horizontal="left" vertical="center" wrapText="1"/>
      <protection/>
    </xf>
    <xf numFmtId="3" fontId="61" fillId="0" borderId="28" xfId="110" applyNumberFormat="1" applyFont="1" applyFill="1" applyBorder="1" applyAlignment="1">
      <alignment horizontal="left" vertical="center" wrapText="1"/>
      <protection/>
    </xf>
    <xf numFmtId="0" fontId="8" fillId="0" borderId="29" xfId="102" applyFont="1" applyBorder="1" applyAlignment="1">
      <alignment vertical="center" wrapText="1"/>
      <protection/>
    </xf>
    <xf numFmtId="3" fontId="61" fillId="0" borderId="37" xfId="110" applyNumberFormat="1" applyFont="1" applyFill="1" applyBorder="1" applyAlignment="1">
      <alignment horizontal="left" vertical="center" wrapText="1"/>
      <protection/>
    </xf>
    <xf numFmtId="49" fontId="8" fillId="0" borderId="29" xfId="106" applyNumberFormat="1" applyFont="1" applyBorder="1" applyAlignment="1">
      <alignment horizontal="left" vertical="center" wrapText="1"/>
      <protection/>
    </xf>
    <xf numFmtId="0" fontId="61" fillId="0" borderId="28" xfId="110" applyFont="1" applyFill="1" applyBorder="1" applyAlignment="1">
      <alignment horizontal="left" vertical="center" wrapText="1"/>
      <protection/>
    </xf>
    <xf numFmtId="0" fontId="8" fillId="25" borderId="33" xfId="102" applyFont="1" applyFill="1" applyBorder="1" applyAlignment="1">
      <alignment/>
      <protection/>
    </xf>
    <xf numFmtId="0" fontId="8" fillId="25" borderId="34" xfId="102" applyFont="1" applyFill="1" applyBorder="1" applyAlignment="1">
      <alignment/>
      <protection/>
    </xf>
    <xf numFmtId="0" fontId="8" fillId="25" borderId="27" xfId="102" applyFont="1" applyFill="1" applyBorder="1" applyAlignment="1">
      <alignment horizontal="center" vertical="center"/>
      <protection/>
    </xf>
    <xf numFmtId="0" fontId="9" fillId="25" borderId="29" xfId="102" applyFont="1" applyFill="1" applyBorder="1" applyAlignment="1">
      <alignment vertical="center"/>
      <protection/>
    </xf>
    <xf numFmtId="0" fontId="63" fillId="25" borderId="28" xfId="102" applyFont="1" applyFill="1" applyBorder="1" applyAlignment="1">
      <alignment vertical="center"/>
      <protection/>
    </xf>
    <xf numFmtId="3" fontId="9" fillId="25" borderId="27" xfId="102" applyNumberFormat="1" applyFont="1" applyFill="1" applyBorder="1" applyAlignment="1">
      <alignment horizontal="right" vertical="center"/>
      <protection/>
    </xf>
    <xf numFmtId="0" fontId="8" fillId="0" borderId="33" xfId="102" applyFont="1" applyFill="1" applyBorder="1" applyAlignment="1">
      <alignment/>
      <protection/>
    </xf>
    <xf numFmtId="0" fontId="8" fillId="0" borderId="34" xfId="102" applyFont="1" applyFill="1" applyBorder="1" applyAlignment="1">
      <alignment/>
      <protection/>
    </xf>
    <xf numFmtId="0" fontId="8" fillId="0" borderId="27" xfId="102" applyFont="1" applyFill="1" applyBorder="1" applyAlignment="1">
      <alignment horizontal="center" vertical="center"/>
      <protection/>
    </xf>
    <xf numFmtId="0" fontId="9" fillId="0" borderId="29" xfId="102" applyFont="1" applyFill="1" applyBorder="1" applyAlignment="1">
      <alignment horizontal="left" vertical="center"/>
      <protection/>
    </xf>
    <xf numFmtId="0" fontId="63" fillId="0" borderId="28" xfId="102" applyFont="1" applyFill="1" applyBorder="1" applyAlignment="1">
      <alignment horizontal="left" vertical="center"/>
      <protection/>
    </xf>
    <xf numFmtId="3" fontId="9" fillId="0" borderId="27" xfId="102" applyNumberFormat="1" applyFont="1" applyFill="1" applyBorder="1" applyAlignment="1">
      <alignment horizontal="right" vertical="center"/>
      <protection/>
    </xf>
    <xf numFmtId="0" fontId="9" fillId="0" borderId="27" xfId="102" applyFont="1" applyFill="1" applyBorder="1" applyAlignment="1">
      <alignment horizontal="center" vertical="center"/>
      <protection/>
    </xf>
    <xf numFmtId="3" fontId="8" fillId="0" borderId="27" xfId="102" applyNumberFormat="1" applyFont="1" applyFill="1" applyBorder="1" applyAlignment="1">
      <alignment horizontal="right" vertical="center"/>
      <protection/>
    </xf>
    <xf numFmtId="0" fontId="8" fillId="0" borderId="27" xfId="102" applyFont="1" applyFill="1" applyBorder="1" applyAlignment="1">
      <alignment/>
      <protection/>
    </xf>
    <xf numFmtId="0" fontId="8" fillId="0" borderId="28" xfId="102" applyFont="1" applyFill="1" applyBorder="1" applyAlignment="1">
      <alignment/>
      <protection/>
    </xf>
    <xf numFmtId="0" fontId="8" fillId="26" borderId="29" xfId="110" applyFont="1" applyFill="1" applyBorder="1" applyAlignment="1">
      <alignment vertical="top" wrapText="1"/>
      <protection/>
    </xf>
    <xf numFmtId="0" fontId="8" fillId="0" borderId="29" xfId="113" applyFont="1" applyBorder="1" applyAlignment="1">
      <alignment vertical="center"/>
      <protection/>
    </xf>
    <xf numFmtId="49" fontId="8" fillId="0" borderId="29" xfId="110" applyNumberFormat="1" applyFont="1" applyFill="1" applyBorder="1" applyAlignment="1">
      <alignment horizontal="left" vertical="center" wrapText="1"/>
      <protection/>
    </xf>
    <xf numFmtId="0" fontId="63" fillId="0" borderId="28" xfId="113" applyFont="1" applyFill="1" applyBorder="1" applyAlignment="1">
      <alignment vertical="center"/>
      <protection/>
    </xf>
    <xf numFmtId="0" fontId="9" fillId="0" borderId="27" xfId="102" applyFont="1" applyBorder="1" applyAlignment="1">
      <alignment horizontal="center" vertical="center"/>
      <protection/>
    </xf>
    <xf numFmtId="0" fontId="9" fillId="0" borderId="29" xfId="102" applyFont="1" applyBorder="1" applyAlignment="1">
      <alignment vertical="center"/>
      <protection/>
    </xf>
    <xf numFmtId="49" fontId="14" fillId="0" borderId="29" xfId="110" applyNumberFormat="1" applyFont="1" applyFill="1" applyBorder="1" applyAlignment="1">
      <alignment horizontal="left" vertical="center" wrapText="1"/>
      <protection/>
    </xf>
    <xf numFmtId="0" fontId="8" fillId="0" borderId="36" xfId="110" applyFont="1" applyFill="1" applyBorder="1" applyAlignment="1">
      <alignment vertical="top" wrapText="1"/>
      <protection/>
    </xf>
    <xf numFmtId="0" fontId="9" fillId="26" borderId="27" xfId="102" applyFont="1" applyFill="1" applyBorder="1" applyAlignment="1">
      <alignment horizontal="center" vertical="top" wrapText="1"/>
      <protection/>
    </xf>
    <xf numFmtId="0" fontId="9" fillId="26" borderId="29" xfId="102" applyFont="1" applyFill="1" applyBorder="1" applyAlignment="1">
      <alignment vertical="top"/>
      <protection/>
    </xf>
    <xf numFmtId="0" fontId="8" fillId="26" borderId="29" xfId="105" applyFont="1" applyFill="1" applyBorder="1" applyAlignment="1">
      <alignment vertical="top" wrapText="1"/>
      <protection/>
    </xf>
    <xf numFmtId="0" fontId="63" fillId="0" borderId="28" xfId="102" applyFont="1" applyBorder="1" applyAlignment="1">
      <alignment vertical="center"/>
      <protection/>
    </xf>
    <xf numFmtId="3" fontId="8" fillId="0" borderId="27" xfId="102" applyNumberFormat="1" applyFont="1" applyBorder="1" applyAlignment="1">
      <alignment vertical="center"/>
      <protection/>
    </xf>
    <xf numFmtId="0" fontId="8" fillId="26" borderId="36" xfId="105" applyFont="1" applyFill="1" applyBorder="1" applyAlignment="1">
      <alignment vertical="top" wrapText="1"/>
      <protection/>
    </xf>
    <xf numFmtId="0" fontId="8" fillId="26" borderId="27" xfId="102" applyFont="1" applyFill="1" applyBorder="1" applyAlignment="1">
      <alignment horizontal="center" vertical="top" wrapText="1"/>
      <protection/>
    </xf>
    <xf numFmtId="0" fontId="8" fillId="0" borderId="29" xfId="105" applyFont="1" applyBorder="1" applyAlignment="1">
      <alignment vertical="center" wrapText="1"/>
      <protection/>
    </xf>
    <xf numFmtId="0" fontId="9" fillId="0" borderId="29" xfId="102" applyFont="1" applyFill="1" applyBorder="1" applyAlignment="1">
      <alignment vertical="top"/>
      <protection/>
    </xf>
    <xf numFmtId="49" fontId="14" fillId="0" borderId="29" xfId="110" applyNumberFormat="1" applyFont="1" applyBorder="1" applyAlignment="1">
      <alignment horizontal="left" vertical="center" wrapText="1"/>
      <protection/>
    </xf>
    <xf numFmtId="3" fontId="14" fillId="0" borderId="29" xfId="110" applyNumberFormat="1" applyFont="1" applyFill="1" applyBorder="1" applyAlignment="1">
      <alignment horizontal="left" vertical="center" wrapText="1"/>
      <protection/>
    </xf>
    <xf numFmtId="49" fontId="8" fillId="0" borderId="29" xfId="110" applyNumberFormat="1" applyFont="1" applyFill="1" applyBorder="1" applyAlignment="1">
      <alignment vertical="center" wrapText="1"/>
      <protection/>
    </xf>
    <xf numFmtId="49" fontId="8" fillId="0" borderId="29" xfId="110" applyNumberFormat="1" applyFont="1" applyBorder="1" applyAlignment="1">
      <alignment vertical="center" wrapText="1"/>
      <protection/>
    </xf>
    <xf numFmtId="49" fontId="8" fillId="0" borderId="29" xfId="110" applyNumberFormat="1" applyFont="1" applyBorder="1" applyAlignment="1">
      <alignment horizontal="left" vertical="top" wrapText="1"/>
      <protection/>
    </xf>
    <xf numFmtId="49" fontId="8" fillId="0" borderId="0" xfId="110" applyNumberFormat="1" applyFont="1" applyBorder="1" applyAlignment="1">
      <alignment horizontal="left" vertical="top" wrapText="1"/>
      <protection/>
    </xf>
    <xf numFmtId="0" fontId="8" fillId="26" borderId="36" xfId="110" applyFont="1" applyFill="1" applyBorder="1" applyAlignment="1">
      <alignment vertical="top" wrapText="1"/>
      <protection/>
    </xf>
    <xf numFmtId="49" fontId="8" fillId="26" borderId="29" xfId="110" applyNumberFormat="1" applyFont="1" applyFill="1" applyBorder="1" applyAlignment="1">
      <alignment vertical="top" wrapText="1"/>
      <protection/>
    </xf>
    <xf numFmtId="0" fontId="8" fillId="26" borderId="29" xfId="110" applyFont="1" applyFill="1" applyBorder="1" applyAlignment="1">
      <alignment horizontal="left" vertical="top" wrapText="1"/>
      <protection/>
    </xf>
    <xf numFmtId="3" fontId="14" fillId="26" borderId="29" xfId="110" applyNumberFormat="1" applyFont="1" applyFill="1" applyBorder="1" applyAlignment="1">
      <alignment horizontal="left" vertical="center" wrapText="1"/>
      <protection/>
    </xf>
    <xf numFmtId="49" fontId="8" fillId="0" borderId="29" xfId="106" applyNumberFormat="1" applyFont="1" applyFill="1" applyBorder="1" applyAlignment="1">
      <alignment horizontal="left" vertical="center" wrapText="1"/>
      <protection/>
    </xf>
    <xf numFmtId="49" fontId="8" fillId="0" borderId="36" xfId="107" applyNumberFormat="1" applyFont="1" applyBorder="1" applyAlignment="1">
      <alignment horizontal="left" vertical="top" wrapText="1"/>
      <protection/>
    </xf>
    <xf numFmtId="0" fontId="8" fillId="0" borderId="29" xfId="102" applyFont="1" applyFill="1" applyBorder="1" applyAlignment="1">
      <alignment vertical="top"/>
      <protection/>
    </xf>
    <xf numFmtId="3" fontId="14" fillId="0" borderId="31" xfId="106" applyNumberFormat="1" applyFont="1" applyBorder="1" applyAlignment="1">
      <alignment vertical="top" wrapText="1"/>
      <protection/>
    </xf>
    <xf numFmtId="0" fontId="63" fillId="0" borderId="38" xfId="102" applyFont="1" applyFill="1" applyBorder="1" applyAlignment="1">
      <alignment horizontal="left" vertical="center"/>
      <protection/>
    </xf>
    <xf numFmtId="3" fontId="8" fillId="0" borderId="29" xfId="106" applyNumberFormat="1" applyFont="1" applyBorder="1" applyAlignment="1">
      <alignment vertical="center" wrapText="1"/>
      <protection/>
    </xf>
    <xf numFmtId="0" fontId="8" fillId="0" borderId="29" xfId="110" applyFont="1" applyFill="1" applyBorder="1">
      <alignment/>
      <protection/>
    </xf>
    <xf numFmtId="49" fontId="0" fillId="0" borderId="29" xfId="110" applyNumberFormat="1" applyFont="1" applyBorder="1" applyAlignment="1">
      <alignment vertical="center" wrapText="1"/>
      <protection/>
    </xf>
    <xf numFmtId="49" fontId="0" fillId="0" borderId="29" xfId="106" applyNumberFormat="1" applyFont="1" applyFill="1" applyBorder="1" applyAlignment="1">
      <alignment horizontal="left" vertical="center" wrapText="1"/>
      <protection/>
    </xf>
    <xf numFmtId="0" fontId="8" fillId="0" borderId="29" xfId="100" applyFont="1" applyFill="1" applyBorder="1" applyAlignment="1">
      <alignment vertical="top" wrapText="1"/>
      <protection/>
    </xf>
    <xf numFmtId="0" fontId="9" fillId="25" borderId="29" xfId="102" applyFont="1" applyFill="1" applyBorder="1" applyAlignment="1">
      <alignment horizontal="left" vertical="center"/>
      <protection/>
    </xf>
    <xf numFmtId="0" fontId="63" fillId="25" borderId="28" xfId="102" applyFont="1" applyFill="1" applyBorder="1" applyAlignment="1">
      <alignment horizontal="left" vertical="center"/>
      <protection/>
    </xf>
    <xf numFmtId="0" fontId="9" fillId="26" borderId="29" xfId="102" applyFont="1" applyFill="1" applyBorder="1" applyAlignment="1">
      <alignment horizontal="left" vertical="center"/>
      <protection/>
    </xf>
    <xf numFmtId="0" fontId="63" fillId="26" borderId="28" xfId="102" applyFont="1" applyFill="1" applyBorder="1" applyAlignment="1">
      <alignment horizontal="left" vertical="center"/>
      <protection/>
    </xf>
    <xf numFmtId="3" fontId="9" fillId="26" borderId="27" xfId="102" applyNumberFormat="1" applyFont="1" applyFill="1" applyBorder="1" applyAlignment="1">
      <alignment vertical="center"/>
      <protection/>
    </xf>
    <xf numFmtId="3" fontId="9" fillId="0" borderId="27" xfId="102" applyNumberFormat="1" applyFont="1" applyFill="1" applyBorder="1" applyAlignment="1">
      <alignment vertical="center"/>
      <protection/>
    </xf>
    <xf numFmtId="0" fontId="14" fillId="0" borderId="29" xfId="110" applyFont="1" applyBorder="1" applyAlignment="1">
      <alignment horizontal="left" vertical="top" wrapText="1"/>
      <protection/>
    </xf>
    <xf numFmtId="0" fontId="14" fillId="0" borderId="29" xfId="110" applyFont="1" applyBorder="1" applyAlignment="1">
      <alignment wrapText="1"/>
      <protection/>
    </xf>
    <xf numFmtId="49" fontId="8" fillId="0" borderId="29" xfId="110" applyNumberFormat="1" applyFont="1" applyFill="1" applyBorder="1" applyAlignment="1">
      <alignment horizontal="left" vertical="top" wrapText="1"/>
      <protection/>
    </xf>
    <xf numFmtId="49" fontId="8" fillId="26" borderId="36" xfId="110" applyNumberFormat="1" applyFont="1" applyFill="1" applyBorder="1" applyAlignment="1">
      <alignment horizontal="left" vertical="top" wrapText="1"/>
      <protection/>
    </xf>
    <xf numFmtId="0" fontId="13" fillId="0" borderId="28" xfId="113" applyFont="1" applyFill="1" applyBorder="1" applyAlignment="1">
      <alignment vertical="center"/>
      <protection/>
    </xf>
    <xf numFmtId="49" fontId="8" fillId="0" borderId="29" xfId="106" applyNumberFormat="1" applyFont="1" applyFill="1" applyBorder="1" applyAlignment="1">
      <alignment vertical="center" wrapText="1"/>
      <protection/>
    </xf>
    <xf numFmtId="0" fontId="61" fillId="0" borderId="28" xfId="102" applyFont="1" applyFill="1" applyBorder="1" applyAlignment="1">
      <alignment vertical="center"/>
      <protection/>
    </xf>
    <xf numFmtId="49" fontId="8" fillId="0" borderId="29" xfId="110" applyNumberFormat="1" applyFont="1" applyFill="1" applyBorder="1" applyAlignment="1">
      <alignment horizontal="left" vertical="top" wrapText="1"/>
      <protection/>
    </xf>
    <xf numFmtId="0" fontId="64" fillId="0" borderId="0" xfId="102" applyFont="1" applyBorder="1">
      <alignment/>
      <protection/>
    </xf>
    <xf numFmtId="3" fontId="8" fillId="0" borderId="27" xfId="102" applyNumberFormat="1" applyFont="1" applyBorder="1">
      <alignment/>
      <protection/>
    </xf>
    <xf numFmtId="0" fontId="8" fillId="0" borderId="27" xfId="102" applyFont="1" applyBorder="1" applyAlignment="1">
      <alignment/>
      <protection/>
    </xf>
    <xf numFmtId="0" fontId="14" fillId="0" borderId="29" xfId="110" applyFont="1" applyFill="1" applyBorder="1" applyAlignment="1">
      <alignment horizontal="left" vertical="top" wrapText="1"/>
      <protection/>
    </xf>
    <xf numFmtId="0" fontId="14" fillId="0" borderId="29" xfId="110" applyFont="1" applyBorder="1">
      <alignment/>
      <protection/>
    </xf>
    <xf numFmtId="0" fontId="8" fillId="0" borderId="29" xfId="99" applyFont="1" applyFill="1" applyBorder="1" applyAlignment="1">
      <alignment horizontal="left" vertical="center" wrapText="1"/>
      <protection/>
    </xf>
    <xf numFmtId="0" fontId="8" fillId="26" borderId="29" xfId="99" applyFont="1" applyFill="1" applyBorder="1" applyAlignment="1">
      <alignment vertical="top" wrapText="1"/>
      <protection/>
    </xf>
    <xf numFmtId="0" fontId="9" fillId="0" borderId="28" xfId="102" applyFont="1" applyBorder="1" applyAlignment="1">
      <alignment vertical="center"/>
      <protection/>
    </xf>
    <xf numFmtId="3" fontId="8" fillId="26" borderId="27" xfId="102" applyNumberFormat="1" applyFont="1" applyFill="1" applyBorder="1" applyAlignment="1">
      <alignment horizontal="right" vertical="center" wrapText="1"/>
      <protection/>
    </xf>
    <xf numFmtId="0" fontId="63" fillId="26" borderId="28" xfId="102" applyFont="1" applyFill="1" applyBorder="1" applyAlignment="1">
      <alignment vertical="top"/>
      <protection/>
    </xf>
    <xf numFmtId="227" fontId="8" fillId="26" borderId="27" xfId="102" applyNumberFormat="1" applyFont="1" applyFill="1" applyBorder="1" applyAlignment="1">
      <alignment horizontal="center" vertical="top" wrapText="1"/>
      <protection/>
    </xf>
    <xf numFmtId="49" fontId="8" fillId="0" borderId="29" xfId="110" applyNumberFormat="1" applyFont="1" applyBorder="1" applyAlignment="1">
      <alignment horizontal="left" vertical="center" wrapText="1"/>
      <protection/>
    </xf>
    <xf numFmtId="0" fontId="8" fillId="0" borderId="29" xfId="99" applyFont="1" applyFill="1" applyBorder="1" applyAlignment="1">
      <alignment vertical="center" wrapText="1"/>
      <protection/>
    </xf>
    <xf numFmtId="0" fontId="8" fillId="0" borderId="29" xfId="99" applyFont="1" applyFill="1" applyBorder="1" applyAlignment="1">
      <alignment vertical="top"/>
      <protection/>
    </xf>
    <xf numFmtId="0" fontId="8" fillId="26" borderId="29" xfId="102" applyFont="1" applyFill="1" applyBorder="1" applyAlignment="1">
      <alignment vertical="top" wrapText="1"/>
      <protection/>
    </xf>
    <xf numFmtId="0" fontId="61" fillId="26" borderId="28" xfId="102" applyFont="1" applyFill="1" applyBorder="1" applyAlignment="1">
      <alignment horizontal="center" vertical="top"/>
      <protection/>
    </xf>
    <xf numFmtId="0" fontId="8" fillId="0" borderId="29" xfId="99" applyFont="1" applyFill="1" applyBorder="1" applyAlignment="1">
      <alignment horizontal="left" vertical="top"/>
      <protection/>
    </xf>
    <xf numFmtId="0" fontId="8" fillId="26" borderId="29" xfId="102" applyFont="1" applyFill="1" applyBorder="1" applyAlignment="1">
      <alignment vertical="top"/>
      <protection/>
    </xf>
    <xf numFmtId="0" fontId="8" fillId="0" borderId="29" xfId="101" applyFont="1" applyFill="1" applyBorder="1" applyAlignment="1">
      <alignment vertical="top"/>
      <protection/>
    </xf>
    <xf numFmtId="0" fontId="8" fillId="0" borderId="29" xfId="101" applyFont="1" applyFill="1" applyBorder="1" applyAlignment="1">
      <alignment vertical="top"/>
      <protection/>
    </xf>
    <xf numFmtId="0" fontId="8" fillId="0" borderId="29" xfId="101" applyFont="1" applyFill="1" applyBorder="1" applyAlignment="1">
      <alignment vertical="top" wrapText="1"/>
      <protection/>
    </xf>
    <xf numFmtId="0" fontId="8" fillId="0" borderId="29" xfId="102" applyFont="1" applyFill="1" applyBorder="1" applyAlignment="1">
      <alignment vertical="top" wrapText="1"/>
      <protection/>
    </xf>
    <xf numFmtId="0" fontId="14" fillId="0" borderId="29" xfId="110" applyFont="1" applyFill="1" applyBorder="1" applyAlignment="1">
      <alignment wrapText="1"/>
      <protection/>
    </xf>
    <xf numFmtId="0" fontId="8" fillId="26" borderId="28" xfId="102" applyFont="1" applyFill="1" applyBorder="1" applyAlignment="1">
      <alignment horizontal="center" vertical="top"/>
      <protection/>
    </xf>
    <xf numFmtId="0" fontId="14" fillId="0" borderId="29" xfId="110" applyFont="1" applyBorder="1" applyAlignment="1">
      <alignment horizontal="left"/>
      <protection/>
    </xf>
    <xf numFmtId="3" fontId="8" fillId="0" borderId="29" xfId="106" applyNumberFormat="1" applyFont="1" applyFill="1" applyBorder="1" applyAlignment="1">
      <alignment vertical="center" wrapText="1"/>
      <protection/>
    </xf>
    <xf numFmtId="0" fontId="8" fillId="0" borderId="36" xfId="100" applyFont="1" applyFill="1" applyBorder="1" applyAlignment="1">
      <alignment vertical="top" wrapText="1"/>
      <protection/>
    </xf>
    <xf numFmtId="0" fontId="8" fillId="0" borderId="29" xfId="102" applyFont="1" applyBorder="1">
      <alignment/>
      <protection/>
    </xf>
    <xf numFmtId="0" fontId="8" fillId="0" borderId="29" xfId="102" applyFont="1" applyFill="1" applyBorder="1" applyAlignment="1">
      <alignment vertical="top" wrapText="1"/>
      <protection/>
    </xf>
    <xf numFmtId="0" fontId="8" fillId="0" borderId="29" xfId="96" applyFont="1" applyFill="1" applyBorder="1" applyAlignment="1">
      <alignment horizontal="left" vertical="center" wrapText="1"/>
      <protection/>
    </xf>
    <xf numFmtId="0" fontId="8" fillId="0" borderId="29" xfId="95" applyFont="1" applyFill="1" applyBorder="1" applyAlignment="1">
      <alignment horizontal="left" vertical="center" wrapText="1"/>
      <protection/>
    </xf>
    <xf numFmtId="0" fontId="8" fillId="0" borderId="29" xfId="101" applyFont="1" applyFill="1" applyBorder="1" applyAlignment="1">
      <alignment vertical="top" wrapText="1"/>
      <protection/>
    </xf>
    <xf numFmtId="0" fontId="8" fillId="26" borderId="29" xfId="102" applyFont="1" applyFill="1" applyBorder="1" applyAlignment="1">
      <alignment horizontal="left" vertical="top" wrapText="1"/>
      <protection/>
    </xf>
    <xf numFmtId="3" fontId="8" fillId="0" borderId="29" xfId="110" applyNumberFormat="1" applyFont="1" applyFill="1" applyBorder="1" applyAlignment="1">
      <alignment vertical="center" wrapText="1"/>
      <protection/>
    </xf>
    <xf numFmtId="49" fontId="8" fillId="0" borderId="29" xfId="106" applyNumberFormat="1" applyFont="1" applyFill="1" applyBorder="1" applyAlignment="1">
      <alignment horizontal="left" vertical="center"/>
      <protection/>
    </xf>
    <xf numFmtId="0" fontId="5" fillId="0" borderId="28" xfId="102" applyBorder="1">
      <alignment/>
      <protection/>
    </xf>
    <xf numFmtId="49" fontId="0" fillId="0" borderId="29" xfId="110" applyNumberFormat="1" applyFont="1" applyBorder="1" applyAlignment="1">
      <alignment horizontal="left" vertical="center" wrapText="1"/>
      <protection/>
    </xf>
    <xf numFmtId="0" fontId="61" fillId="26" borderId="28" xfId="102" applyFont="1" applyFill="1" applyBorder="1" applyAlignment="1">
      <alignment vertical="top"/>
      <protection/>
    </xf>
    <xf numFmtId="0" fontId="14" fillId="0" borderId="29" xfId="99" applyFont="1" applyFill="1" applyBorder="1" applyAlignment="1">
      <alignment vertical="top" wrapText="1"/>
      <protection/>
    </xf>
    <xf numFmtId="0" fontId="8" fillId="25" borderId="27" xfId="102" applyFont="1" applyFill="1" applyBorder="1" applyAlignment="1">
      <alignment/>
      <protection/>
    </xf>
    <xf numFmtId="3" fontId="9" fillId="25" borderId="27" xfId="102" applyNumberFormat="1" applyFont="1" applyFill="1" applyBorder="1" applyAlignment="1">
      <alignment vertical="center"/>
      <protection/>
    </xf>
    <xf numFmtId="0" fontId="8" fillId="0" borderId="27" xfId="102" applyFont="1" applyFill="1" applyBorder="1" applyAlignment="1">
      <alignment horizontal="center"/>
      <protection/>
    </xf>
    <xf numFmtId="0" fontId="9" fillId="0" borderId="29" xfId="102" applyFont="1" applyFill="1" applyBorder="1" applyAlignment="1">
      <alignment vertical="center"/>
      <protection/>
    </xf>
    <xf numFmtId="0" fontId="63" fillId="0" borderId="28" xfId="102" applyFont="1" applyFill="1" applyBorder="1" applyAlignment="1">
      <alignment vertical="center"/>
      <protection/>
    </xf>
    <xf numFmtId="0" fontId="8" fillId="0" borderId="29" xfId="102" applyFont="1" applyFill="1" applyBorder="1" applyAlignment="1">
      <alignment vertical="center"/>
      <protection/>
    </xf>
    <xf numFmtId="0" fontId="8" fillId="26" borderId="29" xfId="102" applyFont="1" applyFill="1" applyBorder="1" applyAlignment="1">
      <alignment vertical="top" wrapText="1"/>
      <protection/>
    </xf>
    <xf numFmtId="0" fontId="8" fillId="0" borderId="29" xfId="110" applyFont="1" applyFill="1" applyBorder="1" applyAlignment="1">
      <alignment vertical="center" wrapText="1"/>
      <protection/>
    </xf>
    <xf numFmtId="0" fontId="9" fillId="26" borderId="29" xfId="102" applyFont="1" applyFill="1" applyBorder="1" applyAlignment="1">
      <alignment vertical="center"/>
      <protection/>
    </xf>
    <xf numFmtId="0" fontId="63" fillId="26" borderId="28" xfId="102" applyFont="1" applyFill="1" applyBorder="1" applyAlignment="1">
      <alignment vertical="center"/>
      <protection/>
    </xf>
    <xf numFmtId="0" fontId="8" fillId="25" borderId="27" xfId="102" applyFont="1" applyFill="1" applyBorder="1" applyAlignment="1">
      <alignment horizontal="center"/>
      <protection/>
    </xf>
    <xf numFmtId="0" fontId="8" fillId="26" borderId="29" xfId="96" applyFont="1" applyFill="1" applyBorder="1" applyAlignment="1">
      <alignment horizontal="left" vertical="center" wrapText="1"/>
      <protection/>
    </xf>
    <xf numFmtId="0" fontId="8" fillId="0" borderId="29" xfId="102" applyFont="1" applyFill="1" applyBorder="1" applyAlignment="1">
      <alignment vertical="center" wrapText="1"/>
      <protection/>
    </xf>
    <xf numFmtId="0" fontId="8" fillId="0" borderId="27" xfId="102" applyFont="1" applyBorder="1" applyAlignment="1">
      <alignment horizontal="center"/>
      <protection/>
    </xf>
    <xf numFmtId="0" fontId="8" fillId="25" borderId="27" xfId="102" applyFont="1" applyFill="1" applyBorder="1">
      <alignment/>
      <protection/>
    </xf>
    <xf numFmtId="0" fontId="9" fillId="25" borderId="29" xfId="102" applyFont="1" applyFill="1" applyBorder="1">
      <alignment/>
      <protection/>
    </xf>
    <xf numFmtId="0" fontId="9" fillId="25" borderId="28" xfId="102" applyFont="1" applyFill="1" applyBorder="1">
      <alignment/>
      <protection/>
    </xf>
    <xf numFmtId="3" fontId="9" fillId="25" borderId="27" xfId="102" applyNumberFormat="1" applyFont="1" applyFill="1" applyBorder="1">
      <alignment/>
      <protection/>
    </xf>
    <xf numFmtId="0" fontId="9" fillId="25" borderId="27" xfId="102" applyFont="1" applyFill="1" applyBorder="1">
      <alignment/>
      <protection/>
    </xf>
    <xf numFmtId="0" fontId="9" fillId="25" borderId="27" xfId="102" applyFont="1" applyFill="1" applyBorder="1" applyAlignment="1">
      <alignment horizontal="center"/>
      <protection/>
    </xf>
    <xf numFmtId="0" fontId="9" fillId="25" borderId="29" xfId="96" applyFont="1" applyFill="1" applyBorder="1" applyAlignment="1">
      <alignment vertical="center" wrapText="1"/>
      <protection/>
    </xf>
    <xf numFmtId="3" fontId="8" fillId="0" borderId="27" xfId="102" applyNumberFormat="1" applyFont="1" applyBorder="1" applyAlignment="1">
      <alignment horizontal="center"/>
      <protection/>
    </xf>
    <xf numFmtId="0" fontId="8" fillId="0" borderId="27" xfId="102" applyFont="1" applyBorder="1">
      <alignment/>
      <protection/>
    </xf>
    <xf numFmtId="227" fontId="8" fillId="0" borderId="27" xfId="102" applyNumberFormat="1" applyFont="1" applyBorder="1" applyAlignment="1">
      <alignment horizontal="center"/>
      <protection/>
    </xf>
    <xf numFmtId="0" fontId="8" fillId="0" borderId="28" xfId="102" applyFont="1" applyBorder="1">
      <alignment/>
      <protection/>
    </xf>
    <xf numFmtId="0" fontId="8" fillId="0" borderId="0" xfId="102" applyFont="1" applyAlignment="1">
      <alignment horizontal="left"/>
      <protection/>
    </xf>
    <xf numFmtId="0" fontId="8" fillId="0" borderId="0" xfId="102" applyFont="1">
      <alignment/>
      <protection/>
    </xf>
    <xf numFmtId="0" fontId="9" fillId="0" borderId="0" xfId="102" applyFont="1">
      <alignment/>
      <protection/>
    </xf>
    <xf numFmtId="0" fontId="8" fillId="0" borderId="39" xfId="102" applyFont="1" applyFill="1" applyBorder="1" applyAlignment="1">
      <alignment vertical="top" wrapText="1"/>
      <protection/>
    </xf>
    <xf numFmtId="0" fontId="9" fillId="0" borderId="31" xfId="102" applyFont="1" applyFill="1" applyBorder="1" applyAlignment="1">
      <alignment horizontal="left" vertical="top"/>
      <protection/>
    </xf>
    <xf numFmtId="0" fontId="9" fillId="0" borderId="32" xfId="102" applyFont="1" applyFill="1" applyBorder="1" applyAlignment="1">
      <alignment horizontal="left" vertical="top"/>
      <protection/>
    </xf>
    <xf numFmtId="0" fontId="8" fillId="0" borderId="35" xfId="102" applyFont="1" applyBorder="1">
      <alignment/>
      <protection/>
    </xf>
    <xf numFmtId="3" fontId="8" fillId="0" borderId="27" xfId="102" applyNumberFormat="1" applyFont="1" applyFill="1" applyBorder="1" applyAlignment="1">
      <alignment horizontal="left" vertical="center" wrapText="1"/>
      <protection/>
    </xf>
    <xf numFmtId="3" fontId="9" fillId="25" borderId="27" xfId="102" applyNumberFormat="1" applyFont="1" applyFill="1" applyBorder="1" applyAlignment="1">
      <alignment horizontal="right" vertical="center" wrapText="1"/>
      <protection/>
    </xf>
    <xf numFmtId="0" fontId="13" fillId="25" borderId="40" xfId="113" applyFont="1" applyFill="1" applyBorder="1" applyAlignment="1">
      <alignment horizontal="center" vertical="center"/>
      <protection/>
    </xf>
    <xf numFmtId="0" fontId="13" fillId="25" borderId="41" xfId="113" applyFont="1" applyFill="1" applyBorder="1" applyAlignment="1">
      <alignment horizontal="center" vertical="center"/>
      <protection/>
    </xf>
    <xf numFmtId="0" fontId="13" fillId="25" borderId="42" xfId="113" applyFont="1" applyFill="1" applyBorder="1" applyAlignment="1">
      <alignment horizontal="center" vertical="center"/>
      <protection/>
    </xf>
    <xf numFmtId="0" fontId="13" fillId="25" borderId="43" xfId="113" applyFont="1" applyFill="1" applyBorder="1" applyAlignment="1">
      <alignment horizontal="center" vertical="center"/>
      <protection/>
    </xf>
    <xf numFmtId="0" fontId="7" fillId="0" borderId="0" xfId="113" applyFont="1" applyAlignment="1">
      <alignment vertical="center"/>
      <protection/>
    </xf>
    <xf numFmtId="0" fontId="13" fillId="25" borderId="44" xfId="113" applyFont="1" applyFill="1" applyBorder="1" applyAlignment="1">
      <alignment horizontal="center" vertical="top" wrapText="1"/>
      <protection/>
    </xf>
    <xf numFmtId="0" fontId="13" fillId="25" borderId="45" xfId="113" applyFont="1" applyFill="1" applyBorder="1" applyAlignment="1">
      <alignment horizontal="center" vertical="top" wrapText="1"/>
      <protection/>
    </xf>
    <xf numFmtId="0" fontId="13" fillId="25" borderId="46" xfId="113" applyFont="1" applyFill="1" applyBorder="1" applyAlignment="1">
      <alignment horizontal="center" vertical="top"/>
      <protection/>
    </xf>
    <xf numFmtId="0" fontId="13" fillId="25" borderId="47" xfId="113" applyFont="1" applyFill="1" applyBorder="1" applyAlignment="1">
      <alignment horizontal="center" vertical="top"/>
      <protection/>
    </xf>
    <xf numFmtId="0" fontId="14" fillId="0" borderId="27" xfId="113" applyFont="1" applyBorder="1" applyAlignment="1">
      <alignment horizontal="center" vertical="center"/>
      <protection/>
    </xf>
    <xf numFmtId="0" fontId="9" fillId="0" borderId="29" xfId="113" applyFont="1" applyBorder="1" applyAlignment="1">
      <alignment vertical="center"/>
      <protection/>
    </xf>
    <xf numFmtId="0" fontId="13" fillId="0" borderId="48" xfId="113" applyFont="1" applyBorder="1" applyAlignment="1">
      <alignment vertical="center"/>
      <protection/>
    </xf>
    <xf numFmtId="0" fontId="6" fillId="0" borderId="0" xfId="113" applyFont="1" applyAlignment="1">
      <alignment vertical="center"/>
      <protection/>
    </xf>
    <xf numFmtId="0" fontId="14" fillId="0" borderId="27" xfId="113" applyFont="1" applyFill="1" applyBorder="1" applyAlignment="1">
      <alignment horizontal="center" vertical="center"/>
      <protection/>
    </xf>
    <xf numFmtId="0" fontId="16" fillId="0" borderId="49" xfId="96" applyFont="1" applyBorder="1" applyAlignment="1">
      <alignment vertical="center"/>
      <protection/>
    </xf>
    <xf numFmtId="0" fontId="13" fillId="0" borderId="34" xfId="113" applyFont="1" applyFill="1" applyBorder="1" applyAlignment="1">
      <alignment vertical="center"/>
      <protection/>
    </xf>
    <xf numFmtId="0" fontId="16" fillId="0" borderId="50" xfId="96" applyFont="1" applyBorder="1" applyAlignment="1">
      <alignment vertical="center"/>
      <protection/>
    </xf>
    <xf numFmtId="0" fontId="14" fillId="0" borderId="27" xfId="113" applyNumberFormat="1" applyFont="1" applyFill="1" applyBorder="1" applyAlignment="1">
      <alignment horizontal="center" vertical="center"/>
      <protection/>
    </xf>
    <xf numFmtId="3" fontId="8" fillId="0" borderId="46" xfId="106" applyNumberFormat="1" applyFont="1" applyBorder="1" applyAlignment="1">
      <alignment vertical="top" wrapText="1"/>
      <protection/>
    </xf>
    <xf numFmtId="3" fontId="14" fillId="0" borderId="29" xfId="106" applyNumberFormat="1" applyFont="1" applyBorder="1" applyAlignment="1">
      <alignment vertical="top" wrapText="1"/>
      <protection/>
    </xf>
    <xf numFmtId="3" fontId="14" fillId="0" borderId="36" xfId="106" applyNumberFormat="1" applyFont="1" applyBorder="1" applyAlignment="1">
      <alignment vertical="top" wrapText="1"/>
      <protection/>
    </xf>
    <xf numFmtId="3" fontId="8" fillId="0" borderId="31" xfId="106" applyNumberFormat="1" applyFont="1" applyBorder="1" applyAlignment="1">
      <alignment vertical="top" wrapText="1"/>
      <protection/>
    </xf>
    <xf numFmtId="0" fontId="13" fillId="0" borderId="38" xfId="113" applyFont="1" applyFill="1" applyBorder="1" applyAlignment="1">
      <alignment vertical="center"/>
      <protection/>
    </xf>
    <xf numFmtId="3" fontId="8" fillId="0" borderId="50" xfId="106" applyNumberFormat="1" applyFont="1" applyBorder="1" applyAlignment="1">
      <alignment vertical="top" wrapText="1"/>
      <protection/>
    </xf>
    <xf numFmtId="49" fontId="40" fillId="0" borderId="50" xfId="106" applyNumberFormat="1" applyFont="1" applyBorder="1" applyAlignment="1">
      <alignment horizontal="left" vertical="top" wrapText="1"/>
      <protection/>
    </xf>
    <xf numFmtId="49" fontId="40" fillId="0" borderId="31" xfId="106" applyNumberFormat="1" applyFont="1" applyBorder="1" applyAlignment="1">
      <alignment horizontal="left" vertical="top" wrapText="1"/>
      <protection/>
    </xf>
    <xf numFmtId="0" fontId="9" fillId="0" borderId="28" xfId="102" applyFont="1" applyFill="1" applyBorder="1" applyAlignment="1">
      <alignment horizontal="left" vertical="center"/>
      <protection/>
    </xf>
    <xf numFmtId="49" fontId="62" fillId="0" borderId="31" xfId="106" applyNumberFormat="1" applyFont="1" applyBorder="1" applyAlignment="1">
      <alignment horizontal="left" vertical="top" wrapText="1"/>
      <protection/>
    </xf>
    <xf numFmtId="0" fontId="16" fillId="0" borderId="27" xfId="113" applyNumberFormat="1" applyFont="1" applyFill="1" applyBorder="1" applyAlignment="1">
      <alignment horizontal="center" vertical="center"/>
      <protection/>
    </xf>
    <xf numFmtId="3" fontId="14" fillId="0" borderId="46" xfId="110" applyNumberFormat="1" applyFont="1" applyBorder="1" applyAlignment="1">
      <alignment vertical="center"/>
      <protection/>
    </xf>
    <xf numFmtId="3" fontId="14" fillId="0" borderId="28" xfId="110" applyNumberFormat="1" applyFont="1" applyBorder="1" applyAlignment="1">
      <alignment vertical="center"/>
      <protection/>
    </xf>
    <xf numFmtId="0" fontId="14" fillId="0" borderId="36" xfId="113" applyFont="1" applyFill="1" applyBorder="1" applyAlignment="1">
      <alignment vertical="center"/>
      <protection/>
    </xf>
    <xf numFmtId="3" fontId="8" fillId="0" borderId="29" xfId="106" applyNumberFormat="1" applyFont="1" applyBorder="1" applyAlignment="1">
      <alignment vertical="top" wrapText="1"/>
      <protection/>
    </xf>
    <xf numFmtId="49" fontId="40" fillId="0" borderId="36" xfId="106" applyNumberFormat="1" applyFont="1" applyFill="1" applyBorder="1" applyAlignment="1">
      <alignment horizontal="left" vertical="center" wrapText="1"/>
      <protection/>
    </xf>
    <xf numFmtId="0" fontId="65" fillId="0" borderId="28" xfId="110" applyFont="1" applyFill="1" applyBorder="1" applyAlignment="1">
      <alignment horizontal="left" vertical="center" wrapText="1"/>
      <protection/>
    </xf>
    <xf numFmtId="3" fontId="65" fillId="0" borderId="28" xfId="110" applyNumberFormat="1" applyFont="1" applyFill="1" applyBorder="1" applyAlignment="1">
      <alignment horizontal="left" vertical="center" wrapText="1"/>
      <protection/>
    </xf>
    <xf numFmtId="0" fontId="14" fillId="0" borderId="29" xfId="105" applyFont="1" applyFill="1" applyBorder="1" applyAlignment="1">
      <alignment vertical="center" wrapText="1"/>
      <protection/>
    </xf>
    <xf numFmtId="0" fontId="14" fillId="25" borderId="27" xfId="113" applyFont="1" applyFill="1" applyBorder="1" applyAlignment="1">
      <alignment horizontal="center" vertical="center"/>
      <protection/>
    </xf>
    <xf numFmtId="0" fontId="13" fillId="25" borderId="29" xfId="113" applyFont="1" applyFill="1" applyBorder="1" applyAlignment="1">
      <alignment vertical="center"/>
      <protection/>
    </xf>
    <xf numFmtId="0" fontId="13" fillId="25" borderId="28" xfId="113" applyFont="1" applyFill="1" applyBorder="1" applyAlignment="1">
      <alignment vertical="center"/>
      <protection/>
    </xf>
    <xf numFmtId="3" fontId="13" fillId="25" borderId="27" xfId="113" applyNumberFormat="1" applyFont="1" applyFill="1" applyBorder="1" applyAlignment="1">
      <alignment vertical="center"/>
      <protection/>
    </xf>
    <xf numFmtId="0" fontId="13" fillId="0" borderId="27" xfId="113" applyFont="1" applyFill="1" applyBorder="1" applyAlignment="1">
      <alignment horizontal="center" vertical="center"/>
      <protection/>
    </xf>
    <xf numFmtId="0" fontId="13" fillId="0" borderId="27" xfId="113" applyFont="1" applyBorder="1" applyAlignment="1">
      <alignment horizontal="center" vertical="center"/>
      <protection/>
    </xf>
    <xf numFmtId="3" fontId="8" fillId="26" borderId="29" xfId="110" applyNumberFormat="1" applyFont="1" applyFill="1" applyBorder="1" applyAlignment="1">
      <alignment horizontal="left" vertical="top" wrapText="1"/>
      <protection/>
    </xf>
    <xf numFmtId="0" fontId="14" fillId="0" borderId="29" xfId="113" applyFont="1" applyFill="1" applyBorder="1" applyAlignment="1">
      <alignment vertical="center"/>
      <protection/>
    </xf>
    <xf numFmtId="227" fontId="14" fillId="0" borderId="27" xfId="113" applyNumberFormat="1" applyFont="1" applyBorder="1" applyAlignment="1">
      <alignment horizontal="center" vertical="center"/>
      <protection/>
    </xf>
    <xf numFmtId="49" fontId="14" fillId="0" borderId="29" xfId="110" applyNumberFormat="1" applyFont="1" applyFill="1" applyBorder="1" applyAlignment="1">
      <alignment horizontal="left" vertical="center" wrapText="1"/>
      <protection/>
    </xf>
    <xf numFmtId="49" fontId="14" fillId="0" borderId="29" xfId="108" applyNumberFormat="1" applyFont="1" applyBorder="1" applyAlignment="1">
      <alignment horizontal="left" vertical="center" wrapText="1"/>
      <protection/>
    </xf>
    <xf numFmtId="0" fontId="14" fillId="26" borderId="27" xfId="113" applyFont="1" applyFill="1" applyBorder="1" applyAlignment="1">
      <alignment horizontal="center" vertical="center"/>
      <protection/>
    </xf>
    <xf numFmtId="0" fontId="9" fillId="0" borderId="29" xfId="113" applyFont="1" applyFill="1" applyBorder="1" applyAlignment="1">
      <alignment vertical="center"/>
      <protection/>
    </xf>
    <xf numFmtId="0" fontId="14" fillId="0" borderId="28" xfId="113" applyFont="1" applyFill="1" applyBorder="1" applyAlignment="1">
      <alignment vertical="center"/>
      <protection/>
    </xf>
    <xf numFmtId="3" fontId="14" fillId="0" borderId="29" xfId="110" applyNumberFormat="1" applyFont="1" applyBorder="1" applyAlignment="1">
      <alignment horizontal="left" vertical="center" wrapText="1"/>
      <protection/>
    </xf>
    <xf numFmtId="49" fontId="40" fillId="0" borderId="29" xfId="110" applyNumberFormat="1" applyFont="1" applyFill="1" applyBorder="1" applyAlignment="1">
      <alignment vertical="center" wrapText="1"/>
      <protection/>
    </xf>
    <xf numFmtId="49" fontId="14" fillId="0" borderId="31" xfId="110" applyNumberFormat="1" applyFont="1" applyBorder="1" applyAlignment="1">
      <alignment horizontal="left" vertical="center" wrapText="1"/>
      <protection/>
    </xf>
    <xf numFmtId="49" fontId="14" fillId="0" borderId="36" xfId="110" applyNumberFormat="1" applyFont="1" applyBorder="1" applyAlignment="1">
      <alignment horizontal="left" vertical="center" wrapText="1"/>
      <protection/>
    </xf>
    <xf numFmtId="0" fontId="14" fillId="0" borderId="29" xfId="113" applyFont="1" applyFill="1" applyBorder="1" applyAlignment="1">
      <alignment vertical="center"/>
      <protection/>
    </xf>
    <xf numFmtId="3" fontId="40" fillId="0" borderId="29" xfId="110" applyNumberFormat="1" applyFont="1" applyFill="1" applyBorder="1" applyAlignment="1">
      <alignment vertical="center" wrapText="1"/>
      <protection/>
    </xf>
    <xf numFmtId="3" fontId="14" fillId="0" borderId="29" xfId="108" applyNumberFormat="1" applyFont="1" applyFill="1" applyBorder="1" applyAlignment="1">
      <alignment horizontal="left" vertical="center" wrapText="1"/>
      <protection/>
    </xf>
    <xf numFmtId="49" fontId="14" fillId="0" borderId="29" xfId="108" applyNumberFormat="1" applyFont="1" applyFill="1" applyBorder="1" applyAlignment="1">
      <alignment vertical="center" wrapText="1"/>
      <protection/>
    </xf>
    <xf numFmtId="49" fontId="14" fillId="0" borderId="29" xfId="108" applyNumberFormat="1" applyFont="1" applyBorder="1" applyAlignment="1">
      <alignment horizontal="left" vertical="center" wrapText="1"/>
      <protection/>
    </xf>
    <xf numFmtId="0" fontId="14" fillId="0" borderId="29" xfId="110" applyFont="1" applyBorder="1" applyAlignment="1">
      <alignment horizontal="left" wrapText="1"/>
      <protection/>
    </xf>
    <xf numFmtId="0" fontId="8" fillId="26" borderId="36" xfId="110" applyFont="1" applyFill="1" applyBorder="1" applyAlignment="1">
      <alignment horizontal="left" vertical="top" wrapText="1"/>
      <protection/>
    </xf>
    <xf numFmtId="0" fontId="14" fillId="0" borderId="29" xfId="110" applyFont="1" applyFill="1" applyBorder="1">
      <alignment/>
      <protection/>
    </xf>
    <xf numFmtId="0" fontId="9" fillId="0" borderId="29" xfId="113" applyFont="1" applyFill="1" applyBorder="1" applyAlignment="1">
      <alignment vertical="center" wrapText="1"/>
      <protection/>
    </xf>
    <xf numFmtId="49" fontId="8" fillId="26" borderId="46" xfId="110" applyNumberFormat="1" applyFont="1" applyFill="1" applyBorder="1" applyAlignment="1">
      <alignment horizontal="left" vertical="top" wrapText="1"/>
      <protection/>
    </xf>
    <xf numFmtId="0" fontId="8" fillId="0" borderId="29" xfId="110" applyFont="1" applyBorder="1" applyAlignment="1">
      <alignment vertical="top" wrapText="1"/>
      <protection/>
    </xf>
    <xf numFmtId="49" fontId="40" fillId="0" borderId="29" xfId="106" applyNumberFormat="1" applyFont="1" applyFill="1" applyBorder="1" applyAlignment="1">
      <alignment horizontal="left" vertical="center" wrapText="1"/>
      <protection/>
    </xf>
    <xf numFmtId="0" fontId="13" fillId="25" borderId="27" xfId="113" applyFont="1" applyFill="1" applyBorder="1" applyAlignment="1">
      <alignment horizontal="center" vertical="center"/>
      <protection/>
    </xf>
    <xf numFmtId="0" fontId="13" fillId="26" borderId="29" xfId="113" applyFont="1" applyFill="1" applyBorder="1" applyAlignment="1">
      <alignment vertical="center"/>
      <protection/>
    </xf>
    <xf numFmtId="0" fontId="13" fillId="26" borderId="28" xfId="113" applyFont="1" applyFill="1" applyBorder="1" applyAlignment="1">
      <alignment vertical="center"/>
      <protection/>
    </xf>
    <xf numFmtId="3" fontId="14" fillId="26" borderId="27" xfId="113" applyNumberFormat="1" applyFont="1" applyFill="1" applyBorder="1" applyAlignment="1">
      <alignment vertical="center"/>
      <protection/>
    </xf>
    <xf numFmtId="3" fontId="14" fillId="0" borderId="29" xfId="106" applyNumberFormat="1" applyFont="1" applyFill="1" applyBorder="1" applyAlignment="1">
      <alignment vertical="center" wrapText="1"/>
      <protection/>
    </xf>
    <xf numFmtId="0" fontId="8" fillId="0" borderId="29" xfId="113" applyFont="1" applyFill="1" applyBorder="1" applyAlignment="1">
      <alignment vertical="center" wrapText="1"/>
      <protection/>
    </xf>
    <xf numFmtId="0" fontId="13" fillId="25" borderId="27" xfId="113" applyFont="1" applyFill="1" applyBorder="1" applyAlignment="1">
      <alignment horizontal="center" vertical="center" wrapText="1"/>
      <protection/>
    </xf>
    <xf numFmtId="0" fontId="9" fillId="25" borderId="29" xfId="113" applyFont="1" applyFill="1" applyBorder="1" applyAlignment="1">
      <alignment vertical="center" wrapText="1"/>
      <protection/>
    </xf>
    <xf numFmtId="0" fontId="9" fillId="25" borderId="28" xfId="113" applyFont="1" applyFill="1" applyBorder="1" applyAlignment="1">
      <alignment vertical="center" wrapText="1"/>
      <protection/>
    </xf>
    <xf numFmtId="3" fontId="13" fillId="25" borderId="27" xfId="113" applyNumberFormat="1" applyFont="1" applyFill="1" applyBorder="1" applyAlignment="1">
      <alignment vertical="center" wrapText="1"/>
      <protection/>
    </xf>
    <xf numFmtId="0" fontId="13" fillId="0" borderId="27" xfId="113" applyFont="1" applyFill="1" applyBorder="1" applyAlignment="1">
      <alignment horizontal="center" vertical="center" wrapText="1"/>
      <protection/>
    </xf>
    <xf numFmtId="0" fontId="9" fillId="0" borderId="28" xfId="113" applyFont="1" applyFill="1" applyBorder="1" applyAlignment="1">
      <alignment vertical="center" wrapText="1"/>
      <protection/>
    </xf>
    <xf numFmtId="3" fontId="13" fillId="0" borderId="27" xfId="113" applyNumberFormat="1" applyFont="1" applyFill="1" applyBorder="1" applyAlignment="1">
      <alignment vertical="center" wrapText="1"/>
      <protection/>
    </xf>
    <xf numFmtId="0" fontId="14" fillId="0" borderId="27" xfId="113" applyFont="1" applyFill="1" applyBorder="1" applyAlignment="1">
      <alignment horizontal="center" vertical="center" wrapText="1"/>
      <protection/>
    </xf>
    <xf numFmtId="0" fontId="14" fillId="0" borderId="29" xfId="113" applyFont="1" applyFill="1" applyBorder="1" applyAlignment="1">
      <alignment vertical="center" wrapText="1"/>
      <protection/>
    </xf>
    <xf numFmtId="0" fontId="8" fillId="0" borderId="28" xfId="113" applyFont="1" applyFill="1" applyBorder="1" applyAlignment="1">
      <alignment vertical="center" wrapText="1"/>
      <protection/>
    </xf>
    <xf numFmtId="0" fontId="9" fillId="0" borderId="29" xfId="113" applyFont="1" applyFill="1" applyBorder="1" applyAlignment="1">
      <alignment horizontal="left" vertical="center"/>
      <protection/>
    </xf>
    <xf numFmtId="0" fontId="14" fillId="0" borderId="29" xfId="113" applyFont="1" applyFill="1" applyBorder="1" applyAlignment="1">
      <alignment horizontal="left" vertical="center"/>
      <protection/>
    </xf>
    <xf numFmtId="0" fontId="9" fillId="0" borderId="28" xfId="113" applyFont="1" applyBorder="1" applyAlignment="1">
      <alignment vertical="center"/>
      <protection/>
    </xf>
    <xf numFmtId="3" fontId="14" fillId="0" borderId="27" xfId="113" applyNumberFormat="1" applyFont="1" applyBorder="1" applyAlignment="1">
      <alignment vertical="center"/>
      <protection/>
    </xf>
    <xf numFmtId="0" fontId="14" fillId="0" borderId="29" xfId="113" applyFont="1" applyBorder="1" applyAlignment="1">
      <alignment vertical="center"/>
      <protection/>
    </xf>
    <xf numFmtId="0" fontId="8" fillId="0" borderId="28" xfId="113" applyFont="1" applyBorder="1" applyAlignment="1">
      <alignment vertical="center"/>
      <protection/>
    </xf>
    <xf numFmtId="0" fontId="8" fillId="25" borderId="27" xfId="113" applyFont="1" applyFill="1" applyBorder="1" applyAlignment="1">
      <alignment horizontal="center" vertical="center"/>
      <protection/>
    </xf>
    <xf numFmtId="0" fontId="9" fillId="25" borderId="29" xfId="113" applyFont="1" applyFill="1" applyBorder="1" applyAlignment="1">
      <alignment vertical="center"/>
      <protection/>
    </xf>
    <xf numFmtId="0" fontId="9" fillId="25" borderId="28" xfId="113" applyFont="1" applyFill="1" applyBorder="1" applyAlignment="1">
      <alignment vertical="center"/>
      <protection/>
    </xf>
    <xf numFmtId="3" fontId="9" fillId="25" borderId="27" xfId="113" applyNumberFormat="1" applyFont="1" applyFill="1" applyBorder="1" applyAlignment="1">
      <alignment vertical="center"/>
      <protection/>
    </xf>
    <xf numFmtId="0" fontId="8" fillId="26" borderId="27" xfId="113" applyNumberFormat="1" applyFont="1" applyFill="1" applyBorder="1" applyAlignment="1">
      <alignment horizontal="center" vertical="center"/>
      <protection/>
    </xf>
    <xf numFmtId="0" fontId="8" fillId="26" borderId="27" xfId="113" applyFont="1" applyFill="1" applyBorder="1" applyAlignment="1">
      <alignment horizontal="center" vertical="center"/>
      <protection/>
    </xf>
    <xf numFmtId="0" fontId="8" fillId="26" borderId="28" xfId="113" applyFont="1" applyFill="1" applyBorder="1" applyAlignment="1">
      <alignment vertical="center"/>
      <protection/>
    </xf>
    <xf numFmtId="0" fontId="13" fillId="25" borderId="27" xfId="113" applyFont="1" applyFill="1" applyBorder="1" applyAlignment="1">
      <alignment vertical="center"/>
      <protection/>
    </xf>
    <xf numFmtId="0" fontId="6" fillId="26" borderId="0" xfId="113" applyFont="1" applyFill="1" applyBorder="1" applyAlignment="1">
      <alignment vertical="center"/>
      <protection/>
    </xf>
    <xf numFmtId="0" fontId="7" fillId="26" borderId="0" xfId="113" applyFont="1" applyFill="1" applyBorder="1" applyAlignment="1">
      <alignment vertical="center"/>
      <protection/>
    </xf>
    <xf numFmtId="3" fontId="7" fillId="26" borderId="0" xfId="113" applyNumberFormat="1" applyFont="1" applyFill="1" applyBorder="1" applyAlignment="1">
      <alignment vertical="center"/>
      <protection/>
    </xf>
    <xf numFmtId="3" fontId="6" fillId="26" borderId="0" xfId="113" applyNumberFormat="1" applyFont="1" applyFill="1" applyBorder="1" applyAlignment="1">
      <alignment vertical="center"/>
      <protection/>
    </xf>
    <xf numFmtId="0" fontId="6" fillId="0" borderId="0" xfId="113" applyFont="1" applyAlignment="1">
      <alignment horizontal="left" vertical="center"/>
      <protection/>
    </xf>
    <xf numFmtId="0" fontId="6" fillId="0" borderId="0" xfId="113" applyFont="1" applyAlignment="1">
      <alignment horizontal="center" vertical="center"/>
      <protection/>
    </xf>
    <xf numFmtId="0" fontId="9" fillId="4" borderId="14" xfId="0" applyFont="1" applyFill="1" applyBorder="1" applyAlignment="1">
      <alignment horizontal="center" vertical="center" wrapText="1"/>
    </xf>
    <xf numFmtId="0" fontId="8" fillId="0" borderId="23" xfId="111" applyFont="1" applyBorder="1" applyAlignment="1">
      <alignment vertical="center"/>
      <protection/>
    </xf>
    <xf numFmtId="3" fontId="8" fillId="24" borderId="23" xfId="111" applyNumberFormat="1" applyFont="1" applyFill="1" applyBorder="1" applyAlignment="1">
      <alignment vertical="center"/>
      <protection/>
    </xf>
    <xf numFmtId="0" fontId="39" fillId="4" borderId="14" xfId="111" applyFont="1" applyFill="1" applyBorder="1" applyAlignment="1">
      <alignment horizontal="center" vertical="center" wrapText="1"/>
      <protection/>
    </xf>
    <xf numFmtId="0" fontId="2" fillId="4" borderId="14" xfId="0" applyFont="1" applyFill="1" applyBorder="1" applyAlignment="1">
      <alignment horizontal="center" vertical="center" wrapText="1"/>
    </xf>
    <xf numFmtId="3" fontId="14" fillId="0" borderId="23" xfId="114" applyNumberFormat="1" applyFont="1" applyFill="1" applyBorder="1" applyAlignment="1">
      <alignment horizontal="center" vertical="center" wrapText="1"/>
      <protection/>
    </xf>
    <xf numFmtId="3" fontId="13" fillId="0" borderId="16" xfId="114" applyNumberFormat="1" applyFont="1" applyFill="1" applyBorder="1" applyAlignment="1">
      <alignment vertical="center"/>
      <protection/>
    </xf>
    <xf numFmtId="3" fontId="14" fillId="0" borderId="23" xfId="0" applyNumberFormat="1" applyFont="1" applyBorder="1" applyAlignment="1">
      <alignment vertical="center"/>
    </xf>
    <xf numFmtId="3" fontId="13" fillId="0" borderId="23" xfId="114" applyNumberFormat="1" applyFont="1" applyFill="1" applyBorder="1" applyAlignment="1">
      <alignment horizontal="center" vertical="center" wrapText="1"/>
      <protection/>
    </xf>
    <xf numFmtId="3" fontId="14" fillId="0" borderId="51" xfId="114" applyNumberFormat="1" applyFont="1" applyFill="1" applyBorder="1" applyAlignment="1">
      <alignment vertical="center"/>
      <protection/>
    </xf>
    <xf numFmtId="3" fontId="14" fillId="0" borderId="52" xfId="0" applyNumberFormat="1" applyFont="1" applyBorder="1" applyAlignment="1">
      <alignment vertical="center"/>
    </xf>
    <xf numFmtId="3" fontId="14" fillId="0" borderId="53" xfId="0" applyNumberFormat="1" applyFont="1" applyBorder="1" applyAlignment="1">
      <alignment vertical="center"/>
    </xf>
    <xf numFmtId="3" fontId="14" fillId="4" borderId="53" xfId="0" applyNumberFormat="1" applyFont="1" applyFill="1" applyBorder="1" applyAlignment="1">
      <alignment vertical="center"/>
    </xf>
    <xf numFmtId="3" fontId="14" fillId="0" borderId="53" xfId="0" applyNumberFormat="1" applyFont="1" applyFill="1" applyBorder="1" applyAlignment="1">
      <alignment vertical="center"/>
    </xf>
    <xf numFmtId="3" fontId="13" fillId="4" borderId="53" xfId="0" applyNumberFormat="1" applyFont="1" applyFill="1" applyBorder="1" applyAlignment="1">
      <alignment vertical="center"/>
    </xf>
    <xf numFmtId="3" fontId="13" fillId="0" borderId="53" xfId="0" applyNumberFormat="1" applyFont="1" applyFill="1" applyBorder="1" applyAlignment="1">
      <alignment vertical="center"/>
    </xf>
    <xf numFmtId="3" fontId="14" fillId="0" borderId="53" xfId="0" applyNumberFormat="1" applyFont="1" applyFill="1" applyBorder="1" applyAlignment="1">
      <alignment horizontal="left" vertical="center"/>
    </xf>
    <xf numFmtId="3" fontId="18" fillId="4" borderId="14" xfId="114" applyNumberFormat="1" applyFont="1" applyFill="1" applyBorder="1" applyAlignment="1">
      <alignment horizontal="center" vertical="center" wrapText="1"/>
      <protection/>
    </xf>
    <xf numFmtId="3" fontId="13" fillId="4" borderId="54" xfId="0" applyNumberFormat="1" applyFont="1" applyFill="1" applyBorder="1" applyAlignment="1">
      <alignment vertical="center" wrapText="1"/>
    </xf>
    <xf numFmtId="3" fontId="13" fillId="4" borderId="55" xfId="0" applyNumberFormat="1" applyFont="1" applyFill="1" applyBorder="1" applyAlignment="1">
      <alignment vertical="center"/>
    </xf>
    <xf numFmtId="3" fontId="13" fillId="4" borderId="55" xfId="0" applyNumberFormat="1" applyFont="1" applyFill="1" applyBorder="1" applyAlignment="1">
      <alignment vertical="center" wrapText="1"/>
    </xf>
    <xf numFmtId="3" fontId="13" fillId="4" borderId="56" xfId="0" applyNumberFormat="1" applyFont="1" applyFill="1" applyBorder="1" applyAlignment="1">
      <alignment vertical="center" wrapText="1"/>
    </xf>
    <xf numFmtId="3" fontId="13" fillId="4" borderId="57" xfId="0" applyNumberFormat="1" applyFont="1" applyFill="1" applyBorder="1" applyAlignment="1">
      <alignment vertical="center"/>
    </xf>
    <xf numFmtId="3" fontId="13" fillId="4" borderId="57" xfId="0" applyNumberFormat="1" applyFont="1" applyFill="1" applyBorder="1" applyAlignment="1">
      <alignment vertical="center" wrapText="1"/>
    </xf>
    <xf numFmtId="0" fontId="13" fillId="0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3" fontId="8" fillId="0" borderId="14" xfId="0" applyNumberFormat="1" applyFont="1" applyFill="1" applyBorder="1" applyAlignment="1">
      <alignment horizontal="left" vertical="center" wrapText="1"/>
    </xf>
    <xf numFmtId="3" fontId="14" fillId="0" borderId="14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 horizontal="right" vertical="center" wrapText="1"/>
    </xf>
    <xf numFmtId="3" fontId="8" fillId="4" borderId="25" xfId="0" applyNumberFormat="1" applyFont="1" applyFill="1" applyBorder="1" applyAlignment="1">
      <alignment horizontal="center" vertical="center" wrapText="1"/>
    </xf>
    <xf numFmtId="3" fontId="8" fillId="4" borderId="14" xfId="0" applyNumberFormat="1" applyFont="1" applyFill="1" applyBorder="1" applyAlignment="1">
      <alignment vertical="center" wrapText="1"/>
    </xf>
    <xf numFmtId="3" fontId="9" fillId="0" borderId="22" xfId="114" applyNumberFormat="1" applyFont="1" applyFill="1" applyBorder="1" applyAlignment="1">
      <alignment horizontal="center" vertical="center" wrapText="1"/>
      <protection/>
    </xf>
    <xf numFmtId="3" fontId="9" fillId="0" borderId="22" xfId="114" applyNumberFormat="1" applyFont="1" applyFill="1" applyBorder="1" applyAlignment="1">
      <alignment horizontal="left" vertical="center" wrapText="1"/>
      <protection/>
    </xf>
    <xf numFmtId="3" fontId="39" fillId="4" borderId="14" xfId="114" applyNumberFormat="1" applyFont="1" applyFill="1" applyBorder="1" applyAlignment="1">
      <alignment horizontal="center" vertical="center" wrapText="1"/>
      <protection/>
    </xf>
    <xf numFmtId="3" fontId="13" fillId="0" borderId="14" xfId="114" applyNumberFormat="1" applyFont="1" applyBorder="1" applyAlignment="1">
      <alignment vertical="center"/>
      <protection/>
    </xf>
    <xf numFmtId="0" fontId="14" fillId="25" borderId="58" xfId="103" applyFont="1" applyFill="1" applyBorder="1" applyAlignment="1">
      <alignment vertical="center"/>
      <protection/>
    </xf>
    <xf numFmtId="0" fontId="13" fillId="25" borderId="44" xfId="103" applyFont="1" applyFill="1" applyBorder="1" applyAlignment="1">
      <alignment horizontal="center" vertical="top"/>
      <protection/>
    </xf>
    <xf numFmtId="3" fontId="13" fillId="25" borderId="47" xfId="103" applyNumberFormat="1" applyFont="1" applyFill="1" applyBorder="1" applyAlignment="1">
      <alignment horizontal="center" vertical="center" wrapText="1"/>
      <protection/>
    </xf>
    <xf numFmtId="3" fontId="13" fillId="25" borderId="45" xfId="103" applyNumberFormat="1" applyFont="1" applyFill="1" applyBorder="1" applyAlignment="1">
      <alignment horizontal="center" vertical="center" wrapText="1"/>
      <protection/>
    </xf>
    <xf numFmtId="0" fontId="17" fillId="0" borderId="27" xfId="103" applyFont="1" applyBorder="1" applyAlignment="1">
      <alignment vertical="center"/>
      <protection/>
    </xf>
    <xf numFmtId="0" fontId="14" fillId="0" borderId="27" xfId="103" applyFont="1" applyBorder="1" applyAlignment="1">
      <alignment vertical="center"/>
      <protection/>
    </xf>
    <xf numFmtId="0" fontId="14" fillId="0" borderId="27" xfId="103" applyFont="1" applyBorder="1" applyAlignment="1">
      <alignment vertical="center" wrapText="1"/>
      <protection/>
    </xf>
    <xf numFmtId="49" fontId="14" fillId="0" borderId="27" xfId="103" applyNumberFormat="1" applyFont="1" applyBorder="1" applyAlignment="1">
      <alignment vertical="center" wrapText="1"/>
      <protection/>
    </xf>
    <xf numFmtId="3" fontId="14" fillId="0" borderId="27" xfId="103" applyNumberFormat="1" applyFont="1" applyBorder="1" applyAlignment="1">
      <alignment vertical="center"/>
      <protection/>
    </xf>
    <xf numFmtId="3" fontId="14" fillId="0" borderId="27" xfId="103" applyNumberFormat="1" applyFont="1" applyFill="1" applyBorder="1" applyAlignment="1">
      <alignment vertical="center"/>
      <protection/>
    </xf>
    <xf numFmtId="0" fontId="14" fillId="0" borderId="39" xfId="103" applyFont="1" applyBorder="1" applyAlignment="1">
      <alignment vertical="center"/>
      <protection/>
    </xf>
    <xf numFmtId="0" fontId="17" fillId="0" borderId="27" xfId="103" applyFont="1" applyBorder="1" applyAlignment="1">
      <alignment vertical="center" wrapText="1"/>
      <protection/>
    </xf>
    <xf numFmtId="0" fontId="14" fillId="0" borderId="27" xfId="103" applyFont="1" applyFill="1" applyBorder="1" applyAlignment="1">
      <alignment vertical="center"/>
      <protection/>
    </xf>
    <xf numFmtId="0" fontId="17" fillId="0" borderId="27" xfId="103" applyFont="1" applyFill="1" applyBorder="1" applyAlignment="1">
      <alignment vertical="center"/>
      <protection/>
    </xf>
    <xf numFmtId="0" fontId="13" fillId="25" borderId="27" xfId="103" applyFont="1" applyFill="1" applyBorder="1" applyAlignment="1">
      <alignment vertical="center"/>
      <protection/>
    </xf>
    <xf numFmtId="3" fontId="13" fillId="25" borderId="27" xfId="103" applyNumberFormat="1" applyFont="1" applyFill="1" applyBorder="1" applyAlignment="1">
      <alignment vertical="center"/>
      <protection/>
    </xf>
    <xf numFmtId="3" fontId="13" fillId="25" borderId="59" xfId="103" applyNumberFormat="1" applyFont="1" applyFill="1" applyBorder="1" applyAlignment="1">
      <alignment horizontal="center" vertical="center" wrapText="1"/>
      <protection/>
    </xf>
    <xf numFmtId="3" fontId="13" fillId="25" borderId="29" xfId="103" applyNumberFormat="1" applyFont="1" applyFill="1" applyBorder="1" applyAlignment="1">
      <alignment vertical="center"/>
      <protection/>
    </xf>
    <xf numFmtId="3" fontId="13" fillId="25" borderId="14" xfId="103" applyNumberFormat="1" applyFont="1" applyFill="1" applyBorder="1" applyAlignment="1">
      <alignment horizontal="center" vertical="center" wrapText="1"/>
      <protection/>
    </xf>
    <xf numFmtId="3" fontId="14" fillId="0" borderId="29" xfId="103" applyNumberFormat="1" applyFont="1" applyFill="1" applyBorder="1" applyAlignment="1">
      <alignment vertical="center"/>
      <protection/>
    </xf>
    <xf numFmtId="4" fontId="14" fillId="0" borderId="27" xfId="103" applyNumberFormat="1" applyFont="1" applyFill="1" applyBorder="1" applyAlignment="1">
      <alignment vertical="center"/>
      <protection/>
    </xf>
    <xf numFmtId="179" fontId="14" fillId="0" borderId="27" xfId="103" applyNumberFormat="1" applyFont="1" applyFill="1" applyBorder="1" applyAlignment="1">
      <alignment vertical="center"/>
      <protection/>
    </xf>
    <xf numFmtId="3" fontId="65" fillId="0" borderId="27" xfId="103" applyNumberFormat="1" applyFont="1" applyFill="1" applyBorder="1" applyAlignment="1">
      <alignment vertical="center"/>
      <protection/>
    </xf>
    <xf numFmtId="196" fontId="14" fillId="0" borderId="27" xfId="103" applyNumberFormat="1" applyFont="1" applyFill="1" applyBorder="1" applyAlignment="1">
      <alignment vertical="center"/>
      <protection/>
    </xf>
    <xf numFmtId="3" fontId="14" fillId="0" borderId="27" xfId="103" applyNumberFormat="1" applyFont="1" applyBorder="1" applyAlignment="1">
      <alignment horizontal="right" vertical="center"/>
      <protection/>
    </xf>
    <xf numFmtId="179" fontId="14" fillId="0" borderId="27" xfId="103" applyNumberFormat="1" applyFont="1" applyBorder="1" applyAlignment="1">
      <alignment vertical="center"/>
      <protection/>
    </xf>
    <xf numFmtId="0" fontId="17" fillId="0" borderId="39" xfId="103" applyFont="1" applyBorder="1" applyAlignment="1">
      <alignment vertical="center"/>
      <protection/>
    </xf>
    <xf numFmtId="3" fontId="14" fillId="0" borderId="27" xfId="103" applyNumberFormat="1" applyFont="1" applyFill="1" applyBorder="1" applyAlignment="1">
      <alignment horizontal="right" vertical="center"/>
      <protection/>
    </xf>
    <xf numFmtId="3" fontId="67" fillId="0" borderId="27" xfId="103" applyNumberFormat="1" applyFont="1" applyBorder="1" applyAlignment="1">
      <alignment vertical="center"/>
      <protection/>
    </xf>
    <xf numFmtId="0" fontId="14" fillId="0" borderId="17" xfId="111" applyFont="1" applyBorder="1" applyAlignment="1">
      <alignment vertical="center" wrapText="1"/>
      <protection/>
    </xf>
    <xf numFmtId="0" fontId="8" fillId="0" borderId="17" xfId="92" applyFont="1" applyFill="1" applyBorder="1" applyAlignment="1">
      <alignment vertical="center" wrapText="1"/>
      <protection/>
    </xf>
    <xf numFmtId="49" fontId="14" fillId="0" borderId="30" xfId="106" applyNumberFormat="1" applyFont="1" applyBorder="1" applyAlignment="1">
      <alignment horizontal="left" vertical="center" wrapText="1"/>
      <protection/>
    </xf>
    <xf numFmtId="0" fontId="8" fillId="0" borderId="17" xfId="99" applyFont="1" applyFill="1" applyBorder="1" applyAlignment="1">
      <alignment vertical="center" wrapText="1"/>
      <protection/>
    </xf>
    <xf numFmtId="0" fontId="8" fillId="0" borderId="36" xfId="105" applyFont="1" applyFill="1" applyBorder="1" applyAlignment="1">
      <alignment vertical="top" wrapText="1"/>
      <protection/>
    </xf>
    <xf numFmtId="49" fontId="8" fillId="0" borderId="29" xfId="110" applyNumberFormat="1" applyFont="1" applyFill="1" applyBorder="1" applyAlignment="1">
      <alignment vertical="top" wrapText="1"/>
      <protection/>
    </xf>
    <xf numFmtId="3" fontId="14" fillId="0" borderId="18" xfId="114" applyNumberFormat="1" applyFont="1" applyFill="1" applyBorder="1" applyAlignment="1">
      <alignment vertical="center"/>
      <protection/>
    </xf>
    <xf numFmtId="0" fontId="16" fillId="0" borderId="17" xfId="93" applyFont="1" applyBorder="1" applyAlignment="1">
      <alignment vertical="center"/>
      <protection/>
    </xf>
    <xf numFmtId="0" fontId="8" fillId="0" borderId="14" xfId="112" applyFont="1" applyFill="1" applyBorder="1" applyAlignment="1">
      <alignment vertical="center" wrapText="1"/>
      <protection/>
    </xf>
    <xf numFmtId="3" fontId="8" fillId="0" borderId="18" xfId="111" applyNumberFormat="1" applyFont="1" applyFill="1" applyBorder="1" applyAlignment="1">
      <alignment vertical="center"/>
      <protection/>
    </xf>
    <xf numFmtId="0" fontId="8" fillId="0" borderId="14" xfId="111" applyFont="1" applyBorder="1" applyAlignment="1">
      <alignment vertical="center" wrapText="1"/>
      <protection/>
    </xf>
    <xf numFmtId="3" fontId="8" fillId="0" borderId="17" xfId="0" applyNumberFormat="1" applyFont="1" applyBorder="1" applyAlignment="1">
      <alignment vertical="center" wrapText="1"/>
    </xf>
    <xf numFmtId="0" fontId="14" fillId="0" borderId="14" xfId="111" applyFont="1" applyBorder="1" applyAlignment="1">
      <alignment vertical="center" wrapText="1"/>
      <protection/>
    </xf>
    <xf numFmtId="3" fontId="8" fillId="0" borderId="14" xfId="109" applyNumberFormat="1" applyFont="1" applyBorder="1" applyAlignment="1">
      <alignment horizontal="right" vertical="center"/>
      <protection/>
    </xf>
    <xf numFmtId="3" fontId="14" fillId="0" borderId="16" xfId="0" applyNumberFormat="1" applyFont="1" applyFill="1" applyBorder="1" applyAlignment="1">
      <alignment horizontal="left" vertical="center"/>
    </xf>
    <xf numFmtId="3" fontId="8" fillId="0" borderId="28" xfId="110" applyNumberFormat="1" applyFont="1" applyFill="1" applyBorder="1" applyAlignment="1">
      <alignment horizontal="left" vertical="center" wrapText="1"/>
      <protection/>
    </xf>
    <xf numFmtId="0" fontId="8" fillId="0" borderId="28" xfId="102" applyFont="1" applyFill="1" applyBorder="1" applyAlignment="1">
      <alignment vertical="center"/>
      <protection/>
    </xf>
    <xf numFmtId="0" fontId="8" fillId="26" borderId="28" xfId="102" applyFont="1" applyFill="1" applyBorder="1" applyAlignment="1">
      <alignment vertical="top"/>
      <protection/>
    </xf>
    <xf numFmtId="0" fontId="8" fillId="26" borderId="28" xfId="102" applyFont="1" applyFill="1" applyBorder="1" applyAlignment="1">
      <alignment vertical="center"/>
      <protection/>
    </xf>
    <xf numFmtId="0" fontId="8" fillId="25" borderId="28" xfId="102" applyFont="1" applyFill="1" applyBorder="1" applyAlignment="1">
      <alignment vertical="center"/>
      <protection/>
    </xf>
    <xf numFmtId="0" fontId="8" fillId="0" borderId="28" xfId="102" applyFont="1" applyFill="1" applyBorder="1" applyAlignment="1">
      <alignment horizontal="left" vertical="center"/>
      <protection/>
    </xf>
    <xf numFmtId="0" fontId="8" fillId="0" borderId="28" xfId="113" applyFont="1" applyFill="1" applyBorder="1" applyAlignment="1">
      <alignment vertical="center"/>
      <protection/>
    </xf>
    <xf numFmtId="0" fontId="8" fillId="0" borderId="28" xfId="102" applyFont="1" applyBorder="1" applyAlignment="1">
      <alignment vertical="center"/>
      <protection/>
    </xf>
    <xf numFmtId="0" fontId="8" fillId="0" borderId="38" xfId="102" applyFont="1" applyFill="1" applyBorder="1" applyAlignment="1">
      <alignment horizontal="left" vertical="center"/>
      <protection/>
    </xf>
    <xf numFmtId="0" fontId="8" fillId="25" borderId="28" xfId="102" applyFont="1" applyFill="1" applyBorder="1" applyAlignment="1">
      <alignment horizontal="left" vertical="center"/>
      <protection/>
    </xf>
    <xf numFmtId="0" fontId="8" fillId="26" borderId="28" xfId="102" applyFont="1" applyFill="1" applyBorder="1" applyAlignment="1">
      <alignment horizontal="left" vertical="center"/>
      <protection/>
    </xf>
    <xf numFmtId="0" fontId="8" fillId="25" borderId="28" xfId="102" applyFont="1" applyFill="1" applyBorder="1">
      <alignment/>
      <protection/>
    </xf>
    <xf numFmtId="0" fontId="8" fillId="0" borderId="27" xfId="110" applyFont="1" applyFill="1" applyBorder="1" applyAlignment="1">
      <alignment horizontal="left" vertical="center" wrapText="1"/>
      <protection/>
    </xf>
    <xf numFmtId="3" fontId="8" fillId="0" borderId="27" xfId="110" applyNumberFormat="1" applyFont="1" applyFill="1" applyBorder="1" applyAlignment="1">
      <alignment horizontal="left" vertical="center" wrapText="1"/>
      <protection/>
    </xf>
    <xf numFmtId="0" fontId="5" fillId="0" borderId="27" xfId="102" applyFont="1" applyBorder="1">
      <alignment/>
      <protection/>
    </xf>
    <xf numFmtId="3" fontId="14" fillId="0" borderId="15" xfId="0" applyNumberFormat="1" applyFont="1" applyBorder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27" xfId="113" applyFont="1" applyFill="1" applyBorder="1" applyAlignment="1">
      <alignment vertical="center"/>
      <protection/>
    </xf>
    <xf numFmtId="3" fontId="14" fillId="0" borderId="60" xfId="103" applyNumberFormat="1" applyFont="1" applyFill="1" applyBorder="1" applyAlignment="1">
      <alignment vertical="center"/>
      <protection/>
    </xf>
    <xf numFmtId="3" fontId="14" fillId="0" borderId="27" xfId="110" applyNumberFormat="1" applyFont="1" applyFill="1" applyBorder="1" applyAlignment="1">
      <alignment horizontal="left" vertical="center"/>
      <protection/>
    </xf>
    <xf numFmtId="0" fontId="8" fillId="0" borderId="27" xfId="102" applyFont="1" applyFill="1" applyBorder="1" applyAlignment="1">
      <alignment horizontal="left" vertical="center"/>
      <protection/>
    </xf>
    <xf numFmtId="3" fontId="14" fillId="0" borderId="23" xfId="0" applyNumberFormat="1" applyFont="1" applyBorder="1" applyAlignment="1">
      <alignment horizontal="center" vertical="center"/>
    </xf>
    <xf numFmtId="3" fontId="14" fillId="4" borderId="23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3" fontId="13" fillId="4" borderId="15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60" fillId="4" borderId="14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3" fillId="25" borderId="33" xfId="113" applyFont="1" applyFill="1" applyBorder="1" applyAlignment="1">
      <alignment horizontal="center" vertical="center" wrapText="1"/>
      <protection/>
    </xf>
    <xf numFmtId="0" fontId="13" fillId="25" borderId="36" xfId="113" applyFont="1" applyFill="1" applyBorder="1" applyAlignment="1">
      <alignment horizontal="center" vertical="center" wrapText="1"/>
      <protection/>
    </xf>
    <xf numFmtId="0" fontId="13" fillId="25" borderId="61" xfId="113" applyFont="1" applyFill="1" applyBorder="1" applyAlignment="1">
      <alignment horizontal="center" vertical="center" wrapText="1"/>
      <protection/>
    </xf>
    <xf numFmtId="0" fontId="14" fillId="0" borderId="0" xfId="113" applyFont="1" applyBorder="1" applyAlignment="1">
      <alignment vertical="center"/>
      <protection/>
    </xf>
    <xf numFmtId="0" fontId="13" fillId="0" borderId="27" xfId="113" applyFont="1" applyBorder="1" applyAlignment="1">
      <alignment vertical="center"/>
      <protection/>
    </xf>
    <xf numFmtId="0" fontId="13" fillId="0" borderId="27" xfId="113" applyFont="1" applyFill="1" applyBorder="1" applyAlignment="1">
      <alignment vertical="center"/>
      <protection/>
    </xf>
    <xf numFmtId="3" fontId="14" fillId="0" borderId="27" xfId="110" applyNumberFormat="1" applyFont="1" applyBorder="1" applyAlignment="1">
      <alignment vertical="center"/>
      <protection/>
    </xf>
    <xf numFmtId="0" fontId="65" fillId="0" borderId="27" xfId="110" applyFont="1" applyFill="1" applyBorder="1" applyAlignment="1">
      <alignment horizontal="left" vertical="center" wrapText="1"/>
      <protection/>
    </xf>
    <xf numFmtId="3" fontId="65" fillId="0" borderId="27" xfId="110" applyNumberFormat="1" applyFont="1" applyFill="1" applyBorder="1" applyAlignment="1">
      <alignment horizontal="left" vertical="center" wrapText="1"/>
      <protection/>
    </xf>
    <xf numFmtId="3" fontId="14" fillId="0" borderId="27" xfId="110" applyNumberFormat="1" applyFont="1" applyFill="1" applyBorder="1" applyAlignment="1">
      <alignment horizontal="left" vertical="center" wrapText="1"/>
      <protection/>
    </xf>
    <xf numFmtId="0" fontId="14" fillId="25" borderId="27" xfId="113" applyFont="1" applyFill="1" applyBorder="1" applyAlignment="1">
      <alignment vertical="center"/>
      <protection/>
    </xf>
    <xf numFmtId="0" fontId="61" fillId="0" borderId="27" xfId="102" applyFont="1" applyFill="1" applyBorder="1" applyAlignment="1">
      <alignment horizontal="left" vertical="center"/>
      <protection/>
    </xf>
    <xf numFmtId="0" fontId="14" fillId="26" borderId="27" xfId="113" applyFont="1" applyFill="1" applyBorder="1" applyAlignment="1">
      <alignment vertical="center"/>
      <protection/>
    </xf>
    <xf numFmtId="0" fontId="8" fillId="25" borderId="27" xfId="113" applyFont="1" applyFill="1" applyBorder="1" applyAlignment="1">
      <alignment vertical="center" wrapText="1"/>
      <protection/>
    </xf>
    <xf numFmtId="0" fontId="8" fillId="0" borderId="27" xfId="113" applyFont="1" applyFill="1" applyBorder="1" applyAlignment="1">
      <alignment vertical="center" wrapText="1"/>
      <protection/>
    </xf>
    <xf numFmtId="0" fontId="8" fillId="0" borderId="27" xfId="113" applyFont="1" applyBorder="1" applyAlignment="1">
      <alignment vertical="center"/>
      <protection/>
    </xf>
    <xf numFmtId="0" fontId="8" fillId="25" borderId="27" xfId="113" applyFont="1" applyFill="1" applyBorder="1" applyAlignment="1">
      <alignment vertical="center"/>
      <protection/>
    </xf>
    <xf numFmtId="3" fontId="13" fillId="4" borderId="27" xfId="113" applyNumberFormat="1" applyFont="1" applyFill="1" applyBorder="1" applyAlignment="1">
      <alignment vertical="center"/>
      <protection/>
    </xf>
    <xf numFmtId="0" fontId="8" fillId="26" borderId="27" xfId="113" applyFont="1" applyFill="1" applyBorder="1" applyAlignment="1">
      <alignment vertical="center"/>
      <protection/>
    </xf>
    <xf numFmtId="0" fontId="13" fillId="4" borderId="10" xfId="0" applyFont="1" applyFill="1" applyBorder="1" applyAlignment="1">
      <alignment/>
    </xf>
    <xf numFmtId="0" fontId="13" fillId="4" borderId="11" xfId="0" applyFont="1" applyFill="1" applyBorder="1" applyAlignment="1">
      <alignment/>
    </xf>
    <xf numFmtId="0" fontId="13" fillId="4" borderId="62" xfId="0" applyFont="1" applyFill="1" applyBorder="1" applyAlignment="1">
      <alignment/>
    </xf>
    <xf numFmtId="3" fontId="14" fillId="0" borderId="17" xfId="114" applyNumberFormat="1" applyFont="1" applyFill="1" applyBorder="1" applyAlignment="1">
      <alignment horizontal="right" vertical="center"/>
      <protection/>
    </xf>
    <xf numFmtId="0" fontId="8" fillId="26" borderId="28" xfId="102" applyFont="1" applyFill="1" applyBorder="1" applyAlignment="1">
      <alignment horizontal="center" vertical="center"/>
      <protection/>
    </xf>
    <xf numFmtId="0" fontId="9" fillId="0" borderId="14" xfId="111" applyFont="1" applyBorder="1" applyAlignment="1">
      <alignment horizontal="center" vertical="center"/>
      <protection/>
    </xf>
    <xf numFmtId="3" fontId="14" fillId="0" borderId="18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14" fillId="0" borderId="18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vertical="center" wrapText="1"/>
    </xf>
    <xf numFmtId="3" fontId="14" fillId="0" borderId="16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/>
    </xf>
    <xf numFmtId="0" fontId="14" fillId="24" borderId="17" xfId="93" applyFont="1" applyFill="1" applyBorder="1" applyAlignment="1">
      <alignment horizontal="left" vertical="center" wrapText="1"/>
      <protection/>
    </xf>
    <xf numFmtId="0" fontId="13" fillId="0" borderId="63" xfId="113" applyFont="1" applyFill="1" applyBorder="1" applyAlignment="1">
      <alignment vertical="center"/>
      <protection/>
    </xf>
    <xf numFmtId="0" fontId="13" fillId="0" borderId="64" xfId="113" applyFont="1" applyFill="1" applyBorder="1" applyAlignment="1">
      <alignment vertical="center"/>
      <protection/>
    </xf>
    <xf numFmtId="0" fontId="14" fillId="0" borderId="65" xfId="113" applyFont="1" applyFill="1" applyBorder="1" applyAlignment="1">
      <alignment vertical="center"/>
      <protection/>
    </xf>
    <xf numFmtId="0" fontId="8" fillId="0" borderId="63" xfId="102" applyFont="1" applyFill="1" applyBorder="1" applyAlignment="1">
      <alignment horizontal="left" vertical="center"/>
      <protection/>
    </xf>
    <xf numFmtId="0" fontId="8" fillId="0" borderId="64" xfId="102" applyFont="1" applyFill="1" applyBorder="1" applyAlignment="1">
      <alignment horizontal="left" vertical="center"/>
      <protection/>
    </xf>
    <xf numFmtId="0" fontId="9" fillId="25" borderId="38" xfId="102" applyFont="1" applyFill="1" applyBorder="1" applyAlignment="1">
      <alignment horizontal="center" vertical="center" wrapText="1"/>
      <protection/>
    </xf>
    <xf numFmtId="0" fontId="9" fillId="25" borderId="38" xfId="102" applyFont="1" applyFill="1" applyBorder="1" applyAlignment="1">
      <alignment horizontal="center" vertical="center" wrapText="1"/>
      <protection/>
    </xf>
    <xf numFmtId="3" fontId="9" fillId="25" borderId="27" xfId="102" applyNumberFormat="1" applyFont="1" applyFill="1" applyBorder="1" applyAlignment="1">
      <alignment horizontal="left" vertical="center" wrapText="1"/>
      <protection/>
    </xf>
    <xf numFmtId="3" fontId="14" fillId="0" borderId="14" xfId="114" applyNumberFormat="1" applyFont="1" applyFill="1" applyBorder="1" applyAlignment="1">
      <alignment horizontal="right" vertical="center"/>
      <protection/>
    </xf>
    <xf numFmtId="3" fontId="14" fillId="0" borderId="18" xfId="0" applyNumberFormat="1" applyFont="1" applyFill="1" applyBorder="1" applyAlignment="1">
      <alignment horizontal="left" vertical="center" wrapText="1"/>
    </xf>
    <xf numFmtId="0" fontId="14" fillId="0" borderId="0" xfId="93" applyFont="1" applyFill="1" applyBorder="1" applyAlignment="1">
      <alignment horizontal="left" vertical="center" wrapText="1"/>
      <protection/>
    </xf>
    <xf numFmtId="0" fontId="14" fillId="0" borderId="36" xfId="96" applyFont="1" applyFill="1" applyBorder="1" applyAlignment="1">
      <alignment vertical="center"/>
      <protection/>
    </xf>
    <xf numFmtId="49" fontId="14" fillId="0" borderId="36" xfId="110" applyNumberFormat="1" applyFont="1" applyFill="1" applyBorder="1" applyAlignment="1">
      <alignment horizontal="left" vertical="center" wrapText="1"/>
      <protection/>
    </xf>
    <xf numFmtId="0" fontId="8" fillId="0" borderId="27" xfId="110" applyFont="1" applyFill="1" applyBorder="1" applyAlignment="1">
      <alignment vertical="top" wrapText="1"/>
      <protection/>
    </xf>
    <xf numFmtId="0" fontId="8" fillId="26" borderId="27" xfId="102" applyFont="1" applyFill="1" applyBorder="1" applyAlignment="1">
      <alignment vertical="top"/>
      <protection/>
    </xf>
    <xf numFmtId="3" fontId="14" fillId="0" borderId="27" xfId="0" applyNumberFormat="1" applyFont="1" applyFill="1" applyBorder="1" applyAlignment="1">
      <alignment vertical="center"/>
    </xf>
    <xf numFmtId="3" fontId="8" fillId="0" borderId="27" xfId="102" applyNumberFormat="1" applyFont="1" applyBorder="1" applyAlignment="1">
      <alignment horizontal="right" vertical="center"/>
      <protection/>
    </xf>
    <xf numFmtId="3" fontId="8" fillId="0" borderId="17" xfId="0" applyNumberFormat="1" applyFont="1" applyFill="1" applyBorder="1" applyAlignment="1">
      <alignment horizontal="left" vertical="center" wrapText="1"/>
    </xf>
    <xf numFmtId="3" fontId="8" fillId="26" borderId="27" xfId="113" applyNumberFormat="1" applyFont="1" applyFill="1" applyBorder="1" applyAlignment="1">
      <alignment vertical="center"/>
      <protection/>
    </xf>
    <xf numFmtId="0" fontId="8" fillId="0" borderId="14" xfId="111" applyFont="1" applyBorder="1" applyAlignment="1">
      <alignment vertical="center"/>
      <protection/>
    </xf>
    <xf numFmtId="0" fontId="8" fillId="0" borderId="14" xfId="98" applyFont="1" applyFill="1" applyBorder="1" applyAlignment="1">
      <alignment vertical="top" wrapText="1"/>
      <protection/>
    </xf>
    <xf numFmtId="0" fontId="16" fillId="0" borderId="14" xfId="93" applyFont="1" applyBorder="1" applyAlignment="1">
      <alignment vertical="center"/>
      <protection/>
    </xf>
    <xf numFmtId="3" fontId="16" fillId="0" borderId="23" xfId="114" applyNumberFormat="1" applyFont="1" applyBorder="1" applyAlignment="1">
      <alignment vertical="center"/>
      <protection/>
    </xf>
    <xf numFmtId="3" fontId="9" fillId="27" borderId="14" xfId="114" applyNumberFormat="1" applyFont="1" applyFill="1" applyBorder="1" applyAlignment="1">
      <alignment horizontal="center" vertical="center" wrapText="1"/>
      <protection/>
    </xf>
    <xf numFmtId="3" fontId="16" fillId="0" borderId="17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 vertical="center" wrapText="1"/>
    </xf>
    <xf numFmtId="0" fontId="14" fillId="0" borderId="17" xfId="112" applyFont="1" applyFill="1" applyBorder="1" applyAlignment="1">
      <alignment vertical="center" wrapText="1"/>
      <protection/>
    </xf>
    <xf numFmtId="3" fontId="14" fillId="0" borderId="18" xfId="0" applyNumberFormat="1" applyFont="1" applyBorder="1" applyAlignment="1">
      <alignment horizontal="left" vertical="center"/>
    </xf>
    <xf numFmtId="0" fontId="14" fillId="0" borderId="27" xfId="93" applyFont="1" applyFill="1" applyBorder="1" applyAlignment="1">
      <alignment horizontal="left" vertical="center" wrapText="1"/>
      <protection/>
    </xf>
    <xf numFmtId="49" fontId="40" fillId="0" borderId="31" xfId="106" applyNumberFormat="1" applyFont="1" applyFill="1" applyBorder="1" applyAlignment="1">
      <alignment horizontal="left" vertical="top" wrapText="1"/>
      <protection/>
    </xf>
    <xf numFmtId="0" fontId="8" fillId="0" borderId="36" xfId="113" applyFont="1" applyFill="1" applyBorder="1" applyAlignment="1">
      <alignment vertical="top" wrapText="1"/>
      <protection/>
    </xf>
    <xf numFmtId="0" fontId="14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wrapText="1"/>
    </xf>
    <xf numFmtId="0" fontId="0" fillId="0" borderId="32" xfId="110" applyFont="1" applyFill="1" applyBorder="1" applyAlignment="1">
      <alignment vertical="center"/>
      <protection/>
    </xf>
    <xf numFmtId="0" fontId="14" fillId="0" borderId="0" xfId="112" applyFont="1" applyFill="1" applyBorder="1" applyAlignment="1">
      <alignment vertical="center" wrapText="1"/>
      <protection/>
    </xf>
    <xf numFmtId="3" fontId="14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/>
    </xf>
    <xf numFmtId="0" fontId="5" fillId="0" borderId="14" xfId="97" applyBorder="1" applyAlignment="1">
      <alignment vertical="center"/>
      <protection/>
    </xf>
    <xf numFmtId="3" fontId="14" fillId="0" borderId="29" xfId="0" applyNumberFormat="1" applyFont="1" applyFill="1" applyBorder="1" applyAlignment="1">
      <alignment vertical="center"/>
    </xf>
    <xf numFmtId="0" fontId="8" fillId="0" borderId="17" xfId="111" applyFont="1" applyBorder="1" applyAlignment="1">
      <alignment vertical="center" wrapText="1"/>
      <protection/>
    </xf>
    <xf numFmtId="3" fontId="14" fillId="0" borderId="17" xfId="0" applyNumberFormat="1" applyFont="1" applyFill="1" applyBorder="1" applyAlignment="1">
      <alignment vertical="center" wrapText="1"/>
    </xf>
    <xf numFmtId="0" fontId="8" fillId="0" borderId="29" xfId="101" applyFont="1" applyFill="1" applyBorder="1" applyAlignment="1">
      <alignment vertical="center"/>
      <protection/>
    </xf>
    <xf numFmtId="0" fontId="14" fillId="0" borderId="51" xfId="111" applyFont="1" applyFill="1" applyBorder="1" applyAlignment="1">
      <alignment vertical="center" wrapText="1"/>
      <protection/>
    </xf>
    <xf numFmtId="3" fontId="13" fillId="25" borderId="56" xfId="103" applyNumberFormat="1" applyFont="1" applyFill="1" applyBorder="1" applyAlignment="1">
      <alignment horizontal="center" vertical="center"/>
      <protection/>
    </xf>
    <xf numFmtId="3" fontId="13" fillId="25" borderId="66" xfId="103" applyNumberFormat="1" applyFont="1" applyFill="1" applyBorder="1" applyAlignment="1">
      <alignment horizontal="center" vertical="center"/>
      <protection/>
    </xf>
    <xf numFmtId="3" fontId="13" fillId="25" borderId="14" xfId="103" applyNumberFormat="1" applyFont="1" applyFill="1" applyBorder="1" applyAlignment="1">
      <alignment horizontal="center" vertical="center"/>
      <protection/>
    </xf>
    <xf numFmtId="0" fontId="2" fillId="4" borderId="14" xfId="0" applyFont="1" applyFill="1" applyBorder="1" applyAlignment="1">
      <alignment horizontal="center" vertical="center" wrapText="1"/>
    </xf>
    <xf numFmtId="0" fontId="13" fillId="4" borderId="14" xfId="93" applyFont="1" applyFill="1" applyBorder="1" applyAlignment="1">
      <alignment horizontal="center" vertical="center" wrapText="1"/>
      <protection/>
    </xf>
    <xf numFmtId="0" fontId="2" fillId="4" borderId="25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3" fontId="18" fillId="4" borderId="67" xfId="0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 wrapText="1"/>
    </xf>
    <xf numFmtId="0" fontId="13" fillId="4" borderId="69" xfId="0" applyFont="1" applyFill="1" applyBorder="1" applyAlignment="1">
      <alignment horizontal="center" vertical="center" wrapText="1"/>
    </xf>
    <xf numFmtId="0" fontId="9" fillId="4" borderId="29" xfId="102" applyFont="1" applyFill="1" applyBorder="1" applyAlignment="1">
      <alignment horizontal="center" vertical="center" wrapText="1"/>
      <protection/>
    </xf>
    <xf numFmtId="0" fontId="9" fillId="4" borderId="37" xfId="102" applyFont="1" applyFill="1" applyBorder="1" applyAlignment="1">
      <alignment horizontal="center" vertical="center" wrapText="1"/>
      <protection/>
    </xf>
    <xf numFmtId="0" fontId="9" fillId="4" borderId="28" xfId="102" applyFont="1" applyFill="1" applyBorder="1" applyAlignment="1">
      <alignment horizontal="center" vertical="center" wrapText="1"/>
      <protection/>
    </xf>
    <xf numFmtId="0" fontId="39" fillId="25" borderId="41" xfId="102" applyFont="1" applyFill="1" applyBorder="1" applyAlignment="1">
      <alignment horizontal="center" vertical="center" wrapText="1"/>
      <protection/>
    </xf>
    <xf numFmtId="0" fontId="2" fillId="0" borderId="45" xfId="0" applyFont="1" applyBorder="1" applyAlignment="1">
      <alignment horizontal="center" wrapText="1"/>
    </xf>
    <xf numFmtId="0" fontId="9" fillId="25" borderId="40" xfId="102" applyFont="1" applyFill="1" applyBorder="1" applyAlignment="1">
      <alignment horizontal="center" vertical="center" wrapText="1"/>
      <protection/>
    </xf>
    <xf numFmtId="0" fontId="3" fillId="0" borderId="44" xfId="0" applyFont="1" applyBorder="1" applyAlignment="1">
      <alignment horizontal="center" vertical="center" wrapText="1"/>
    </xf>
    <xf numFmtId="0" fontId="9" fillId="25" borderId="41" xfId="102" applyFont="1" applyFill="1" applyBorder="1" applyAlignment="1">
      <alignment horizontal="center" vertical="center" wrapText="1"/>
      <protection/>
    </xf>
    <xf numFmtId="0" fontId="3" fillId="0" borderId="45" xfId="0" applyFont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9" fillId="25" borderId="42" xfId="102" applyFont="1" applyFill="1" applyBorder="1" applyAlignment="1">
      <alignment horizontal="center" vertical="center" wrapText="1"/>
      <protection/>
    </xf>
    <xf numFmtId="0" fontId="3" fillId="0" borderId="43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9" fillId="25" borderId="70" xfId="102" applyFont="1" applyFill="1" applyBorder="1" applyAlignment="1">
      <alignment horizontal="center" vertical="center" wrapText="1"/>
      <protection/>
    </xf>
    <xf numFmtId="0" fontId="9" fillId="25" borderId="71" xfId="102" applyFont="1" applyFill="1" applyBorder="1" applyAlignment="1">
      <alignment horizontal="center" vertical="center" wrapText="1"/>
      <protection/>
    </xf>
    <xf numFmtId="0" fontId="9" fillId="25" borderId="48" xfId="102" applyFont="1" applyFill="1" applyBorder="1" applyAlignment="1">
      <alignment horizontal="center" vertical="center" wrapText="1"/>
      <protection/>
    </xf>
    <xf numFmtId="0" fontId="9" fillId="4" borderId="27" xfId="102" applyFont="1" applyFill="1" applyBorder="1" applyAlignment="1">
      <alignment horizontal="center" vertical="center" wrapText="1"/>
      <protection/>
    </xf>
    <xf numFmtId="3" fontId="8" fillId="0" borderId="17" xfId="0" applyNumberFormat="1" applyFont="1" applyFill="1" applyBorder="1" applyAlignment="1">
      <alignment vertical="center" wrapText="1"/>
    </xf>
    <xf numFmtId="3" fontId="8" fillId="0" borderId="18" xfId="0" applyNumberFormat="1" applyFont="1" applyFill="1" applyBorder="1" applyAlignment="1">
      <alignment vertical="center" wrapText="1"/>
    </xf>
    <xf numFmtId="3" fontId="14" fillId="0" borderId="17" xfId="0" applyNumberFormat="1" applyFont="1" applyFill="1" applyBorder="1" applyAlignment="1">
      <alignment horizontal="left" vertical="center"/>
    </xf>
    <xf numFmtId="3" fontId="14" fillId="0" borderId="18" xfId="0" applyNumberFormat="1" applyFont="1" applyFill="1" applyBorder="1" applyAlignment="1">
      <alignment horizontal="left" vertical="center"/>
    </xf>
    <xf numFmtId="0" fontId="13" fillId="4" borderId="17" xfId="113" applyFont="1" applyFill="1" applyBorder="1" applyAlignment="1">
      <alignment horizontal="center" vertical="center" wrapText="1"/>
      <protection/>
    </xf>
    <xf numFmtId="0" fontId="13" fillId="4" borderId="15" xfId="113" applyFont="1" applyFill="1" applyBorder="1" applyAlignment="1">
      <alignment horizontal="center" vertical="center" wrapText="1"/>
      <protection/>
    </xf>
    <xf numFmtId="0" fontId="13" fillId="4" borderId="18" xfId="113" applyFont="1" applyFill="1" applyBorder="1" applyAlignment="1">
      <alignment horizontal="center" vertical="center" wrapText="1"/>
      <protection/>
    </xf>
    <xf numFmtId="3" fontId="16" fillId="0" borderId="29" xfId="110" applyNumberFormat="1" applyFont="1" applyBorder="1" applyAlignment="1">
      <alignment vertical="center"/>
      <protection/>
    </xf>
    <xf numFmtId="3" fontId="16" fillId="0" borderId="28" xfId="110" applyNumberFormat="1" applyFont="1" applyBorder="1" applyAlignment="1">
      <alignment vertical="center"/>
      <protection/>
    </xf>
    <xf numFmtId="0" fontId="13" fillId="25" borderId="70" xfId="113" applyFont="1" applyFill="1" applyBorder="1" applyAlignment="1">
      <alignment horizontal="center" vertical="center" wrapText="1"/>
      <protection/>
    </xf>
    <xf numFmtId="0" fontId="13" fillId="25" borderId="71" xfId="113" applyFont="1" applyFill="1" applyBorder="1" applyAlignment="1">
      <alignment horizontal="center" vertical="center" wrapText="1"/>
      <protection/>
    </xf>
    <xf numFmtId="0" fontId="13" fillId="25" borderId="72" xfId="113" applyFont="1" applyFill="1" applyBorder="1" applyAlignment="1">
      <alignment horizontal="center" vertical="center" wrapText="1"/>
      <protection/>
    </xf>
    <xf numFmtId="0" fontId="13" fillId="25" borderId="41" xfId="113" applyFont="1" applyFill="1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9" fillId="4" borderId="14" xfId="109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25" xfId="109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wrapText="1"/>
    </xf>
    <xf numFmtId="0" fontId="39" fillId="4" borderId="25" xfId="109" applyFont="1" applyFill="1" applyBorder="1" applyAlignment="1">
      <alignment horizontal="center" vertical="center" wrapText="1"/>
      <protection/>
    </xf>
    <xf numFmtId="0" fontId="39" fillId="4" borderId="23" xfId="109" applyFont="1" applyFill="1" applyBorder="1" applyAlignment="1">
      <alignment horizontal="center" vertical="center" wrapText="1"/>
      <protection/>
    </xf>
    <xf numFmtId="0" fontId="9" fillId="4" borderId="17" xfId="11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4" borderId="17" xfId="11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9" fillId="4" borderId="25" xfId="111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3" fontId="14" fillId="0" borderId="18" xfId="0" applyNumberFormat="1" applyFont="1" applyFill="1" applyBorder="1" applyAlignment="1">
      <alignment vertical="center" wrapText="1"/>
    </xf>
    <xf numFmtId="3" fontId="14" fillId="0" borderId="17" xfId="114" applyNumberFormat="1" applyFont="1" applyFill="1" applyBorder="1" applyAlignment="1">
      <alignment horizontal="left" vertical="center" wrapText="1"/>
      <protection/>
    </xf>
    <xf numFmtId="3" fontId="14" fillId="0" borderId="15" xfId="114" applyNumberFormat="1" applyFont="1" applyFill="1" applyBorder="1" applyAlignment="1">
      <alignment horizontal="left" vertical="center" wrapText="1"/>
      <protection/>
    </xf>
    <xf numFmtId="3" fontId="66" fillId="4" borderId="74" xfId="0" applyNumberFormat="1" applyFont="1" applyFill="1" applyBorder="1" applyAlignment="1">
      <alignment horizontal="center" vertical="center" wrapText="1"/>
    </xf>
    <xf numFmtId="0" fontId="39" fillId="4" borderId="53" xfId="0" applyFont="1" applyFill="1" applyBorder="1" applyAlignment="1">
      <alignment horizontal="center" vertical="center"/>
    </xf>
    <xf numFmtId="3" fontId="18" fillId="4" borderId="75" xfId="114" applyNumberFormat="1" applyFont="1" applyFill="1" applyBorder="1" applyAlignment="1">
      <alignment horizontal="center" vertical="center" wrapText="1"/>
      <protection/>
    </xf>
    <xf numFmtId="3" fontId="18" fillId="4" borderId="14" xfId="0" applyNumberFormat="1" applyFont="1" applyFill="1" applyBorder="1" applyAlignment="1">
      <alignment vertical="center" wrapText="1"/>
    </xf>
    <xf numFmtId="0" fontId="0" fillId="0" borderId="14" xfId="0" applyBorder="1" applyAlignment="1">
      <alignment wrapText="1"/>
    </xf>
    <xf numFmtId="3" fontId="39" fillId="4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3" fontId="14" fillId="0" borderId="17" xfId="114" applyNumberFormat="1" applyFont="1" applyFill="1" applyBorder="1" applyAlignment="1">
      <alignment horizontal="left" vertical="center"/>
      <protection/>
    </xf>
    <xf numFmtId="3" fontId="14" fillId="0" borderId="18" xfId="114" applyNumberFormat="1" applyFont="1" applyFill="1" applyBorder="1" applyAlignment="1">
      <alignment horizontal="left" vertical="center"/>
      <protection/>
    </xf>
    <xf numFmtId="3" fontId="16" fillId="0" borderId="17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3" fontId="13" fillId="0" borderId="76" xfId="0" applyNumberFormat="1" applyFont="1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14" fillId="0" borderId="17" xfId="98" applyFont="1" applyFill="1" applyBorder="1" applyAlignment="1">
      <alignment vertical="center"/>
      <protection/>
    </xf>
    <xf numFmtId="0" fontId="40" fillId="0" borderId="15" xfId="0" applyFont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13" fillId="4" borderId="17" xfId="93" applyFont="1" applyFill="1" applyBorder="1" applyAlignment="1">
      <alignment vertical="center" wrapText="1"/>
      <protection/>
    </xf>
    <xf numFmtId="0" fontId="0" fillId="0" borderId="15" xfId="0" applyBorder="1" applyAlignment="1">
      <alignment vertical="center"/>
    </xf>
    <xf numFmtId="3" fontId="14" fillId="0" borderId="17" xfId="0" applyNumberFormat="1" applyFont="1" applyFill="1" applyBorder="1" applyAlignment="1">
      <alignment horizontal="left" vertical="center" wrapText="1"/>
    </xf>
    <xf numFmtId="3" fontId="14" fillId="0" borderId="18" xfId="0" applyNumberFormat="1" applyFont="1" applyFill="1" applyBorder="1" applyAlignment="1">
      <alignment horizontal="left" vertical="center" wrapText="1"/>
    </xf>
    <xf numFmtId="3" fontId="14" fillId="0" borderId="17" xfId="114" applyNumberFormat="1" applyFont="1" applyBorder="1" applyAlignment="1">
      <alignment horizontal="left" vertical="center"/>
      <protection/>
    </xf>
    <xf numFmtId="3" fontId="14" fillId="0" borderId="18" xfId="114" applyNumberFormat="1" applyFont="1" applyBorder="1" applyAlignment="1">
      <alignment horizontal="left" vertical="center"/>
      <protection/>
    </xf>
    <xf numFmtId="3" fontId="18" fillId="4" borderId="10" xfId="114" applyNumberFormat="1" applyFont="1" applyFill="1" applyBorder="1" applyAlignment="1">
      <alignment horizontal="center" vertical="center" wrapText="1"/>
      <protection/>
    </xf>
    <xf numFmtId="0" fontId="0" fillId="0" borderId="77" xfId="0" applyBorder="1" applyAlignment="1">
      <alignment horizontal="center" vertical="center"/>
    </xf>
    <xf numFmtId="3" fontId="18" fillId="4" borderId="11" xfId="114" applyNumberFormat="1" applyFont="1" applyFill="1" applyBorder="1" applyAlignment="1">
      <alignment horizontal="center" vertical="center" wrapText="1"/>
      <protection/>
    </xf>
    <xf numFmtId="3" fontId="18" fillId="4" borderId="78" xfId="114" applyNumberFormat="1" applyFont="1" applyFill="1" applyBorder="1" applyAlignment="1">
      <alignment horizontal="center" vertical="center"/>
      <protection/>
    </xf>
    <xf numFmtId="0" fontId="0" fillId="0" borderId="7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3" fontId="14" fillId="0" borderId="17" xfId="114" applyNumberFormat="1" applyFont="1" applyFill="1" applyBorder="1" applyAlignment="1">
      <alignment vertical="center"/>
      <protection/>
    </xf>
    <xf numFmtId="3" fontId="14" fillId="0" borderId="18" xfId="114" applyNumberFormat="1" applyFont="1" applyFill="1" applyBorder="1" applyAlignment="1">
      <alignment vertical="center"/>
      <protection/>
    </xf>
    <xf numFmtId="3" fontId="14" fillId="0" borderId="17" xfId="0" applyNumberFormat="1" applyFont="1" applyBorder="1" applyAlignment="1">
      <alignment horizontal="left" vertical="center"/>
    </xf>
    <xf numFmtId="3" fontId="14" fillId="0" borderId="18" xfId="0" applyNumberFormat="1" applyFont="1" applyBorder="1" applyAlignment="1">
      <alignment horizontal="left" vertical="center"/>
    </xf>
    <xf numFmtId="3" fontId="16" fillId="0" borderId="17" xfId="0" applyNumberFormat="1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vertical="center" wrapText="1"/>
    </xf>
    <xf numFmtId="3" fontId="14" fillId="0" borderId="18" xfId="0" applyNumberFormat="1" applyFont="1" applyBorder="1" applyAlignment="1">
      <alignment vertical="center" wrapText="1"/>
    </xf>
    <xf numFmtId="49" fontId="14" fillId="0" borderId="17" xfId="0" applyNumberFormat="1" applyFont="1" applyFill="1" applyBorder="1" applyAlignment="1">
      <alignment horizontal="left" vertical="center"/>
    </xf>
    <xf numFmtId="49" fontId="14" fillId="0" borderId="18" xfId="0" applyNumberFormat="1" applyFont="1" applyFill="1" applyBorder="1" applyAlignment="1">
      <alignment horizontal="left" vertical="center"/>
    </xf>
    <xf numFmtId="0" fontId="14" fillId="0" borderId="17" xfId="111" applyFont="1" applyFill="1" applyBorder="1" applyAlignment="1">
      <alignment vertical="center"/>
      <protection/>
    </xf>
    <xf numFmtId="0" fontId="14" fillId="0" borderId="15" xfId="111" applyFont="1" applyFill="1" applyBorder="1" applyAlignment="1">
      <alignment vertical="center"/>
      <protection/>
    </xf>
    <xf numFmtId="0" fontId="8" fillId="0" borderId="17" xfId="95" applyFont="1" applyFill="1" applyBorder="1" applyAlignment="1">
      <alignment horizontal="left" vertical="center" wrapText="1"/>
      <protection/>
    </xf>
    <xf numFmtId="0" fontId="8" fillId="0" borderId="15" xfId="95" applyFont="1" applyFill="1" applyBorder="1" applyAlignment="1">
      <alignment horizontal="left" vertical="center" wrapText="1"/>
      <protection/>
    </xf>
    <xf numFmtId="0" fontId="8" fillId="0" borderId="81" xfId="102" applyFont="1" applyFill="1" applyBorder="1" applyAlignment="1">
      <alignment horizontal="left" vertical="top" wrapText="1"/>
      <protection/>
    </xf>
    <xf numFmtId="0" fontId="8" fillId="0" borderId="82" xfId="102" applyFont="1" applyFill="1" applyBorder="1" applyAlignment="1">
      <alignment horizontal="left" vertical="top" wrapText="1"/>
      <protection/>
    </xf>
    <xf numFmtId="3" fontId="8" fillId="0" borderId="17" xfId="0" applyNumberFormat="1" applyFont="1" applyBorder="1" applyAlignment="1">
      <alignment horizontal="left" vertical="center" wrapText="1"/>
    </xf>
    <xf numFmtId="3" fontId="8" fillId="0" borderId="18" xfId="0" applyNumberFormat="1" applyFont="1" applyBorder="1" applyAlignment="1">
      <alignment horizontal="left" vertical="center" wrapText="1"/>
    </xf>
    <xf numFmtId="0" fontId="14" fillId="0" borderId="17" xfId="111" applyFont="1" applyBorder="1" applyAlignment="1">
      <alignment vertical="center" wrapText="1"/>
      <protection/>
    </xf>
    <xf numFmtId="0" fontId="14" fillId="0" borderId="15" xfId="111" applyFont="1" applyBorder="1" applyAlignment="1">
      <alignment vertical="center" wrapText="1"/>
      <protection/>
    </xf>
    <xf numFmtId="0" fontId="8" fillId="0" borderId="17" xfId="111" applyFont="1" applyFill="1" applyBorder="1" applyAlignment="1">
      <alignment horizontal="left" vertical="center" wrapText="1"/>
      <protection/>
    </xf>
    <xf numFmtId="0" fontId="8" fillId="0" borderId="18" xfId="111" applyFont="1" applyFill="1" applyBorder="1" applyAlignment="1">
      <alignment horizontal="left" vertical="center" wrapText="1"/>
      <protection/>
    </xf>
    <xf numFmtId="0" fontId="8" fillId="0" borderId="83" xfId="102" applyFont="1" applyFill="1" applyBorder="1" applyAlignment="1">
      <alignment horizontal="left" vertical="top" wrapText="1"/>
      <protection/>
    </xf>
    <xf numFmtId="0" fontId="8" fillId="0" borderId="84" xfId="102" applyFont="1" applyFill="1" applyBorder="1" applyAlignment="1">
      <alignment horizontal="left" vertical="top" wrapText="1"/>
      <protection/>
    </xf>
    <xf numFmtId="0" fontId="8" fillId="0" borderId="17" xfId="101" applyFont="1" applyFill="1" applyBorder="1" applyAlignment="1">
      <alignment vertical="top" wrapText="1"/>
      <protection/>
    </xf>
    <xf numFmtId="0" fontId="0" fillId="0" borderId="18" xfId="0" applyBorder="1" applyAlignment="1">
      <alignment wrapText="1"/>
    </xf>
  </cellXfs>
  <cellStyles count="11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_   5    (2)" xfId="93"/>
    <cellStyle name="Normál_   5    (2) 2" xfId="94"/>
    <cellStyle name="Normál_   5    (2)_7" xfId="95"/>
    <cellStyle name="Normál_   5    (2)_Másolat eredetije2014. műk-beru-felúj." xfId="96"/>
    <cellStyle name="Normál_   5-a    (2)" xfId="97"/>
    <cellStyle name="Normál_   7   x" xfId="98"/>
    <cellStyle name="Normál_   7   x_2012. III.negyedévi ei. módosítás" xfId="99"/>
    <cellStyle name="Normál_   7   x_2014_ktsv tervezet_btcs" xfId="100"/>
    <cellStyle name="Normál_   7   x_7" xfId="101"/>
    <cellStyle name="Normál_   7   x_Másolat eredetije2014. műk-beru-felúj." xfId="102"/>
    <cellStyle name="Normál_  3   _2010.évi állami" xfId="103"/>
    <cellStyle name="Normál_2012. évi beszámoló 5.a 6a" xfId="104"/>
    <cellStyle name="Normál_2012_költségvetés_MCS_111215_Másolat eredetije2014. műk-beru-felúj." xfId="105"/>
    <cellStyle name="Normál_213_évi_költségvetés_MCS" xfId="106"/>
    <cellStyle name="Normál_7_Másolat eredetije2014. műk-beru-felúj." xfId="107"/>
    <cellStyle name="Normál_8_Másolat eredetije2014. műk-beru-felúj." xfId="108"/>
    <cellStyle name="Normál_INTKIA96" xfId="109"/>
    <cellStyle name="Normál_Másolat eredetije2014. műk-beru-felúj." xfId="110"/>
    <cellStyle name="Normál_Munka2 (2)" xfId="111"/>
    <cellStyle name="Normál_Munka3 (2)" xfId="112"/>
    <cellStyle name="Normál_Munka3 (2)_Másolat eredetije2014. műk-beru-felúj." xfId="113"/>
    <cellStyle name="Normál_ÖKIADELÖ" xfId="114"/>
    <cellStyle name="Normál_ÖKIADELÖ_Másolat eredetije2014. műk-beru-felúj." xfId="115"/>
    <cellStyle name="Normal_tanusitv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39.625" style="97" customWidth="1"/>
    <col min="2" max="3" width="13.625" style="97" customWidth="1"/>
    <col min="4" max="4" width="12.625" style="16" customWidth="1"/>
    <col min="5" max="5" width="2.125" style="96" customWidth="1"/>
    <col min="6" max="6" width="40.125" style="97" customWidth="1"/>
    <col min="7" max="7" width="11.00390625" style="97" customWidth="1"/>
    <col min="8" max="8" width="13.875" style="97" customWidth="1"/>
    <col min="9" max="9" width="12.50390625" style="16" customWidth="1"/>
    <col min="10" max="16384" width="9.375" style="47" customWidth="1"/>
  </cols>
  <sheetData>
    <row r="1" spans="1:9" s="85" customFormat="1" ht="39.75" customHeight="1" thickBot="1">
      <c r="A1" s="81" t="s">
        <v>239</v>
      </c>
      <c r="B1" s="82" t="s">
        <v>640</v>
      </c>
      <c r="C1" s="82" t="s">
        <v>951</v>
      </c>
      <c r="D1" s="83" t="s">
        <v>925</v>
      </c>
      <c r="E1" s="84"/>
      <c r="F1" s="81" t="s">
        <v>239</v>
      </c>
      <c r="G1" s="82" t="s">
        <v>640</v>
      </c>
      <c r="H1" s="82" t="s">
        <v>951</v>
      </c>
      <c r="I1" s="83" t="s">
        <v>925</v>
      </c>
    </row>
    <row r="2" spans="1:9" s="88" customFormat="1" ht="12.75" customHeight="1">
      <c r="A2" s="86" t="s">
        <v>37</v>
      </c>
      <c r="B2" s="114"/>
      <c r="C2" s="114"/>
      <c r="D2" s="43"/>
      <c r="E2" s="87"/>
      <c r="F2" s="86" t="s">
        <v>38</v>
      </c>
      <c r="G2" s="86"/>
      <c r="H2" s="86"/>
      <c r="I2" s="42"/>
    </row>
    <row r="3" spans="1:9" ht="24.75" customHeight="1">
      <c r="A3" s="89" t="s">
        <v>907</v>
      </c>
      <c r="B3" s="41">
        <v>2820917</v>
      </c>
      <c r="C3" s="89">
        <v>738858</v>
      </c>
      <c r="D3" s="41">
        <f aca="true" t="shared" si="0" ref="D3:D10">SUM(B3:C3)</f>
        <v>3559775</v>
      </c>
      <c r="E3" s="90"/>
      <c r="F3" s="89" t="s">
        <v>143</v>
      </c>
      <c r="G3" s="41">
        <v>6188882</v>
      </c>
      <c r="H3" s="89">
        <v>408792</v>
      </c>
      <c r="I3" s="41">
        <f>SUM(G3:H3)</f>
        <v>6597674</v>
      </c>
    </row>
    <row r="4" spans="1:9" ht="15" customHeight="1">
      <c r="A4" s="89" t="s">
        <v>910</v>
      </c>
      <c r="B4" s="31">
        <v>3474772</v>
      </c>
      <c r="C4" s="89">
        <v>-21414</v>
      </c>
      <c r="D4" s="41">
        <f t="shared" si="0"/>
        <v>3453358</v>
      </c>
      <c r="E4" s="90"/>
      <c r="F4" s="92" t="s">
        <v>144</v>
      </c>
      <c r="G4" s="41">
        <v>2145619</v>
      </c>
      <c r="H4" s="89">
        <v>788573</v>
      </c>
      <c r="I4" s="41">
        <f>SUM(G4:H4)</f>
        <v>2934192</v>
      </c>
    </row>
    <row r="5" spans="1:9" ht="24.75" customHeight="1">
      <c r="A5" s="89" t="s">
        <v>911</v>
      </c>
      <c r="B5" s="31">
        <v>2047660</v>
      </c>
      <c r="C5" s="89">
        <v>423130</v>
      </c>
      <c r="D5" s="41">
        <f t="shared" si="0"/>
        <v>2470790</v>
      </c>
      <c r="E5" s="90"/>
      <c r="F5" s="89" t="s">
        <v>944</v>
      </c>
      <c r="G5" s="31">
        <v>1219153</v>
      </c>
      <c r="H5" s="89">
        <v>422038</v>
      </c>
      <c r="I5" s="41">
        <f>SUM(G5:H5)</f>
        <v>1641191</v>
      </c>
    </row>
    <row r="6" spans="1:9" ht="24" customHeight="1">
      <c r="A6" s="89" t="s">
        <v>912</v>
      </c>
      <c r="B6" s="41">
        <v>59600</v>
      </c>
      <c r="C6" s="89">
        <v>17865</v>
      </c>
      <c r="D6" s="41">
        <f t="shared" si="0"/>
        <v>77465</v>
      </c>
      <c r="E6" s="90"/>
      <c r="F6" s="89" t="s">
        <v>39</v>
      </c>
      <c r="G6" s="41">
        <v>324818</v>
      </c>
      <c r="H6" s="89">
        <v>571937</v>
      </c>
      <c r="I6" s="41">
        <f>SUM(G6:H6)</f>
        <v>896755</v>
      </c>
    </row>
    <row r="7" spans="1:9" ht="13.5" customHeight="1">
      <c r="A7" s="91" t="s">
        <v>43</v>
      </c>
      <c r="B7" s="91">
        <f>SUM(B3+B4+B5+B6)</f>
        <v>8402949</v>
      </c>
      <c r="C7" s="91">
        <f>SUM(C3+C4+C5+C6)</f>
        <v>1158439</v>
      </c>
      <c r="D7" s="41">
        <f t="shared" si="0"/>
        <v>9561388</v>
      </c>
      <c r="E7" s="90"/>
      <c r="F7" s="89" t="s">
        <v>40</v>
      </c>
      <c r="G7" s="41">
        <v>5000</v>
      </c>
      <c r="H7" s="89">
        <v>-3550</v>
      </c>
      <c r="I7" s="41">
        <f>SUM(G7:H7)</f>
        <v>1450</v>
      </c>
    </row>
    <row r="8" spans="1:9" ht="13.5" customHeight="1">
      <c r="A8" s="92" t="s">
        <v>913</v>
      </c>
      <c r="B8" s="91"/>
      <c r="C8" s="91"/>
      <c r="D8" s="41">
        <f t="shared" si="0"/>
        <v>0</v>
      </c>
      <c r="E8" s="90"/>
      <c r="F8" s="91" t="s">
        <v>42</v>
      </c>
      <c r="G8" s="86">
        <f>SUM(G2:G7)</f>
        <v>9883472</v>
      </c>
      <c r="H8" s="86">
        <f>SUM(H2:H7)</f>
        <v>2187790</v>
      </c>
      <c r="I8" s="86">
        <f>SUM(I2:I7)</f>
        <v>12071262</v>
      </c>
    </row>
    <row r="9" spans="1:9" ht="24.75" customHeight="1">
      <c r="A9" s="92" t="s">
        <v>914</v>
      </c>
      <c r="B9" s="117">
        <v>1480523</v>
      </c>
      <c r="C9" s="92">
        <v>451918</v>
      </c>
      <c r="D9" s="41">
        <f t="shared" si="0"/>
        <v>1932441</v>
      </c>
      <c r="E9" s="90"/>
      <c r="F9" s="92" t="s">
        <v>923</v>
      </c>
      <c r="G9" s="41"/>
      <c r="H9" s="89"/>
      <c r="I9" s="41"/>
    </row>
    <row r="10" spans="1:9" s="88" customFormat="1" ht="24.75" customHeight="1">
      <c r="A10" s="92" t="s">
        <v>915</v>
      </c>
      <c r="B10" s="45"/>
      <c r="C10" s="92">
        <v>99</v>
      </c>
      <c r="D10" s="41">
        <f t="shared" si="0"/>
        <v>99</v>
      </c>
      <c r="E10" s="90"/>
      <c r="F10" s="92" t="s">
        <v>418</v>
      </c>
      <c r="G10" s="41"/>
      <c r="H10" s="92">
        <v>233681</v>
      </c>
      <c r="I10" s="89">
        <f>SUM(G10:H10)</f>
        <v>233681</v>
      </c>
    </row>
    <row r="11" spans="1:9" s="88" customFormat="1" ht="12" customHeight="1">
      <c r="A11" s="94" t="s">
        <v>47</v>
      </c>
      <c r="B11" s="95">
        <f>SUM(B7:B10)</f>
        <v>9883472</v>
      </c>
      <c r="C11" s="95">
        <f>SUM(C7:C10)</f>
        <v>1610456</v>
      </c>
      <c r="D11" s="95">
        <f>SUM(D7:D10)</f>
        <v>11493928</v>
      </c>
      <c r="E11" s="90"/>
      <c r="F11" s="93" t="s">
        <v>44</v>
      </c>
      <c r="G11" s="93">
        <f>SUM(G8:G10)</f>
        <v>9883472</v>
      </c>
      <c r="H11" s="93">
        <f>SUM(H8:H10)</f>
        <v>2421471</v>
      </c>
      <c r="I11" s="93">
        <f>SUM(I8:I10)</f>
        <v>12304943</v>
      </c>
    </row>
    <row r="12" spans="1:9" ht="13.5" customHeight="1">
      <c r="A12" s="86" t="s">
        <v>49</v>
      </c>
      <c r="B12" s="86"/>
      <c r="C12" s="86"/>
      <c r="D12" s="41"/>
      <c r="E12" s="90"/>
      <c r="F12" s="86" t="s">
        <v>45</v>
      </c>
      <c r="G12" s="86"/>
      <c r="H12" s="86"/>
      <c r="I12" s="91"/>
    </row>
    <row r="13" spans="1:9" ht="24" customHeight="1">
      <c r="A13" s="89" t="s">
        <v>916</v>
      </c>
      <c r="B13" s="41">
        <v>4607238</v>
      </c>
      <c r="C13" s="89">
        <v>2562908</v>
      </c>
      <c r="D13" s="41">
        <f aca="true" t="shared" si="1" ref="D13:D21">SUM(B13:C13)</f>
        <v>7170146</v>
      </c>
      <c r="E13" s="90"/>
      <c r="F13" s="89" t="s">
        <v>917</v>
      </c>
      <c r="G13" s="89">
        <v>516142</v>
      </c>
      <c r="H13" s="89">
        <v>500841</v>
      </c>
      <c r="I13" s="89">
        <f aca="true" t="shared" si="2" ref="I13:I25">SUM(G13:H13)</f>
        <v>1016983</v>
      </c>
    </row>
    <row r="14" spans="1:9" ht="19.5" customHeight="1">
      <c r="A14" s="89" t="s">
        <v>910</v>
      </c>
      <c r="B14" s="41">
        <v>783728</v>
      </c>
      <c r="C14" s="89">
        <v>-599592</v>
      </c>
      <c r="D14" s="41">
        <f t="shared" si="1"/>
        <v>184136</v>
      </c>
      <c r="E14" s="90"/>
      <c r="F14" s="89" t="s">
        <v>46</v>
      </c>
      <c r="G14" s="41">
        <v>43543</v>
      </c>
      <c r="H14" s="89">
        <v>260119</v>
      </c>
      <c r="I14" s="89">
        <f t="shared" si="2"/>
        <v>303662</v>
      </c>
    </row>
    <row r="15" spans="1:9" ht="15" customHeight="1">
      <c r="A15" s="89" t="s">
        <v>918</v>
      </c>
      <c r="B15" s="45">
        <v>251100</v>
      </c>
      <c r="C15" s="89">
        <v>113551</v>
      </c>
      <c r="D15" s="41">
        <f t="shared" si="1"/>
        <v>364651</v>
      </c>
      <c r="E15" s="90"/>
      <c r="F15" s="89" t="s">
        <v>48</v>
      </c>
      <c r="G15" s="45">
        <v>472599</v>
      </c>
      <c r="H15" s="89">
        <v>240722</v>
      </c>
      <c r="I15" s="89">
        <f t="shared" si="2"/>
        <v>713321</v>
      </c>
    </row>
    <row r="16" spans="1:9" ht="24.75" customHeight="1">
      <c r="A16" s="89" t="s">
        <v>919</v>
      </c>
      <c r="B16" s="45">
        <v>220000</v>
      </c>
      <c r="C16" s="89">
        <v>27577</v>
      </c>
      <c r="D16" s="41">
        <f t="shared" si="1"/>
        <v>247577</v>
      </c>
      <c r="E16" s="90"/>
      <c r="F16" s="89" t="s">
        <v>145</v>
      </c>
      <c r="G16" s="41"/>
      <c r="H16" s="89"/>
      <c r="I16" s="89">
        <f t="shared" si="2"/>
        <v>0</v>
      </c>
    </row>
    <row r="17" spans="1:9" ht="15" customHeight="1">
      <c r="A17" s="89" t="s">
        <v>920</v>
      </c>
      <c r="B17" s="45">
        <v>68305</v>
      </c>
      <c r="C17" s="89">
        <v>328900</v>
      </c>
      <c r="D17" s="41">
        <f t="shared" si="1"/>
        <v>397205</v>
      </c>
      <c r="E17" s="87"/>
      <c r="F17" s="89" t="s">
        <v>50</v>
      </c>
      <c r="G17" s="41">
        <v>6800899</v>
      </c>
      <c r="H17" s="89">
        <v>-266632</v>
      </c>
      <c r="I17" s="89">
        <f t="shared" si="2"/>
        <v>6534267</v>
      </c>
    </row>
    <row r="18" spans="1:9" ht="12.75" customHeight="1">
      <c r="A18" s="91" t="s">
        <v>53</v>
      </c>
      <c r="B18" s="86">
        <f>SUM(B12:B17)</f>
        <v>5930371</v>
      </c>
      <c r="C18" s="86">
        <f>SUM(C12:C17)</f>
        <v>2433344</v>
      </c>
      <c r="D18" s="41">
        <f t="shared" si="1"/>
        <v>8363715</v>
      </c>
      <c r="E18" s="87"/>
      <c r="F18" s="89" t="s">
        <v>146</v>
      </c>
      <c r="G18" s="41">
        <v>37447</v>
      </c>
      <c r="H18" s="89">
        <v>155300</v>
      </c>
      <c r="I18" s="89">
        <f t="shared" si="2"/>
        <v>192747</v>
      </c>
    </row>
    <row r="19" spans="1:9" ht="24" customHeight="1">
      <c r="A19" s="92" t="s">
        <v>913</v>
      </c>
      <c r="B19" s="86"/>
      <c r="C19" s="86"/>
      <c r="D19" s="41">
        <f t="shared" si="1"/>
        <v>0</v>
      </c>
      <c r="E19" s="90"/>
      <c r="F19" s="89" t="s">
        <v>51</v>
      </c>
      <c r="G19" s="41">
        <v>691881</v>
      </c>
      <c r="H19" s="89">
        <v>661068</v>
      </c>
      <c r="I19" s="89">
        <f t="shared" si="2"/>
        <v>1352949</v>
      </c>
    </row>
    <row r="20" spans="1:9" ht="12.75" customHeight="1">
      <c r="A20" s="92" t="s">
        <v>254</v>
      </c>
      <c r="B20" s="89">
        <v>658892</v>
      </c>
      <c r="C20" s="89">
        <v>-185000</v>
      </c>
      <c r="D20" s="41">
        <f t="shared" si="1"/>
        <v>473892</v>
      </c>
      <c r="E20" s="90"/>
      <c r="F20" s="89" t="s">
        <v>146</v>
      </c>
      <c r="G20" s="41">
        <v>39879</v>
      </c>
      <c r="H20" s="89">
        <v>85929</v>
      </c>
      <c r="I20" s="89">
        <f t="shared" si="2"/>
        <v>125808</v>
      </c>
    </row>
    <row r="21" spans="1:9" ht="24.75" customHeight="1">
      <c r="A21" s="92" t="s">
        <v>921</v>
      </c>
      <c r="B21" s="117">
        <v>1486283</v>
      </c>
      <c r="C21" s="92">
        <v>405614</v>
      </c>
      <c r="D21" s="41">
        <f t="shared" si="1"/>
        <v>1891897</v>
      </c>
      <c r="E21" s="90"/>
      <c r="F21" s="89" t="s">
        <v>52</v>
      </c>
      <c r="G21" s="41">
        <v>10000</v>
      </c>
      <c r="H21" s="89">
        <v>389</v>
      </c>
      <c r="I21" s="89">
        <f t="shared" si="2"/>
        <v>10389</v>
      </c>
    </row>
    <row r="22" spans="1:9" ht="12.75" customHeight="1">
      <c r="A22" s="108" t="s">
        <v>544</v>
      </c>
      <c r="B22" s="89"/>
      <c r="C22" s="89">
        <v>206178</v>
      </c>
      <c r="D22" s="89">
        <f>SUM(C22)</f>
        <v>206178</v>
      </c>
      <c r="E22" s="90"/>
      <c r="F22" s="89" t="s">
        <v>922</v>
      </c>
      <c r="G22" s="41">
        <v>21956</v>
      </c>
      <c r="H22" s="89">
        <v>18159</v>
      </c>
      <c r="I22" s="89">
        <f t="shared" si="2"/>
        <v>40115</v>
      </c>
    </row>
    <row r="23" spans="1:9" ht="24.75" customHeight="1">
      <c r="A23" s="92"/>
      <c r="B23" s="89"/>
      <c r="C23" s="89"/>
      <c r="D23" s="117"/>
      <c r="E23" s="90"/>
      <c r="F23" s="91" t="s">
        <v>54</v>
      </c>
      <c r="G23" s="86">
        <f>SUM(G13+G17+G19+G21+G22)</f>
        <v>8040878</v>
      </c>
      <c r="H23" s="86">
        <f>SUM(H13+H17+H19+H21+H22)</f>
        <v>913825</v>
      </c>
      <c r="I23" s="89">
        <f t="shared" si="2"/>
        <v>8954703</v>
      </c>
    </row>
    <row r="24" spans="1:9" ht="12.75" customHeight="1">
      <c r="A24" s="89"/>
      <c r="B24" s="89"/>
      <c r="C24" s="89"/>
      <c r="D24" s="117"/>
      <c r="E24" s="90"/>
      <c r="F24" s="92" t="s">
        <v>923</v>
      </c>
      <c r="G24" s="86"/>
      <c r="H24" s="86"/>
      <c r="I24" s="89">
        <f t="shared" si="2"/>
        <v>0</v>
      </c>
    </row>
    <row r="25" spans="1:9" ht="12.75" customHeight="1">
      <c r="A25" s="92"/>
      <c r="B25" s="89"/>
      <c r="C25" s="89"/>
      <c r="D25" s="89"/>
      <c r="E25" s="90"/>
      <c r="F25" s="92" t="s">
        <v>924</v>
      </c>
      <c r="G25" s="31">
        <v>34668</v>
      </c>
      <c r="H25" s="92">
        <v>1135296</v>
      </c>
      <c r="I25" s="89">
        <f t="shared" si="2"/>
        <v>1169964</v>
      </c>
    </row>
    <row r="26" spans="1:9" s="85" customFormat="1" ht="22.5" customHeight="1" thickBot="1">
      <c r="A26" s="516" t="s">
        <v>56</v>
      </c>
      <c r="B26" s="517">
        <f>SUM(B18:B25)</f>
        <v>8075546</v>
      </c>
      <c r="C26" s="517">
        <f>SUM(C18:C25)</f>
        <v>2860136</v>
      </c>
      <c r="D26" s="517">
        <f>SUM(D18:D25)</f>
        <v>10935682</v>
      </c>
      <c r="E26" s="87"/>
      <c r="F26" s="518" t="s">
        <v>57</v>
      </c>
      <c r="G26" s="517">
        <f>SUM(G23:G25)</f>
        <v>8075546</v>
      </c>
      <c r="H26" s="517">
        <f>SUM(H23:H25)</f>
        <v>2049121</v>
      </c>
      <c r="I26" s="517">
        <f>SUM(I23:I25)</f>
        <v>10124667</v>
      </c>
    </row>
    <row r="27" spans="1:9" s="85" customFormat="1" ht="19.5" customHeight="1" thickBot="1">
      <c r="A27" s="519" t="s">
        <v>147</v>
      </c>
      <c r="B27" s="520">
        <f>SUM(B11+B26)</f>
        <v>17959018</v>
      </c>
      <c r="C27" s="520">
        <f>SUM(C11+C26)</f>
        <v>4470592</v>
      </c>
      <c r="D27" s="520">
        <f>SUM(D11+D26)</f>
        <v>22429610</v>
      </c>
      <c r="E27" s="90"/>
      <c r="F27" s="519" t="s">
        <v>147</v>
      </c>
      <c r="G27" s="521">
        <f>SUM(G11+G26)</f>
        <v>17959018</v>
      </c>
      <c r="H27" s="521">
        <f>SUM(H11+H26)</f>
        <v>4470592</v>
      </c>
      <c r="I27" s="521">
        <f>SUM(I11+I26)</f>
        <v>22429610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2014. ÉVBEN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4">
      <selection activeCell="E20" sqref="E20:I20"/>
    </sheetView>
  </sheetViews>
  <sheetFormatPr defaultColWidth="9.00390625" defaultRowHeight="12.75"/>
  <cols>
    <col min="1" max="1" width="4.00390625" style="56" customWidth="1"/>
    <col min="2" max="2" width="37.00390625" style="53" customWidth="1"/>
    <col min="3" max="3" width="12.00390625" style="53" customWidth="1"/>
    <col min="4" max="4" width="12.50390625" style="53" customWidth="1"/>
    <col min="5" max="5" width="12.625" style="53" customWidth="1"/>
    <col min="6" max="6" width="13.125" style="53" customWidth="1"/>
    <col min="7" max="7" width="11.875" style="53" customWidth="1"/>
    <col min="8" max="8" width="9.625" style="53" customWidth="1"/>
    <col min="9" max="9" width="11.50390625" style="53" customWidth="1"/>
    <col min="10" max="10" width="13.125" style="53" customWidth="1"/>
    <col min="11" max="12" width="12.50390625" style="53" customWidth="1"/>
    <col min="13" max="13" width="11.125" style="53" customWidth="1"/>
    <col min="14" max="14" width="12.875" style="53" customWidth="1"/>
    <col min="15" max="16384" width="9.375" style="53" customWidth="1"/>
  </cols>
  <sheetData>
    <row r="1" spans="1:14" ht="14.25" customHeight="1">
      <c r="A1" s="730" t="s">
        <v>279</v>
      </c>
      <c r="B1" s="730" t="s">
        <v>17</v>
      </c>
      <c r="C1" s="734" t="s">
        <v>285</v>
      </c>
      <c r="D1" s="734" t="s">
        <v>951</v>
      </c>
      <c r="E1" s="730" t="s">
        <v>280</v>
      </c>
      <c r="F1" s="736"/>
      <c r="G1" s="736"/>
      <c r="H1" s="736"/>
      <c r="I1" s="736"/>
      <c r="J1" s="736"/>
      <c r="K1" s="736"/>
      <c r="L1" s="736"/>
      <c r="M1" s="737" t="s">
        <v>284</v>
      </c>
      <c r="N1" s="737" t="s">
        <v>155</v>
      </c>
    </row>
    <row r="2" spans="1:14" ht="82.5" customHeight="1">
      <c r="A2" s="731"/>
      <c r="B2" s="731"/>
      <c r="C2" s="735"/>
      <c r="D2" s="735"/>
      <c r="E2" s="205" t="s">
        <v>952</v>
      </c>
      <c r="F2" s="205" t="s">
        <v>281</v>
      </c>
      <c r="G2" s="205" t="s">
        <v>1150</v>
      </c>
      <c r="H2" s="205" t="s">
        <v>282</v>
      </c>
      <c r="I2" s="205" t="s">
        <v>955</v>
      </c>
      <c r="J2" s="205" t="s">
        <v>962</v>
      </c>
      <c r="K2" s="205" t="s">
        <v>963</v>
      </c>
      <c r="L2" s="205" t="s">
        <v>283</v>
      </c>
      <c r="M2" s="738"/>
      <c r="N2" s="738"/>
    </row>
    <row r="3" spans="1:14" ht="15" customHeight="1">
      <c r="A3" s="204">
        <v>2</v>
      </c>
      <c r="B3" s="150" t="s">
        <v>243</v>
      </c>
      <c r="C3" s="151">
        <v>1237075</v>
      </c>
      <c r="D3" s="151">
        <f>80429+'táj.2.'!L3</f>
        <v>80429</v>
      </c>
      <c r="E3" s="206">
        <f>842576+'táj.2.'!C3</f>
        <v>842576</v>
      </c>
      <c r="F3" s="206">
        <f>240568+'táj.2.'!D3</f>
        <v>240568</v>
      </c>
      <c r="G3" s="206">
        <f>175183+'táj.2.'!E3</f>
        <v>175183</v>
      </c>
      <c r="H3" s="575">
        <f>0+'táj.2.'!F3</f>
        <v>0</v>
      </c>
      <c r="I3" s="575">
        <f>446+'táj.2.'!G3</f>
        <v>446</v>
      </c>
      <c r="J3" s="575">
        <f>39102+'táj.2.'!H3</f>
        <v>39102</v>
      </c>
      <c r="K3" s="575">
        <f>19629+'táj.2.'!I3</f>
        <v>19629</v>
      </c>
      <c r="L3" s="575">
        <f>0+'táj.2.'!J3</f>
        <v>0</v>
      </c>
      <c r="M3" s="575">
        <f>0+'táj.2.'!K3</f>
        <v>0</v>
      </c>
      <c r="N3" s="575">
        <f aca="true" t="shared" si="0" ref="N3:N19">SUM(E3:M3)</f>
        <v>1317504</v>
      </c>
    </row>
    <row r="4" spans="1:14" s="54" customFormat="1" ht="22.5" customHeight="1">
      <c r="A4" s="204">
        <v>3</v>
      </c>
      <c r="B4" s="150" t="s">
        <v>269</v>
      </c>
      <c r="C4" s="151">
        <v>1361767</v>
      </c>
      <c r="D4" s="151">
        <f>49624+'táj.2.'!L4</f>
        <v>49624</v>
      </c>
      <c r="E4" s="206">
        <f>314492+'táj.2.'!C4</f>
        <v>314492</v>
      </c>
      <c r="F4" s="206">
        <f>72034+'táj.2.'!D4</f>
        <v>72034</v>
      </c>
      <c r="G4" s="206">
        <f>956099+'táj.2.'!E4</f>
        <v>955599</v>
      </c>
      <c r="H4" s="575">
        <f>0+'táj.2.'!F4</f>
        <v>0</v>
      </c>
      <c r="I4" s="575">
        <f>5966+'táj.2.'!G4</f>
        <v>6466</v>
      </c>
      <c r="J4" s="575">
        <f>10000+'táj.2.'!H4</f>
        <v>10000</v>
      </c>
      <c r="K4" s="575">
        <f>52800+'táj.2.'!I4</f>
        <v>52800</v>
      </c>
      <c r="L4" s="575">
        <f>0+'táj.2.'!J4</f>
        <v>0</v>
      </c>
      <c r="M4" s="575">
        <f>0+'táj.2.'!K4</f>
        <v>0</v>
      </c>
      <c r="N4" s="575">
        <f t="shared" si="0"/>
        <v>1411391</v>
      </c>
    </row>
    <row r="5" spans="1:14" s="54" customFormat="1" ht="19.5" customHeight="1">
      <c r="A5" s="204">
        <v>4</v>
      </c>
      <c r="B5" s="150" t="s">
        <v>270</v>
      </c>
      <c r="C5" s="151">
        <v>362804</v>
      </c>
      <c r="D5" s="151">
        <f>50305+'táj.2.'!L5</f>
        <v>52805</v>
      </c>
      <c r="E5" s="206">
        <f>225724+'táj.2.'!C5</f>
        <v>225724</v>
      </c>
      <c r="F5" s="206">
        <f>62900+'táj.2.'!D5</f>
        <v>62900</v>
      </c>
      <c r="G5" s="206">
        <f>107121+'táj.2.'!E5</f>
        <v>109539</v>
      </c>
      <c r="H5" s="575">
        <f>0+'táj.2.'!F5</f>
        <v>0</v>
      </c>
      <c r="I5" s="575">
        <f>382+'táj.2.'!G5</f>
        <v>464</v>
      </c>
      <c r="J5" s="575">
        <f>5674+'táj.2.'!H5</f>
        <v>5674</v>
      </c>
      <c r="K5" s="575">
        <f>11308+'táj.2.'!I5</f>
        <v>11308</v>
      </c>
      <c r="L5" s="575">
        <f>0+'táj.2.'!J5</f>
        <v>0</v>
      </c>
      <c r="M5" s="575">
        <f>0+'táj.2.'!K5</f>
        <v>0</v>
      </c>
      <c r="N5" s="575">
        <f t="shared" si="0"/>
        <v>415609</v>
      </c>
    </row>
    <row r="6" spans="1:14" s="54" customFormat="1" ht="15" customHeight="1">
      <c r="A6" s="204">
        <v>5</v>
      </c>
      <c r="B6" s="116" t="s">
        <v>271</v>
      </c>
      <c r="C6" s="127">
        <v>316218</v>
      </c>
      <c r="D6" s="151">
        <f>99013+'táj.2.'!L6</f>
        <v>99013</v>
      </c>
      <c r="E6" s="206">
        <f>156524+'táj.2.'!C6</f>
        <v>156524</v>
      </c>
      <c r="F6" s="206">
        <f>45514+'táj.2.'!D6</f>
        <v>45514</v>
      </c>
      <c r="G6" s="206">
        <f>204259+'táj.2.'!E6</f>
        <v>204259</v>
      </c>
      <c r="H6" s="575">
        <f>0+'táj.2.'!F6</f>
        <v>0</v>
      </c>
      <c r="I6" s="575">
        <f>0+'táj.2.'!G6</f>
        <v>0</v>
      </c>
      <c r="J6" s="575">
        <f>6434+'táj.2.'!H6</f>
        <v>6434</v>
      </c>
      <c r="K6" s="575">
        <f>2500+'táj.2.'!I6</f>
        <v>2500</v>
      </c>
      <c r="L6" s="575">
        <f>0+'táj.2.'!J6</f>
        <v>0</v>
      </c>
      <c r="M6" s="575">
        <f>0+'táj.2.'!K6</f>
        <v>0</v>
      </c>
      <c r="N6" s="575">
        <f t="shared" si="0"/>
        <v>415231</v>
      </c>
    </row>
    <row r="7" spans="1:14" s="54" customFormat="1" ht="15.75" customHeight="1">
      <c r="A7" s="204">
        <v>6</v>
      </c>
      <c r="B7" s="116" t="s">
        <v>272</v>
      </c>
      <c r="C7" s="127">
        <v>310239</v>
      </c>
      <c r="D7" s="151">
        <f>12203+'táj.2.'!L7</f>
        <v>12203</v>
      </c>
      <c r="E7" s="206">
        <f>183024+'táj.2.'!C7</f>
        <v>183024</v>
      </c>
      <c r="F7" s="206">
        <f>51586+'táj.2.'!D7</f>
        <v>51586</v>
      </c>
      <c r="G7" s="206">
        <f>86882+'táj.2.'!E7</f>
        <v>86882</v>
      </c>
      <c r="H7" s="575">
        <f>0+'táj.2.'!F7</f>
        <v>0</v>
      </c>
      <c r="I7" s="575">
        <f>50+'táj.2.'!G7</f>
        <v>50</v>
      </c>
      <c r="J7" s="575">
        <f>900+'táj.2.'!H7</f>
        <v>900</v>
      </c>
      <c r="K7" s="575">
        <f>0+'táj.2.'!I7</f>
        <v>0</v>
      </c>
      <c r="L7" s="575">
        <f>0+'táj.2.'!J7</f>
        <v>0</v>
      </c>
      <c r="M7" s="575">
        <f>0+'táj.2.'!K7</f>
        <v>0</v>
      </c>
      <c r="N7" s="575">
        <f t="shared" si="0"/>
        <v>322442</v>
      </c>
    </row>
    <row r="8" spans="1:14" s="54" customFormat="1" ht="17.25" customHeight="1">
      <c r="A8" s="204">
        <v>7</v>
      </c>
      <c r="B8" s="116" t="s">
        <v>273</v>
      </c>
      <c r="C8" s="127">
        <v>288134</v>
      </c>
      <c r="D8" s="151">
        <f>-2006+'táj.2.'!L8</f>
        <v>-2006</v>
      </c>
      <c r="E8" s="206">
        <f>168409+'táj.2.'!C8</f>
        <v>168409</v>
      </c>
      <c r="F8" s="206">
        <f>45065+'táj.2.'!D8</f>
        <v>45065</v>
      </c>
      <c r="G8" s="206">
        <f>72204+'táj.2.'!E8</f>
        <v>72204</v>
      </c>
      <c r="H8" s="575">
        <f>0+'táj.2.'!F8</f>
        <v>0</v>
      </c>
      <c r="I8" s="575">
        <f>50+'táj.2.'!G8</f>
        <v>50</v>
      </c>
      <c r="J8" s="575">
        <f>400+'táj.2.'!H8</f>
        <v>400</v>
      </c>
      <c r="K8" s="575">
        <f>0+'táj.2.'!I8</f>
        <v>0</v>
      </c>
      <c r="L8" s="575">
        <f>0+'táj.2.'!J8</f>
        <v>0</v>
      </c>
      <c r="M8" s="575">
        <f>0+'táj.2.'!K8</f>
        <v>0</v>
      </c>
      <c r="N8" s="575">
        <f t="shared" si="0"/>
        <v>286128</v>
      </c>
    </row>
    <row r="9" spans="1:14" s="54" customFormat="1" ht="15" customHeight="1">
      <c r="A9" s="204">
        <v>8</v>
      </c>
      <c r="B9" s="116" t="s">
        <v>274</v>
      </c>
      <c r="C9" s="127">
        <v>283986</v>
      </c>
      <c r="D9" s="151">
        <f>10396+'táj.2.'!L9</f>
        <v>10396</v>
      </c>
      <c r="E9" s="206">
        <f>173901+'táj.2.'!C9</f>
        <v>173901</v>
      </c>
      <c r="F9" s="206">
        <f>49643+'táj.2.'!D9</f>
        <v>49643</v>
      </c>
      <c r="G9" s="206">
        <f>70588+'táj.2.'!E9</f>
        <v>70588</v>
      </c>
      <c r="H9" s="575">
        <f>0+'táj.2.'!F9</f>
        <v>0</v>
      </c>
      <c r="I9" s="575">
        <f>50+'táj.2.'!G9</f>
        <v>50</v>
      </c>
      <c r="J9" s="575">
        <f>200+'táj.2.'!H9</f>
        <v>200</v>
      </c>
      <c r="K9" s="575">
        <f>0+'táj.2.'!I9</f>
        <v>0</v>
      </c>
      <c r="L9" s="575">
        <f>0+'táj.2.'!J9</f>
        <v>0</v>
      </c>
      <c r="M9" s="575">
        <f>0+'táj.2.'!K9</f>
        <v>0</v>
      </c>
      <c r="N9" s="575">
        <f t="shared" si="0"/>
        <v>294382</v>
      </c>
    </row>
    <row r="10" spans="1:14" s="54" customFormat="1" ht="19.5" customHeight="1">
      <c r="A10" s="204">
        <v>9</v>
      </c>
      <c r="B10" s="116" t="s">
        <v>275</v>
      </c>
      <c r="C10" s="127">
        <v>287762</v>
      </c>
      <c r="D10" s="151">
        <f>-780+'táj.2.'!L10</f>
        <v>-780</v>
      </c>
      <c r="E10" s="206">
        <f>172399+'táj.2.'!C10</f>
        <v>172399</v>
      </c>
      <c r="F10" s="206">
        <f>48013+'táj.2.'!D10</f>
        <v>48013</v>
      </c>
      <c r="G10" s="206">
        <f>66220+'táj.2.'!E10</f>
        <v>66220</v>
      </c>
      <c r="H10" s="575">
        <f>0+'táj.2.'!F10</f>
        <v>0</v>
      </c>
      <c r="I10" s="575">
        <f>50+'táj.2.'!G10</f>
        <v>50</v>
      </c>
      <c r="J10" s="575">
        <f>300+'táj.2.'!H10</f>
        <v>300</v>
      </c>
      <c r="K10" s="575">
        <f>0+'táj.2.'!I10</f>
        <v>0</v>
      </c>
      <c r="L10" s="575">
        <f>0+'táj.2.'!J10</f>
        <v>0</v>
      </c>
      <c r="M10" s="575">
        <f>0+'táj.2.'!K10</f>
        <v>0</v>
      </c>
      <c r="N10" s="575">
        <f t="shared" si="0"/>
        <v>286982</v>
      </c>
    </row>
    <row r="11" spans="1:14" s="54" customFormat="1" ht="27" customHeight="1">
      <c r="A11" s="204">
        <v>10</v>
      </c>
      <c r="B11" s="196" t="s">
        <v>276</v>
      </c>
      <c r="C11" s="125">
        <v>112025</v>
      </c>
      <c r="D11" s="151">
        <f>48048+'táj.2.'!L11</f>
        <v>48048</v>
      </c>
      <c r="E11" s="206">
        <f>64297+'táj.2.'!C11</f>
        <v>64297</v>
      </c>
      <c r="F11" s="206">
        <f>16284+'táj.2.'!D11</f>
        <v>16284</v>
      </c>
      <c r="G11" s="206">
        <f>56297+'táj.2.'!E11</f>
        <v>56297</v>
      </c>
      <c r="H11" s="575">
        <f>0+'táj.2.'!F11</f>
        <v>0</v>
      </c>
      <c r="I11" s="575">
        <f>14525+'táj.2.'!G11</f>
        <v>14525</v>
      </c>
      <c r="J11" s="575">
        <f>7400+'táj.2.'!H11</f>
        <v>7400</v>
      </c>
      <c r="K11" s="575">
        <f>1270+'táj.2.'!I11</f>
        <v>1270</v>
      </c>
      <c r="L11" s="575">
        <f>0+'táj.2.'!J11</f>
        <v>0</v>
      </c>
      <c r="M11" s="575">
        <f>0+'táj.2.'!K11</f>
        <v>0</v>
      </c>
      <c r="N11" s="575">
        <f t="shared" si="0"/>
        <v>160073</v>
      </c>
    </row>
    <row r="12" spans="1:14" s="54" customFormat="1" ht="20.25" customHeight="1">
      <c r="A12" s="204">
        <v>11</v>
      </c>
      <c r="B12" s="116" t="s">
        <v>277</v>
      </c>
      <c r="C12" s="127">
        <v>188141</v>
      </c>
      <c r="D12" s="151">
        <f>69071+'táj.2.'!L12</f>
        <v>69071</v>
      </c>
      <c r="E12" s="206">
        <f>99284+'táj.2.'!C12</f>
        <v>95784</v>
      </c>
      <c r="F12" s="206">
        <f>23394+'táj.2.'!D12</f>
        <v>22894</v>
      </c>
      <c r="G12" s="206">
        <f>113150+'táj.2.'!E12</f>
        <v>116150</v>
      </c>
      <c r="H12" s="575">
        <f>0+'táj.2.'!F12</f>
        <v>0</v>
      </c>
      <c r="I12" s="575">
        <f>3100+'táj.2.'!G12</f>
        <v>3100</v>
      </c>
      <c r="J12" s="575">
        <f>18284+'táj.2.'!H12</f>
        <v>19284</v>
      </c>
      <c r="K12" s="575">
        <f>0+'táj.2.'!I12</f>
        <v>0</v>
      </c>
      <c r="L12" s="575">
        <f>0+'táj.2.'!J12</f>
        <v>0</v>
      </c>
      <c r="M12" s="575">
        <f>0+'táj.2.'!K12</f>
        <v>0</v>
      </c>
      <c r="N12" s="575">
        <f t="shared" si="0"/>
        <v>257212</v>
      </c>
    </row>
    <row r="13" spans="1:14" s="54" customFormat="1" ht="30" customHeight="1">
      <c r="A13" s="204">
        <v>12</v>
      </c>
      <c r="B13" s="196" t="s">
        <v>278</v>
      </c>
      <c r="C13" s="125">
        <v>15555</v>
      </c>
      <c r="D13" s="151">
        <f>2698+'táj.2.'!L13</f>
        <v>2698</v>
      </c>
      <c r="E13" s="206">
        <f>10169+'táj.2.'!C13</f>
        <v>10169</v>
      </c>
      <c r="F13" s="206">
        <f>2601+'táj.2.'!D13</f>
        <v>2601</v>
      </c>
      <c r="G13" s="206">
        <f>5263+'táj.2.'!E13</f>
        <v>5263</v>
      </c>
      <c r="H13" s="575">
        <f>0+'táj.2.'!F13</f>
        <v>0</v>
      </c>
      <c r="I13" s="575">
        <f>0+'táj.2.'!G13</f>
        <v>0</v>
      </c>
      <c r="J13" s="575">
        <f>220+'táj.2.'!H13</f>
        <v>220</v>
      </c>
      <c r="K13" s="575">
        <f>0+'táj.2.'!I13</f>
        <v>0</v>
      </c>
      <c r="L13" s="575">
        <f>0+'táj.2.'!J13</f>
        <v>0</v>
      </c>
      <c r="M13" s="575">
        <f>0+'táj.2.'!K13</f>
        <v>0</v>
      </c>
      <c r="N13" s="575">
        <f t="shared" si="0"/>
        <v>18253</v>
      </c>
    </row>
    <row r="14" spans="1:14" s="54" customFormat="1" ht="16.5" customHeight="1">
      <c r="A14" s="204">
        <v>13</v>
      </c>
      <c r="B14" s="116" t="s">
        <v>30</v>
      </c>
      <c r="C14" s="127">
        <v>353704</v>
      </c>
      <c r="D14" s="151">
        <f>52260+'táj.2.'!L14</f>
        <v>52260</v>
      </c>
      <c r="E14" s="206">
        <f>147445+'táj.2.'!C14</f>
        <v>147445</v>
      </c>
      <c r="F14" s="206">
        <f>38212+'táj.2.'!D14</f>
        <v>38212</v>
      </c>
      <c r="G14" s="206">
        <f>163304+'táj.2.'!E14</f>
        <v>161304</v>
      </c>
      <c r="H14" s="575">
        <f>0+'táj.2.'!F14</f>
        <v>0</v>
      </c>
      <c r="I14" s="575">
        <f>16000+'táj.2.'!G14</f>
        <v>16000</v>
      </c>
      <c r="J14" s="575">
        <f>41003+'táj.2.'!H14</f>
        <v>43003</v>
      </c>
      <c r="K14" s="575">
        <f>0+'táj.2.'!I14</f>
        <v>0</v>
      </c>
      <c r="L14" s="575">
        <f>0+'táj.2.'!J14</f>
        <v>0</v>
      </c>
      <c r="M14" s="575">
        <f>0+'táj.2.'!K14</f>
        <v>0</v>
      </c>
      <c r="N14" s="575">
        <f t="shared" si="0"/>
        <v>405964</v>
      </c>
    </row>
    <row r="15" spans="1:14" s="54" customFormat="1" ht="16.5" customHeight="1">
      <c r="A15" s="204">
        <v>14</v>
      </c>
      <c r="B15" s="116" t="s">
        <v>31</v>
      </c>
      <c r="C15" s="127">
        <v>271692</v>
      </c>
      <c r="D15" s="151">
        <f>84569+'táj.2.'!L15</f>
        <v>90157</v>
      </c>
      <c r="E15" s="206">
        <f>124864+'táj.2.'!C15</f>
        <v>124864</v>
      </c>
      <c r="F15" s="206">
        <f>33607+'táj.2.'!D15</f>
        <v>33607</v>
      </c>
      <c r="G15" s="206">
        <f>127074+'táj.2.'!E15</f>
        <v>132662</v>
      </c>
      <c r="H15" s="575">
        <f>0+'táj.2.'!F15</f>
        <v>0</v>
      </c>
      <c r="I15" s="575">
        <f>2700+'táj.2.'!G15</f>
        <v>2700</v>
      </c>
      <c r="J15" s="575">
        <f>41835+'táj.2.'!H15</f>
        <v>41835</v>
      </c>
      <c r="K15" s="575">
        <f>26181+'táj.2.'!I15</f>
        <v>26181</v>
      </c>
      <c r="L15" s="575">
        <f>0+'táj.2.'!J15</f>
        <v>0</v>
      </c>
      <c r="M15" s="575">
        <f>0+'táj.2.'!K15</f>
        <v>0</v>
      </c>
      <c r="N15" s="575">
        <f t="shared" si="0"/>
        <v>361849</v>
      </c>
    </row>
    <row r="16" spans="1:14" s="54" customFormat="1" ht="18" customHeight="1">
      <c r="A16" s="204">
        <v>15</v>
      </c>
      <c r="B16" s="116" t="s">
        <v>55</v>
      </c>
      <c r="C16" s="127">
        <v>573476</v>
      </c>
      <c r="D16" s="151">
        <f>40297+'táj.2.'!L16</f>
        <v>40297</v>
      </c>
      <c r="E16" s="206">
        <f>281176+'táj.2.'!C16</f>
        <v>281176</v>
      </c>
      <c r="F16" s="206">
        <f>73802+'táj.2.'!D16</f>
        <v>73802</v>
      </c>
      <c r="G16" s="206">
        <f>241240+'táj.2.'!E16</f>
        <v>241240</v>
      </c>
      <c r="H16" s="575">
        <f>0+'táj.2.'!F16</f>
        <v>0</v>
      </c>
      <c r="I16" s="575">
        <f>2501+'táj.2.'!G16</f>
        <v>2501</v>
      </c>
      <c r="J16" s="575">
        <f>5749+'táj.2.'!H16</f>
        <v>5749</v>
      </c>
      <c r="K16" s="575">
        <f>9305+'táj.2.'!I16</f>
        <v>9305</v>
      </c>
      <c r="L16" s="575">
        <f>0+'táj.2.'!J16</f>
        <v>0</v>
      </c>
      <c r="M16" s="575">
        <f>0+'táj.2.'!K16</f>
        <v>0</v>
      </c>
      <c r="N16" s="575">
        <f t="shared" si="0"/>
        <v>613773</v>
      </c>
    </row>
    <row r="17" spans="1:14" s="54" customFormat="1" ht="18.75" customHeight="1">
      <c r="A17" s="204">
        <v>16</v>
      </c>
      <c r="B17" s="116" t="s">
        <v>33</v>
      </c>
      <c r="C17" s="127">
        <v>102360</v>
      </c>
      <c r="D17" s="151">
        <f>6400+'táj.2.'!L17</f>
        <v>6400</v>
      </c>
      <c r="E17" s="206">
        <f>50844+'táj.2.'!C17</f>
        <v>50844</v>
      </c>
      <c r="F17" s="206">
        <f>11722+'táj.2.'!D17</f>
        <v>11722</v>
      </c>
      <c r="G17" s="206">
        <f>45919+'táj.2.'!E17</f>
        <v>45919</v>
      </c>
      <c r="H17" s="575">
        <f>0+'táj.2.'!F17</f>
        <v>0</v>
      </c>
      <c r="I17" s="575">
        <f>10+'táj.2.'!G17</f>
        <v>10</v>
      </c>
      <c r="J17" s="575">
        <f>265+'táj.2.'!H17</f>
        <v>265</v>
      </c>
      <c r="K17" s="575">
        <f>0+'táj.2.'!I17</f>
        <v>0</v>
      </c>
      <c r="L17" s="575">
        <f>0+'táj.2.'!J17</f>
        <v>0</v>
      </c>
      <c r="M17" s="575">
        <f>0+'táj.2.'!K17</f>
        <v>0</v>
      </c>
      <c r="N17" s="575">
        <f t="shared" si="0"/>
        <v>108760</v>
      </c>
    </row>
    <row r="18" spans="1:14" s="54" customFormat="1" ht="18" customHeight="1">
      <c r="A18" s="204">
        <v>17</v>
      </c>
      <c r="B18" s="116" t="s">
        <v>32</v>
      </c>
      <c r="C18" s="127">
        <v>110370</v>
      </c>
      <c r="D18" s="151">
        <f>9748+'táj.2.'!L18</f>
        <v>10068</v>
      </c>
      <c r="E18" s="206">
        <f>42698+'táj.2.'!C18</f>
        <v>42698</v>
      </c>
      <c r="F18" s="206">
        <f>10127+'táj.2.'!D18</f>
        <v>10447</v>
      </c>
      <c r="G18" s="206">
        <f>57827+'táj.2.'!E18</f>
        <v>57627</v>
      </c>
      <c r="H18" s="575">
        <f>0+'táj.2.'!F18</f>
        <v>0</v>
      </c>
      <c r="I18" s="575">
        <f>0+'táj.2.'!G18</f>
        <v>0</v>
      </c>
      <c r="J18" s="575">
        <f>9466+'táj.2.'!H18</f>
        <v>9666</v>
      </c>
      <c r="K18" s="575">
        <f>0+'táj.2.'!I18</f>
        <v>0</v>
      </c>
      <c r="L18" s="575">
        <f>0+'táj.2.'!J18</f>
        <v>0</v>
      </c>
      <c r="M18" s="575">
        <f>0+'táj.2.'!K18</f>
        <v>0</v>
      </c>
      <c r="N18" s="575">
        <f t="shared" si="0"/>
        <v>120438</v>
      </c>
    </row>
    <row r="19" spans="1:14" s="54" customFormat="1" ht="18.75" customHeight="1">
      <c r="A19" s="204">
        <v>18</v>
      </c>
      <c r="B19" s="78" t="s">
        <v>0</v>
      </c>
      <c r="C19" s="152">
        <v>90900</v>
      </c>
      <c r="D19" s="151">
        <f>29338+'táj.2.'!L19</f>
        <v>29338</v>
      </c>
      <c r="E19" s="206">
        <f>32846+'táj.2.'!C19</f>
        <v>32846</v>
      </c>
      <c r="F19" s="206">
        <f>8857+'táj.2.'!D19</f>
        <v>8857</v>
      </c>
      <c r="G19" s="206">
        <f>73098+'táj.2.'!E19</f>
        <v>73098</v>
      </c>
      <c r="H19" s="575">
        <f>0+'táj.2.'!F19</f>
        <v>0</v>
      </c>
      <c r="I19" s="575">
        <f>307+'táj.2.'!G19</f>
        <v>307</v>
      </c>
      <c r="J19" s="575">
        <f>2315+'táj.2.'!H19</f>
        <v>2315</v>
      </c>
      <c r="K19" s="575">
        <f>2815+'táj.2.'!I19</f>
        <v>2815</v>
      </c>
      <c r="L19" s="575">
        <f>0+'táj.2.'!J19</f>
        <v>0</v>
      </c>
      <c r="M19" s="575">
        <f>0+'táj.2.'!K19</f>
        <v>0</v>
      </c>
      <c r="N19" s="575">
        <f t="shared" si="0"/>
        <v>120238</v>
      </c>
    </row>
    <row r="20" spans="1:14" s="54" customFormat="1" ht="18" customHeight="1">
      <c r="A20" s="63"/>
      <c r="B20" s="64" t="s">
        <v>18</v>
      </c>
      <c r="C20" s="65">
        <f>SUM(C3:C19)</f>
        <v>6266208</v>
      </c>
      <c r="D20" s="65">
        <f>SUM(D3:D19)</f>
        <v>650021</v>
      </c>
      <c r="E20" s="65">
        <f aca="true" t="shared" si="1" ref="E20:N20">SUM(E3:E19)</f>
        <v>3087172</v>
      </c>
      <c r="F20" s="65">
        <f t="shared" si="1"/>
        <v>833749</v>
      </c>
      <c r="G20" s="65">
        <f t="shared" si="1"/>
        <v>2630034</v>
      </c>
      <c r="H20" s="65">
        <f t="shared" si="1"/>
        <v>0</v>
      </c>
      <c r="I20" s="65">
        <f t="shared" si="1"/>
        <v>46719</v>
      </c>
      <c r="J20" s="65">
        <f t="shared" si="1"/>
        <v>192747</v>
      </c>
      <c r="K20" s="65">
        <f t="shared" si="1"/>
        <v>125808</v>
      </c>
      <c r="L20" s="65">
        <f t="shared" si="1"/>
        <v>0</v>
      </c>
      <c r="M20" s="65">
        <f t="shared" si="1"/>
        <v>0</v>
      </c>
      <c r="N20" s="65">
        <f t="shared" si="1"/>
        <v>6916229</v>
      </c>
    </row>
    <row r="21" s="54" customFormat="1" ht="12.75">
      <c r="A21" s="55"/>
    </row>
    <row r="22" s="54" customFormat="1" ht="12.75">
      <c r="A22" s="55"/>
    </row>
    <row r="23" s="54" customFormat="1" ht="12.75">
      <c r="A23" s="55"/>
    </row>
    <row r="24" s="54" customFormat="1" ht="12.75">
      <c r="A24" s="55"/>
    </row>
    <row r="25" s="54" customFormat="1" ht="12.75">
      <c r="A25" s="55"/>
    </row>
    <row r="26" s="54" customFormat="1" ht="12.75">
      <c r="A26" s="55"/>
    </row>
    <row r="27" s="54" customFormat="1" ht="12.75">
      <c r="A27" s="55"/>
    </row>
    <row r="28" s="54" customFormat="1" ht="12.75">
      <c r="A28" s="55"/>
    </row>
    <row r="29" s="54" customFormat="1" ht="12.75">
      <c r="A29" s="55"/>
    </row>
    <row r="30" s="54" customFormat="1" ht="12.75">
      <c r="A30" s="55"/>
    </row>
    <row r="31" s="54" customFormat="1" ht="12.75">
      <c r="A31" s="55"/>
    </row>
    <row r="32" s="54" customFormat="1" ht="12.75">
      <c r="A32" s="55"/>
    </row>
    <row r="33" s="54" customFormat="1" ht="12.75">
      <c r="A33" s="55"/>
    </row>
    <row r="34" s="54" customFormat="1" ht="12.75">
      <c r="A34" s="55"/>
    </row>
    <row r="35" s="54" customFormat="1" ht="12.75">
      <c r="A35" s="55"/>
    </row>
    <row r="36" s="54" customFormat="1" ht="12.75">
      <c r="A36" s="55"/>
    </row>
    <row r="37" s="54" customFormat="1" ht="12.75">
      <c r="A37" s="55"/>
    </row>
    <row r="38" s="54" customFormat="1" ht="12.75">
      <c r="A38" s="55"/>
    </row>
    <row r="39" s="54" customFormat="1" ht="12.75">
      <c r="A39" s="55"/>
    </row>
    <row r="40" s="54" customFormat="1" ht="12.75">
      <c r="A40" s="55"/>
    </row>
    <row r="41" s="54" customFormat="1" ht="12.75">
      <c r="A41" s="55"/>
    </row>
    <row r="42" s="54" customFormat="1" ht="12.75">
      <c r="A42" s="55"/>
    </row>
    <row r="43" s="54" customFormat="1" ht="12.75">
      <c r="A43" s="55"/>
    </row>
    <row r="44" s="54" customFormat="1" ht="12.75">
      <c r="A44" s="55"/>
    </row>
    <row r="45" s="54" customFormat="1" ht="12.75">
      <c r="A45" s="55"/>
    </row>
    <row r="46" s="54" customFormat="1" ht="12.75">
      <c r="A46" s="55"/>
    </row>
    <row r="47" s="54" customFormat="1" ht="12.75">
      <c r="A47" s="55"/>
    </row>
    <row r="48" s="54" customFormat="1" ht="12.75">
      <c r="A48" s="55"/>
    </row>
    <row r="49" s="54" customFormat="1" ht="12.75">
      <c r="A49" s="55"/>
    </row>
    <row r="50" s="54" customFormat="1" ht="12.75">
      <c r="A50" s="55"/>
    </row>
    <row r="51" s="54" customFormat="1" ht="12.75">
      <c r="A51" s="55"/>
    </row>
    <row r="52" s="54" customFormat="1" ht="12.75">
      <c r="A52" s="55"/>
    </row>
    <row r="53" s="54" customFormat="1" ht="12.75">
      <c r="A53" s="55"/>
    </row>
    <row r="54" s="54" customFormat="1" ht="12.75">
      <c r="A54" s="55"/>
    </row>
    <row r="55" s="54" customFormat="1" ht="12.75">
      <c r="A55" s="55"/>
    </row>
    <row r="56" s="54" customFormat="1" ht="12.75">
      <c r="A56" s="55"/>
    </row>
    <row r="57" s="54" customFormat="1" ht="12.75">
      <c r="A57" s="55"/>
    </row>
    <row r="58" s="54" customFormat="1" ht="12.75">
      <c r="A58" s="55"/>
    </row>
    <row r="59" s="54" customFormat="1" ht="12.75">
      <c r="A59" s="55"/>
    </row>
    <row r="60" s="54" customFormat="1" ht="12.75">
      <c r="A60" s="55"/>
    </row>
    <row r="61" s="54" customFormat="1" ht="12.75">
      <c r="A61" s="55"/>
    </row>
    <row r="62" s="54" customFormat="1" ht="12.75">
      <c r="A62" s="55"/>
    </row>
    <row r="63" s="54" customFormat="1" ht="12.75">
      <c r="A63" s="55"/>
    </row>
  </sheetData>
  <sheetProtection/>
  <mergeCells count="7">
    <mergeCell ref="E1:L1"/>
    <mergeCell ref="M1:M2"/>
    <mergeCell ref="N1:N2"/>
    <mergeCell ref="A1:A2"/>
    <mergeCell ref="B1:B2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2014. ÉVI  KIADÁSI ELŐIRÁNYZATAI&amp;R&amp;"Times New Roman,Dőlt"&amp;9
 10. melléklet
Adatok eFt-ban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pane ySplit="2" topLeftCell="A24" activePane="bottomLeft" state="frozen"/>
      <selection pane="topLeft" activeCell="A1" sqref="A1"/>
      <selection pane="bottomLeft" activeCell="C15" sqref="C15"/>
    </sheetView>
  </sheetViews>
  <sheetFormatPr defaultColWidth="9.00390625" defaultRowHeight="12.75"/>
  <cols>
    <col min="1" max="1" width="5.625" style="4" customWidth="1"/>
    <col min="2" max="2" width="6.375" style="4" customWidth="1"/>
    <col min="3" max="3" width="39.00390625" style="4" customWidth="1"/>
    <col min="4" max="4" width="11.125" style="4" customWidth="1"/>
    <col min="5" max="5" width="11.375" style="4" customWidth="1"/>
    <col min="6" max="6" width="11.875" style="4" customWidth="1"/>
    <col min="7" max="7" width="9.875" style="4" customWidth="1"/>
    <col min="8" max="8" width="10.625" style="4" customWidth="1"/>
    <col min="9" max="9" width="11.375" style="4" customWidth="1"/>
    <col min="10" max="10" width="12.50390625" style="4" customWidth="1"/>
    <col min="11" max="11" width="11.625" style="4" customWidth="1"/>
    <col min="12" max="12" width="12.875" style="4" customWidth="1"/>
    <col min="13" max="13" width="11.375" style="4" customWidth="1"/>
    <col min="14" max="14" width="12.625" style="4" customWidth="1"/>
    <col min="15" max="16384" width="9.375" style="4" customWidth="1"/>
  </cols>
  <sheetData>
    <row r="1" spans="1:14" s="3" customFormat="1" ht="16.5" customHeight="1">
      <c r="A1" s="1"/>
      <c r="B1" s="2"/>
      <c r="C1" s="5"/>
      <c r="D1" s="739" t="s">
        <v>286</v>
      </c>
      <c r="E1" s="740"/>
      <c r="F1" s="740"/>
      <c r="G1" s="740"/>
      <c r="H1" s="740"/>
      <c r="I1" s="740"/>
      <c r="J1" s="741"/>
      <c r="K1" s="742" t="s">
        <v>287</v>
      </c>
      <c r="L1" s="743"/>
      <c r="M1" s="744"/>
      <c r="N1" s="745" t="s">
        <v>242</v>
      </c>
    </row>
    <row r="2" spans="1:14" s="3" customFormat="1" ht="78.75" customHeight="1" thickBot="1">
      <c r="A2" s="7" t="s">
        <v>240</v>
      </c>
      <c r="B2" s="8" t="s">
        <v>241</v>
      </c>
      <c r="C2" s="12" t="s">
        <v>239</v>
      </c>
      <c r="D2" s="501" t="s">
        <v>289</v>
      </c>
      <c r="E2" s="501" t="s">
        <v>290</v>
      </c>
      <c r="F2" s="502" t="s">
        <v>969</v>
      </c>
      <c r="G2" s="501" t="s">
        <v>291</v>
      </c>
      <c r="H2" s="501" t="s">
        <v>14</v>
      </c>
      <c r="I2" s="501" t="s">
        <v>292</v>
      </c>
      <c r="J2" s="501" t="s">
        <v>293</v>
      </c>
      <c r="K2" s="501" t="s">
        <v>99</v>
      </c>
      <c r="L2" s="501" t="s">
        <v>294</v>
      </c>
      <c r="M2" s="501" t="s">
        <v>296</v>
      </c>
      <c r="N2" s="746"/>
    </row>
    <row r="3" spans="1:14" s="3" customFormat="1" ht="15" customHeight="1">
      <c r="A3" s="633">
        <v>1</v>
      </c>
      <c r="B3" s="633"/>
      <c r="C3" s="13" t="s">
        <v>12</v>
      </c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500"/>
    </row>
    <row r="4" spans="1:14" s="3" customFormat="1" ht="15" customHeight="1">
      <c r="A4" s="633">
        <v>1</v>
      </c>
      <c r="B4" s="633">
        <v>1</v>
      </c>
      <c r="C4" s="183" t="s">
        <v>972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66"/>
    </row>
    <row r="5" spans="1:14" s="3" customFormat="1" ht="15" customHeight="1">
      <c r="A5" s="633">
        <v>1</v>
      </c>
      <c r="B5" s="633">
        <v>12</v>
      </c>
      <c r="C5" s="183" t="s">
        <v>970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66"/>
    </row>
    <row r="6" spans="1:14" s="3" customFormat="1" ht="15" customHeight="1">
      <c r="A6" s="9"/>
      <c r="B6" s="9"/>
      <c r="C6" s="570"/>
      <c r="D6" s="571"/>
      <c r="E6" s="184"/>
      <c r="F6" s="184"/>
      <c r="G6" s="184"/>
      <c r="H6" s="184"/>
      <c r="I6" s="184"/>
      <c r="J6" s="184"/>
      <c r="K6" s="184"/>
      <c r="L6" s="184"/>
      <c r="M6" s="184"/>
      <c r="N6" s="185">
        <f>SUM(D6:M6)</f>
        <v>0</v>
      </c>
    </row>
    <row r="7" spans="1:14" s="3" customFormat="1" ht="15" customHeight="1">
      <c r="A7" s="10"/>
      <c r="B7" s="10"/>
      <c r="C7" s="186" t="s">
        <v>973</v>
      </c>
      <c r="D7" s="187">
        <f aca="true" t="shared" si="0" ref="D7:N7">SUM(D6:D6)</f>
        <v>0</v>
      </c>
      <c r="E7" s="187">
        <f t="shared" si="0"/>
        <v>0</v>
      </c>
      <c r="F7" s="187">
        <f t="shared" si="0"/>
        <v>0</v>
      </c>
      <c r="G7" s="187">
        <f t="shared" si="0"/>
        <v>0</v>
      </c>
      <c r="H7" s="187">
        <f t="shared" si="0"/>
        <v>0</v>
      </c>
      <c r="I7" s="187">
        <f t="shared" si="0"/>
        <v>0</v>
      </c>
      <c r="J7" s="187">
        <f t="shared" si="0"/>
        <v>0</v>
      </c>
      <c r="K7" s="187">
        <f t="shared" si="0"/>
        <v>0</v>
      </c>
      <c r="L7" s="187">
        <f t="shared" si="0"/>
        <v>0</v>
      </c>
      <c r="M7" s="187">
        <f t="shared" si="0"/>
        <v>0</v>
      </c>
      <c r="N7" s="187">
        <f t="shared" si="0"/>
        <v>0</v>
      </c>
    </row>
    <row r="8" spans="1:14" s="3" customFormat="1" ht="15" customHeight="1">
      <c r="A8" s="633">
        <v>1</v>
      </c>
      <c r="B8" s="633">
        <v>13</v>
      </c>
      <c r="C8" s="183" t="s">
        <v>971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5"/>
    </row>
    <row r="9" spans="1:14" s="3" customFormat="1" ht="15" customHeight="1">
      <c r="A9" s="633"/>
      <c r="B9" s="633"/>
      <c r="C9" s="662" t="s">
        <v>8</v>
      </c>
      <c r="D9" s="678"/>
      <c r="E9" s="678"/>
      <c r="F9" s="678"/>
      <c r="G9" s="678"/>
      <c r="H9" s="678"/>
      <c r="I9" s="678"/>
      <c r="J9" s="678"/>
      <c r="K9" s="678"/>
      <c r="L9" s="678"/>
      <c r="M9" s="678"/>
      <c r="N9" s="678"/>
    </row>
    <row r="10" spans="1:14" s="3" customFormat="1" ht="15" customHeight="1">
      <c r="A10" s="9"/>
      <c r="B10" s="9"/>
      <c r="C10" s="89"/>
      <c r="D10" s="188"/>
      <c r="E10" s="184"/>
      <c r="F10" s="184"/>
      <c r="G10" s="184"/>
      <c r="H10" s="184"/>
      <c r="I10" s="184"/>
      <c r="J10" s="184"/>
      <c r="K10" s="184"/>
      <c r="L10" s="184"/>
      <c r="M10" s="184"/>
      <c r="N10" s="185">
        <f>SUM(D10:M10)</f>
        <v>0</v>
      </c>
    </row>
    <row r="11" spans="1:14" s="3" customFormat="1" ht="15" customHeight="1">
      <c r="A11" s="11"/>
      <c r="B11" s="11"/>
      <c r="C11" s="186" t="s">
        <v>974</v>
      </c>
      <c r="D11" s="187">
        <f aca="true" t="shared" si="1" ref="D11:N11">SUM(D10:D10)</f>
        <v>0</v>
      </c>
      <c r="E11" s="187">
        <f t="shared" si="1"/>
        <v>0</v>
      </c>
      <c r="F11" s="187">
        <f t="shared" si="1"/>
        <v>0</v>
      </c>
      <c r="G11" s="187">
        <f t="shared" si="1"/>
        <v>0</v>
      </c>
      <c r="H11" s="187">
        <f t="shared" si="1"/>
        <v>0</v>
      </c>
      <c r="I11" s="187">
        <f t="shared" si="1"/>
        <v>0</v>
      </c>
      <c r="J11" s="187">
        <f t="shared" si="1"/>
        <v>0</v>
      </c>
      <c r="K11" s="187">
        <f t="shared" si="1"/>
        <v>0</v>
      </c>
      <c r="L11" s="187">
        <f t="shared" si="1"/>
        <v>0</v>
      </c>
      <c r="M11" s="187">
        <f t="shared" si="1"/>
        <v>0</v>
      </c>
      <c r="N11" s="187">
        <f t="shared" si="1"/>
        <v>0</v>
      </c>
    </row>
    <row r="12" spans="1:14" s="3" customFormat="1" ht="15" customHeight="1">
      <c r="A12" s="633">
        <v>1</v>
      </c>
      <c r="B12" s="633">
        <v>15</v>
      </c>
      <c r="C12" s="183" t="s">
        <v>244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5"/>
    </row>
    <row r="13" spans="1:14" s="3" customFormat="1" ht="15" customHeight="1">
      <c r="A13" s="9"/>
      <c r="B13" s="9"/>
      <c r="C13" s="706" t="s">
        <v>460</v>
      </c>
      <c r="D13" s="747"/>
      <c r="E13" s="184"/>
      <c r="F13" s="184"/>
      <c r="G13" s="184"/>
      <c r="H13" s="184"/>
      <c r="I13" s="184"/>
      <c r="J13" s="184"/>
      <c r="K13" s="184"/>
      <c r="L13" s="184"/>
      <c r="M13" s="184"/>
      <c r="N13" s="185"/>
    </row>
    <row r="14" spans="1:14" s="3" customFormat="1" ht="15" customHeight="1">
      <c r="A14" s="9"/>
      <c r="B14" s="9"/>
      <c r="C14" s="681" t="s">
        <v>545</v>
      </c>
      <c r="D14" s="92"/>
      <c r="E14" s="184"/>
      <c r="F14" s="184"/>
      <c r="G14" s="184">
        <v>11835</v>
      </c>
      <c r="H14" s="184"/>
      <c r="I14" s="184"/>
      <c r="J14" s="184"/>
      <c r="K14" s="184"/>
      <c r="L14" s="184"/>
      <c r="M14" s="184"/>
      <c r="N14" s="185">
        <f>SUM(E14:M14)</f>
        <v>11835</v>
      </c>
    </row>
    <row r="15" spans="1:14" s="3" customFormat="1" ht="15" customHeight="1">
      <c r="A15" s="10"/>
      <c r="B15" s="10"/>
      <c r="C15" s="186" t="s">
        <v>154</v>
      </c>
      <c r="D15" s="187">
        <f aca="true" t="shared" si="2" ref="D15:N15">SUM(D13:D14)</f>
        <v>0</v>
      </c>
      <c r="E15" s="187">
        <f t="shared" si="2"/>
        <v>0</v>
      </c>
      <c r="F15" s="187">
        <f t="shared" si="2"/>
        <v>0</v>
      </c>
      <c r="G15" s="187">
        <f t="shared" si="2"/>
        <v>11835</v>
      </c>
      <c r="H15" s="187">
        <f t="shared" si="2"/>
        <v>0</v>
      </c>
      <c r="I15" s="187">
        <f t="shared" si="2"/>
        <v>0</v>
      </c>
      <c r="J15" s="187">
        <f t="shared" si="2"/>
        <v>0</v>
      </c>
      <c r="K15" s="187">
        <f t="shared" si="2"/>
        <v>0</v>
      </c>
      <c r="L15" s="187">
        <f t="shared" si="2"/>
        <v>0</v>
      </c>
      <c r="M15" s="187">
        <f t="shared" si="2"/>
        <v>0</v>
      </c>
      <c r="N15" s="187">
        <f t="shared" si="2"/>
        <v>11835</v>
      </c>
    </row>
    <row r="16" spans="1:14" s="3" customFormat="1" ht="15" customHeight="1">
      <c r="A16" s="633">
        <v>1</v>
      </c>
      <c r="B16" s="633">
        <v>16</v>
      </c>
      <c r="C16" s="183" t="s">
        <v>1140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5"/>
    </row>
    <row r="17" spans="1:14" s="3" customFormat="1" ht="15" customHeight="1">
      <c r="A17" s="9"/>
      <c r="B17" s="9"/>
      <c r="C17" s="661"/>
      <c r="D17" s="188"/>
      <c r="E17" s="184"/>
      <c r="F17" s="184"/>
      <c r="G17" s="184"/>
      <c r="H17" s="184"/>
      <c r="I17" s="184"/>
      <c r="J17" s="184"/>
      <c r="K17" s="184"/>
      <c r="L17" s="184"/>
      <c r="M17" s="184"/>
      <c r="N17" s="185">
        <f>SUM(D17:M17)</f>
        <v>0</v>
      </c>
    </row>
    <row r="18" spans="1:14" s="3" customFormat="1" ht="15" customHeight="1">
      <c r="A18" s="11"/>
      <c r="B18" s="11"/>
      <c r="C18" s="186" t="s">
        <v>1143</v>
      </c>
      <c r="D18" s="187"/>
      <c r="E18" s="187">
        <f>SUM(E17:E17)</f>
        <v>0</v>
      </c>
      <c r="F18" s="187"/>
      <c r="G18" s="187">
        <f>SUM(G17:G17)</f>
        <v>0</v>
      </c>
      <c r="H18" s="187"/>
      <c r="I18" s="187"/>
      <c r="J18" s="187"/>
      <c r="K18" s="187"/>
      <c r="L18" s="187"/>
      <c r="M18" s="187"/>
      <c r="N18" s="187">
        <f>SUM(N17:N17)</f>
        <v>0</v>
      </c>
    </row>
    <row r="19" spans="1:14" s="3" customFormat="1" ht="15" customHeight="1">
      <c r="A19" s="633">
        <v>1</v>
      </c>
      <c r="B19" s="633">
        <v>17</v>
      </c>
      <c r="C19" s="183" t="s">
        <v>245</v>
      </c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5"/>
    </row>
    <row r="20" spans="1:14" s="3" customFormat="1" ht="24.75" customHeight="1">
      <c r="A20" s="9"/>
      <c r="B20" s="9"/>
      <c r="C20" s="573" t="s">
        <v>987</v>
      </c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5"/>
    </row>
    <row r="21" spans="1:14" s="3" customFormat="1" ht="16.5" customHeight="1">
      <c r="A21" s="9"/>
      <c r="B21" s="9"/>
      <c r="C21" s="572" t="s">
        <v>1106</v>
      </c>
      <c r="D21" s="184"/>
      <c r="E21" s="184"/>
      <c r="F21" s="184"/>
      <c r="G21" s="184"/>
      <c r="H21" s="184">
        <v>1200</v>
      </c>
      <c r="I21" s="184"/>
      <c r="J21" s="184"/>
      <c r="K21" s="184"/>
      <c r="L21" s="184"/>
      <c r="M21" s="184"/>
      <c r="N21" s="185">
        <f>SUM(D21:M21)</f>
        <v>1200</v>
      </c>
    </row>
    <row r="22" spans="1:14" s="3" customFormat="1" ht="24.75" customHeight="1">
      <c r="A22" s="9"/>
      <c r="B22" s="9"/>
      <c r="C22" s="562" t="s">
        <v>988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5"/>
    </row>
    <row r="23" spans="1:14" s="3" customFormat="1" ht="24.75" customHeight="1">
      <c r="A23" s="9"/>
      <c r="B23" s="9"/>
      <c r="C23" s="683" t="s">
        <v>659</v>
      </c>
      <c r="D23" s="184"/>
      <c r="E23" s="184"/>
      <c r="F23" s="184"/>
      <c r="G23" s="184"/>
      <c r="H23" s="184"/>
      <c r="I23" s="184"/>
      <c r="J23" s="184"/>
      <c r="K23" s="184"/>
      <c r="L23" s="184">
        <v>-40321</v>
      </c>
      <c r="M23" s="184">
        <v>40321</v>
      </c>
      <c r="N23" s="185">
        <f>SUM(G23:M23)</f>
        <v>0</v>
      </c>
    </row>
    <row r="24" spans="1:14" s="3" customFormat="1" ht="16.5" customHeight="1">
      <c r="A24" s="10"/>
      <c r="B24" s="10"/>
      <c r="C24" s="186" t="s">
        <v>1130</v>
      </c>
      <c r="D24" s="187">
        <f aca="true" t="shared" si="3" ref="D24:N24">SUM(D20:D23)</f>
        <v>0</v>
      </c>
      <c r="E24" s="187">
        <f t="shared" si="3"/>
        <v>0</v>
      </c>
      <c r="F24" s="187">
        <f t="shared" si="3"/>
        <v>0</v>
      </c>
      <c r="G24" s="187">
        <f t="shared" si="3"/>
        <v>0</v>
      </c>
      <c r="H24" s="187">
        <f t="shared" si="3"/>
        <v>1200</v>
      </c>
      <c r="I24" s="187">
        <f t="shared" si="3"/>
        <v>0</v>
      </c>
      <c r="J24" s="187">
        <f t="shared" si="3"/>
        <v>0</v>
      </c>
      <c r="K24" s="187">
        <f t="shared" si="3"/>
        <v>0</v>
      </c>
      <c r="L24" s="187">
        <f t="shared" si="3"/>
        <v>-40321</v>
      </c>
      <c r="M24" s="187">
        <f t="shared" si="3"/>
        <v>40321</v>
      </c>
      <c r="N24" s="187">
        <f t="shared" si="3"/>
        <v>1200</v>
      </c>
    </row>
    <row r="25" spans="1:14" s="3" customFormat="1" ht="12.75" customHeight="1">
      <c r="A25" s="633">
        <v>1</v>
      </c>
      <c r="B25" s="633">
        <v>18</v>
      </c>
      <c r="C25" s="183" t="s">
        <v>975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5"/>
    </row>
    <row r="26" spans="1:14" s="3" customFormat="1" ht="24" customHeight="1">
      <c r="A26" s="633"/>
      <c r="B26" s="633"/>
      <c r="C26" s="573" t="s">
        <v>987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5"/>
    </row>
    <row r="27" spans="1:14" s="3" customFormat="1" ht="12.75" customHeight="1">
      <c r="A27" s="633"/>
      <c r="B27" s="633"/>
      <c r="C27" s="195" t="s">
        <v>333</v>
      </c>
      <c r="D27" s="184"/>
      <c r="E27" s="184"/>
      <c r="F27" s="184"/>
      <c r="G27" s="184">
        <v>1605</v>
      </c>
      <c r="H27" s="184"/>
      <c r="I27" s="184"/>
      <c r="J27" s="184"/>
      <c r="K27" s="184"/>
      <c r="L27" s="184"/>
      <c r="M27" s="184"/>
      <c r="N27" s="185">
        <f>SUM(D27:M27)</f>
        <v>1605</v>
      </c>
    </row>
    <row r="28" spans="1:14" s="3" customFormat="1" ht="18.75" customHeight="1">
      <c r="A28" s="11"/>
      <c r="B28" s="11"/>
      <c r="C28" s="186" t="s">
        <v>976</v>
      </c>
      <c r="D28" s="187">
        <v>0</v>
      </c>
      <c r="E28" s="187">
        <f aca="true" t="shared" si="4" ref="E28:N28">SUM(E27:E27)</f>
        <v>0</v>
      </c>
      <c r="F28" s="187">
        <f t="shared" si="4"/>
        <v>0</v>
      </c>
      <c r="G28" s="187">
        <f t="shared" si="4"/>
        <v>1605</v>
      </c>
      <c r="H28" s="187">
        <f t="shared" si="4"/>
        <v>0</v>
      </c>
      <c r="I28" s="187">
        <f t="shared" si="4"/>
        <v>0</v>
      </c>
      <c r="J28" s="187">
        <f t="shared" si="4"/>
        <v>0</v>
      </c>
      <c r="K28" s="187">
        <f t="shared" si="4"/>
        <v>0</v>
      </c>
      <c r="L28" s="187">
        <f t="shared" si="4"/>
        <v>0</v>
      </c>
      <c r="M28" s="187">
        <f t="shared" si="4"/>
        <v>0</v>
      </c>
      <c r="N28" s="187">
        <f t="shared" si="4"/>
        <v>1605</v>
      </c>
    </row>
    <row r="29" spans="1:14" s="3" customFormat="1" ht="15" customHeight="1">
      <c r="A29" s="9">
        <v>1</v>
      </c>
      <c r="B29" s="9">
        <v>19</v>
      </c>
      <c r="C29" s="183" t="s">
        <v>246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5"/>
    </row>
    <row r="30" spans="1:14" s="3" customFormat="1" ht="24.75" customHeight="1">
      <c r="A30" s="9"/>
      <c r="B30" s="9"/>
      <c r="C30" s="572" t="s">
        <v>990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5"/>
    </row>
    <row r="31" spans="1:14" s="3" customFormat="1" ht="15.75" customHeight="1">
      <c r="A31" s="9"/>
      <c r="B31" s="9"/>
      <c r="C31" s="660" t="s">
        <v>200</v>
      </c>
      <c r="D31" s="188">
        <v>1</v>
      </c>
      <c r="E31" s="184"/>
      <c r="F31" s="184"/>
      <c r="G31" s="184"/>
      <c r="H31" s="184"/>
      <c r="I31" s="184"/>
      <c r="J31" s="184"/>
      <c r="K31" s="184"/>
      <c r="L31" s="184"/>
      <c r="M31" s="184"/>
      <c r="N31" s="185">
        <v>1</v>
      </c>
    </row>
    <row r="32" spans="1:14" s="3" customFormat="1" ht="17.25" customHeight="1">
      <c r="A32" s="9"/>
      <c r="B32" s="9"/>
      <c r="C32" s="572" t="s">
        <v>548</v>
      </c>
      <c r="D32" s="188">
        <v>-1</v>
      </c>
      <c r="E32" s="184"/>
      <c r="F32" s="184"/>
      <c r="G32" s="184"/>
      <c r="H32" s="184"/>
      <c r="I32" s="184"/>
      <c r="J32" s="184"/>
      <c r="K32" s="184"/>
      <c r="L32" s="184"/>
      <c r="M32" s="184"/>
      <c r="N32" s="185">
        <v>-1</v>
      </c>
    </row>
    <row r="33" spans="1:14" s="3" customFormat="1" ht="15" customHeight="1">
      <c r="A33" s="9"/>
      <c r="B33" s="9"/>
      <c r="C33" s="14" t="s">
        <v>547</v>
      </c>
      <c r="D33" s="188">
        <v>1</v>
      </c>
      <c r="E33" s="184">
        <v>800000</v>
      </c>
      <c r="F33" s="184"/>
      <c r="G33" s="184"/>
      <c r="H33" s="184"/>
      <c r="I33" s="184"/>
      <c r="J33" s="184"/>
      <c r="K33" s="184"/>
      <c r="L33" s="184"/>
      <c r="M33" s="184"/>
      <c r="N33" s="185">
        <f>SUM(D33:M33)</f>
        <v>800001</v>
      </c>
    </row>
    <row r="34" spans="1:14" s="3" customFormat="1" ht="24" customHeight="1">
      <c r="A34" s="9"/>
      <c r="B34" s="9"/>
      <c r="C34" s="680" t="s">
        <v>461</v>
      </c>
      <c r="D34" s="188"/>
      <c r="E34" s="184"/>
      <c r="F34" s="184"/>
      <c r="G34" s="184"/>
      <c r="H34" s="184"/>
      <c r="I34" s="184"/>
      <c r="J34" s="184"/>
      <c r="K34" s="184"/>
      <c r="L34" s="184"/>
      <c r="M34" s="184"/>
      <c r="N34" s="185"/>
    </row>
    <row r="35" spans="1:14" s="3" customFormat="1" ht="15" customHeight="1">
      <c r="A35" s="9"/>
      <c r="B35" s="9"/>
      <c r="C35" s="660" t="s">
        <v>86</v>
      </c>
      <c r="D35" s="188"/>
      <c r="E35" s="184"/>
      <c r="F35" s="184">
        <v>-25000</v>
      </c>
      <c r="G35" s="184"/>
      <c r="H35" s="184"/>
      <c r="I35" s="184"/>
      <c r="J35" s="184"/>
      <c r="K35" s="184"/>
      <c r="L35" s="184"/>
      <c r="M35" s="184"/>
      <c r="N35" s="185">
        <f>SUM(D35:M35)</f>
        <v>-25000</v>
      </c>
    </row>
    <row r="36" spans="1:14" s="3" customFormat="1" ht="24.75" customHeight="1">
      <c r="A36" s="9"/>
      <c r="B36" s="9"/>
      <c r="C36" s="574" t="s">
        <v>988</v>
      </c>
      <c r="D36" s="188"/>
      <c r="E36" s="184"/>
      <c r="F36" s="184"/>
      <c r="G36" s="184"/>
      <c r="H36" s="184"/>
      <c r="I36" s="184"/>
      <c r="J36" s="184"/>
      <c r="K36" s="184"/>
      <c r="L36" s="184"/>
      <c r="M36" s="184"/>
      <c r="N36" s="185"/>
    </row>
    <row r="37" spans="1:14" s="3" customFormat="1" ht="15" customHeight="1">
      <c r="A37" s="9"/>
      <c r="B37" s="9"/>
      <c r="C37" s="189" t="s">
        <v>87</v>
      </c>
      <c r="D37" s="188"/>
      <c r="E37" s="184"/>
      <c r="F37" s="184"/>
      <c r="G37" s="184"/>
      <c r="H37" s="184"/>
      <c r="I37" s="184"/>
      <c r="J37" s="184"/>
      <c r="K37" s="184"/>
      <c r="L37" s="184">
        <v>-165857</v>
      </c>
      <c r="M37" s="184">
        <v>165857</v>
      </c>
      <c r="N37" s="185">
        <f>SUM(D37:M37)</f>
        <v>0</v>
      </c>
    </row>
    <row r="38" spans="1:14" s="3" customFormat="1" ht="12.75" customHeight="1">
      <c r="A38" s="11"/>
      <c r="B38" s="10"/>
      <c r="C38" s="186" t="s">
        <v>247</v>
      </c>
      <c r="D38" s="187">
        <f aca="true" t="shared" si="5" ref="D38:N38">SUM(D29:D37)</f>
        <v>1</v>
      </c>
      <c r="E38" s="187">
        <f t="shared" si="5"/>
        <v>800000</v>
      </c>
      <c r="F38" s="187">
        <f t="shared" si="5"/>
        <v>-25000</v>
      </c>
      <c r="G38" s="187">
        <f t="shared" si="5"/>
        <v>0</v>
      </c>
      <c r="H38" s="187">
        <f t="shared" si="5"/>
        <v>0</v>
      </c>
      <c r="I38" s="187">
        <f t="shared" si="5"/>
        <v>0</v>
      </c>
      <c r="J38" s="187">
        <f t="shared" si="5"/>
        <v>0</v>
      </c>
      <c r="K38" s="187">
        <f t="shared" si="5"/>
        <v>0</v>
      </c>
      <c r="L38" s="187">
        <f t="shared" si="5"/>
        <v>-165857</v>
      </c>
      <c r="M38" s="187">
        <f t="shared" si="5"/>
        <v>165857</v>
      </c>
      <c r="N38" s="187">
        <f t="shared" si="5"/>
        <v>775001</v>
      </c>
    </row>
    <row r="39" spans="1:14" s="3" customFormat="1" ht="12.75" customHeight="1">
      <c r="A39" s="80">
        <v>1</v>
      </c>
      <c r="B39" s="80">
        <v>20</v>
      </c>
      <c r="C39" s="190" t="s">
        <v>156</v>
      </c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</row>
    <row r="40" spans="1:14" s="3" customFormat="1" ht="18" customHeight="1">
      <c r="A40" s="80"/>
      <c r="B40" s="80"/>
      <c r="C40" s="572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</row>
    <row r="41" spans="1:14" s="3" customFormat="1" ht="12.75" customHeight="1">
      <c r="A41" s="11"/>
      <c r="B41" s="10"/>
      <c r="C41" s="186" t="s">
        <v>977</v>
      </c>
      <c r="D41" s="187">
        <f aca="true" t="shared" si="6" ref="D41:N41">SUM(D39:D40)</f>
        <v>0</v>
      </c>
      <c r="E41" s="187">
        <f t="shared" si="6"/>
        <v>0</v>
      </c>
      <c r="F41" s="187">
        <f t="shared" si="6"/>
        <v>0</v>
      </c>
      <c r="G41" s="187">
        <f t="shared" si="6"/>
        <v>0</v>
      </c>
      <c r="H41" s="187">
        <f t="shared" si="6"/>
        <v>0</v>
      </c>
      <c r="I41" s="187">
        <f t="shared" si="6"/>
        <v>0</v>
      </c>
      <c r="J41" s="187">
        <f t="shared" si="6"/>
        <v>0</v>
      </c>
      <c r="K41" s="187">
        <f t="shared" si="6"/>
        <v>0</v>
      </c>
      <c r="L41" s="187">
        <f t="shared" si="6"/>
        <v>0</v>
      </c>
      <c r="M41" s="187">
        <f t="shared" si="6"/>
        <v>0</v>
      </c>
      <c r="N41" s="187">
        <f t="shared" si="6"/>
        <v>0</v>
      </c>
    </row>
    <row r="42" spans="1:14" s="3" customFormat="1" ht="12.75" customHeight="1">
      <c r="A42" s="80">
        <v>1</v>
      </c>
      <c r="B42" s="80">
        <v>22</v>
      </c>
      <c r="C42" s="190" t="s">
        <v>978</v>
      </c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</row>
    <row r="43" spans="1:14" s="3" customFormat="1" ht="12.75" customHeight="1">
      <c r="A43" s="80"/>
      <c r="B43" s="80"/>
      <c r="C43" s="658"/>
      <c r="D43" s="191"/>
      <c r="E43" s="191"/>
      <c r="F43" s="191"/>
      <c r="G43" s="193"/>
      <c r="H43" s="193"/>
      <c r="I43" s="193"/>
      <c r="J43" s="193"/>
      <c r="K43" s="191"/>
      <c r="L43" s="191"/>
      <c r="M43" s="191"/>
      <c r="N43" s="193">
        <f>SUM(D43:M43)</f>
        <v>0</v>
      </c>
    </row>
    <row r="44" spans="1:14" s="3" customFormat="1" ht="12.75" customHeight="1">
      <c r="A44" s="11"/>
      <c r="B44" s="10"/>
      <c r="C44" s="186" t="s">
        <v>979</v>
      </c>
      <c r="D44" s="187">
        <f aca="true" t="shared" si="7" ref="D44:N44">SUM(D43:D43)</f>
        <v>0</v>
      </c>
      <c r="E44" s="187">
        <f t="shared" si="7"/>
        <v>0</v>
      </c>
      <c r="F44" s="187">
        <f t="shared" si="7"/>
        <v>0</v>
      </c>
      <c r="G44" s="187">
        <f t="shared" si="7"/>
        <v>0</v>
      </c>
      <c r="H44" s="187">
        <f t="shared" si="7"/>
        <v>0</v>
      </c>
      <c r="I44" s="187">
        <f t="shared" si="7"/>
        <v>0</v>
      </c>
      <c r="J44" s="187">
        <f t="shared" si="7"/>
        <v>0</v>
      </c>
      <c r="K44" s="187">
        <f t="shared" si="7"/>
        <v>0</v>
      </c>
      <c r="L44" s="187">
        <f t="shared" si="7"/>
        <v>0</v>
      </c>
      <c r="M44" s="187">
        <f t="shared" si="7"/>
        <v>0</v>
      </c>
      <c r="N44" s="187">
        <f t="shared" si="7"/>
        <v>0</v>
      </c>
    </row>
    <row r="45" spans="1:14" s="3" customFormat="1" ht="25.5" customHeight="1">
      <c r="A45" s="10"/>
      <c r="B45" s="10"/>
      <c r="C45" s="194" t="s">
        <v>16</v>
      </c>
      <c r="D45" s="187">
        <f aca="true" t="shared" si="8" ref="D45:N45">SUM(D7+D11+D15+D18+D24+D28+D38+D41+D44)</f>
        <v>1</v>
      </c>
      <c r="E45" s="187">
        <f t="shared" si="8"/>
        <v>800000</v>
      </c>
      <c r="F45" s="187">
        <f t="shared" si="8"/>
        <v>-25000</v>
      </c>
      <c r="G45" s="187">
        <f t="shared" si="8"/>
        <v>13440</v>
      </c>
      <c r="H45" s="187">
        <f t="shared" si="8"/>
        <v>1200</v>
      </c>
      <c r="I45" s="187">
        <f t="shared" si="8"/>
        <v>0</v>
      </c>
      <c r="J45" s="187">
        <f t="shared" si="8"/>
        <v>0</v>
      </c>
      <c r="K45" s="187">
        <f t="shared" si="8"/>
        <v>0</v>
      </c>
      <c r="L45" s="187">
        <f t="shared" si="8"/>
        <v>-206178</v>
      </c>
      <c r="M45" s="187">
        <f t="shared" si="8"/>
        <v>206178</v>
      </c>
      <c r="N45" s="187">
        <f t="shared" si="8"/>
        <v>789641</v>
      </c>
    </row>
    <row r="46" spans="1:14" s="3" customFormat="1" ht="15" customHeight="1">
      <c r="A46" s="113">
        <v>2</v>
      </c>
      <c r="B46" s="80"/>
      <c r="C46" s="192" t="s">
        <v>13</v>
      </c>
      <c r="D46" s="193">
        <f>'táj.1.'!C20</f>
        <v>0</v>
      </c>
      <c r="E46" s="193">
        <f>'táj.1.'!D20</f>
        <v>91</v>
      </c>
      <c r="F46" s="193">
        <f>'táj.1.'!E20</f>
        <v>0</v>
      </c>
      <c r="G46" s="193">
        <f>'táj.1.'!F20</f>
        <v>8317</v>
      </c>
      <c r="H46" s="193">
        <f>'táj.1.'!G20</f>
        <v>0</v>
      </c>
      <c r="I46" s="193">
        <f>'táj.1.'!H20</f>
        <v>0</v>
      </c>
      <c r="J46" s="193">
        <f>'táj.1.'!I20</f>
        <v>0</v>
      </c>
      <c r="K46" s="193"/>
      <c r="L46" s="193">
        <f>'táj.1.'!J20</f>
        <v>0</v>
      </c>
      <c r="M46" s="193">
        <f>'táj.1.'!L20</f>
        <v>0</v>
      </c>
      <c r="N46" s="193">
        <f>SUM(D46:M46)</f>
        <v>8408</v>
      </c>
    </row>
    <row r="47" spans="1:14" s="3" customFormat="1" ht="15" customHeight="1">
      <c r="A47" s="10"/>
      <c r="B47" s="10"/>
      <c r="C47" s="186" t="s">
        <v>1136</v>
      </c>
      <c r="D47" s="187">
        <f aca="true" t="shared" si="9" ref="D47:N47">SUM(D45:D46)</f>
        <v>1</v>
      </c>
      <c r="E47" s="187">
        <f t="shared" si="9"/>
        <v>800091</v>
      </c>
      <c r="F47" s="187">
        <f t="shared" si="9"/>
        <v>-25000</v>
      </c>
      <c r="G47" s="187">
        <f t="shared" si="9"/>
        <v>21757</v>
      </c>
      <c r="H47" s="187">
        <f t="shared" si="9"/>
        <v>1200</v>
      </c>
      <c r="I47" s="187">
        <f t="shared" si="9"/>
        <v>0</v>
      </c>
      <c r="J47" s="187">
        <f t="shared" si="9"/>
        <v>0</v>
      </c>
      <c r="K47" s="187">
        <f t="shared" si="9"/>
        <v>0</v>
      </c>
      <c r="L47" s="187">
        <f t="shared" si="9"/>
        <v>-206178</v>
      </c>
      <c r="M47" s="187">
        <f t="shared" si="9"/>
        <v>206178</v>
      </c>
      <c r="N47" s="187">
        <f t="shared" si="9"/>
        <v>798049</v>
      </c>
    </row>
    <row r="48" spans="1:14" s="3" customFormat="1" ht="13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26"/>
    </row>
    <row r="52" spans="1:1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3:14" ht="12.7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3:14" ht="12.7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3:14" ht="12.7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3:14" ht="12.7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3:14" ht="12.7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3:14" ht="12.7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3:14" ht="12.7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3:14" ht="12.7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3:14" ht="12.7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3:14" ht="12.7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3:14" ht="12.7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3:14" ht="12.7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3:14" ht="12.7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3:14" ht="12.7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3:14" ht="12.7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3:14" ht="12.7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3:14" ht="12.7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</sheetData>
  <sheetProtection/>
  <mergeCells count="4">
    <mergeCell ref="D1:J1"/>
    <mergeCell ref="K1:M1"/>
    <mergeCell ref="N1:N2"/>
    <mergeCell ref="C13:D13"/>
  </mergeCells>
  <printOptions horizontalCentered="1" verticalCentered="1"/>
  <pageMargins left="0.11811023622047245" right="0.11811023622047245" top="1.1811023622047245" bottom="0.7086614173228347" header="0.5905511811023623" footer="0.5118110236220472"/>
  <pageSetup horizontalDpi="600" verticalDpi="600" orientation="landscape" paperSize="9" scale="90" r:id="rId1"/>
  <headerFooter alignWithMargins="0">
    <oddHeader>&amp;C&amp;"Times New Roman,Normál"ZALAEGERSZEG MEGYEI JOGÚ VÁROS ÖNKORMÁNYZATA
2014. ÉVI BEVÉTELI ELŐIRÁNYZATAINAK  MÓDOSÍTÁSA &amp;R&amp;"Times New Roman,Normál"11.  melléklet
Adatok: ezer Ft-ban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8"/>
  <sheetViews>
    <sheetView zoomScaleSheetLayoutView="120" zoomScalePageLayoutView="0" workbookViewId="0" topLeftCell="A1">
      <pane ySplit="2" topLeftCell="A63" activePane="bottomLeft" state="frozen"/>
      <selection pane="topLeft" activeCell="A1" sqref="A1"/>
      <selection pane="bottomLeft" activeCell="A60" sqref="A60"/>
    </sheetView>
  </sheetViews>
  <sheetFormatPr defaultColWidth="9.00390625" defaultRowHeight="12.75"/>
  <cols>
    <col min="1" max="1" width="5.125" style="16" customWidth="1"/>
    <col min="2" max="2" width="5.875" style="16" customWidth="1"/>
    <col min="3" max="3" width="9.375" style="16" customWidth="1"/>
    <col min="4" max="4" width="35.125" style="16" customWidth="1"/>
    <col min="5" max="5" width="4.375" style="16" customWidth="1"/>
    <col min="6" max="6" width="10.125" style="16" customWidth="1"/>
    <col min="7" max="7" width="11.00390625" style="16" customWidth="1"/>
    <col min="8" max="8" width="10.00390625" style="16" customWidth="1"/>
    <col min="9" max="10" width="9.375" style="16" customWidth="1"/>
    <col min="11" max="11" width="10.125" style="16" customWidth="1"/>
    <col min="12" max="12" width="9.375" style="16" customWidth="1"/>
    <col min="13" max="13" width="11.00390625" style="16" bestFit="1" customWidth="1"/>
    <col min="14" max="14" width="10.125" style="16" customWidth="1"/>
    <col min="15" max="15" width="9.875" style="16" bestFit="1" customWidth="1"/>
    <col min="16" max="16" width="10.50390625" style="16" customWidth="1"/>
    <col min="17" max="17" width="7.625" style="16" customWidth="1"/>
    <col min="18" max="16384" width="9.375" style="16" customWidth="1"/>
  </cols>
  <sheetData>
    <row r="1" spans="1:17" s="15" customFormat="1" ht="24.75" customHeight="1">
      <c r="A1" s="774" t="s">
        <v>248</v>
      </c>
      <c r="B1" s="776" t="s">
        <v>249</v>
      </c>
      <c r="C1" s="777" t="s">
        <v>239</v>
      </c>
      <c r="D1" s="778"/>
      <c r="E1" s="753" t="s">
        <v>10</v>
      </c>
      <c r="F1" s="755"/>
      <c r="G1" s="756"/>
      <c r="H1" s="756"/>
      <c r="I1" s="756"/>
      <c r="J1" s="756"/>
      <c r="K1" s="756"/>
      <c r="L1" s="756"/>
      <c r="M1" s="756"/>
      <c r="N1" s="687" t="s">
        <v>284</v>
      </c>
      <c r="O1" s="687"/>
      <c r="P1" s="752" t="s">
        <v>242</v>
      </c>
      <c r="Q1" s="750" t="s">
        <v>153</v>
      </c>
    </row>
    <row r="2" spans="1:17" ht="63.75" customHeight="1">
      <c r="A2" s="775"/>
      <c r="B2" s="746"/>
      <c r="C2" s="779"/>
      <c r="D2" s="780"/>
      <c r="E2" s="754"/>
      <c r="F2" s="163" t="s">
        <v>952</v>
      </c>
      <c r="G2" s="163" t="s">
        <v>1030</v>
      </c>
      <c r="H2" s="163" t="s">
        <v>1150</v>
      </c>
      <c r="I2" s="163" t="s">
        <v>250</v>
      </c>
      <c r="J2" s="163" t="s">
        <v>955</v>
      </c>
      <c r="K2" s="163" t="s">
        <v>962</v>
      </c>
      <c r="L2" s="163" t="s">
        <v>963</v>
      </c>
      <c r="M2" s="163" t="s">
        <v>964</v>
      </c>
      <c r="N2" s="163" t="s">
        <v>901</v>
      </c>
      <c r="O2" s="515" t="s">
        <v>902</v>
      </c>
      <c r="P2" s="732"/>
      <c r="Q2" s="751"/>
    </row>
    <row r="3" spans="1:17" ht="13.5" customHeight="1">
      <c r="A3" s="503">
        <v>1</v>
      </c>
      <c r="B3" s="503"/>
      <c r="C3" s="504" t="s">
        <v>12</v>
      </c>
      <c r="D3" s="19"/>
      <c r="E3" s="505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7"/>
      <c r="Q3" s="508"/>
    </row>
    <row r="4" spans="1:17" ht="13.5" customHeight="1">
      <c r="A4" s="17">
        <v>1</v>
      </c>
      <c r="B4" s="17">
        <v>1</v>
      </c>
      <c r="C4" s="18" t="s">
        <v>972</v>
      </c>
      <c r="D4" s="19"/>
      <c r="E4" s="41"/>
      <c r="F4" s="20"/>
      <c r="G4" s="20"/>
      <c r="H4" s="20"/>
      <c r="I4" s="20"/>
      <c r="J4" s="20"/>
      <c r="K4" s="20"/>
      <c r="L4" s="20"/>
      <c r="M4" s="20"/>
      <c r="N4" s="20"/>
      <c r="O4" s="20"/>
      <c r="P4" s="28"/>
      <c r="Q4" s="509"/>
    </row>
    <row r="5" spans="1:17" ht="14.25" customHeight="1">
      <c r="A5" s="17">
        <v>1</v>
      </c>
      <c r="B5" s="17">
        <v>12</v>
      </c>
      <c r="C5" s="781" t="s">
        <v>681</v>
      </c>
      <c r="D5" s="782"/>
      <c r="E5" s="41"/>
      <c r="F5" s="20"/>
      <c r="G5" s="20"/>
      <c r="H5" s="20"/>
      <c r="I5" s="20"/>
      <c r="J5" s="20"/>
      <c r="K5" s="20"/>
      <c r="L5" s="20"/>
      <c r="M5" s="20"/>
      <c r="N5" s="20"/>
      <c r="O5" s="20"/>
      <c r="P5" s="28"/>
      <c r="Q5" s="509"/>
    </row>
    <row r="6" spans="1:17" ht="14.25" customHeight="1">
      <c r="A6" s="17"/>
      <c r="B6" s="17"/>
      <c r="C6" s="28" t="s">
        <v>682</v>
      </c>
      <c r="D6" s="568"/>
      <c r="E6" s="198">
        <v>1</v>
      </c>
      <c r="F6" s="160"/>
      <c r="G6" s="160"/>
      <c r="H6" s="160"/>
      <c r="I6" s="160">
        <v>1720</v>
      </c>
      <c r="J6" s="160"/>
      <c r="K6" s="160"/>
      <c r="L6" s="20"/>
      <c r="M6" s="20"/>
      <c r="N6" s="20"/>
      <c r="O6" s="20"/>
      <c r="P6" s="28">
        <f>SUM(F6:O6)</f>
        <v>1720</v>
      </c>
      <c r="Q6" s="509" t="s">
        <v>25</v>
      </c>
    </row>
    <row r="7" spans="1:17" ht="14.25" customHeight="1">
      <c r="A7" s="17"/>
      <c r="B7" s="17"/>
      <c r="C7" s="757" t="s">
        <v>983</v>
      </c>
      <c r="D7" s="758"/>
      <c r="E7" s="198"/>
      <c r="F7" s="160"/>
      <c r="G7" s="160"/>
      <c r="H7" s="160"/>
      <c r="I7" s="160"/>
      <c r="J7" s="160"/>
      <c r="K7" s="160"/>
      <c r="L7" s="20"/>
      <c r="M7" s="20"/>
      <c r="N7" s="20"/>
      <c r="O7" s="20"/>
      <c r="P7" s="28"/>
      <c r="Q7" s="509"/>
    </row>
    <row r="8" spans="1:17" ht="14.25" customHeight="1">
      <c r="A8" s="17"/>
      <c r="B8" s="17"/>
      <c r="C8" s="28" t="s">
        <v>984</v>
      </c>
      <c r="D8" s="568"/>
      <c r="E8" s="198">
        <v>1</v>
      </c>
      <c r="F8" s="160"/>
      <c r="G8" s="160"/>
      <c r="H8" s="160"/>
      <c r="I8" s="160">
        <v>-1720</v>
      </c>
      <c r="J8" s="160"/>
      <c r="K8" s="160"/>
      <c r="L8" s="160"/>
      <c r="M8" s="160"/>
      <c r="N8" s="160"/>
      <c r="O8" s="160"/>
      <c r="P8" s="28">
        <f>SUM(I8:O8)</f>
        <v>-1720</v>
      </c>
      <c r="Q8" s="509" t="s">
        <v>25</v>
      </c>
    </row>
    <row r="9" spans="1:17" ht="14.25" customHeight="1">
      <c r="A9" s="17"/>
      <c r="B9" s="17"/>
      <c r="C9" s="772" t="s">
        <v>1102</v>
      </c>
      <c r="D9" s="773"/>
      <c r="E9" s="198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28"/>
      <c r="Q9" s="509"/>
    </row>
    <row r="10" spans="1:17" ht="14.25" customHeight="1">
      <c r="A10" s="17"/>
      <c r="B10" s="17"/>
      <c r="C10" s="40" t="s">
        <v>1101</v>
      </c>
      <c r="D10" s="634"/>
      <c r="E10" s="198">
        <v>1</v>
      </c>
      <c r="F10" s="160">
        <v>33</v>
      </c>
      <c r="G10" s="160">
        <v>21</v>
      </c>
      <c r="H10" s="160">
        <v>-54</v>
      </c>
      <c r="I10" s="160"/>
      <c r="J10" s="160"/>
      <c r="K10" s="160"/>
      <c r="L10" s="160"/>
      <c r="M10" s="160"/>
      <c r="N10" s="160"/>
      <c r="O10" s="160"/>
      <c r="P10" s="28">
        <f>SUM(F10:O10)</f>
        <v>0</v>
      </c>
      <c r="Q10" s="509" t="s">
        <v>25</v>
      </c>
    </row>
    <row r="11" spans="1:17" ht="23.25" customHeight="1">
      <c r="A11" s="17"/>
      <c r="B11" s="17"/>
      <c r="C11" s="770" t="s">
        <v>1104</v>
      </c>
      <c r="D11" s="771"/>
      <c r="E11" s="198"/>
      <c r="F11" s="160"/>
      <c r="G11" s="160"/>
      <c r="H11" s="160"/>
      <c r="I11" s="160"/>
      <c r="J11" s="160"/>
      <c r="K11" s="160"/>
      <c r="L11" s="20"/>
      <c r="M11" s="20"/>
      <c r="N11" s="20"/>
      <c r="O11" s="20"/>
      <c r="P11" s="28"/>
      <c r="Q11" s="509"/>
    </row>
    <row r="12" spans="1:17" ht="13.5" customHeight="1">
      <c r="A12" s="17"/>
      <c r="B12" s="17"/>
      <c r="C12" s="781" t="s">
        <v>538</v>
      </c>
      <c r="D12" s="782"/>
      <c r="E12" s="198">
        <v>2</v>
      </c>
      <c r="F12" s="160"/>
      <c r="G12" s="160"/>
      <c r="H12" s="160">
        <v>-650</v>
      </c>
      <c r="I12" s="160"/>
      <c r="J12" s="160"/>
      <c r="K12" s="160"/>
      <c r="L12" s="20"/>
      <c r="M12" s="20"/>
      <c r="N12" s="20"/>
      <c r="O12" s="20"/>
      <c r="P12" s="28">
        <f>SUM(F12:O12)</f>
        <v>-650</v>
      </c>
      <c r="Q12" s="509" t="s">
        <v>257</v>
      </c>
    </row>
    <row r="13" spans="1:17" ht="13.5" customHeight="1">
      <c r="A13" s="161"/>
      <c r="B13" s="161"/>
      <c r="C13" s="168" t="s">
        <v>1032</v>
      </c>
      <c r="D13" s="162"/>
      <c r="E13" s="165"/>
      <c r="F13" s="164">
        <f aca="true" t="shared" si="0" ref="F13:M13">SUM(F5:F12)</f>
        <v>33</v>
      </c>
      <c r="G13" s="164">
        <f t="shared" si="0"/>
        <v>21</v>
      </c>
      <c r="H13" s="164">
        <f t="shared" si="0"/>
        <v>-704</v>
      </c>
      <c r="I13" s="164">
        <f t="shared" si="0"/>
        <v>0</v>
      </c>
      <c r="J13" s="164">
        <f t="shared" si="0"/>
        <v>0</v>
      </c>
      <c r="K13" s="164">
        <f t="shared" si="0"/>
        <v>0</v>
      </c>
      <c r="L13" s="164">
        <f t="shared" si="0"/>
        <v>0</v>
      </c>
      <c r="M13" s="164">
        <f t="shared" si="0"/>
        <v>0</v>
      </c>
      <c r="N13" s="164"/>
      <c r="O13" s="164">
        <f>SUM(O5:O12)</f>
        <v>0</v>
      </c>
      <c r="P13" s="164">
        <f>SUM(P5:P12)</f>
        <v>-650</v>
      </c>
      <c r="Q13" s="510"/>
    </row>
    <row r="14" spans="1:17" ht="13.5" customHeight="1">
      <c r="A14" s="17"/>
      <c r="B14" s="17"/>
      <c r="C14" s="157" t="s">
        <v>903</v>
      </c>
      <c r="D14" s="19"/>
      <c r="E14" s="598"/>
      <c r="F14" s="20"/>
      <c r="G14" s="20"/>
      <c r="H14" s="20"/>
      <c r="I14" s="20"/>
      <c r="J14" s="20"/>
      <c r="K14" s="20">
        <f>7!J8</f>
        <v>0</v>
      </c>
      <c r="L14" s="20"/>
      <c r="M14" s="20">
        <f>7!K8</f>
        <v>0</v>
      </c>
      <c r="N14" s="20"/>
      <c r="O14" s="20"/>
      <c r="P14" s="28">
        <f>SUM(F14:O14)</f>
        <v>0</v>
      </c>
      <c r="Q14" s="509"/>
    </row>
    <row r="15" spans="1:17" ht="13.5" customHeight="1">
      <c r="A15" s="17"/>
      <c r="B15" s="17"/>
      <c r="C15" s="157" t="s">
        <v>255</v>
      </c>
      <c r="D15" s="19"/>
      <c r="E15" s="59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8">
        <f>SUM(F15:O15)</f>
        <v>0</v>
      </c>
      <c r="Q15" s="509"/>
    </row>
    <row r="16" spans="1:17" ht="13.5" customHeight="1">
      <c r="A16" s="161"/>
      <c r="B16" s="161"/>
      <c r="C16" s="168" t="s">
        <v>1039</v>
      </c>
      <c r="D16" s="162"/>
      <c r="E16" s="599"/>
      <c r="F16" s="164">
        <f>SUM(F13:F15)</f>
        <v>33</v>
      </c>
      <c r="G16" s="164">
        <f aca="true" t="shared" si="1" ref="G16:P16">SUM(G13:G15)</f>
        <v>21</v>
      </c>
      <c r="H16" s="164">
        <f t="shared" si="1"/>
        <v>-704</v>
      </c>
      <c r="I16" s="164">
        <f t="shared" si="1"/>
        <v>0</v>
      </c>
      <c r="J16" s="164">
        <f t="shared" si="1"/>
        <v>0</v>
      </c>
      <c r="K16" s="164">
        <f t="shared" si="1"/>
        <v>0</v>
      </c>
      <c r="L16" s="164">
        <f t="shared" si="1"/>
        <v>0</v>
      </c>
      <c r="M16" s="164">
        <f t="shared" si="1"/>
        <v>0</v>
      </c>
      <c r="N16" s="164"/>
      <c r="O16" s="164">
        <f t="shared" si="1"/>
        <v>0</v>
      </c>
      <c r="P16" s="164">
        <f t="shared" si="1"/>
        <v>-650</v>
      </c>
      <c r="Q16" s="510"/>
    </row>
    <row r="17" spans="1:17" ht="13.5" customHeight="1">
      <c r="A17" s="29">
        <v>1</v>
      </c>
      <c r="B17" s="29">
        <v>13</v>
      </c>
      <c r="C17" s="57" t="s">
        <v>971</v>
      </c>
      <c r="D17" s="38"/>
      <c r="E17" s="20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8"/>
      <c r="Q17" s="509"/>
    </row>
    <row r="18" spans="1:17" ht="13.5" customHeight="1">
      <c r="A18" s="29"/>
      <c r="B18" s="29"/>
      <c r="C18" s="569" t="s">
        <v>8</v>
      </c>
      <c r="D18" s="38"/>
      <c r="E18" s="201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8"/>
      <c r="Q18" s="509"/>
    </row>
    <row r="19" spans="1:17" ht="13.5" customHeight="1">
      <c r="A19" s="29"/>
      <c r="B19" s="29"/>
      <c r="C19" s="176" t="s">
        <v>1029</v>
      </c>
      <c r="D19" s="636"/>
      <c r="E19" s="202"/>
      <c r="F19" s="20"/>
      <c r="G19" s="20"/>
      <c r="H19" s="160"/>
      <c r="I19" s="160"/>
      <c r="J19" s="160"/>
      <c r="K19" s="20"/>
      <c r="L19" s="20"/>
      <c r="M19" s="20"/>
      <c r="N19" s="20"/>
      <c r="O19" s="20"/>
      <c r="P19" s="28"/>
      <c r="Q19" s="509"/>
    </row>
    <row r="20" spans="1:17" ht="24.75" customHeight="1">
      <c r="A20" s="29"/>
      <c r="B20" s="29"/>
      <c r="C20" s="770" t="s">
        <v>453</v>
      </c>
      <c r="D20" s="771"/>
      <c r="E20" s="202">
        <v>2</v>
      </c>
      <c r="F20" s="20"/>
      <c r="G20" s="20"/>
      <c r="H20" s="160"/>
      <c r="I20" s="160"/>
      <c r="J20" s="160">
        <v>100</v>
      </c>
      <c r="K20" s="160"/>
      <c r="L20" s="20"/>
      <c r="M20" s="20"/>
      <c r="N20" s="20"/>
      <c r="O20" s="20"/>
      <c r="P20" s="28">
        <f>SUM(F20:O20)</f>
        <v>100</v>
      </c>
      <c r="Q20" s="509" t="s">
        <v>25</v>
      </c>
    </row>
    <row r="21" spans="1:17" ht="15.75" customHeight="1">
      <c r="A21" s="29"/>
      <c r="B21" s="29"/>
      <c r="C21" s="759" t="s">
        <v>9</v>
      </c>
      <c r="D21" s="760"/>
      <c r="E21" s="203"/>
      <c r="F21" s="160"/>
      <c r="G21" s="160"/>
      <c r="H21" s="160"/>
      <c r="I21" s="160"/>
      <c r="J21" s="160"/>
      <c r="K21" s="20"/>
      <c r="L21" s="20"/>
      <c r="M21" s="20"/>
      <c r="N21" s="20"/>
      <c r="O21" s="20"/>
      <c r="P21" s="28"/>
      <c r="Q21" s="509"/>
    </row>
    <row r="22" spans="1:17" ht="24.75" customHeight="1">
      <c r="A22" s="29"/>
      <c r="B22" s="29"/>
      <c r="C22" s="770" t="s">
        <v>956</v>
      </c>
      <c r="D22" s="771"/>
      <c r="E22" s="203"/>
      <c r="F22" s="160"/>
      <c r="G22" s="160"/>
      <c r="H22" s="160"/>
      <c r="I22" s="160"/>
      <c r="J22" s="160"/>
      <c r="K22" s="20"/>
      <c r="L22" s="20"/>
      <c r="M22" s="20"/>
      <c r="N22" s="20"/>
      <c r="O22" s="20"/>
      <c r="P22" s="28"/>
      <c r="Q22" s="509"/>
    </row>
    <row r="23" spans="1:17" ht="15" customHeight="1">
      <c r="A23" s="29"/>
      <c r="B23" s="29"/>
      <c r="C23" s="770" t="s">
        <v>957</v>
      </c>
      <c r="D23" s="771"/>
      <c r="E23" s="203">
        <v>2</v>
      </c>
      <c r="F23" s="160"/>
      <c r="G23" s="160">
        <v>15</v>
      </c>
      <c r="H23" s="160">
        <v>-15</v>
      </c>
      <c r="I23" s="160"/>
      <c r="J23" s="160"/>
      <c r="K23" s="20"/>
      <c r="L23" s="20"/>
      <c r="M23" s="20"/>
      <c r="N23" s="20"/>
      <c r="O23" s="20"/>
      <c r="P23" s="28">
        <f>SUM(F23:O23)</f>
        <v>0</v>
      </c>
      <c r="Q23" s="509" t="s">
        <v>25</v>
      </c>
    </row>
    <row r="24" spans="1:17" ht="15" customHeight="1">
      <c r="A24" s="29"/>
      <c r="B24" s="29"/>
      <c r="C24" s="32" t="s">
        <v>683</v>
      </c>
      <c r="D24" s="650"/>
      <c r="E24" s="203">
        <v>2</v>
      </c>
      <c r="F24" s="160"/>
      <c r="G24" s="160">
        <v>12</v>
      </c>
      <c r="H24" s="160">
        <v>-12</v>
      </c>
      <c r="I24" s="160"/>
      <c r="J24" s="160"/>
      <c r="K24" s="20"/>
      <c r="L24" s="20"/>
      <c r="M24" s="20"/>
      <c r="N24" s="20"/>
      <c r="O24" s="20"/>
      <c r="P24" s="28">
        <f>SUM(F24:O24)</f>
        <v>0</v>
      </c>
      <c r="Q24" s="509" t="s">
        <v>25</v>
      </c>
    </row>
    <row r="25" spans="1:17" ht="15" customHeight="1">
      <c r="A25" s="29"/>
      <c r="B25" s="29"/>
      <c r="C25" s="718" t="s">
        <v>684</v>
      </c>
      <c r="D25" s="719"/>
      <c r="E25" s="203">
        <v>2</v>
      </c>
      <c r="F25" s="160"/>
      <c r="G25" s="160">
        <v>67</v>
      </c>
      <c r="H25" s="160"/>
      <c r="I25" s="160"/>
      <c r="J25" s="160">
        <v>-67</v>
      </c>
      <c r="K25" s="20"/>
      <c r="L25" s="20"/>
      <c r="M25" s="20"/>
      <c r="N25" s="20"/>
      <c r="O25" s="20"/>
      <c r="P25" s="28">
        <f>SUM(F25:O25)</f>
        <v>0</v>
      </c>
      <c r="Q25" s="509" t="s">
        <v>25</v>
      </c>
    </row>
    <row r="26" spans="1:17" ht="15" customHeight="1">
      <c r="A26" s="29"/>
      <c r="B26" s="29"/>
      <c r="C26" s="176" t="s">
        <v>1103</v>
      </c>
      <c r="D26" s="181"/>
      <c r="E26" s="203">
        <v>2</v>
      </c>
      <c r="F26" s="160"/>
      <c r="G26" s="160">
        <v>51</v>
      </c>
      <c r="H26" s="160">
        <v>-51</v>
      </c>
      <c r="I26" s="160"/>
      <c r="J26" s="160"/>
      <c r="K26" s="20"/>
      <c r="L26" s="20"/>
      <c r="M26" s="20"/>
      <c r="N26" s="20"/>
      <c r="O26" s="20"/>
      <c r="P26" s="28">
        <f>SUM(F26:O26)</f>
        <v>0</v>
      </c>
      <c r="Q26" s="509" t="s">
        <v>25</v>
      </c>
    </row>
    <row r="27" spans="1:17" ht="13.5" customHeight="1">
      <c r="A27" s="29"/>
      <c r="B27" s="29"/>
      <c r="C27" s="770" t="s">
        <v>454</v>
      </c>
      <c r="D27" s="771"/>
      <c r="E27" s="638"/>
      <c r="F27" s="20"/>
      <c r="G27" s="20"/>
      <c r="H27" s="160"/>
      <c r="I27" s="160"/>
      <c r="J27" s="160"/>
      <c r="K27" s="20"/>
      <c r="L27" s="20"/>
      <c r="M27" s="20"/>
      <c r="N27" s="20"/>
      <c r="O27" s="20"/>
      <c r="P27" s="28"/>
      <c r="Q27" s="509"/>
    </row>
    <row r="28" spans="1:17" ht="16.5" customHeight="1">
      <c r="A28" s="29"/>
      <c r="B28" s="29"/>
      <c r="C28" s="706" t="s">
        <v>989</v>
      </c>
      <c r="D28" s="747"/>
      <c r="E28" s="638">
        <v>2</v>
      </c>
      <c r="F28" s="20"/>
      <c r="G28" s="20"/>
      <c r="H28" s="160">
        <v>-439</v>
      </c>
      <c r="I28" s="160"/>
      <c r="J28" s="160">
        <v>439</v>
      </c>
      <c r="K28" s="20"/>
      <c r="L28" s="20"/>
      <c r="M28" s="20"/>
      <c r="N28" s="20"/>
      <c r="O28" s="20"/>
      <c r="P28" s="28">
        <f>SUM(F28:O28)</f>
        <v>0</v>
      </c>
      <c r="Q28" s="509" t="s">
        <v>25</v>
      </c>
    </row>
    <row r="29" spans="1:17" ht="16.5" customHeight="1">
      <c r="A29" s="29"/>
      <c r="B29" s="29"/>
      <c r="C29" s="770" t="s">
        <v>459</v>
      </c>
      <c r="D29" s="771"/>
      <c r="E29" s="638"/>
      <c r="F29" s="20"/>
      <c r="G29" s="160"/>
      <c r="H29" s="160"/>
      <c r="I29" s="160"/>
      <c r="J29" s="160"/>
      <c r="K29" s="20"/>
      <c r="L29" s="20"/>
      <c r="M29" s="20"/>
      <c r="N29" s="20"/>
      <c r="O29" s="20"/>
      <c r="P29" s="28">
        <f>SUM(F29:O29)</f>
        <v>0</v>
      </c>
      <c r="Q29" s="509" t="s">
        <v>25</v>
      </c>
    </row>
    <row r="30" spans="1:17" ht="16.5" customHeight="1">
      <c r="A30" s="29"/>
      <c r="B30" s="29"/>
      <c r="C30" s="770" t="s">
        <v>462</v>
      </c>
      <c r="D30" s="771"/>
      <c r="E30" s="638">
        <v>2</v>
      </c>
      <c r="F30" s="20"/>
      <c r="G30" s="160"/>
      <c r="H30" s="160"/>
      <c r="I30" s="160">
        <v>18</v>
      </c>
      <c r="J30" s="160"/>
      <c r="K30" s="20"/>
      <c r="L30" s="20"/>
      <c r="M30" s="20"/>
      <c r="N30" s="20"/>
      <c r="O30" s="20"/>
      <c r="P30" s="28">
        <f>SUM(F30:O30)</f>
        <v>18</v>
      </c>
      <c r="Q30" s="509" t="s">
        <v>25</v>
      </c>
    </row>
    <row r="31" spans="1:17" ht="13.5" customHeight="1">
      <c r="A31" s="29"/>
      <c r="B31" s="29"/>
      <c r="C31" s="785" t="s">
        <v>7</v>
      </c>
      <c r="D31" s="786"/>
      <c r="E31" s="200"/>
      <c r="F31" s="20"/>
      <c r="G31" s="20"/>
      <c r="H31" s="160"/>
      <c r="I31" s="160"/>
      <c r="J31" s="160"/>
      <c r="K31" s="20"/>
      <c r="L31" s="20"/>
      <c r="M31" s="20"/>
      <c r="N31" s="20"/>
      <c r="O31" s="20"/>
      <c r="P31" s="28"/>
      <c r="Q31" s="509"/>
    </row>
    <row r="32" spans="1:17" ht="16.5" customHeight="1">
      <c r="A32" s="29"/>
      <c r="B32" s="29"/>
      <c r="C32" s="765" t="s">
        <v>685</v>
      </c>
      <c r="D32" s="766"/>
      <c r="E32" s="198"/>
      <c r="F32" s="20"/>
      <c r="G32" s="20"/>
      <c r="H32" s="160"/>
      <c r="I32" s="160"/>
      <c r="J32" s="160"/>
      <c r="K32" s="20"/>
      <c r="L32" s="20"/>
      <c r="M32" s="20"/>
      <c r="N32" s="20"/>
      <c r="O32" s="20"/>
      <c r="P32" s="28"/>
      <c r="Q32" s="509"/>
    </row>
    <row r="33" spans="1:17" ht="13.5" customHeight="1">
      <c r="A33" s="29"/>
      <c r="B33" s="29"/>
      <c r="C33" s="32" t="s">
        <v>686</v>
      </c>
      <c r="D33" s="30"/>
      <c r="E33" s="199">
        <v>2</v>
      </c>
      <c r="F33" s="160">
        <v>-12</v>
      </c>
      <c r="G33" s="160">
        <v>12</v>
      </c>
      <c r="H33" s="160"/>
      <c r="I33" s="160"/>
      <c r="J33" s="160"/>
      <c r="K33" s="20"/>
      <c r="L33" s="20"/>
      <c r="M33" s="20"/>
      <c r="N33" s="20"/>
      <c r="O33" s="20"/>
      <c r="P33" s="28">
        <f>SUM(F33:O33)</f>
        <v>0</v>
      </c>
      <c r="Q33" s="509" t="s">
        <v>25</v>
      </c>
    </row>
    <row r="34" spans="1:17" ht="15.75" customHeight="1">
      <c r="A34" s="29"/>
      <c r="B34" s="29"/>
      <c r="C34" s="706" t="s">
        <v>687</v>
      </c>
      <c r="D34" s="747"/>
      <c r="E34" s="199"/>
      <c r="F34" s="160"/>
      <c r="G34" s="160"/>
      <c r="H34" s="160"/>
      <c r="I34" s="160"/>
      <c r="J34" s="160"/>
      <c r="K34" s="20"/>
      <c r="L34" s="20"/>
      <c r="M34" s="20"/>
      <c r="N34" s="20"/>
      <c r="O34" s="20"/>
      <c r="P34" s="28"/>
      <c r="Q34" s="509"/>
    </row>
    <row r="35" spans="1:17" ht="12.75" customHeight="1">
      <c r="A35" s="29"/>
      <c r="B35" s="29"/>
      <c r="C35" s="765" t="s">
        <v>688</v>
      </c>
      <c r="D35" s="766"/>
      <c r="E35" s="199">
        <v>2</v>
      </c>
      <c r="F35" s="160">
        <v>-79</v>
      </c>
      <c r="G35" s="160">
        <v>151</v>
      </c>
      <c r="H35" s="160">
        <v>-72</v>
      </c>
      <c r="I35" s="160"/>
      <c r="J35" s="160"/>
      <c r="K35" s="20"/>
      <c r="L35" s="20"/>
      <c r="M35" s="20"/>
      <c r="N35" s="20"/>
      <c r="O35" s="20"/>
      <c r="P35" s="28">
        <f>SUM(F35:O35)</f>
        <v>0</v>
      </c>
      <c r="Q35" s="509" t="s">
        <v>25</v>
      </c>
    </row>
    <row r="36" spans="1:17" ht="13.5" customHeight="1">
      <c r="A36" s="29"/>
      <c r="B36" s="29"/>
      <c r="C36" s="665" t="s">
        <v>380</v>
      </c>
      <c r="D36" s="172"/>
      <c r="E36" s="199"/>
      <c r="F36" s="20"/>
      <c r="G36" s="20"/>
      <c r="H36" s="160"/>
      <c r="I36" s="160"/>
      <c r="J36" s="160"/>
      <c r="K36" s="20"/>
      <c r="L36" s="20"/>
      <c r="M36" s="20"/>
      <c r="N36" s="20"/>
      <c r="O36" s="20"/>
      <c r="P36" s="28"/>
      <c r="Q36" s="41"/>
    </row>
    <row r="37" spans="1:17" ht="13.5" customHeight="1">
      <c r="A37" s="29"/>
      <c r="B37" s="29"/>
      <c r="C37" s="718" t="s">
        <v>689</v>
      </c>
      <c r="D37" s="719"/>
      <c r="E37" s="199"/>
      <c r="F37" s="20"/>
      <c r="G37" s="20"/>
      <c r="H37" s="160"/>
      <c r="I37" s="160"/>
      <c r="J37" s="160"/>
      <c r="K37" s="20"/>
      <c r="L37" s="20"/>
      <c r="M37" s="20"/>
      <c r="N37" s="20"/>
      <c r="O37" s="20"/>
      <c r="P37" s="28"/>
      <c r="Q37" s="41"/>
    </row>
    <row r="38" spans="1:17" ht="13.5" customHeight="1">
      <c r="A38" s="29"/>
      <c r="B38" s="29"/>
      <c r="C38" s="32" t="s">
        <v>691</v>
      </c>
      <c r="D38" s="172"/>
      <c r="E38" s="199">
        <v>2</v>
      </c>
      <c r="F38" s="20"/>
      <c r="G38" s="20"/>
      <c r="H38" s="160">
        <v>31</v>
      </c>
      <c r="I38" s="160"/>
      <c r="J38" s="160">
        <v>-31</v>
      </c>
      <c r="K38" s="20"/>
      <c r="L38" s="20"/>
      <c r="M38" s="20"/>
      <c r="N38" s="20"/>
      <c r="O38" s="20"/>
      <c r="P38" s="28">
        <f aca="true" t="shared" si="2" ref="P38:P43">SUM(F38:O38)</f>
        <v>0</v>
      </c>
      <c r="Q38" s="41" t="s">
        <v>25</v>
      </c>
    </row>
    <row r="39" spans="1:17" ht="13.5" customHeight="1">
      <c r="A39" s="29"/>
      <c r="B39" s="29"/>
      <c r="C39" s="783" t="s">
        <v>693</v>
      </c>
      <c r="D39" s="784"/>
      <c r="E39" s="199"/>
      <c r="F39" s="20"/>
      <c r="G39" s="20"/>
      <c r="H39" s="160"/>
      <c r="I39" s="160"/>
      <c r="J39" s="160"/>
      <c r="K39" s="20"/>
      <c r="L39" s="20"/>
      <c r="M39" s="20"/>
      <c r="N39" s="20"/>
      <c r="O39" s="20"/>
      <c r="P39" s="28">
        <f t="shared" si="2"/>
        <v>0</v>
      </c>
      <c r="Q39" s="41"/>
    </row>
    <row r="40" spans="1:17" ht="13.5" customHeight="1">
      <c r="A40" s="29"/>
      <c r="B40" s="29"/>
      <c r="C40" s="40" t="s">
        <v>694</v>
      </c>
      <c r="D40" s="634"/>
      <c r="E40" s="199">
        <v>1</v>
      </c>
      <c r="F40" s="160">
        <v>-25</v>
      </c>
      <c r="G40" s="160">
        <v>32</v>
      </c>
      <c r="H40" s="160">
        <v>88</v>
      </c>
      <c r="I40" s="160"/>
      <c r="J40" s="160">
        <v>617</v>
      </c>
      <c r="K40" s="20"/>
      <c r="L40" s="20"/>
      <c r="M40" s="20"/>
      <c r="N40" s="20"/>
      <c r="O40" s="20"/>
      <c r="P40" s="28">
        <f t="shared" si="2"/>
        <v>712</v>
      </c>
      <c r="Q40" s="41" t="s">
        <v>257</v>
      </c>
    </row>
    <row r="41" spans="1:17" ht="13.5" customHeight="1">
      <c r="A41" s="29"/>
      <c r="B41" s="29"/>
      <c r="C41" s="672" t="s">
        <v>695</v>
      </c>
      <c r="D41" s="634"/>
      <c r="E41" s="199">
        <v>1</v>
      </c>
      <c r="F41" s="160"/>
      <c r="G41" s="160"/>
      <c r="H41" s="160"/>
      <c r="I41" s="160"/>
      <c r="J41" s="160"/>
      <c r="K41" s="20"/>
      <c r="L41" s="20"/>
      <c r="M41" s="20"/>
      <c r="N41" s="20"/>
      <c r="O41" s="20"/>
      <c r="P41" s="28">
        <f t="shared" si="2"/>
        <v>0</v>
      </c>
      <c r="Q41" s="41" t="s">
        <v>25</v>
      </c>
    </row>
    <row r="42" spans="1:17" ht="13.5" customHeight="1">
      <c r="A42" s="29"/>
      <c r="B42" s="29"/>
      <c r="C42" s="718" t="s">
        <v>381</v>
      </c>
      <c r="D42" s="719"/>
      <c r="E42" s="199"/>
      <c r="F42" s="160"/>
      <c r="G42" s="160"/>
      <c r="H42" s="160"/>
      <c r="I42" s="160"/>
      <c r="J42" s="160"/>
      <c r="K42" s="20"/>
      <c r="L42" s="20"/>
      <c r="M42" s="20"/>
      <c r="N42" s="20"/>
      <c r="O42" s="20"/>
      <c r="P42" s="28"/>
      <c r="Q42" s="41"/>
    </row>
    <row r="43" spans="1:17" ht="13.5" customHeight="1">
      <c r="A43" s="29"/>
      <c r="B43" s="29"/>
      <c r="C43" s="787" t="s">
        <v>692</v>
      </c>
      <c r="D43" s="788"/>
      <c r="E43" s="199">
        <v>1</v>
      </c>
      <c r="F43" s="160">
        <v>-8</v>
      </c>
      <c r="G43" s="160">
        <v>8</v>
      </c>
      <c r="H43" s="160">
        <v>-62</v>
      </c>
      <c r="I43" s="160"/>
      <c r="J43" s="160"/>
      <c r="K43" s="20"/>
      <c r="L43" s="20"/>
      <c r="M43" s="20"/>
      <c r="N43" s="20"/>
      <c r="O43" s="20"/>
      <c r="P43" s="28">
        <f t="shared" si="2"/>
        <v>-62</v>
      </c>
      <c r="Q43" s="41" t="s">
        <v>25</v>
      </c>
    </row>
    <row r="44" spans="1:17" ht="13.5" customHeight="1">
      <c r="A44" s="29"/>
      <c r="B44" s="29"/>
      <c r="C44" s="40"/>
      <c r="D44" s="172"/>
      <c r="E44" s="199">
        <v>1</v>
      </c>
      <c r="F44" s="20"/>
      <c r="G44" s="20"/>
      <c r="H44" s="160"/>
      <c r="I44" s="160"/>
      <c r="J44" s="160"/>
      <c r="K44" s="20"/>
      <c r="L44" s="20"/>
      <c r="M44" s="20"/>
      <c r="N44" s="20"/>
      <c r="O44" s="20"/>
      <c r="P44" s="28"/>
      <c r="Q44" s="41"/>
    </row>
    <row r="45" spans="1:17" ht="13.5" customHeight="1">
      <c r="A45" s="33"/>
      <c r="B45" s="33"/>
      <c r="C45" s="171" t="s">
        <v>1040</v>
      </c>
      <c r="D45" s="170"/>
      <c r="E45" s="33"/>
      <c r="F45" s="164">
        <f aca="true" t="shared" si="3" ref="F45:P45">SUM(F19:F44)</f>
        <v>-124</v>
      </c>
      <c r="G45" s="164">
        <f t="shared" si="3"/>
        <v>348</v>
      </c>
      <c r="H45" s="164">
        <f t="shared" si="3"/>
        <v>-532</v>
      </c>
      <c r="I45" s="164">
        <f t="shared" si="3"/>
        <v>18</v>
      </c>
      <c r="J45" s="164">
        <f t="shared" si="3"/>
        <v>1058</v>
      </c>
      <c r="K45" s="164">
        <f t="shared" si="3"/>
        <v>0</v>
      </c>
      <c r="L45" s="164">
        <f t="shared" si="3"/>
        <v>0</v>
      </c>
      <c r="M45" s="164">
        <f t="shared" si="3"/>
        <v>0</v>
      </c>
      <c r="N45" s="164">
        <f t="shared" si="3"/>
        <v>0</v>
      </c>
      <c r="O45" s="164">
        <f t="shared" si="3"/>
        <v>0</v>
      </c>
      <c r="P45" s="164">
        <f t="shared" si="3"/>
        <v>768</v>
      </c>
      <c r="Q45" s="164"/>
    </row>
    <row r="46" spans="1:17" ht="13.5" customHeight="1">
      <c r="A46" s="17"/>
      <c r="B46" s="17"/>
      <c r="C46" s="32" t="s">
        <v>904</v>
      </c>
      <c r="D46" s="19"/>
      <c r="E46" s="39"/>
      <c r="F46" s="20"/>
      <c r="G46" s="20"/>
      <c r="H46" s="20"/>
      <c r="I46" s="20"/>
      <c r="J46" s="20"/>
      <c r="K46" s="160">
        <f>7!J38</f>
        <v>-406</v>
      </c>
      <c r="L46" s="160"/>
      <c r="M46" s="160">
        <f>7!K38</f>
        <v>100</v>
      </c>
      <c r="N46" s="160"/>
      <c r="O46" s="17"/>
      <c r="P46" s="28">
        <f>SUM(F46:O46)</f>
        <v>-306</v>
      </c>
      <c r="Q46" s="509"/>
    </row>
    <row r="47" spans="1:17" ht="13.5" customHeight="1">
      <c r="A47" s="17"/>
      <c r="B47" s="17"/>
      <c r="C47" s="32" t="s">
        <v>255</v>
      </c>
      <c r="D47" s="19"/>
      <c r="E47" s="39"/>
      <c r="F47" s="20"/>
      <c r="G47" s="20"/>
      <c r="H47" s="20"/>
      <c r="I47" s="20"/>
      <c r="J47" s="20"/>
      <c r="K47" s="160"/>
      <c r="L47" s="160">
        <f>8!J52</f>
        <v>1522</v>
      </c>
      <c r="M47" s="160">
        <f>8!K52</f>
        <v>0</v>
      </c>
      <c r="N47" s="160"/>
      <c r="O47" s="17"/>
      <c r="P47" s="28">
        <f>SUM(F47:O47)</f>
        <v>1522</v>
      </c>
      <c r="Q47" s="509"/>
    </row>
    <row r="48" spans="1:17" ht="13.5" customHeight="1">
      <c r="A48" s="161"/>
      <c r="B48" s="161"/>
      <c r="C48" s="34" t="s">
        <v>974</v>
      </c>
      <c r="D48" s="162"/>
      <c r="E48" s="165"/>
      <c r="F48" s="164">
        <f>SUM(F45:F47)</f>
        <v>-124</v>
      </c>
      <c r="G48" s="164">
        <f aca="true" t="shared" si="4" ref="G48:P48">SUM(G45:G47)</f>
        <v>348</v>
      </c>
      <c r="H48" s="164">
        <f t="shared" si="4"/>
        <v>-532</v>
      </c>
      <c r="I48" s="164">
        <f t="shared" si="4"/>
        <v>18</v>
      </c>
      <c r="J48" s="164">
        <f t="shared" si="4"/>
        <v>1058</v>
      </c>
      <c r="K48" s="164">
        <f t="shared" si="4"/>
        <v>-406</v>
      </c>
      <c r="L48" s="164">
        <f t="shared" si="4"/>
        <v>1522</v>
      </c>
      <c r="M48" s="164">
        <f t="shared" si="4"/>
        <v>100</v>
      </c>
      <c r="N48" s="164">
        <f t="shared" si="4"/>
        <v>0</v>
      </c>
      <c r="O48" s="164">
        <f t="shared" si="4"/>
        <v>0</v>
      </c>
      <c r="P48" s="164">
        <f t="shared" si="4"/>
        <v>1984</v>
      </c>
      <c r="Q48" s="510"/>
    </row>
    <row r="49" spans="1:17" ht="13.5" customHeight="1">
      <c r="A49" s="17">
        <v>1</v>
      </c>
      <c r="B49" s="17">
        <v>15</v>
      </c>
      <c r="C49" s="37" t="s">
        <v>1041</v>
      </c>
      <c r="D49" s="172"/>
      <c r="E49" s="29"/>
      <c r="F49" s="20"/>
      <c r="G49" s="20"/>
      <c r="H49" s="20"/>
      <c r="I49" s="20"/>
      <c r="J49" s="20"/>
      <c r="K49" s="166"/>
      <c r="L49" s="166"/>
      <c r="M49" s="166"/>
      <c r="N49" s="166"/>
      <c r="O49" s="20"/>
      <c r="P49" s="28"/>
      <c r="Q49" s="511"/>
    </row>
    <row r="50" spans="1:17" ht="13.5" customHeight="1">
      <c r="A50" s="17"/>
      <c r="B50" s="17"/>
      <c r="C50" s="783" t="s">
        <v>455</v>
      </c>
      <c r="D50" s="784"/>
      <c r="E50" s="603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28"/>
      <c r="Q50" s="511"/>
    </row>
    <row r="51" spans="1:17" ht="23.25" customHeight="1">
      <c r="A51" s="17"/>
      <c r="B51" s="17"/>
      <c r="C51" s="789" t="s">
        <v>696</v>
      </c>
      <c r="D51" s="790"/>
      <c r="E51" s="29">
        <v>1</v>
      </c>
      <c r="F51" s="160"/>
      <c r="G51" s="160"/>
      <c r="H51" s="160">
        <v>-950</v>
      </c>
      <c r="I51" s="160">
        <v>950</v>
      </c>
      <c r="J51" s="160"/>
      <c r="K51" s="160"/>
      <c r="L51" s="160"/>
      <c r="M51" s="160"/>
      <c r="N51" s="160"/>
      <c r="O51" s="160"/>
      <c r="P51" s="28">
        <f>SUM(F51:O51)</f>
        <v>0</v>
      </c>
      <c r="Q51" s="511" t="s">
        <v>25</v>
      </c>
    </row>
    <row r="52" spans="1:17" ht="15" customHeight="1">
      <c r="A52" s="17"/>
      <c r="B52" s="17"/>
      <c r="C52" s="783" t="s">
        <v>980</v>
      </c>
      <c r="D52" s="784"/>
      <c r="E52" s="2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28"/>
      <c r="Q52" s="511"/>
    </row>
    <row r="53" spans="1:17" ht="15" customHeight="1">
      <c r="A53" s="17"/>
      <c r="B53" s="17"/>
      <c r="C53" s="40" t="s">
        <v>464</v>
      </c>
      <c r="D53" s="634"/>
      <c r="E53" s="29">
        <v>1</v>
      </c>
      <c r="F53" s="160"/>
      <c r="G53" s="160"/>
      <c r="H53" s="160">
        <v>-191</v>
      </c>
      <c r="I53" s="160">
        <v>191</v>
      </c>
      <c r="J53" s="160"/>
      <c r="K53" s="160"/>
      <c r="L53" s="160"/>
      <c r="M53" s="160"/>
      <c r="N53" s="160"/>
      <c r="O53" s="160"/>
      <c r="P53" s="28">
        <f aca="true" t="shared" si="5" ref="P53:P59">SUM(F53:O53)</f>
        <v>0</v>
      </c>
      <c r="Q53" s="511" t="s">
        <v>25</v>
      </c>
    </row>
    <row r="54" spans="1:17" ht="15" customHeight="1">
      <c r="A54" s="17"/>
      <c r="B54" s="17"/>
      <c r="C54" s="40" t="s">
        <v>697</v>
      </c>
      <c r="D54" s="576"/>
      <c r="E54" s="29"/>
      <c r="F54" s="160"/>
      <c r="G54" s="160"/>
      <c r="H54" s="160">
        <v>150</v>
      </c>
      <c r="I54" s="160"/>
      <c r="J54" s="160"/>
      <c r="K54" s="160"/>
      <c r="L54" s="160"/>
      <c r="M54" s="160"/>
      <c r="N54" s="160"/>
      <c r="O54" s="160"/>
      <c r="P54" s="28">
        <f t="shared" si="5"/>
        <v>150</v>
      </c>
      <c r="Q54" s="511" t="s">
        <v>25</v>
      </c>
    </row>
    <row r="55" spans="1:17" ht="15" customHeight="1">
      <c r="A55" s="17"/>
      <c r="B55" s="17"/>
      <c r="C55" s="718" t="s">
        <v>985</v>
      </c>
      <c r="D55" s="719"/>
      <c r="E55" s="29">
        <v>1</v>
      </c>
      <c r="F55" s="160">
        <v>289</v>
      </c>
      <c r="G55" s="160">
        <v>100</v>
      </c>
      <c r="H55" s="160">
        <v>-299</v>
      </c>
      <c r="I55" s="160"/>
      <c r="J55" s="160"/>
      <c r="K55" s="160"/>
      <c r="L55" s="160"/>
      <c r="M55" s="160"/>
      <c r="N55" s="160"/>
      <c r="O55" s="160"/>
      <c r="P55" s="28">
        <f t="shared" si="5"/>
        <v>90</v>
      </c>
      <c r="Q55" s="511" t="s">
        <v>25</v>
      </c>
    </row>
    <row r="56" spans="1:17" ht="15" customHeight="1">
      <c r="A56" s="17"/>
      <c r="B56" s="17"/>
      <c r="C56" s="706" t="s">
        <v>460</v>
      </c>
      <c r="D56" s="747"/>
      <c r="E56" s="29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28"/>
      <c r="Q56" s="511"/>
    </row>
    <row r="57" spans="1:17" ht="24" customHeight="1">
      <c r="A57" s="17"/>
      <c r="B57" s="17"/>
      <c r="C57" s="706" t="s">
        <v>456</v>
      </c>
      <c r="D57" s="747"/>
      <c r="E57" s="29">
        <v>2</v>
      </c>
      <c r="F57" s="160"/>
      <c r="G57" s="160"/>
      <c r="H57" s="160">
        <v>11835</v>
      </c>
      <c r="I57" s="160"/>
      <c r="J57" s="160"/>
      <c r="K57" s="160"/>
      <c r="L57" s="160"/>
      <c r="M57" s="160"/>
      <c r="N57" s="160"/>
      <c r="O57" s="160"/>
      <c r="P57" s="28">
        <f t="shared" si="5"/>
        <v>11835</v>
      </c>
      <c r="Q57" s="511" t="s">
        <v>25</v>
      </c>
    </row>
    <row r="58" spans="1:17" ht="18" customHeight="1">
      <c r="A58" s="17"/>
      <c r="B58" s="17"/>
      <c r="C58" s="783" t="s">
        <v>458</v>
      </c>
      <c r="D58" s="784"/>
      <c r="E58" s="29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28"/>
      <c r="Q58" s="511"/>
    </row>
    <row r="59" spans="1:17" ht="15.75" customHeight="1">
      <c r="A59" s="17"/>
      <c r="B59" s="17"/>
      <c r="C59" s="40" t="s">
        <v>463</v>
      </c>
      <c r="D59" s="668"/>
      <c r="E59" s="29">
        <v>2</v>
      </c>
      <c r="F59" s="160"/>
      <c r="G59" s="160"/>
      <c r="H59" s="160">
        <v>175</v>
      </c>
      <c r="I59" s="160"/>
      <c r="J59" s="160"/>
      <c r="K59" s="160"/>
      <c r="L59" s="160"/>
      <c r="M59" s="160"/>
      <c r="N59" s="160"/>
      <c r="O59" s="160"/>
      <c r="P59" s="28">
        <f t="shared" si="5"/>
        <v>175</v>
      </c>
      <c r="Q59" s="511" t="s">
        <v>25</v>
      </c>
    </row>
    <row r="60" spans="1:17" ht="13.5" customHeight="1">
      <c r="A60" s="161"/>
      <c r="B60" s="161"/>
      <c r="C60" s="34" t="s">
        <v>1042</v>
      </c>
      <c r="D60" s="162"/>
      <c r="E60" s="165"/>
      <c r="F60" s="164">
        <f aca="true" t="shared" si="6" ref="F60:P60">SUM(F50:F59)</f>
        <v>289</v>
      </c>
      <c r="G60" s="164">
        <f t="shared" si="6"/>
        <v>100</v>
      </c>
      <c r="H60" s="164">
        <f t="shared" si="6"/>
        <v>10720</v>
      </c>
      <c r="I60" s="164">
        <f t="shared" si="6"/>
        <v>1141</v>
      </c>
      <c r="J60" s="164">
        <f t="shared" si="6"/>
        <v>0</v>
      </c>
      <c r="K60" s="164">
        <f t="shared" si="6"/>
        <v>0</v>
      </c>
      <c r="L60" s="164">
        <f t="shared" si="6"/>
        <v>0</v>
      </c>
      <c r="M60" s="164">
        <f t="shared" si="6"/>
        <v>0</v>
      </c>
      <c r="N60" s="164">
        <f t="shared" si="6"/>
        <v>0</v>
      </c>
      <c r="O60" s="164">
        <f t="shared" si="6"/>
        <v>0</v>
      </c>
      <c r="P60" s="164">
        <f t="shared" si="6"/>
        <v>12250</v>
      </c>
      <c r="Q60" s="510"/>
    </row>
    <row r="61" spans="1:17" ht="13.5" customHeight="1">
      <c r="A61" s="17"/>
      <c r="B61" s="17"/>
      <c r="C61" s="32" t="s">
        <v>905</v>
      </c>
      <c r="D61" s="172"/>
      <c r="E61" s="29"/>
      <c r="F61" s="20"/>
      <c r="G61" s="20"/>
      <c r="H61" s="20"/>
      <c r="I61" s="20"/>
      <c r="J61" s="20"/>
      <c r="K61" s="160">
        <f>7!J135</f>
        <v>-3972</v>
      </c>
      <c r="L61" s="160"/>
      <c r="M61" s="160">
        <f>7!K135</f>
        <v>0</v>
      </c>
      <c r="N61" s="160"/>
      <c r="O61" s="20"/>
      <c r="P61" s="28">
        <f>SUM(F61:O61)</f>
        <v>-3972</v>
      </c>
      <c r="Q61" s="511"/>
    </row>
    <row r="62" spans="1:17" ht="13.5" customHeight="1">
      <c r="A62" s="17"/>
      <c r="B62" s="17"/>
      <c r="C62" s="32" t="s">
        <v>251</v>
      </c>
      <c r="D62" s="172"/>
      <c r="E62" s="29"/>
      <c r="F62" s="20"/>
      <c r="G62" s="20"/>
      <c r="H62" s="20"/>
      <c r="I62" s="20"/>
      <c r="J62" s="20"/>
      <c r="K62" s="160"/>
      <c r="L62" s="160">
        <f>8!J178</f>
        <v>2221</v>
      </c>
      <c r="M62" s="160">
        <f>8!K178</f>
        <v>0</v>
      </c>
      <c r="N62" s="160"/>
      <c r="O62" s="20"/>
      <c r="P62" s="28">
        <f>SUM(F62:O62)</f>
        <v>2221</v>
      </c>
      <c r="Q62" s="511"/>
    </row>
    <row r="63" spans="1:17" ht="13.5" customHeight="1">
      <c r="A63" s="163"/>
      <c r="B63" s="163"/>
      <c r="C63" s="34" t="s">
        <v>1128</v>
      </c>
      <c r="D63" s="170"/>
      <c r="E63" s="33"/>
      <c r="F63" s="164">
        <f>SUM(F60:F62)</f>
        <v>289</v>
      </c>
      <c r="G63" s="164">
        <f aca="true" t="shared" si="7" ref="G63:P63">SUM(G60:G62)</f>
        <v>100</v>
      </c>
      <c r="H63" s="164">
        <f t="shared" si="7"/>
        <v>10720</v>
      </c>
      <c r="I63" s="164">
        <f t="shared" si="7"/>
        <v>1141</v>
      </c>
      <c r="J63" s="164">
        <f t="shared" si="7"/>
        <v>0</v>
      </c>
      <c r="K63" s="164">
        <f t="shared" si="7"/>
        <v>-3972</v>
      </c>
      <c r="L63" s="164">
        <f t="shared" si="7"/>
        <v>2221</v>
      </c>
      <c r="M63" s="164">
        <f t="shared" si="7"/>
        <v>0</v>
      </c>
      <c r="N63" s="164">
        <f t="shared" si="7"/>
        <v>0</v>
      </c>
      <c r="O63" s="164">
        <f t="shared" si="7"/>
        <v>0</v>
      </c>
      <c r="P63" s="164">
        <f t="shared" si="7"/>
        <v>10499</v>
      </c>
      <c r="Q63" s="512"/>
    </row>
    <row r="64" spans="1:17" ht="13.5" customHeight="1">
      <c r="A64" s="17">
        <v>1</v>
      </c>
      <c r="B64" s="17">
        <v>16</v>
      </c>
      <c r="C64" s="37" t="s">
        <v>1140</v>
      </c>
      <c r="D64" s="169"/>
      <c r="E64" s="605"/>
      <c r="F64" s="20"/>
      <c r="G64" s="20"/>
      <c r="H64" s="20"/>
      <c r="I64" s="20"/>
      <c r="J64" s="20"/>
      <c r="K64" s="166"/>
      <c r="L64" s="166"/>
      <c r="M64" s="166"/>
      <c r="N64" s="166"/>
      <c r="O64" s="20"/>
      <c r="P64" s="28"/>
      <c r="Q64" s="513"/>
    </row>
    <row r="65" spans="1:17" ht="13.5" customHeight="1">
      <c r="A65" s="17"/>
      <c r="B65" s="17"/>
      <c r="C65" s="791" t="s">
        <v>584</v>
      </c>
      <c r="D65" s="792"/>
      <c r="E65" s="605"/>
      <c r="F65" s="20"/>
      <c r="G65" s="20"/>
      <c r="H65" s="20"/>
      <c r="I65" s="20"/>
      <c r="J65" s="20"/>
      <c r="K65" s="166"/>
      <c r="L65" s="166"/>
      <c r="M65" s="166"/>
      <c r="N65" s="166"/>
      <c r="O65" s="20"/>
      <c r="P65" s="28"/>
      <c r="Q65" s="513"/>
    </row>
    <row r="66" spans="1:17" ht="27.75" customHeight="1">
      <c r="A66" s="17"/>
      <c r="B66" s="17"/>
      <c r="C66" s="807" t="s">
        <v>535</v>
      </c>
      <c r="D66" s="808"/>
      <c r="E66" s="602">
        <v>2</v>
      </c>
      <c r="F66" s="20"/>
      <c r="G66" s="20"/>
      <c r="H66" s="160">
        <v>5461</v>
      </c>
      <c r="I66" s="160"/>
      <c r="J66" s="160"/>
      <c r="K66" s="160"/>
      <c r="L66" s="160"/>
      <c r="M66" s="160"/>
      <c r="N66" s="160"/>
      <c r="O66" s="160"/>
      <c r="P66" s="631">
        <f>SUM(H66:O66)</f>
        <v>5461</v>
      </c>
      <c r="Q66" s="514" t="s">
        <v>25</v>
      </c>
    </row>
    <row r="67" spans="1:17" ht="16.5" customHeight="1">
      <c r="A67" s="17"/>
      <c r="B67" s="17"/>
      <c r="C67" s="795" t="s">
        <v>1105</v>
      </c>
      <c r="D67" s="796"/>
      <c r="E67" s="602">
        <v>2</v>
      </c>
      <c r="F67" s="20"/>
      <c r="G67" s="20"/>
      <c r="H67" s="160">
        <v>9846</v>
      </c>
      <c r="I67" s="160"/>
      <c r="J67" s="160"/>
      <c r="K67" s="160"/>
      <c r="L67" s="160"/>
      <c r="M67" s="160"/>
      <c r="N67" s="160"/>
      <c r="O67" s="160"/>
      <c r="P67" s="631">
        <f>SUM(H67:O67)</f>
        <v>9846</v>
      </c>
      <c r="Q67" s="514" t="s">
        <v>25</v>
      </c>
    </row>
    <row r="68" spans="1:17" ht="40.5" customHeight="1">
      <c r="A68" s="17"/>
      <c r="B68" s="17"/>
      <c r="C68" s="805" t="s">
        <v>261</v>
      </c>
      <c r="D68" s="806"/>
      <c r="E68" s="602">
        <v>2</v>
      </c>
      <c r="F68" s="20"/>
      <c r="G68" s="20"/>
      <c r="H68" s="160">
        <v>12192</v>
      </c>
      <c r="I68" s="160"/>
      <c r="J68" s="160"/>
      <c r="K68" s="160"/>
      <c r="L68" s="160"/>
      <c r="M68" s="160"/>
      <c r="N68" s="160"/>
      <c r="O68" s="160"/>
      <c r="P68" s="631">
        <f>SUM(H68:O68)</f>
        <v>12192</v>
      </c>
      <c r="Q68" s="514" t="s">
        <v>25</v>
      </c>
    </row>
    <row r="69" spans="1:17" ht="42.75" customHeight="1">
      <c r="A69" s="17"/>
      <c r="B69" s="17"/>
      <c r="C69" s="797" t="s">
        <v>262</v>
      </c>
      <c r="D69" s="798"/>
      <c r="E69" s="602">
        <v>2</v>
      </c>
      <c r="F69" s="20"/>
      <c r="G69" s="20"/>
      <c r="H69" s="160">
        <v>12192</v>
      </c>
      <c r="I69" s="160"/>
      <c r="J69" s="160"/>
      <c r="K69" s="160"/>
      <c r="L69" s="160"/>
      <c r="M69" s="160"/>
      <c r="N69" s="160"/>
      <c r="O69" s="160"/>
      <c r="P69" s="631">
        <f>SUM(H69:O69)</f>
        <v>12192</v>
      </c>
      <c r="Q69" s="514" t="s">
        <v>25</v>
      </c>
    </row>
    <row r="70" spans="1:17" ht="27.75" customHeight="1">
      <c r="A70" s="17"/>
      <c r="B70" s="17"/>
      <c r="C70" s="795" t="s">
        <v>700</v>
      </c>
      <c r="D70" s="796"/>
      <c r="E70" s="602">
        <v>2</v>
      </c>
      <c r="F70" s="20"/>
      <c r="G70" s="20"/>
      <c r="H70" s="160">
        <v>5006</v>
      </c>
      <c r="I70" s="160"/>
      <c r="J70" s="160"/>
      <c r="K70" s="160"/>
      <c r="L70" s="160"/>
      <c r="M70" s="160"/>
      <c r="N70" s="160"/>
      <c r="O70" s="160"/>
      <c r="P70" s="631">
        <f>SUM(H70:O70)</f>
        <v>5006</v>
      </c>
      <c r="Q70" s="514" t="s">
        <v>25</v>
      </c>
    </row>
    <row r="71" spans="1:17" ht="28.5" customHeight="1">
      <c r="A71" s="17"/>
      <c r="B71" s="17"/>
      <c r="C71" s="799" t="s">
        <v>698</v>
      </c>
      <c r="D71" s="800"/>
      <c r="E71" s="602"/>
      <c r="F71" s="20"/>
      <c r="G71" s="20"/>
      <c r="H71" s="160"/>
      <c r="I71" s="160"/>
      <c r="J71" s="160"/>
      <c r="K71" s="160"/>
      <c r="L71" s="160"/>
      <c r="M71" s="160"/>
      <c r="N71" s="160"/>
      <c r="O71" s="160"/>
      <c r="P71" s="631"/>
      <c r="Q71" s="514"/>
    </row>
    <row r="72" spans="1:17" ht="37.5" customHeight="1">
      <c r="A72" s="17"/>
      <c r="B72" s="17"/>
      <c r="C72" s="795" t="s">
        <v>699</v>
      </c>
      <c r="D72" s="796"/>
      <c r="E72" s="602">
        <v>2</v>
      </c>
      <c r="F72" s="20"/>
      <c r="G72" s="20"/>
      <c r="H72" s="160">
        <v>6165</v>
      </c>
      <c r="I72" s="160"/>
      <c r="J72" s="160"/>
      <c r="K72" s="160"/>
      <c r="L72" s="160"/>
      <c r="M72" s="160"/>
      <c r="N72" s="160"/>
      <c r="O72" s="160"/>
      <c r="P72" s="631">
        <f>SUM(H72:O72)</f>
        <v>6165</v>
      </c>
      <c r="Q72" s="514" t="s">
        <v>25</v>
      </c>
    </row>
    <row r="73" spans="1:17" ht="13.5" customHeight="1">
      <c r="A73" s="161"/>
      <c r="B73" s="161"/>
      <c r="C73" s="34" t="s">
        <v>266</v>
      </c>
      <c r="D73" s="170"/>
      <c r="E73" s="33"/>
      <c r="F73" s="164"/>
      <c r="G73" s="164"/>
      <c r="H73" s="164">
        <f aca="true" t="shared" si="8" ref="H73:P73">SUM(H66:H72)</f>
        <v>50862</v>
      </c>
      <c r="I73" s="164">
        <f t="shared" si="8"/>
        <v>0</v>
      </c>
      <c r="J73" s="164">
        <f t="shared" si="8"/>
        <v>0</v>
      </c>
      <c r="K73" s="164">
        <f t="shared" si="8"/>
        <v>0</v>
      </c>
      <c r="L73" s="164">
        <f t="shared" si="8"/>
        <v>0</v>
      </c>
      <c r="M73" s="164">
        <f t="shared" si="8"/>
        <v>0</v>
      </c>
      <c r="N73" s="164">
        <f t="shared" si="8"/>
        <v>0</v>
      </c>
      <c r="O73" s="164">
        <f t="shared" si="8"/>
        <v>0</v>
      </c>
      <c r="P73" s="164">
        <f t="shared" si="8"/>
        <v>50862</v>
      </c>
      <c r="Q73" s="512"/>
    </row>
    <row r="74" spans="1:17" ht="13.5" customHeight="1">
      <c r="A74" s="20"/>
      <c r="B74" s="20"/>
      <c r="C74" s="32" t="s">
        <v>906</v>
      </c>
      <c r="D74" s="169"/>
      <c r="E74" s="605"/>
      <c r="F74" s="20"/>
      <c r="G74" s="20"/>
      <c r="H74" s="20"/>
      <c r="I74" s="20"/>
      <c r="J74" s="20"/>
      <c r="K74" s="160">
        <f>7!J248</f>
        <v>-48386</v>
      </c>
      <c r="L74" s="160"/>
      <c r="M74" s="160">
        <f>7!K248</f>
        <v>0</v>
      </c>
      <c r="N74" s="160"/>
      <c r="O74" s="20"/>
      <c r="P74" s="28">
        <f>SUM(F74:O74)</f>
        <v>-48386</v>
      </c>
      <c r="Q74" s="513"/>
    </row>
    <row r="75" spans="1:17" ht="13.5" customHeight="1">
      <c r="A75" s="20"/>
      <c r="B75" s="20"/>
      <c r="C75" s="32" t="s">
        <v>255</v>
      </c>
      <c r="D75" s="169"/>
      <c r="E75" s="605"/>
      <c r="F75" s="20"/>
      <c r="G75" s="20"/>
      <c r="H75" s="20"/>
      <c r="I75" s="20"/>
      <c r="J75" s="20"/>
      <c r="K75" s="160"/>
      <c r="L75" s="160">
        <f>8!J203</f>
        <v>-221</v>
      </c>
      <c r="M75" s="160">
        <f>8!K203</f>
        <v>0</v>
      </c>
      <c r="N75" s="160"/>
      <c r="O75" s="20"/>
      <c r="P75" s="28">
        <f>SUM(F75:O75)</f>
        <v>-221</v>
      </c>
      <c r="Q75" s="513"/>
    </row>
    <row r="76" spans="1:17" ht="13.5" customHeight="1">
      <c r="A76" s="163"/>
      <c r="B76" s="163"/>
      <c r="C76" s="34" t="s">
        <v>1129</v>
      </c>
      <c r="D76" s="170"/>
      <c r="E76" s="33"/>
      <c r="F76" s="164">
        <f>SUM(F73:F75)</f>
        <v>0</v>
      </c>
      <c r="G76" s="164">
        <f aca="true" t="shared" si="9" ref="G76:P76">SUM(G73:G75)</f>
        <v>0</v>
      </c>
      <c r="H76" s="164">
        <f t="shared" si="9"/>
        <v>50862</v>
      </c>
      <c r="I76" s="164">
        <f t="shared" si="9"/>
        <v>0</v>
      </c>
      <c r="J76" s="164">
        <f t="shared" si="9"/>
        <v>0</v>
      </c>
      <c r="K76" s="164">
        <f t="shared" si="9"/>
        <v>-48386</v>
      </c>
      <c r="L76" s="164">
        <f t="shared" si="9"/>
        <v>-221</v>
      </c>
      <c r="M76" s="164">
        <f t="shared" si="9"/>
        <v>0</v>
      </c>
      <c r="N76" s="164"/>
      <c r="O76" s="164">
        <f t="shared" si="9"/>
        <v>0</v>
      </c>
      <c r="P76" s="164">
        <f t="shared" si="9"/>
        <v>2255</v>
      </c>
      <c r="Q76" s="512"/>
    </row>
    <row r="77" spans="1:17" ht="13.5" customHeight="1">
      <c r="A77" s="17">
        <v>1</v>
      </c>
      <c r="B77" s="17">
        <v>17</v>
      </c>
      <c r="C77" s="37" t="s">
        <v>245</v>
      </c>
      <c r="D77" s="169"/>
      <c r="E77" s="605"/>
      <c r="F77" s="20"/>
      <c r="G77" s="20"/>
      <c r="H77" s="20"/>
      <c r="I77" s="20"/>
      <c r="J77" s="20"/>
      <c r="K77" s="166"/>
      <c r="L77" s="166"/>
      <c r="M77" s="166"/>
      <c r="N77" s="166"/>
      <c r="O77" s="20"/>
      <c r="P77" s="28"/>
      <c r="Q77" s="513"/>
    </row>
    <row r="78" spans="1:17" ht="15" customHeight="1">
      <c r="A78" s="17"/>
      <c r="B78" s="17"/>
      <c r="C78" s="793" t="s">
        <v>981</v>
      </c>
      <c r="D78" s="794"/>
      <c r="E78" s="604"/>
      <c r="F78" s="20"/>
      <c r="G78" s="20"/>
      <c r="H78" s="20"/>
      <c r="I78" s="20"/>
      <c r="J78" s="20"/>
      <c r="K78" s="166"/>
      <c r="L78" s="166"/>
      <c r="M78" s="166"/>
      <c r="N78" s="166"/>
      <c r="O78" s="20"/>
      <c r="P78" s="28"/>
      <c r="Q78" s="513"/>
    </row>
    <row r="79" spans="1:17" ht="24" customHeight="1">
      <c r="A79" s="17"/>
      <c r="B79" s="17"/>
      <c r="C79" s="716" t="s">
        <v>701</v>
      </c>
      <c r="D79" s="717"/>
      <c r="E79" s="604">
        <v>1</v>
      </c>
      <c r="F79" s="20"/>
      <c r="G79" s="20"/>
      <c r="H79" s="160">
        <v>2400</v>
      </c>
      <c r="I79" s="20"/>
      <c r="J79" s="20"/>
      <c r="K79" s="166"/>
      <c r="L79" s="166"/>
      <c r="M79" s="166"/>
      <c r="N79" s="166"/>
      <c r="O79" s="20"/>
      <c r="P79" s="28">
        <f>SUM(H79:O79)</f>
        <v>2400</v>
      </c>
      <c r="Q79" s="511" t="s">
        <v>25</v>
      </c>
    </row>
    <row r="80" spans="1:17" ht="18" customHeight="1">
      <c r="A80" s="17"/>
      <c r="B80" s="17"/>
      <c r="C80" s="706" t="s">
        <v>702</v>
      </c>
      <c r="D80" s="747"/>
      <c r="E80" s="604">
        <v>1</v>
      </c>
      <c r="F80" s="20"/>
      <c r="G80" s="20"/>
      <c r="H80" s="160">
        <v>50</v>
      </c>
      <c r="I80" s="20"/>
      <c r="J80" s="20"/>
      <c r="K80" s="166"/>
      <c r="L80" s="166"/>
      <c r="M80" s="166"/>
      <c r="N80" s="166"/>
      <c r="O80" s="20"/>
      <c r="P80" s="28">
        <f>SUM(H80:O80)</f>
        <v>50</v>
      </c>
      <c r="Q80" s="511" t="s">
        <v>25</v>
      </c>
    </row>
    <row r="81" spans="1:17" ht="15" customHeight="1">
      <c r="A81" s="17"/>
      <c r="B81" s="17"/>
      <c r="C81" s="718" t="s">
        <v>703</v>
      </c>
      <c r="D81" s="719"/>
      <c r="E81" s="604">
        <v>1</v>
      </c>
      <c r="F81" s="20"/>
      <c r="G81" s="20"/>
      <c r="H81" s="160">
        <v>-279</v>
      </c>
      <c r="I81" s="20"/>
      <c r="J81" s="20"/>
      <c r="K81" s="166"/>
      <c r="L81" s="166"/>
      <c r="M81" s="166"/>
      <c r="N81" s="166"/>
      <c r="O81" s="20"/>
      <c r="P81" s="28">
        <f>SUM(H81:O81)</f>
        <v>-279</v>
      </c>
      <c r="Q81" s="511" t="s">
        <v>25</v>
      </c>
    </row>
    <row r="82" spans="1:17" ht="13.5" customHeight="1">
      <c r="A82" s="161"/>
      <c r="B82" s="161"/>
      <c r="C82" s="34" t="s">
        <v>1043</v>
      </c>
      <c r="D82" s="170"/>
      <c r="E82" s="33"/>
      <c r="F82" s="164">
        <f aca="true" t="shared" si="10" ref="F82:P82">SUM(F79:F81)</f>
        <v>0</v>
      </c>
      <c r="G82" s="164">
        <f t="shared" si="10"/>
        <v>0</v>
      </c>
      <c r="H82" s="164">
        <f t="shared" si="10"/>
        <v>2171</v>
      </c>
      <c r="I82" s="164">
        <f t="shared" si="10"/>
        <v>0</v>
      </c>
      <c r="J82" s="164">
        <f t="shared" si="10"/>
        <v>0</v>
      </c>
      <c r="K82" s="164">
        <f t="shared" si="10"/>
        <v>0</v>
      </c>
      <c r="L82" s="164">
        <f t="shared" si="10"/>
        <v>0</v>
      </c>
      <c r="M82" s="164">
        <f t="shared" si="10"/>
        <v>0</v>
      </c>
      <c r="N82" s="164">
        <f t="shared" si="10"/>
        <v>0</v>
      </c>
      <c r="O82" s="164">
        <f t="shared" si="10"/>
        <v>0</v>
      </c>
      <c r="P82" s="164">
        <f t="shared" si="10"/>
        <v>2171</v>
      </c>
      <c r="Q82" s="512"/>
    </row>
    <row r="83" spans="1:17" ht="13.5" customHeight="1">
      <c r="A83" s="17"/>
      <c r="B83" s="17"/>
      <c r="C83" s="32" t="s">
        <v>904</v>
      </c>
      <c r="D83" s="169"/>
      <c r="E83" s="605"/>
      <c r="F83" s="20"/>
      <c r="G83" s="20"/>
      <c r="H83" s="20"/>
      <c r="I83" s="20"/>
      <c r="J83" s="20"/>
      <c r="K83" s="166">
        <f>7!J261</f>
        <v>1200</v>
      </c>
      <c r="L83" s="160"/>
      <c r="M83" s="160">
        <f>7!K261</f>
        <v>0</v>
      </c>
      <c r="N83" s="160"/>
      <c r="O83" s="20"/>
      <c r="P83" s="28">
        <f>SUM(F83:O83)</f>
        <v>1200</v>
      </c>
      <c r="Q83" s="513"/>
    </row>
    <row r="84" spans="1:17" ht="13.5" customHeight="1">
      <c r="A84" s="17"/>
      <c r="B84" s="17"/>
      <c r="C84" s="32" t="s">
        <v>251</v>
      </c>
      <c r="D84" s="169"/>
      <c r="E84" s="605"/>
      <c r="F84" s="20"/>
      <c r="G84" s="20"/>
      <c r="H84" s="20"/>
      <c r="I84" s="20"/>
      <c r="J84" s="20"/>
      <c r="K84" s="166"/>
      <c r="L84" s="160">
        <f>8!J212</f>
        <v>0</v>
      </c>
      <c r="M84" s="160">
        <f>8!K212</f>
        <v>0</v>
      </c>
      <c r="N84" s="160"/>
      <c r="O84" s="20"/>
      <c r="P84" s="28">
        <f>SUM(F84:O84)</f>
        <v>0</v>
      </c>
      <c r="Q84" s="513"/>
    </row>
    <row r="85" spans="1:17" ht="13.5" customHeight="1">
      <c r="A85" s="161"/>
      <c r="B85" s="161"/>
      <c r="C85" s="34" t="s">
        <v>1130</v>
      </c>
      <c r="D85" s="170"/>
      <c r="E85" s="33"/>
      <c r="F85" s="164">
        <f>SUM(F82:F84)</f>
        <v>0</v>
      </c>
      <c r="G85" s="164">
        <f aca="true" t="shared" si="11" ref="G85:P85">SUM(G82:G84)</f>
        <v>0</v>
      </c>
      <c r="H85" s="164">
        <f t="shared" si="11"/>
        <v>2171</v>
      </c>
      <c r="I85" s="164">
        <f t="shared" si="11"/>
        <v>0</v>
      </c>
      <c r="J85" s="164">
        <f t="shared" si="11"/>
        <v>0</v>
      </c>
      <c r="K85" s="164">
        <f t="shared" si="11"/>
        <v>1200</v>
      </c>
      <c r="L85" s="164">
        <f t="shared" si="11"/>
        <v>0</v>
      </c>
      <c r="M85" s="164">
        <f t="shared" si="11"/>
        <v>0</v>
      </c>
      <c r="N85" s="164">
        <f t="shared" si="11"/>
        <v>0</v>
      </c>
      <c r="O85" s="164">
        <f t="shared" si="11"/>
        <v>0</v>
      </c>
      <c r="P85" s="164">
        <f t="shared" si="11"/>
        <v>3371</v>
      </c>
      <c r="Q85" s="512"/>
    </row>
    <row r="86" spans="1:17" ht="13.5" customHeight="1">
      <c r="A86" s="17">
        <v>1</v>
      </c>
      <c r="B86" s="17">
        <v>18</v>
      </c>
      <c r="C86" s="37" t="s">
        <v>1044</v>
      </c>
      <c r="D86" s="169"/>
      <c r="E86" s="605"/>
      <c r="F86" s="20"/>
      <c r="G86" s="20"/>
      <c r="H86" s="20"/>
      <c r="I86" s="20"/>
      <c r="J86" s="20"/>
      <c r="K86" s="166"/>
      <c r="L86" s="166"/>
      <c r="M86" s="166"/>
      <c r="N86" s="166"/>
      <c r="O86" s="20"/>
      <c r="P86" s="28"/>
      <c r="Q86" s="513"/>
    </row>
    <row r="87" spans="1:17" ht="13.5" customHeight="1">
      <c r="A87" s="17"/>
      <c r="B87" s="17"/>
      <c r="C87" s="799" t="s">
        <v>987</v>
      </c>
      <c r="D87" s="800"/>
      <c r="E87" s="605"/>
      <c r="F87" s="20"/>
      <c r="G87" s="20"/>
      <c r="H87" s="20"/>
      <c r="I87" s="20"/>
      <c r="J87" s="20"/>
      <c r="K87" s="166"/>
      <c r="L87" s="166"/>
      <c r="M87" s="166"/>
      <c r="N87" s="166"/>
      <c r="O87" s="20"/>
      <c r="P87" s="28"/>
      <c r="Q87" s="513"/>
    </row>
    <row r="88" spans="1:17" ht="13.5" customHeight="1">
      <c r="A88" s="17"/>
      <c r="B88" s="17"/>
      <c r="C88" s="803" t="s">
        <v>334</v>
      </c>
      <c r="D88" s="804"/>
      <c r="E88" s="29">
        <v>2</v>
      </c>
      <c r="F88" s="20"/>
      <c r="G88" s="20"/>
      <c r="H88" s="160">
        <v>1265</v>
      </c>
      <c r="I88" s="20"/>
      <c r="J88" s="20"/>
      <c r="K88" s="166"/>
      <c r="L88" s="166"/>
      <c r="M88" s="166"/>
      <c r="N88" s="166"/>
      <c r="O88" s="20"/>
      <c r="P88" s="28">
        <v>1265</v>
      </c>
      <c r="Q88" s="511" t="s">
        <v>25</v>
      </c>
    </row>
    <row r="89" spans="1:17" ht="13.5" customHeight="1">
      <c r="A89" s="161"/>
      <c r="B89" s="161"/>
      <c r="C89" s="34" t="s">
        <v>1045</v>
      </c>
      <c r="D89" s="170"/>
      <c r="E89" s="33"/>
      <c r="F89" s="164"/>
      <c r="G89" s="164"/>
      <c r="H89" s="164">
        <f>SUM(H88:H88)</f>
        <v>1265</v>
      </c>
      <c r="I89" s="164"/>
      <c r="J89" s="164"/>
      <c r="K89" s="164"/>
      <c r="L89" s="164"/>
      <c r="M89" s="164"/>
      <c r="N89" s="164"/>
      <c r="O89" s="164"/>
      <c r="P89" s="164">
        <f>SUM(P88:P88)</f>
        <v>1265</v>
      </c>
      <c r="Q89" s="512"/>
    </row>
    <row r="90" spans="1:17" ht="13.5" customHeight="1">
      <c r="A90" s="17"/>
      <c r="B90" s="17"/>
      <c r="C90" s="32" t="s">
        <v>904</v>
      </c>
      <c r="D90" s="169"/>
      <c r="E90" s="605"/>
      <c r="F90" s="20"/>
      <c r="G90" s="20"/>
      <c r="H90" s="20"/>
      <c r="I90" s="20"/>
      <c r="J90" s="20"/>
      <c r="K90" s="166">
        <f>7!J264</f>
        <v>0</v>
      </c>
      <c r="L90" s="166"/>
      <c r="M90" s="166">
        <f>7!K264</f>
        <v>0</v>
      </c>
      <c r="N90" s="166"/>
      <c r="O90" s="20"/>
      <c r="P90" s="28">
        <f>SUM(F90:O90)</f>
        <v>0</v>
      </c>
      <c r="Q90" s="513"/>
    </row>
    <row r="91" spans="1:17" ht="13.5" customHeight="1">
      <c r="A91" s="161"/>
      <c r="B91" s="161"/>
      <c r="C91" s="34" t="s">
        <v>1131</v>
      </c>
      <c r="D91" s="170"/>
      <c r="E91" s="33"/>
      <c r="F91" s="164">
        <f>SUM(F89:F90)</f>
        <v>0</v>
      </c>
      <c r="G91" s="164">
        <f aca="true" t="shared" si="12" ref="G91:P91">SUM(G89:G90)</f>
        <v>0</v>
      </c>
      <c r="H91" s="164">
        <f t="shared" si="12"/>
        <v>1265</v>
      </c>
      <c r="I91" s="164">
        <f t="shared" si="12"/>
        <v>0</v>
      </c>
      <c r="J91" s="164">
        <f t="shared" si="12"/>
        <v>0</v>
      </c>
      <c r="K91" s="164">
        <f t="shared" si="12"/>
        <v>0</v>
      </c>
      <c r="L91" s="164">
        <f t="shared" si="12"/>
        <v>0</v>
      </c>
      <c r="M91" s="164">
        <f t="shared" si="12"/>
        <v>0</v>
      </c>
      <c r="N91" s="164">
        <f t="shared" si="12"/>
        <v>0</v>
      </c>
      <c r="O91" s="164">
        <f t="shared" si="12"/>
        <v>0</v>
      </c>
      <c r="P91" s="164">
        <f t="shared" si="12"/>
        <v>1265</v>
      </c>
      <c r="Q91" s="512"/>
    </row>
    <row r="92" spans="1:17" ht="13.5" customHeight="1">
      <c r="A92" s="39">
        <v>1</v>
      </c>
      <c r="B92" s="39">
        <v>19</v>
      </c>
      <c r="C92" s="44" t="s">
        <v>246</v>
      </c>
      <c r="D92" s="592"/>
      <c r="E92" s="39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8"/>
      <c r="Q92" s="509"/>
    </row>
    <row r="93" spans="1:17" ht="24.75" customHeight="1">
      <c r="A93" s="39"/>
      <c r="B93" s="39"/>
      <c r="C93" s="801" t="s">
        <v>1028</v>
      </c>
      <c r="D93" s="802"/>
      <c r="E93" s="593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28"/>
      <c r="Q93" s="509"/>
    </row>
    <row r="94" spans="1:17" ht="13.5" customHeight="1">
      <c r="A94" s="39"/>
      <c r="B94" s="39"/>
      <c r="C94" s="40" t="s">
        <v>267</v>
      </c>
      <c r="D94" s="600"/>
      <c r="E94" s="603">
        <v>1</v>
      </c>
      <c r="F94" s="160"/>
      <c r="G94" s="160"/>
      <c r="H94" s="160">
        <v>341</v>
      </c>
      <c r="I94" s="160"/>
      <c r="J94" s="160"/>
      <c r="K94" s="160"/>
      <c r="L94" s="160"/>
      <c r="M94" s="160"/>
      <c r="N94" s="160"/>
      <c r="O94" s="160"/>
      <c r="P94" s="28">
        <f>SUM(F94:O94)</f>
        <v>341</v>
      </c>
      <c r="Q94" s="509" t="s">
        <v>25</v>
      </c>
    </row>
    <row r="95" spans="1:17" ht="13.5" customHeight="1">
      <c r="A95" s="165"/>
      <c r="B95" s="165"/>
      <c r="C95" s="34" t="s">
        <v>1046</v>
      </c>
      <c r="D95" s="162"/>
      <c r="E95" s="165"/>
      <c r="F95" s="164">
        <f aca="true" t="shared" si="13" ref="F95:P95">SUM(F93:F94)</f>
        <v>0</v>
      </c>
      <c r="G95" s="164">
        <f t="shared" si="13"/>
        <v>0</v>
      </c>
      <c r="H95" s="164">
        <f t="shared" si="13"/>
        <v>341</v>
      </c>
      <c r="I95" s="164">
        <f t="shared" si="13"/>
        <v>0</v>
      </c>
      <c r="J95" s="164">
        <f t="shared" si="13"/>
        <v>0</v>
      </c>
      <c r="K95" s="164">
        <f t="shared" si="13"/>
        <v>0</v>
      </c>
      <c r="L95" s="164">
        <f t="shared" si="13"/>
        <v>0</v>
      </c>
      <c r="M95" s="164">
        <f t="shared" si="13"/>
        <v>0</v>
      </c>
      <c r="N95" s="164">
        <f t="shared" si="13"/>
        <v>0</v>
      </c>
      <c r="O95" s="164">
        <f t="shared" si="13"/>
        <v>0</v>
      </c>
      <c r="P95" s="164">
        <f t="shared" si="13"/>
        <v>341</v>
      </c>
      <c r="Q95" s="510"/>
    </row>
    <row r="96" spans="1:17" ht="13.5" customHeight="1">
      <c r="A96" s="17"/>
      <c r="B96" s="17"/>
      <c r="C96" s="40" t="s">
        <v>904</v>
      </c>
      <c r="D96" s="19"/>
      <c r="E96" s="39"/>
      <c r="F96" s="20"/>
      <c r="G96" s="20"/>
      <c r="H96" s="20"/>
      <c r="I96" s="20"/>
      <c r="J96" s="20"/>
      <c r="K96" s="166">
        <f>7!J273</f>
        <v>0</v>
      </c>
      <c r="L96" s="166"/>
      <c r="M96" s="160">
        <f>7!K273</f>
        <v>-4160</v>
      </c>
      <c r="N96" s="160"/>
      <c r="O96" s="20"/>
      <c r="P96" s="28">
        <f>SUM(F96:O96)</f>
        <v>-4160</v>
      </c>
      <c r="Q96" s="509"/>
    </row>
    <row r="97" spans="1:17" ht="13.5" customHeight="1">
      <c r="A97" s="17"/>
      <c r="B97" s="17"/>
      <c r="C97" s="40" t="s">
        <v>251</v>
      </c>
      <c r="D97" s="19"/>
      <c r="E97" s="39"/>
      <c r="F97" s="20"/>
      <c r="G97" s="20"/>
      <c r="H97" s="20"/>
      <c r="I97" s="20"/>
      <c r="J97" s="20"/>
      <c r="K97" s="166"/>
      <c r="L97" s="166">
        <f>8!K216</f>
        <v>0</v>
      </c>
      <c r="M97" s="160">
        <f>8!K216</f>
        <v>0</v>
      </c>
      <c r="N97" s="160"/>
      <c r="O97" s="20"/>
      <c r="P97" s="28">
        <f>SUM(F97:O97)</f>
        <v>0</v>
      </c>
      <c r="Q97" s="509"/>
    </row>
    <row r="98" spans="1:17" ht="13.5" customHeight="1">
      <c r="A98" s="161"/>
      <c r="B98" s="161"/>
      <c r="C98" s="34" t="s">
        <v>247</v>
      </c>
      <c r="D98" s="162"/>
      <c r="E98" s="165"/>
      <c r="F98" s="164">
        <f>SUM(F95:F97)</f>
        <v>0</v>
      </c>
      <c r="G98" s="164">
        <f aca="true" t="shared" si="14" ref="G98:P98">SUM(G95:G97)</f>
        <v>0</v>
      </c>
      <c r="H98" s="164">
        <f t="shared" si="14"/>
        <v>341</v>
      </c>
      <c r="I98" s="164">
        <f t="shared" si="14"/>
        <v>0</v>
      </c>
      <c r="J98" s="164">
        <f t="shared" si="14"/>
        <v>0</v>
      </c>
      <c r="K98" s="164">
        <f t="shared" si="14"/>
        <v>0</v>
      </c>
      <c r="L98" s="164">
        <f t="shared" si="14"/>
        <v>0</v>
      </c>
      <c r="M98" s="164">
        <f t="shared" si="14"/>
        <v>-4160</v>
      </c>
      <c r="N98" s="164">
        <f t="shared" si="14"/>
        <v>0</v>
      </c>
      <c r="O98" s="164">
        <f t="shared" si="14"/>
        <v>0</v>
      </c>
      <c r="P98" s="164">
        <f t="shared" si="14"/>
        <v>-3819</v>
      </c>
      <c r="Q98" s="510"/>
    </row>
    <row r="99" spans="1:17" ht="24.75" customHeight="1">
      <c r="A99" s="17">
        <v>1</v>
      </c>
      <c r="B99" s="17">
        <v>20</v>
      </c>
      <c r="C99" s="748" t="s">
        <v>1028</v>
      </c>
      <c r="D99" s="749"/>
      <c r="E99" s="29"/>
      <c r="F99" s="20"/>
      <c r="G99" s="20"/>
      <c r="H99" s="173"/>
      <c r="I99" s="173"/>
      <c r="J99" s="173"/>
      <c r="K99" s="173"/>
      <c r="L99" s="173"/>
      <c r="M99" s="173"/>
      <c r="N99" s="173"/>
      <c r="O99" s="173"/>
      <c r="P99" s="28">
        <f>SUM(F99:O99)</f>
        <v>0</v>
      </c>
      <c r="Q99" s="511"/>
    </row>
    <row r="100" spans="1:17" ht="13.5" customHeight="1">
      <c r="A100" s="161"/>
      <c r="B100" s="161"/>
      <c r="C100" s="34" t="s">
        <v>156</v>
      </c>
      <c r="D100" s="162"/>
      <c r="E100" s="165">
        <v>1</v>
      </c>
      <c r="F100" s="164">
        <f>SUM(F99:F99)</f>
        <v>0</v>
      </c>
      <c r="G100" s="164">
        <f>SUM(G99:G99)</f>
        <v>0</v>
      </c>
      <c r="H100" s="164">
        <v>0</v>
      </c>
      <c r="I100" s="164">
        <f aca="true" t="shared" si="15" ref="I100:O100">SUM(I99:I99)</f>
        <v>0</v>
      </c>
      <c r="J100" s="164">
        <f t="shared" si="15"/>
        <v>0</v>
      </c>
      <c r="K100" s="164">
        <f t="shared" si="15"/>
        <v>0</v>
      </c>
      <c r="L100" s="164">
        <f t="shared" si="15"/>
        <v>0</v>
      </c>
      <c r="M100" s="164">
        <f t="shared" si="15"/>
        <v>0</v>
      </c>
      <c r="N100" s="164">
        <f t="shared" si="15"/>
        <v>0</v>
      </c>
      <c r="O100" s="164">
        <f t="shared" si="15"/>
        <v>0</v>
      </c>
      <c r="P100" s="164">
        <f>SUM(F100:O100)</f>
        <v>0</v>
      </c>
      <c r="Q100" s="510" t="s">
        <v>25</v>
      </c>
    </row>
    <row r="101" spans="1:17" ht="13.5" customHeight="1">
      <c r="A101" s="167">
        <v>1</v>
      </c>
      <c r="B101" s="167">
        <v>22</v>
      </c>
      <c r="C101" s="763" t="s">
        <v>978</v>
      </c>
      <c r="D101" s="764"/>
      <c r="E101" s="606"/>
      <c r="F101" s="20"/>
      <c r="G101" s="20"/>
      <c r="H101" s="20"/>
      <c r="I101" s="20"/>
      <c r="J101" s="20"/>
      <c r="K101" s="166"/>
      <c r="L101" s="166"/>
      <c r="M101" s="166"/>
      <c r="N101" s="166"/>
      <c r="O101" s="20"/>
      <c r="P101" s="28"/>
      <c r="Q101" s="509"/>
    </row>
    <row r="102" spans="1:17" ht="13.5" customHeight="1">
      <c r="A102" s="167"/>
      <c r="B102" s="167"/>
      <c r="C102" s="176" t="s">
        <v>980</v>
      </c>
      <c r="D102" s="181"/>
      <c r="E102" s="29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28"/>
      <c r="Q102" s="511"/>
    </row>
    <row r="103" spans="1:17" ht="13.5" customHeight="1">
      <c r="A103" s="167"/>
      <c r="B103" s="167"/>
      <c r="C103" s="180" t="s">
        <v>268</v>
      </c>
      <c r="D103" s="179"/>
      <c r="E103" s="593">
        <v>2</v>
      </c>
      <c r="F103" s="160"/>
      <c r="G103" s="160"/>
      <c r="H103" s="160">
        <v>-308</v>
      </c>
      <c r="I103" s="160"/>
      <c r="J103" s="160"/>
      <c r="K103" s="160"/>
      <c r="L103" s="160"/>
      <c r="M103" s="160"/>
      <c r="N103" s="160"/>
      <c r="O103" s="160"/>
      <c r="P103" s="28">
        <f>SUM(F103:O103)</f>
        <v>-308</v>
      </c>
      <c r="Q103" s="511" t="s">
        <v>25</v>
      </c>
    </row>
    <row r="104" spans="1:17" ht="13.5" customHeight="1">
      <c r="A104" s="174"/>
      <c r="B104" s="174"/>
      <c r="C104" s="79" t="s">
        <v>175</v>
      </c>
      <c r="D104" s="175"/>
      <c r="E104" s="607"/>
      <c r="F104" s="164">
        <f aca="true" t="shared" si="16" ref="F104:P104">SUM(F101:F103)</f>
        <v>0</v>
      </c>
      <c r="G104" s="164">
        <f t="shared" si="16"/>
        <v>0</v>
      </c>
      <c r="H104" s="164">
        <f t="shared" si="16"/>
        <v>-308</v>
      </c>
      <c r="I104" s="164">
        <f t="shared" si="16"/>
        <v>0</v>
      </c>
      <c r="J104" s="164">
        <f t="shared" si="16"/>
        <v>0</v>
      </c>
      <c r="K104" s="164">
        <f t="shared" si="16"/>
        <v>0</v>
      </c>
      <c r="L104" s="164">
        <f t="shared" si="16"/>
        <v>0</v>
      </c>
      <c r="M104" s="164">
        <f t="shared" si="16"/>
        <v>0</v>
      </c>
      <c r="N104" s="164">
        <f t="shared" si="16"/>
        <v>0</v>
      </c>
      <c r="O104" s="164">
        <f t="shared" si="16"/>
        <v>0</v>
      </c>
      <c r="P104" s="164">
        <f t="shared" si="16"/>
        <v>-308</v>
      </c>
      <c r="Q104" s="512"/>
    </row>
    <row r="105" spans="1:17" ht="13.5" customHeight="1">
      <c r="A105" s="17"/>
      <c r="B105" s="17"/>
      <c r="C105" s="40" t="s">
        <v>904</v>
      </c>
      <c r="D105" s="19"/>
      <c r="E105" s="39"/>
      <c r="F105" s="20"/>
      <c r="G105" s="20"/>
      <c r="H105" s="20"/>
      <c r="I105" s="20"/>
      <c r="J105" s="20"/>
      <c r="K105" s="160">
        <f>7!J279</f>
        <v>288</v>
      </c>
      <c r="L105" s="160"/>
      <c r="M105" s="160">
        <f>7!K279</f>
        <v>20</v>
      </c>
      <c r="N105" s="160"/>
      <c r="O105" s="20"/>
      <c r="P105" s="28">
        <f>SUM(F105:O105)</f>
        <v>308</v>
      </c>
      <c r="Q105" s="509" t="s">
        <v>25</v>
      </c>
    </row>
    <row r="106" spans="1:17" ht="13.5" customHeight="1">
      <c r="A106" s="161"/>
      <c r="B106" s="161"/>
      <c r="C106" s="34" t="s">
        <v>979</v>
      </c>
      <c r="D106" s="162"/>
      <c r="E106" s="165"/>
      <c r="F106" s="164">
        <f>SUM(F104:F105)</f>
        <v>0</v>
      </c>
      <c r="G106" s="164">
        <f aca="true" t="shared" si="17" ref="G106:P106">SUM(G104:G105)</f>
        <v>0</v>
      </c>
      <c r="H106" s="164">
        <f t="shared" si="17"/>
        <v>-308</v>
      </c>
      <c r="I106" s="164">
        <f t="shared" si="17"/>
        <v>0</v>
      </c>
      <c r="J106" s="164">
        <f t="shared" si="17"/>
        <v>0</v>
      </c>
      <c r="K106" s="164">
        <f t="shared" si="17"/>
        <v>288</v>
      </c>
      <c r="L106" s="164">
        <f t="shared" si="17"/>
        <v>0</v>
      </c>
      <c r="M106" s="164">
        <f t="shared" si="17"/>
        <v>20</v>
      </c>
      <c r="N106" s="164">
        <f t="shared" si="17"/>
        <v>0</v>
      </c>
      <c r="O106" s="164">
        <f t="shared" si="17"/>
        <v>0</v>
      </c>
      <c r="P106" s="164">
        <f t="shared" si="17"/>
        <v>0</v>
      </c>
      <c r="Q106" s="510"/>
    </row>
    <row r="107" spans="1:17" ht="13.5" customHeight="1">
      <c r="A107" s="39">
        <v>1</v>
      </c>
      <c r="B107" s="39">
        <v>30</v>
      </c>
      <c r="C107" s="44" t="s">
        <v>27</v>
      </c>
      <c r="D107" s="592"/>
      <c r="E107" s="39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28"/>
      <c r="Q107" s="509"/>
    </row>
    <row r="108" spans="1:17" ht="13.5" customHeight="1">
      <c r="A108" s="39"/>
      <c r="B108" s="639">
        <v>31</v>
      </c>
      <c r="C108" s="44" t="s">
        <v>113</v>
      </c>
      <c r="D108" s="43"/>
      <c r="E108" s="39">
        <v>1</v>
      </c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28"/>
      <c r="Q108" s="509"/>
    </row>
    <row r="109" spans="1:17" ht="13.5" customHeight="1">
      <c r="A109" s="39"/>
      <c r="B109" s="39">
        <v>32</v>
      </c>
      <c r="C109" s="44" t="s">
        <v>226</v>
      </c>
      <c r="D109" s="592"/>
      <c r="E109" s="39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28"/>
      <c r="Q109" s="509"/>
    </row>
    <row r="110" spans="1:17" ht="12.75" customHeight="1">
      <c r="A110" s="39"/>
      <c r="B110" s="39"/>
      <c r="C110" s="718" t="s">
        <v>21</v>
      </c>
      <c r="D110" s="719"/>
      <c r="E110" s="39">
        <v>1</v>
      </c>
      <c r="F110" s="41"/>
      <c r="G110" s="41"/>
      <c r="H110" s="41"/>
      <c r="I110" s="41"/>
      <c r="J110" s="41">
        <v>-2902</v>
      </c>
      <c r="K110" s="41"/>
      <c r="L110" s="41"/>
      <c r="M110" s="41"/>
      <c r="N110" s="41"/>
      <c r="O110" s="41"/>
      <c r="P110" s="28">
        <f>SUM(F110:O110)</f>
        <v>-2902</v>
      </c>
      <c r="Q110" s="509" t="s">
        <v>25</v>
      </c>
    </row>
    <row r="111" spans="1:17" ht="12.75" customHeight="1">
      <c r="A111" s="39"/>
      <c r="B111" s="39"/>
      <c r="C111" s="765" t="s">
        <v>457</v>
      </c>
      <c r="D111" s="766"/>
      <c r="E111" s="593">
        <v>1</v>
      </c>
      <c r="F111" s="41"/>
      <c r="G111" s="41"/>
      <c r="H111" s="41"/>
      <c r="I111" s="41"/>
      <c r="J111" s="41">
        <v>-25000</v>
      </c>
      <c r="K111" s="41"/>
      <c r="L111" s="41"/>
      <c r="M111" s="41"/>
      <c r="N111" s="41"/>
      <c r="O111" s="41"/>
      <c r="P111" s="28">
        <f>SUM(F111:O111)</f>
        <v>-25000</v>
      </c>
      <c r="Q111" s="509" t="s">
        <v>25</v>
      </c>
    </row>
    <row r="112" spans="1:17" ht="24.75" customHeight="1">
      <c r="A112" s="39"/>
      <c r="B112" s="39"/>
      <c r="C112" s="706" t="s">
        <v>1107</v>
      </c>
      <c r="D112" s="767"/>
      <c r="E112" s="593">
        <v>1</v>
      </c>
      <c r="F112" s="41"/>
      <c r="G112" s="41"/>
      <c r="H112" s="41"/>
      <c r="I112" s="41"/>
      <c r="J112" s="41">
        <v>800000</v>
      </c>
      <c r="K112" s="41"/>
      <c r="L112" s="41"/>
      <c r="M112" s="41"/>
      <c r="N112" s="41"/>
      <c r="O112" s="41"/>
      <c r="P112" s="28">
        <f>SUM(F112:O112)</f>
        <v>800000</v>
      </c>
      <c r="Q112" s="509" t="s">
        <v>25</v>
      </c>
    </row>
    <row r="113" spans="1:17" ht="12.75" customHeight="1">
      <c r="A113" s="39" t="s">
        <v>336</v>
      </c>
      <c r="B113" s="39"/>
      <c r="C113" s="177" t="s">
        <v>260</v>
      </c>
      <c r="D113" s="592"/>
      <c r="E113" s="39"/>
      <c r="F113" s="41"/>
      <c r="G113" s="41"/>
      <c r="H113" s="41"/>
      <c r="I113" s="41"/>
      <c r="J113" s="41"/>
      <c r="K113" s="41">
        <f>7!J282</f>
        <v>4160</v>
      </c>
      <c r="L113" s="41">
        <f>8!J219</f>
        <v>-1522</v>
      </c>
      <c r="M113" s="41"/>
      <c r="N113" s="41"/>
      <c r="O113" s="41"/>
      <c r="P113" s="28">
        <f>SUM(K113:O113)</f>
        <v>2638</v>
      </c>
      <c r="Q113" s="509"/>
    </row>
    <row r="114" spans="1:17" ht="13.5" customHeight="1">
      <c r="A114" s="33"/>
      <c r="B114" s="33"/>
      <c r="C114" s="34" t="s">
        <v>1135</v>
      </c>
      <c r="D114" s="601"/>
      <c r="E114" s="33"/>
      <c r="F114" s="35">
        <f aca="true" t="shared" si="18" ref="F114:P114">SUM(F107:F113)</f>
        <v>0</v>
      </c>
      <c r="G114" s="35">
        <f t="shared" si="18"/>
        <v>0</v>
      </c>
      <c r="H114" s="35">
        <f t="shared" si="18"/>
        <v>0</v>
      </c>
      <c r="I114" s="35">
        <f t="shared" si="18"/>
        <v>0</v>
      </c>
      <c r="J114" s="35">
        <f t="shared" si="18"/>
        <v>772098</v>
      </c>
      <c r="K114" s="35">
        <f t="shared" si="18"/>
        <v>4160</v>
      </c>
      <c r="L114" s="35">
        <f t="shared" si="18"/>
        <v>-1522</v>
      </c>
      <c r="M114" s="35">
        <f t="shared" si="18"/>
        <v>0</v>
      </c>
      <c r="N114" s="35">
        <f t="shared" si="18"/>
        <v>0</v>
      </c>
      <c r="O114" s="35">
        <f t="shared" si="18"/>
        <v>0</v>
      </c>
      <c r="P114" s="35">
        <f t="shared" si="18"/>
        <v>774736</v>
      </c>
      <c r="Q114" s="510"/>
    </row>
    <row r="115" spans="1:17" ht="25.5" customHeight="1">
      <c r="A115" s="33"/>
      <c r="B115" s="33"/>
      <c r="C115" s="768" t="s">
        <v>16</v>
      </c>
      <c r="D115" s="769"/>
      <c r="E115" s="608"/>
      <c r="F115" s="35">
        <f aca="true" t="shared" si="19" ref="F115:P115">SUM(F16+F48+F63+F76+F85+F91+F98+F100+F106+F114)</f>
        <v>198</v>
      </c>
      <c r="G115" s="35">
        <f t="shared" si="19"/>
        <v>469</v>
      </c>
      <c r="H115" s="35">
        <f t="shared" si="19"/>
        <v>63815</v>
      </c>
      <c r="I115" s="35">
        <f t="shared" si="19"/>
        <v>1159</v>
      </c>
      <c r="J115" s="35">
        <f t="shared" si="19"/>
        <v>773156</v>
      </c>
      <c r="K115" s="35">
        <f t="shared" si="19"/>
        <v>-47116</v>
      </c>
      <c r="L115" s="35">
        <f t="shared" si="19"/>
        <v>2000</v>
      </c>
      <c r="M115" s="35">
        <f t="shared" si="19"/>
        <v>-4040</v>
      </c>
      <c r="N115" s="35">
        <f t="shared" si="19"/>
        <v>0</v>
      </c>
      <c r="O115" s="35">
        <f t="shared" si="19"/>
        <v>0</v>
      </c>
      <c r="P115" s="35">
        <f t="shared" si="19"/>
        <v>789641</v>
      </c>
      <c r="Q115" s="35"/>
    </row>
    <row r="116" spans="1:17" ht="12.75" customHeight="1">
      <c r="A116" s="29">
        <v>2</v>
      </c>
      <c r="B116" s="29"/>
      <c r="C116" s="78" t="s">
        <v>13</v>
      </c>
      <c r="D116" s="178"/>
      <c r="E116" s="29"/>
      <c r="F116" s="31">
        <f>'táj.2.'!C20</f>
        <v>-3500</v>
      </c>
      <c r="G116" s="31">
        <f>'táj.2.'!D20</f>
        <v>-180</v>
      </c>
      <c r="H116" s="31">
        <f>'táj.2.'!E20</f>
        <v>8306</v>
      </c>
      <c r="I116" s="31">
        <f>'táj.2.'!F20</f>
        <v>0</v>
      </c>
      <c r="J116" s="31">
        <f>'táj.2.'!G20</f>
        <v>582</v>
      </c>
      <c r="K116" s="31">
        <f>'táj.2.'!H20</f>
        <v>3200</v>
      </c>
      <c r="L116" s="31">
        <f>'táj.2.'!I20</f>
        <v>0</v>
      </c>
      <c r="M116" s="31">
        <f>'táj.2.'!J20</f>
        <v>0</v>
      </c>
      <c r="N116" s="31"/>
      <c r="O116" s="31"/>
      <c r="P116" s="28">
        <f>SUM(F116:O116)</f>
        <v>8408</v>
      </c>
      <c r="Q116" s="36"/>
    </row>
    <row r="117" spans="1:17" ht="12.75" customHeight="1">
      <c r="A117" s="33"/>
      <c r="B117" s="33"/>
      <c r="C117" s="61" t="s">
        <v>1136</v>
      </c>
      <c r="D117" s="601"/>
      <c r="E117" s="33"/>
      <c r="F117" s="35">
        <f>SUM(F115:F116)</f>
        <v>-3302</v>
      </c>
      <c r="G117" s="35">
        <f aca="true" t="shared" si="20" ref="G117:P117">SUM(G115:G116)</f>
        <v>289</v>
      </c>
      <c r="H117" s="35">
        <f t="shared" si="20"/>
        <v>72121</v>
      </c>
      <c r="I117" s="35">
        <f t="shared" si="20"/>
        <v>1159</v>
      </c>
      <c r="J117" s="35">
        <f t="shared" si="20"/>
        <v>773738</v>
      </c>
      <c r="K117" s="35">
        <f t="shared" si="20"/>
        <v>-43916</v>
      </c>
      <c r="L117" s="35">
        <f t="shared" si="20"/>
        <v>2000</v>
      </c>
      <c r="M117" s="35">
        <f t="shared" si="20"/>
        <v>-4040</v>
      </c>
      <c r="N117" s="35">
        <f t="shared" si="20"/>
        <v>0</v>
      </c>
      <c r="O117" s="35">
        <f t="shared" si="20"/>
        <v>0</v>
      </c>
      <c r="P117" s="35">
        <f t="shared" si="20"/>
        <v>798049</v>
      </c>
      <c r="Q117" s="35"/>
    </row>
    <row r="118" spans="3:5" ht="12.75">
      <c r="C118" s="761"/>
      <c r="D118" s="762"/>
      <c r="E118" s="197"/>
    </row>
  </sheetData>
  <sheetProtection/>
  <mergeCells count="59">
    <mergeCell ref="C93:D93"/>
    <mergeCell ref="C87:D87"/>
    <mergeCell ref="C88:D88"/>
    <mergeCell ref="C68:D68"/>
    <mergeCell ref="C70:D70"/>
    <mergeCell ref="C80:D80"/>
    <mergeCell ref="C81:D81"/>
    <mergeCell ref="C79:D79"/>
    <mergeCell ref="C65:D65"/>
    <mergeCell ref="C78:D78"/>
    <mergeCell ref="C72:D72"/>
    <mergeCell ref="C67:D67"/>
    <mergeCell ref="C69:D69"/>
    <mergeCell ref="C71:D71"/>
    <mergeCell ref="C66:D66"/>
    <mergeCell ref="C58:D58"/>
    <mergeCell ref="C51:D51"/>
    <mergeCell ref="C50:D50"/>
    <mergeCell ref="C34:D34"/>
    <mergeCell ref="C35:D35"/>
    <mergeCell ref="C39:D39"/>
    <mergeCell ref="C55:D55"/>
    <mergeCell ref="C57:D57"/>
    <mergeCell ref="C56:D56"/>
    <mergeCell ref="C42:D42"/>
    <mergeCell ref="C32:D32"/>
    <mergeCell ref="C37:D37"/>
    <mergeCell ref="C12:D12"/>
    <mergeCell ref="C52:D52"/>
    <mergeCell ref="C31:D31"/>
    <mergeCell ref="C30:D30"/>
    <mergeCell ref="C29:D29"/>
    <mergeCell ref="C43:D43"/>
    <mergeCell ref="C23:D23"/>
    <mergeCell ref="C27:D27"/>
    <mergeCell ref="C22:D22"/>
    <mergeCell ref="C9:D9"/>
    <mergeCell ref="C11:D11"/>
    <mergeCell ref="A1:A2"/>
    <mergeCell ref="B1:B2"/>
    <mergeCell ref="C1:D2"/>
    <mergeCell ref="C5:D5"/>
    <mergeCell ref="C20:D20"/>
    <mergeCell ref="C110:D110"/>
    <mergeCell ref="C118:D118"/>
    <mergeCell ref="C101:D101"/>
    <mergeCell ref="C111:D111"/>
    <mergeCell ref="C112:D112"/>
    <mergeCell ref="C115:D115"/>
    <mergeCell ref="C99:D99"/>
    <mergeCell ref="C25:D25"/>
    <mergeCell ref="C28:D28"/>
    <mergeCell ref="Q1:Q2"/>
    <mergeCell ref="P1:P2"/>
    <mergeCell ref="E1:E2"/>
    <mergeCell ref="F1:M1"/>
    <mergeCell ref="N1:O1"/>
    <mergeCell ref="C7:D7"/>
    <mergeCell ref="C21:D21"/>
  </mergeCells>
  <printOptions horizontalCentered="1" verticalCentered="1"/>
  <pageMargins left="0" right="0.2362204724409449" top="0.6692913385826772" bottom="1.1811023622047245" header="0.11811023622047245" footer="0.7086614173228347"/>
  <pageSetup horizontalDpi="300" verticalDpi="300" orientation="landscape" paperSize="9" scale="90" r:id="rId1"/>
  <headerFooter alignWithMargins="0">
    <oddHeader>&amp;CZALAEGERSZEG MEGYEI JOGÚ VÁROS ÖNKORMÁNYZATA
2014. ÉVI KIADÁSI ELŐIRÁNYZATAINAK MÓDOSÍTÁSA 
&amp;R&amp;"Times New Roman CE,Félkövér dőlt"12.  melléklet
Adatok: ezer Ft-ban</oddHeader>
    <oddFooter>&amp;L* kgy= közgyűlési hatáskörben           
   pm= polgármesteri hatáskörben
   biz = bizottsági hatáskörben&amp;C&amp;P. oldal&amp;RFeladat jellege:
1 =    kötelező
2=önként vállalt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3.00390625" style="56" customWidth="1"/>
    <col min="2" max="2" width="35.00390625" style="53" customWidth="1"/>
    <col min="3" max="3" width="12.625" style="53" customWidth="1"/>
    <col min="4" max="4" width="14.125" style="53" customWidth="1"/>
    <col min="5" max="5" width="10.50390625" style="53" customWidth="1"/>
    <col min="6" max="6" width="14.125" style="53" customWidth="1"/>
    <col min="7" max="7" width="12.50390625" style="53" customWidth="1"/>
    <col min="8" max="8" width="13.125" style="53" customWidth="1"/>
    <col min="9" max="9" width="14.50390625" style="53" customWidth="1"/>
    <col min="10" max="10" width="12.50390625" style="53" customWidth="1"/>
    <col min="11" max="11" width="14.125" style="53" customWidth="1"/>
    <col min="12" max="12" width="14.625" style="53" customWidth="1"/>
    <col min="13" max="13" width="13.125" style="53" customWidth="1"/>
    <col min="14" max="16384" width="9.375" style="53" customWidth="1"/>
  </cols>
  <sheetData>
    <row r="1" spans="1:13" ht="14.25" customHeight="1">
      <c r="A1" s="730" t="s">
        <v>279</v>
      </c>
      <c r="B1" s="730" t="s">
        <v>17</v>
      </c>
      <c r="C1" s="730" t="s">
        <v>286</v>
      </c>
      <c r="D1" s="732"/>
      <c r="E1" s="732"/>
      <c r="F1" s="732"/>
      <c r="G1" s="732"/>
      <c r="H1" s="732"/>
      <c r="I1" s="732"/>
      <c r="J1" s="733" t="s">
        <v>287</v>
      </c>
      <c r="K1" s="732"/>
      <c r="L1" s="732"/>
      <c r="M1" s="730" t="s">
        <v>288</v>
      </c>
    </row>
    <row r="2" spans="1:13" ht="90" customHeight="1">
      <c r="A2" s="731"/>
      <c r="B2" s="731"/>
      <c r="C2" s="205" t="s">
        <v>289</v>
      </c>
      <c r="D2" s="205" t="s">
        <v>290</v>
      </c>
      <c r="E2" s="205" t="s">
        <v>969</v>
      </c>
      <c r="F2" s="205" t="s">
        <v>291</v>
      </c>
      <c r="G2" s="205" t="s">
        <v>14</v>
      </c>
      <c r="H2" s="205" t="s">
        <v>292</v>
      </c>
      <c r="I2" s="205" t="s">
        <v>293</v>
      </c>
      <c r="J2" s="205" t="s">
        <v>294</v>
      </c>
      <c r="K2" s="205" t="s">
        <v>295</v>
      </c>
      <c r="L2" s="205" t="s">
        <v>296</v>
      </c>
      <c r="M2" s="730"/>
    </row>
    <row r="3" spans="1:13" ht="15" customHeight="1">
      <c r="A3" s="204">
        <v>2</v>
      </c>
      <c r="B3" s="150" t="s">
        <v>243</v>
      </c>
      <c r="C3" s="206"/>
      <c r="D3" s="206"/>
      <c r="E3" s="206"/>
      <c r="F3" s="575"/>
      <c r="G3" s="575"/>
      <c r="H3" s="575"/>
      <c r="I3" s="575"/>
      <c r="J3" s="575"/>
      <c r="K3" s="575"/>
      <c r="L3" s="575"/>
      <c r="M3" s="575">
        <f>SUM(C3:L3)</f>
        <v>0</v>
      </c>
    </row>
    <row r="4" spans="1:13" s="54" customFormat="1" ht="28.5" customHeight="1">
      <c r="A4" s="204">
        <v>3</v>
      </c>
      <c r="B4" s="150" t="s">
        <v>269</v>
      </c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>
        <f aca="true" t="shared" si="0" ref="M4:M19">SUM(C4:L4)</f>
        <v>0</v>
      </c>
    </row>
    <row r="5" spans="1:13" s="54" customFormat="1" ht="19.5" customHeight="1">
      <c r="A5" s="204">
        <v>4</v>
      </c>
      <c r="B5" s="150" t="s">
        <v>270</v>
      </c>
      <c r="C5" s="575"/>
      <c r="D5" s="575">
        <v>91</v>
      </c>
      <c r="E5" s="575"/>
      <c r="F5" s="575">
        <v>2409</v>
      </c>
      <c r="G5" s="575"/>
      <c r="H5" s="575"/>
      <c r="I5" s="575"/>
      <c r="J5" s="575"/>
      <c r="K5" s="575"/>
      <c r="L5" s="575"/>
      <c r="M5" s="575">
        <f t="shared" si="0"/>
        <v>2500</v>
      </c>
    </row>
    <row r="6" spans="1:13" s="54" customFormat="1" ht="15" customHeight="1">
      <c r="A6" s="204">
        <v>5</v>
      </c>
      <c r="B6" s="116" t="s">
        <v>271</v>
      </c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>
        <f t="shared" si="0"/>
        <v>0</v>
      </c>
    </row>
    <row r="7" spans="1:13" s="54" customFormat="1" ht="12.75">
      <c r="A7" s="204">
        <v>6</v>
      </c>
      <c r="B7" s="116" t="s">
        <v>272</v>
      </c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>
        <f t="shared" si="0"/>
        <v>0</v>
      </c>
    </row>
    <row r="8" spans="1:13" s="54" customFormat="1" ht="17.25" customHeight="1">
      <c r="A8" s="204">
        <v>7</v>
      </c>
      <c r="B8" s="116" t="s">
        <v>273</v>
      </c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>
        <f t="shared" si="0"/>
        <v>0</v>
      </c>
    </row>
    <row r="9" spans="1:13" s="54" customFormat="1" ht="15" customHeight="1">
      <c r="A9" s="204">
        <v>8</v>
      </c>
      <c r="B9" s="116" t="s">
        <v>274</v>
      </c>
      <c r="C9" s="575"/>
      <c r="D9" s="575"/>
      <c r="E9" s="575"/>
      <c r="F9" s="575"/>
      <c r="G9" s="575"/>
      <c r="H9" s="575"/>
      <c r="I9" s="575"/>
      <c r="J9" s="575"/>
      <c r="K9" s="575"/>
      <c r="L9" s="575"/>
      <c r="M9" s="575">
        <f t="shared" si="0"/>
        <v>0</v>
      </c>
    </row>
    <row r="10" spans="1:13" s="54" customFormat="1" ht="19.5" customHeight="1">
      <c r="A10" s="204">
        <v>9</v>
      </c>
      <c r="B10" s="116" t="s">
        <v>275</v>
      </c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5">
        <f t="shared" si="0"/>
        <v>0</v>
      </c>
    </row>
    <row r="11" spans="1:13" s="54" customFormat="1" ht="27" customHeight="1">
      <c r="A11" s="204">
        <v>10</v>
      </c>
      <c r="B11" s="196" t="s">
        <v>276</v>
      </c>
      <c r="C11" s="575"/>
      <c r="D11" s="575"/>
      <c r="E11" s="575"/>
      <c r="F11" s="575"/>
      <c r="G11" s="575"/>
      <c r="H11" s="575"/>
      <c r="I11" s="575"/>
      <c r="J11" s="575"/>
      <c r="K11" s="575"/>
      <c r="L11" s="575"/>
      <c r="M11" s="575">
        <f t="shared" si="0"/>
        <v>0</v>
      </c>
    </row>
    <row r="12" spans="1:13" s="54" customFormat="1" ht="20.25" customHeight="1">
      <c r="A12" s="204">
        <v>11</v>
      </c>
      <c r="B12" s="116" t="s">
        <v>277</v>
      </c>
      <c r="C12" s="575"/>
      <c r="D12" s="575"/>
      <c r="E12" s="575"/>
      <c r="F12" s="575"/>
      <c r="G12" s="575"/>
      <c r="H12" s="575"/>
      <c r="I12" s="575"/>
      <c r="J12" s="575"/>
      <c r="K12" s="575"/>
      <c r="L12" s="575"/>
      <c r="M12" s="575">
        <f t="shared" si="0"/>
        <v>0</v>
      </c>
    </row>
    <row r="13" spans="1:13" s="54" customFormat="1" ht="30" customHeight="1">
      <c r="A13" s="204">
        <v>12</v>
      </c>
      <c r="B13" s="196" t="s">
        <v>278</v>
      </c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5">
        <f t="shared" si="0"/>
        <v>0</v>
      </c>
    </row>
    <row r="14" spans="1:13" s="54" customFormat="1" ht="16.5" customHeight="1">
      <c r="A14" s="204">
        <v>13</v>
      </c>
      <c r="B14" s="116" t="s">
        <v>30</v>
      </c>
      <c r="C14" s="575"/>
      <c r="D14" s="575"/>
      <c r="E14" s="575"/>
      <c r="F14" s="575"/>
      <c r="G14" s="575"/>
      <c r="H14" s="575"/>
      <c r="I14" s="575"/>
      <c r="J14" s="575"/>
      <c r="K14" s="575"/>
      <c r="L14" s="575"/>
      <c r="M14" s="575">
        <f t="shared" si="0"/>
        <v>0</v>
      </c>
    </row>
    <row r="15" spans="1:13" s="54" customFormat="1" ht="16.5" customHeight="1">
      <c r="A15" s="204">
        <v>14</v>
      </c>
      <c r="B15" s="116" t="s">
        <v>31</v>
      </c>
      <c r="C15" s="575"/>
      <c r="D15" s="575"/>
      <c r="E15" s="575"/>
      <c r="F15" s="575">
        <v>5588</v>
      </c>
      <c r="G15" s="575"/>
      <c r="H15" s="575"/>
      <c r="I15" s="575"/>
      <c r="J15" s="575"/>
      <c r="K15" s="575"/>
      <c r="L15" s="575"/>
      <c r="M15" s="575">
        <f t="shared" si="0"/>
        <v>5588</v>
      </c>
    </row>
    <row r="16" spans="1:13" s="54" customFormat="1" ht="18" customHeight="1">
      <c r="A16" s="204">
        <v>15</v>
      </c>
      <c r="B16" s="116" t="s">
        <v>55</v>
      </c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>
        <f t="shared" si="0"/>
        <v>0</v>
      </c>
    </row>
    <row r="17" spans="1:13" s="54" customFormat="1" ht="18.75" customHeight="1">
      <c r="A17" s="204">
        <v>16</v>
      </c>
      <c r="B17" s="116" t="s">
        <v>33</v>
      </c>
      <c r="C17" s="575"/>
      <c r="D17" s="575"/>
      <c r="E17" s="575"/>
      <c r="F17" s="575"/>
      <c r="G17" s="575"/>
      <c r="H17" s="575"/>
      <c r="I17" s="575"/>
      <c r="J17" s="575"/>
      <c r="K17" s="575"/>
      <c r="L17" s="575"/>
      <c r="M17" s="575">
        <f t="shared" si="0"/>
        <v>0</v>
      </c>
    </row>
    <row r="18" spans="1:13" s="54" customFormat="1" ht="18" customHeight="1">
      <c r="A18" s="204">
        <v>17</v>
      </c>
      <c r="B18" s="116" t="s">
        <v>32</v>
      </c>
      <c r="C18" s="575"/>
      <c r="D18" s="575"/>
      <c r="E18" s="575"/>
      <c r="F18" s="575">
        <v>320</v>
      </c>
      <c r="G18" s="575"/>
      <c r="H18" s="575"/>
      <c r="I18" s="575"/>
      <c r="J18" s="575"/>
      <c r="K18" s="575"/>
      <c r="L18" s="575"/>
      <c r="M18" s="575">
        <f t="shared" si="0"/>
        <v>320</v>
      </c>
    </row>
    <row r="19" spans="1:13" s="54" customFormat="1" ht="18.75" customHeight="1">
      <c r="A19" s="204">
        <v>18</v>
      </c>
      <c r="B19" s="78" t="s">
        <v>0</v>
      </c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>
        <f t="shared" si="0"/>
        <v>0</v>
      </c>
    </row>
    <row r="20" spans="1:13" s="54" customFormat="1" ht="24" customHeight="1">
      <c r="A20" s="63"/>
      <c r="B20" s="64" t="s">
        <v>18</v>
      </c>
      <c r="C20" s="65">
        <f aca="true" t="shared" si="1" ref="C20:M20">SUM(C3:C19)</f>
        <v>0</v>
      </c>
      <c r="D20" s="65">
        <f t="shared" si="1"/>
        <v>91</v>
      </c>
      <c r="E20" s="65">
        <f t="shared" si="1"/>
        <v>0</v>
      </c>
      <c r="F20" s="65">
        <f t="shared" si="1"/>
        <v>8317</v>
      </c>
      <c r="G20" s="65">
        <f t="shared" si="1"/>
        <v>0</v>
      </c>
      <c r="H20" s="65">
        <f t="shared" si="1"/>
        <v>0</v>
      </c>
      <c r="I20" s="65">
        <f t="shared" si="1"/>
        <v>0</v>
      </c>
      <c r="J20" s="65">
        <f t="shared" si="1"/>
        <v>0</v>
      </c>
      <c r="K20" s="65">
        <f t="shared" si="1"/>
        <v>0</v>
      </c>
      <c r="L20" s="65">
        <f t="shared" si="1"/>
        <v>0</v>
      </c>
      <c r="M20" s="65">
        <f t="shared" si="1"/>
        <v>8408</v>
      </c>
    </row>
    <row r="21" s="54" customFormat="1" ht="12.75">
      <c r="A21" s="55"/>
    </row>
    <row r="22" s="54" customFormat="1" ht="12.75">
      <c r="A22" s="55"/>
    </row>
    <row r="23" s="54" customFormat="1" ht="12.75">
      <c r="A23" s="55"/>
    </row>
    <row r="24" s="54" customFormat="1" ht="12.75">
      <c r="A24" s="55"/>
    </row>
    <row r="25" s="54" customFormat="1" ht="12.75">
      <c r="A25" s="55"/>
    </row>
    <row r="26" s="54" customFormat="1" ht="12.75">
      <c r="A26" s="55"/>
    </row>
    <row r="27" s="54" customFormat="1" ht="12.75">
      <c r="A27" s="55"/>
    </row>
    <row r="28" s="54" customFormat="1" ht="12.75">
      <c r="A28" s="55"/>
    </row>
    <row r="29" s="54" customFormat="1" ht="12.75">
      <c r="A29" s="55"/>
    </row>
    <row r="30" s="54" customFormat="1" ht="12.75">
      <c r="A30" s="55"/>
    </row>
    <row r="31" s="54" customFormat="1" ht="12.75">
      <c r="A31" s="55"/>
    </row>
    <row r="32" s="54" customFormat="1" ht="12.75">
      <c r="A32" s="55"/>
    </row>
    <row r="33" s="54" customFormat="1" ht="12.75">
      <c r="A33" s="55"/>
    </row>
    <row r="34" s="54" customFormat="1" ht="12.75">
      <c r="A34" s="55"/>
    </row>
    <row r="35" s="54" customFormat="1" ht="12.75">
      <c r="A35" s="55"/>
    </row>
    <row r="36" s="54" customFormat="1" ht="12.75">
      <c r="A36" s="55"/>
    </row>
    <row r="37" s="54" customFormat="1" ht="12.75">
      <c r="A37" s="55"/>
    </row>
    <row r="38" s="54" customFormat="1" ht="12.75">
      <c r="A38" s="55"/>
    </row>
    <row r="39" s="54" customFormat="1" ht="12.75">
      <c r="A39" s="55"/>
    </row>
    <row r="40" s="54" customFormat="1" ht="12.75">
      <c r="A40" s="55"/>
    </row>
    <row r="41" s="54" customFormat="1" ht="12.75">
      <c r="A41" s="55"/>
    </row>
    <row r="42" s="54" customFormat="1" ht="12.75">
      <c r="A42" s="55"/>
    </row>
    <row r="43" s="54" customFormat="1" ht="12.75">
      <c r="A43" s="55"/>
    </row>
    <row r="44" s="54" customFormat="1" ht="12.75">
      <c r="A44" s="55"/>
    </row>
    <row r="45" s="54" customFormat="1" ht="12.75">
      <c r="A45" s="55"/>
    </row>
    <row r="46" s="54" customFormat="1" ht="12.75">
      <c r="A46" s="55"/>
    </row>
    <row r="47" s="54" customFormat="1" ht="12.75">
      <c r="A47" s="55"/>
    </row>
    <row r="48" s="54" customFormat="1" ht="12.75">
      <c r="A48" s="55"/>
    </row>
    <row r="49" s="54" customFormat="1" ht="12.75">
      <c r="A49" s="55"/>
    </row>
    <row r="50" s="54" customFormat="1" ht="12.75">
      <c r="A50" s="55"/>
    </row>
    <row r="51" s="54" customFormat="1" ht="12.75">
      <c r="A51" s="55"/>
    </row>
    <row r="52" s="54" customFormat="1" ht="12.75">
      <c r="A52" s="55"/>
    </row>
    <row r="53" s="54" customFormat="1" ht="12.75">
      <c r="A53" s="55"/>
    </row>
    <row r="54" s="54" customFormat="1" ht="12.75">
      <c r="A54" s="55"/>
    </row>
    <row r="55" s="54" customFormat="1" ht="12.75">
      <c r="A55" s="55"/>
    </row>
    <row r="56" s="54" customFormat="1" ht="12.75">
      <c r="A56" s="55"/>
    </row>
    <row r="57" s="54" customFormat="1" ht="12.75">
      <c r="A57" s="55"/>
    </row>
    <row r="58" s="54" customFormat="1" ht="12.75">
      <c r="A58" s="55"/>
    </row>
    <row r="59" s="54" customFormat="1" ht="12.75">
      <c r="A59" s="55"/>
    </row>
    <row r="60" s="54" customFormat="1" ht="12.75">
      <c r="A60" s="55"/>
    </row>
    <row r="61" s="54" customFormat="1" ht="12.75">
      <c r="A61" s="55"/>
    </row>
    <row r="62" s="54" customFormat="1" ht="12.75">
      <c r="A62" s="55"/>
    </row>
    <row r="63" s="54" customFormat="1" ht="12.75">
      <c r="A63" s="55"/>
    </row>
  </sheetData>
  <sheetProtection/>
  <mergeCells count="5">
    <mergeCell ref="M1:M2"/>
    <mergeCell ref="A1:A2"/>
    <mergeCell ref="B1:B2"/>
    <mergeCell ref="C1:I1"/>
    <mergeCell ref="J1:L1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 ÁLTAL IRÁNYÍTOTT  KÖLTSÉGVETÉSI SZERVEK 
2014. ÉVI  BEVÉTELI ELŐIRÁNYZATAINAK  MÓDOSÍTÁSA &amp;R&amp;"Times New Roman,Dőlt"&amp;9
 1. tájékoztató tábla
Adatok eFt-ban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4">
      <selection activeCell="I18" sqref="I18"/>
    </sheetView>
  </sheetViews>
  <sheetFormatPr defaultColWidth="9.00390625" defaultRowHeight="12.75"/>
  <cols>
    <col min="1" max="1" width="5.875" style="56" customWidth="1"/>
    <col min="2" max="2" width="40.625" style="53" customWidth="1"/>
    <col min="3" max="3" width="12.625" style="53" customWidth="1"/>
    <col min="4" max="4" width="14.125" style="53" customWidth="1"/>
    <col min="5" max="5" width="14.00390625" style="53" customWidth="1"/>
    <col min="6" max="6" width="14.125" style="53" customWidth="1"/>
    <col min="7" max="7" width="12.50390625" style="53" customWidth="1"/>
    <col min="8" max="8" width="13.125" style="53" customWidth="1"/>
    <col min="9" max="9" width="14.50390625" style="53" customWidth="1"/>
    <col min="10" max="10" width="12.50390625" style="53" customWidth="1"/>
    <col min="11" max="11" width="14.125" style="53" customWidth="1"/>
    <col min="12" max="12" width="14.625" style="53" customWidth="1"/>
    <col min="13" max="16384" width="9.375" style="53" customWidth="1"/>
  </cols>
  <sheetData>
    <row r="1" spans="1:12" ht="14.25" customHeight="1">
      <c r="A1" s="730" t="s">
        <v>279</v>
      </c>
      <c r="B1" s="730" t="s">
        <v>17</v>
      </c>
      <c r="C1" s="730" t="s">
        <v>280</v>
      </c>
      <c r="D1" s="736"/>
      <c r="E1" s="736"/>
      <c r="F1" s="736"/>
      <c r="G1" s="736"/>
      <c r="H1" s="736"/>
      <c r="I1" s="736"/>
      <c r="J1" s="736"/>
      <c r="K1" s="737" t="s">
        <v>284</v>
      </c>
      <c r="L1" s="737" t="s">
        <v>155</v>
      </c>
    </row>
    <row r="2" spans="1:12" ht="82.5" customHeight="1">
      <c r="A2" s="731"/>
      <c r="B2" s="731"/>
      <c r="C2" s="205" t="s">
        <v>952</v>
      </c>
      <c r="D2" s="205" t="s">
        <v>281</v>
      </c>
      <c r="E2" s="205" t="s">
        <v>1150</v>
      </c>
      <c r="F2" s="205" t="s">
        <v>282</v>
      </c>
      <c r="G2" s="205" t="s">
        <v>955</v>
      </c>
      <c r="H2" s="205" t="s">
        <v>962</v>
      </c>
      <c r="I2" s="205" t="s">
        <v>963</v>
      </c>
      <c r="J2" s="205" t="s">
        <v>283</v>
      </c>
      <c r="K2" s="738"/>
      <c r="L2" s="738"/>
    </row>
    <row r="3" spans="1:12" ht="15" customHeight="1">
      <c r="A3" s="204">
        <v>2</v>
      </c>
      <c r="B3" s="150" t="s">
        <v>243</v>
      </c>
      <c r="C3" s="206"/>
      <c r="D3" s="206"/>
      <c r="E3" s="206"/>
      <c r="F3" s="207"/>
      <c r="G3" s="207"/>
      <c r="H3" s="207"/>
      <c r="I3" s="207"/>
      <c r="J3" s="207"/>
      <c r="K3" s="207"/>
      <c r="L3" s="207">
        <f>SUM(C3:K3)</f>
        <v>0</v>
      </c>
    </row>
    <row r="4" spans="1:12" s="54" customFormat="1" ht="14.25" customHeight="1">
      <c r="A4" s="204">
        <v>3</v>
      </c>
      <c r="B4" s="150" t="s">
        <v>269</v>
      </c>
      <c r="C4" s="575"/>
      <c r="D4" s="575"/>
      <c r="E4" s="575">
        <v>-500</v>
      </c>
      <c r="F4" s="575"/>
      <c r="G4" s="575">
        <v>500</v>
      </c>
      <c r="H4" s="575"/>
      <c r="I4" s="575"/>
      <c r="J4" s="575"/>
      <c r="K4" s="575"/>
      <c r="L4" s="207">
        <f aca="true" t="shared" si="0" ref="L4:L19">SUM(C4:K4)</f>
        <v>0</v>
      </c>
    </row>
    <row r="5" spans="1:12" s="54" customFormat="1" ht="19.5" customHeight="1">
      <c r="A5" s="204">
        <v>4</v>
      </c>
      <c r="B5" s="150" t="s">
        <v>270</v>
      </c>
      <c r="C5" s="575"/>
      <c r="D5" s="575"/>
      <c r="E5" s="575">
        <v>2418</v>
      </c>
      <c r="F5" s="575"/>
      <c r="G5" s="575">
        <v>82</v>
      </c>
      <c r="H5" s="575"/>
      <c r="I5" s="575"/>
      <c r="J5" s="575"/>
      <c r="K5" s="575"/>
      <c r="L5" s="207">
        <f t="shared" si="0"/>
        <v>2500</v>
      </c>
    </row>
    <row r="6" spans="1:12" s="54" customFormat="1" ht="15" customHeight="1">
      <c r="A6" s="204">
        <v>5</v>
      </c>
      <c r="B6" s="116" t="s">
        <v>271</v>
      </c>
      <c r="C6" s="575"/>
      <c r="D6" s="575"/>
      <c r="E6" s="575"/>
      <c r="F6" s="575"/>
      <c r="G6" s="575"/>
      <c r="H6" s="575"/>
      <c r="I6" s="575"/>
      <c r="J6" s="575"/>
      <c r="K6" s="575"/>
      <c r="L6" s="207">
        <f t="shared" si="0"/>
        <v>0</v>
      </c>
    </row>
    <row r="7" spans="1:12" s="54" customFormat="1" ht="12.75">
      <c r="A7" s="204">
        <v>6</v>
      </c>
      <c r="B7" s="116" t="s">
        <v>272</v>
      </c>
      <c r="C7" s="575"/>
      <c r="D7" s="575"/>
      <c r="E7" s="575"/>
      <c r="F7" s="575"/>
      <c r="G7" s="575"/>
      <c r="H7" s="575"/>
      <c r="I7" s="575"/>
      <c r="J7" s="575"/>
      <c r="K7" s="575"/>
      <c r="L7" s="207">
        <f t="shared" si="0"/>
        <v>0</v>
      </c>
    </row>
    <row r="8" spans="1:12" s="54" customFormat="1" ht="17.25" customHeight="1">
      <c r="A8" s="204">
        <v>7</v>
      </c>
      <c r="B8" s="116" t="s">
        <v>273</v>
      </c>
      <c r="C8" s="575"/>
      <c r="D8" s="575"/>
      <c r="E8" s="575"/>
      <c r="F8" s="575"/>
      <c r="G8" s="575"/>
      <c r="H8" s="575"/>
      <c r="I8" s="575"/>
      <c r="J8" s="575"/>
      <c r="K8" s="575"/>
      <c r="L8" s="207">
        <f t="shared" si="0"/>
        <v>0</v>
      </c>
    </row>
    <row r="9" spans="1:12" s="54" customFormat="1" ht="15" customHeight="1">
      <c r="A9" s="204">
        <v>8</v>
      </c>
      <c r="B9" s="116" t="s">
        <v>274</v>
      </c>
      <c r="C9" s="575"/>
      <c r="D9" s="575"/>
      <c r="E9" s="575"/>
      <c r="F9" s="575"/>
      <c r="G9" s="575"/>
      <c r="H9" s="575"/>
      <c r="I9" s="575"/>
      <c r="J9" s="575"/>
      <c r="K9" s="575"/>
      <c r="L9" s="207">
        <f t="shared" si="0"/>
        <v>0</v>
      </c>
    </row>
    <row r="10" spans="1:12" s="54" customFormat="1" ht="19.5" customHeight="1">
      <c r="A10" s="204">
        <v>9</v>
      </c>
      <c r="B10" s="116" t="s">
        <v>275</v>
      </c>
      <c r="C10" s="575"/>
      <c r="D10" s="575"/>
      <c r="E10" s="575"/>
      <c r="F10" s="575"/>
      <c r="G10" s="575"/>
      <c r="H10" s="575"/>
      <c r="I10" s="575"/>
      <c r="J10" s="575"/>
      <c r="K10" s="575"/>
      <c r="L10" s="207">
        <f t="shared" si="0"/>
        <v>0</v>
      </c>
    </row>
    <row r="11" spans="1:12" s="54" customFormat="1" ht="27" customHeight="1">
      <c r="A11" s="204">
        <v>10</v>
      </c>
      <c r="B11" s="196" t="s">
        <v>276</v>
      </c>
      <c r="C11" s="575"/>
      <c r="D11" s="575"/>
      <c r="E11" s="575"/>
      <c r="F11" s="575"/>
      <c r="G11" s="575"/>
      <c r="H11" s="575"/>
      <c r="I11" s="575"/>
      <c r="J11" s="575"/>
      <c r="K11" s="575"/>
      <c r="L11" s="207">
        <f t="shared" si="0"/>
        <v>0</v>
      </c>
    </row>
    <row r="12" spans="1:12" s="54" customFormat="1" ht="20.25" customHeight="1">
      <c r="A12" s="204">
        <v>11</v>
      </c>
      <c r="B12" s="116" t="s">
        <v>277</v>
      </c>
      <c r="C12" s="575">
        <v>-3500</v>
      </c>
      <c r="D12" s="575">
        <v>-500</v>
      </c>
      <c r="E12" s="575">
        <v>3000</v>
      </c>
      <c r="F12" s="575"/>
      <c r="G12" s="575"/>
      <c r="H12" s="575">
        <v>1000</v>
      </c>
      <c r="I12" s="575"/>
      <c r="J12" s="575"/>
      <c r="K12" s="575"/>
      <c r="L12" s="207">
        <f t="shared" si="0"/>
        <v>0</v>
      </c>
    </row>
    <row r="13" spans="1:12" s="54" customFormat="1" ht="30" customHeight="1">
      <c r="A13" s="204">
        <v>12</v>
      </c>
      <c r="B13" s="196" t="s">
        <v>278</v>
      </c>
      <c r="C13" s="575"/>
      <c r="D13" s="575"/>
      <c r="E13" s="575"/>
      <c r="F13" s="575"/>
      <c r="G13" s="575"/>
      <c r="H13" s="575"/>
      <c r="I13" s="575"/>
      <c r="J13" s="575"/>
      <c r="K13" s="575"/>
      <c r="L13" s="207">
        <f t="shared" si="0"/>
        <v>0</v>
      </c>
    </row>
    <row r="14" spans="1:12" s="54" customFormat="1" ht="16.5" customHeight="1">
      <c r="A14" s="204">
        <v>13</v>
      </c>
      <c r="B14" s="116" t="s">
        <v>30</v>
      </c>
      <c r="C14" s="575"/>
      <c r="D14" s="575"/>
      <c r="E14" s="575">
        <v>-2000</v>
      </c>
      <c r="F14" s="575"/>
      <c r="G14" s="575"/>
      <c r="H14" s="575">
        <v>2000</v>
      </c>
      <c r="I14" s="575"/>
      <c r="J14" s="575"/>
      <c r="K14" s="575"/>
      <c r="L14" s="207">
        <f t="shared" si="0"/>
        <v>0</v>
      </c>
    </row>
    <row r="15" spans="1:12" s="54" customFormat="1" ht="16.5" customHeight="1">
      <c r="A15" s="204">
        <v>14</v>
      </c>
      <c r="B15" s="116" t="s">
        <v>31</v>
      </c>
      <c r="C15" s="575"/>
      <c r="D15" s="575"/>
      <c r="E15" s="575">
        <v>5588</v>
      </c>
      <c r="F15" s="575"/>
      <c r="G15" s="575"/>
      <c r="H15" s="575"/>
      <c r="I15" s="575"/>
      <c r="J15" s="575"/>
      <c r="K15" s="575"/>
      <c r="L15" s="207">
        <f t="shared" si="0"/>
        <v>5588</v>
      </c>
    </row>
    <row r="16" spans="1:12" s="54" customFormat="1" ht="18" customHeight="1">
      <c r="A16" s="204">
        <v>15</v>
      </c>
      <c r="B16" s="116" t="s">
        <v>55</v>
      </c>
      <c r="C16" s="575"/>
      <c r="D16" s="575"/>
      <c r="E16" s="575"/>
      <c r="F16" s="575"/>
      <c r="G16" s="575"/>
      <c r="H16" s="575"/>
      <c r="I16" s="575"/>
      <c r="J16" s="575"/>
      <c r="K16" s="575"/>
      <c r="L16" s="207">
        <f t="shared" si="0"/>
        <v>0</v>
      </c>
    </row>
    <row r="17" spans="1:12" s="54" customFormat="1" ht="18.75" customHeight="1">
      <c r="A17" s="204">
        <v>16</v>
      </c>
      <c r="B17" s="116" t="s">
        <v>33</v>
      </c>
      <c r="C17" s="575"/>
      <c r="D17" s="575"/>
      <c r="E17" s="575"/>
      <c r="F17" s="575"/>
      <c r="G17" s="575"/>
      <c r="H17" s="575"/>
      <c r="I17" s="575"/>
      <c r="J17" s="575"/>
      <c r="K17" s="575"/>
      <c r="L17" s="207">
        <f t="shared" si="0"/>
        <v>0</v>
      </c>
    </row>
    <row r="18" spans="1:12" s="54" customFormat="1" ht="18" customHeight="1">
      <c r="A18" s="204">
        <v>17</v>
      </c>
      <c r="B18" s="116" t="s">
        <v>32</v>
      </c>
      <c r="C18" s="575"/>
      <c r="D18" s="575">
        <v>320</v>
      </c>
      <c r="E18" s="575">
        <v>-200</v>
      </c>
      <c r="F18" s="575"/>
      <c r="G18" s="575"/>
      <c r="H18" s="575">
        <v>200</v>
      </c>
      <c r="I18" s="575"/>
      <c r="J18" s="575"/>
      <c r="K18" s="575"/>
      <c r="L18" s="207">
        <f t="shared" si="0"/>
        <v>320</v>
      </c>
    </row>
    <row r="19" spans="1:12" s="54" customFormat="1" ht="18.75" customHeight="1">
      <c r="A19" s="204">
        <v>18</v>
      </c>
      <c r="B19" s="78" t="s">
        <v>0</v>
      </c>
      <c r="C19" s="575"/>
      <c r="D19" s="575"/>
      <c r="E19" s="575"/>
      <c r="F19" s="575"/>
      <c r="G19" s="575"/>
      <c r="H19" s="575"/>
      <c r="I19" s="575"/>
      <c r="J19" s="575"/>
      <c r="K19" s="575"/>
      <c r="L19" s="207">
        <f t="shared" si="0"/>
        <v>0</v>
      </c>
    </row>
    <row r="20" spans="1:12" s="54" customFormat="1" ht="18" customHeight="1">
      <c r="A20" s="63"/>
      <c r="B20" s="64" t="s">
        <v>18</v>
      </c>
      <c r="C20" s="65">
        <f>SUM(C3:C19)</f>
        <v>-3500</v>
      </c>
      <c r="D20" s="65">
        <f aca="true" t="shared" si="1" ref="D20:L20">SUM(D3:D19)</f>
        <v>-180</v>
      </c>
      <c r="E20" s="65">
        <f t="shared" si="1"/>
        <v>8306</v>
      </c>
      <c r="F20" s="65">
        <f t="shared" si="1"/>
        <v>0</v>
      </c>
      <c r="G20" s="65">
        <f t="shared" si="1"/>
        <v>582</v>
      </c>
      <c r="H20" s="65">
        <f t="shared" si="1"/>
        <v>3200</v>
      </c>
      <c r="I20" s="65">
        <f t="shared" si="1"/>
        <v>0</v>
      </c>
      <c r="J20" s="65">
        <f t="shared" si="1"/>
        <v>0</v>
      </c>
      <c r="K20" s="65">
        <f t="shared" si="1"/>
        <v>0</v>
      </c>
      <c r="L20" s="65">
        <f t="shared" si="1"/>
        <v>8408</v>
      </c>
    </row>
    <row r="21" s="54" customFormat="1" ht="12.75">
      <c r="A21" s="55"/>
    </row>
    <row r="22" s="54" customFormat="1" ht="12.75">
      <c r="A22" s="55"/>
    </row>
    <row r="23" s="54" customFormat="1" ht="12.75">
      <c r="A23" s="55"/>
    </row>
    <row r="24" s="54" customFormat="1" ht="12.75">
      <c r="A24" s="55"/>
    </row>
    <row r="25" s="54" customFormat="1" ht="12.75">
      <c r="A25" s="55"/>
    </row>
    <row r="26" s="54" customFormat="1" ht="12.75">
      <c r="A26" s="55"/>
    </row>
    <row r="27" s="54" customFormat="1" ht="12.75">
      <c r="A27" s="55"/>
    </row>
    <row r="28" s="54" customFormat="1" ht="12.75">
      <c r="A28" s="55"/>
    </row>
    <row r="29" s="54" customFormat="1" ht="12.75">
      <c r="A29" s="55"/>
    </row>
    <row r="30" s="54" customFormat="1" ht="12.75">
      <c r="A30" s="55"/>
    </row>
    <row r="31" s="54" customFormat="1" ht="12.75">
      <c r="A31" s="55"/>
    </row>
    <row r="32" s="54" customFormat="1" ht="12.75">
      <c r="A32" s="55"/>
    </row>
    <row r="33" s="54" customFormat="1" ht="12.75">
      <c r="A33" s="55"/>
    </row>
    <row r="34" s="54" customFormat="1" ht="12.75">
      <c r="A34" s="55"/>
    </row>
    <row r="35" s="54" customFormat="1" ht="12.75">
      <c r="A35" s="55"/>
    </row>
    <row r="36" s="54" customFormat="1" ht="12.75">
      <c r="A36" s="55"/>
    </row>
    <row r="37" s="54" customFormat="1" ht="12.75">
      <c r="A37" s="55"/>
    </row>
    <row r="38" s="54" customFormat="1" ht="12.75">
      <c r="A38" s="55"/>
    </row>
    <row r="39" s="54" customFormat="1" ht="12.75">
      <c r="A39" s="55"/>
    </row>
    <row r="40" s="54" customFormat="1" ht="12.75">
      <c r="A40" s="55"/>
    </row>
    <row r="41" s="54" customFormat="1" ht="12.75">
      <c r="A41" s="55"/>
    </row>
    <row r="42" s="54" customFormat="1" ht="12.75">
      <c r="A42" s="55"/>
    </row>
    <row r="43" s="54" customFormat="1" ht="12.75">
      <c r="A43" s="55"/>
    </row>
    <row r="44" s="54" customFormat="1" ht="12.75">
      <c r="A44" s="55"/>
    </row>
    <row r="45" s="54" customFormat="1" ht="12.75">
      <c r="A45" s="55"/>
    </row>
    <row r="46" s="54" customFormat="1" ht="12.75">
      <c r="A46" s="55"/>
    </row>
    <row r="47" s="54" customFormat="1" ht="12.75">
      <c r="A47" s="55"/>
    </row>
    <row r="48" s="54" customFormat="1" ht="12.75">
      <c r="A48" s="55"/>
    </row>
    <row r="49" s="54" customFormat="1" ht="12.75">
      <c r="A49" s="55"/>
    </row>
    <row r="50" s="54" customFormat="1" ht="12.75">
      <c r="A50" s="55"/>
    </row>
    <row r="51" s="54" customFormat="1" ht="12.75">
      <c r="A51" s="55"/>
    </row>
    <row r="52" s="54" customFormat="1" ht="12.75">
      <c r="A52" s="55"/>
    </row>
    <row r="53" s="54" customFormat="1" ht="12.75">
      <c r="A53" s="55"/>
    </row>
    <row r="54" s="54" customFormat="1" ht="12.75">
      <c r="A54" s="55"/>
    </row>
    <row r="55" s="54" customFormat="1" ht="12.75">
      <c r="A55" s="55"/>
    </row>
    <row r="56" s="54" customFormat="1" ht="12.75">
      <c r="A56" s="55"/>
    </row>
    <row r="57" s="54" customFormat="1" ht="12.75">
      <c r="A57" s="55"/>
    </row>
    <row r="58" s="54" customFormat="1" ht="12.75">
      <c r="A58" s="55"/>
    </row>
    <row r="59" s="54" customFormat="1" ht="12.75">
      <c r="A59" s="55"/>
    </row>
    <row r="60" s="54" customFormat="1" ht="12.75">
      <c r="A60" s="55"/>
    </row>
    <row r="61" s="54" customFormat="1" ht="12.75">
      <c r="A61" s="55"/>
    </row>
    <row r="62" s="54" customFormat="1" ht="12.75">
      <c r="A62" s="55"/>
    </row>
    <row r="63" s="54" customFormat="1" ht="12.75">
      <c r="A63" s="55"/>
    </row>
  </sheetData>
  <sheetProtection/>
  <mergeCells count="5">
    <mergeCell ref="C1:J1"/>
    <mergeCell ref="K1:K2"/>
    <mergeCell ref="L1:L2"/>
    <mergeCell ref="A1:A2"/>
    <mergeCell ref="B1:B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2014. ÉVI  KIADÁSI ELŐIRÁNYZATAINAK MÓDOSÍTÁSA &amp;R&amp;"Times New Roman,Dőlt"&amp;9
 2. tájékoztató tábla
Adatok eFt-ban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4">
      <selection activeCell="D7" sqref="D7"/>
    </sheetView>
  </sheetViews>
  <sheetFormatPr defaultColWidth="9.00390625" defaultRowHeight="12.75"/>
  <cols>
    <col min="1" max="1" width="8.375" style="109" customWidth="1"/>
    <col min="2" max="2" width="63.875" style="97" customWidth="1"/>
    <col min="3" max="3" width="11.875" style="97" customWidth="1"/>
    <col min="4" max="5" width="11.875" style="47" customWidth="1"/>
    <col min="6" max="6" width="12.00390625" style="47" customWidth="1"/>
    <col min="7" max="16384" width="9.375" style="47" customWidth="1"/>
  </cols>
  <sheetData>
    <row r="1" spans="1:5" s="85" customFormat="1" ht="69.75" customHeight="1" thickBot="1">
      <c r="A1" s="98" t="s">
        <v>467</v>
      </c>
      <c r="B1" s="99" t="s">
        <v>239</v>
      </c>
      <c r="C1" s="105" t="s">
        <v>640</v>
      </c>
      <c r="D1" s="498" t="s">
        <v>951</v>
      </c>
      <c r="E1" s="498" t="s">
        <v>641</v>
      </c>
    </row>
    <row r="2" spans="1:5" s="102" customFormat="1" ht="14.25" customHeight="1">
      <c r="A2" s="100" t="s">
        <v>468</v>
      </c>
      <c r="B2" s="101" t="s">
        <v>58</v>
      </c>
      <c r="C2" s="101"/>
      <c r="D2" s="522"/>
      <c r="E2" s="522"/>
    </row>
    <row r="3" spans="1:5" s="85" customFormat="1" ht="14.25" customHeight="1">
      <c r="A3" s="100" t="s">
        <v>469</v>
      </c>
      <c r="B3" s="101" t="s">
        <v>470</v>
      </c>
      <c r="C3" s="103"/>
      <c r="D3" s="523"/>
      <c r="E3" s="523"/>
    </row>
    <row r="4" spans="1:5" s="85" customFormat="1" ht="14.25" customHeight="1">
      <c r="A4" s="524" t="s">
        <v>471</v>
      </c>
      <c r="B4" s="103" t="s">
        <v>472</v>
      </c>
      <c r="C4" s="103"/>
      <c r="D4" s="523"/>
      <c r="E4" s="523"/>
    </row>
    <row r="5" spans="1:6" s="85" customFormat="1" ht="14.25" customHeight="1">
      <c r="A5" s="151" t="s">
        <v>473</v>
      </c>
      <c r="B5" s="103" t="s">
        <v>474</v>
      </c>
      <c r="C5" s="103">
        <v>267882</v>
      </c>
      <c r="D5" s="525">
        <v>-1</v>
      </c>
      <c r="E5" s="525">
        <f aca="true" t="shared" si="0" ref="E5:E11">SUM(C5:D5)</f>
        <v>267881</v>
      </c>
      <c r="F5" s="677"/>
    </row>
    <row r="6" spans="1:6" s="85" customFormat="1" ht="14.25" customHeight="1">
      <c r="A6" s="151" t="s">
        <v>475</v>
      </c>
      <c r="B6" s="103" t="s">
        <v>476</v>
      </c>
      <c r="C6" s="103">
        <v>832456</v>
      </c>
      <c r="D6" s="525">
        <v>-422</v>
      </c>
      <c r="E6" s="525">
        <f t="shared" si="0"/>
        <v>832034</v>
      </c>
      <c r="F6" s="677"/>
    </row>
    <row r="7" spans="1:6" s="85" customFormat="1" ht="24.75" customHeight="1">
      <c r="A7" s="151" t="s">
        <v>477</v>
      </c>
      <c r="B7" s="103" t="s">
        <v>478</v>
      </c>
      <c r="C7" s="103">
        <v>628845</v>
      </c>
      <c r="D7" s="31">
        <v>213822</v>
      </c>
      <c r="E7" s="31">
        <f t="shared" si="0"/>
        <v>842667</v>
      </c>
      <c r="F7" s="677"/>
    </row>
    <row r="8" spans="1:6" s="85" customFormat="1" ht="15" customHeight="1">
      <c r="A8" s="151" t="s">
        <v>479</v>
      </c>
      <c r="B8" s="103" t="s">
        <v>480</v>
      </c>
      <c r="C8" s="103">
        <v>651383</v>
      </c>
      <c r="D8" s="525">
        <v>12</v>
      </c>
      <c r="E8" s="525">
        <f t="shared" si="0"/>
        <v>651395</v>
      </c>
      <c r="F8" s="677"/>
    </row>
    <row r="9" spans="1:6" s="85" customFormat="1" ht="15" customHeight="1">
      <c r="A9" s="151" t="s">
        <v>481</v>
      </c>
      <c r="B9" s="103" t="s">
        <v>482</v>
      </c>
      <c r="C9" s="103">
        <v>19133</v>
      </c>
      <c r="D9" s="525">
        <v>78621</v>
      </c>
      <c r="E9" s="525">
        <f t="shared" si="0"/>
        <v>97754</v>
      </c>
      <c r="F9" s="677"/>
    </row>
    <row r="10" spans="1:6" s="85" customFormat="1" ht="15" customHeight="1">
      <c r="A10" s="151" t="s">
        <v>1118</v>
      </c>
      <c r="B10" s="103" t="s">
        <v>899</v>
      </c>
      <c r="C10" s="103"/>
      <c r="D10" s="525">
        <v>220788</v>
      </c>
      <c r="E10" s="525">
        <f t="shared" si="0"/>
        <v>220788</v>
      </c>
      <c r="F10" s="677"/>
    </row>
    <row r="11" spans="1:6" s="85" customFormat="1" ht="15" customHeight="1">
      <c r="A11" s="524" t="s">
        <v>483</v>
      </c>
      <c r="B11" s="103" t="s">
        <v>484</v>
      </c>
      <c r="C11" s="103">
        <v>421218</v>
      </c>
      <c r="D11" s="525">
        <v>226038</v>
      </c>
      <c r="E11" s="525">
        <f t="shared" si="0"/>
        <v>647256</v>
      </c>
      <c r="F11" s="677"/>
    </row>
    <row r="12" spans="1:6" s="88" customFormat="1" ht="14.25" customHeight="1">
      <c r="A12" s="105"/>
      <c r="B12" s="106" t="s">
        <v>485</v>
      </c>
      <c r="C12" s="106">
        <f>SUM(C4:C11)</f>
        <v>2820917</v>
      </c>
      <c r="D12" s="106">
        <f>SUM(D4:D11)</f>
        <v>738858</v>
      </c>
      <c r="E12" s="106">
        <f>SUM(E4:E11)</f>
        <v>3559775</v>
      </c>
      <c r="F12" s="677"/>
    </row>
    <row r="13" spans="1:6" s="85" customFormat="1" ht="14.25" customHeight="1">
      <c r="A13" s="100" t="s">
        <v>486</v>
      </c>
      <c r="B13" s="101" t="s">
        <v>487</v>
      </c>
      <c r="C13" s="103"/>
      <c r="D13" s="525"/>
      <c r="E13" s="525">
        <f>SUM(C13:D13)</f>
        <v>0</v>
      </c>
      <c r="F13" s="677"/>
    </row>
    <row r="14" spans="1:6" s="85" customFormat="1" ht="14.25" customHeight="1">
      <c r="A14" s="524" t="s">
        <v>488</v>
      </c>
      <c r="B14" s="103" t="s">
        <v>489</v>
      </c>
      <c r="C14" s="103"/>
      <c r="D14" s="525">
        <v>2098608</v>
      </c>
      <c r="E14" s="525">
        <f>SUM(C14:D14)</f>
        <v>2098608</v>
      </c>
      <c r="F14" s="677"/>
    </row>
    <row r="15" spans="1:6" s="85" customFormat="1" ht="23.25" customHeight="1">
      <c r="A15" s="524" t="s">
        <v>490</v>
      </c>
      <c r="B15" s="103" t="s">
        <v>491</v>
      </c>
      <c r="C15" s="103">
        <v>4607238</v>
      </c>
      <c r="D15" s="31">
        <v>464300</v>
      </c>
      <c r="E15" s="31">
        <f>SUM(C15:D15)</f>
        <v>5071538</v>
      </c>
      <c r="F15" s="677"/>
    </row>
    <row r="16" spans="1:6" s="88" customFormat="1" ht="14.25" customHeight="1">
      <c r="A16" s="105"/>
      <c r="B16" s="106" t="s">
        <v>492</v>
      </c>
      <c r="C16" s="106">
        <f>SUM(C14:C15)</f>
        <v>4607238</v>
      </c>
      <c r="D16" s="106">
        <f>SUM(D14:D15)</f>
        <v>2562908</v>
      </c>
      <c r="E16" s="106">
        <f>SUM(E14:E15)</f>
        <v>7170146</v>
      </c>
      <c r="F16" s="677"/>
    </row>
    <row r="17" spans="1:6" s="85" customFormat="1" ht="14.25" customHeight="1">
      <c r="A17" s="100" t="s">
        <v>493</v>
      </c>
      <c r="B17" s="101" t="s">
        <v>969</v>
      </c>
      <c r="C17" s="103"/>
      <c r="D17" s="525"/>
      <c r="E17" s="525">
        <f aca="true" t="shared" si="1" ref="E17:E22">SUM(C17:D17)</f>
        <v>0</v>
      </c>
      <c r="F17" s="677"/>
    </row>
    <row r="18" spans="1:6" s="85" customFormat="1" ht="14.25" customHeight="1">
      <c r="A18" s="524" t="s">
        <v>494</v>
      </c>
      <c r="B18" s="103" t="s">
        <v>495</v>
      </c>
      <c r="C18" s="103"/>
      <c r="D18" s="525"/>
      <c r="E18" s="525">
        <f t="shared" si="1"/>
        <v>0</v>
      </c>
      <c r="F18" s="677"/>
    </row>
    <row r="19" spans="1:6" s="85" customFormat="1" ht="14.25" customHeight="1">
      <c r="A19" s="151" t="s">
        <v>496</v>
      </c>
      <c r="B19" s="103" t="s">
        <v>497</v>
      </c>
      <c r="C19" s="103">
        <v>4000000</v>
      </c>
      <c r="D19" s="525">
        <v>-645551</v>
      </c>
      <c r="E19" s="525">
        <f t="shared" si="1"/>
        <v>3354449</v>
      </c>
      <c r="F19" s="677"/>
    </row>
    <row r="20" spans="1:6" s="85" customFormat="1" ht="14.25" customHeight="1">
      <c r="A20" s="151" t="s">
        <v>498</v>
      </c>
      <c r="B20" s="103" t="s">
        <v>499</v>
      </c>
      <c r="C20" s="103">
        <v>240000</v>
      </c>
      <c r="D20" s="525"/>
      <c r="E20" s="525">
        <f t="shared" si="1"/>
        <v>240000</v>
      </c>
      <c r="F20" s="677"/>
    </row>
    <row r="21" spans="1:6" s="85" customFormat="1" ht="14.25" customHeight="1">
      <c r="A21" s="151" t="s">
        <v>500</v>
      </c>
      <c r="B21" s="103" t="s">
        <v>501</v>
      </c>
      <c r="C21" s="103">
        <v>13500</v>
      </c>
      <c r="D21" s="525">
        <v>1595</v>
      </c>
      <c r="E21" s="525">
        <f t="shared" si="1"/>
        <v>15095</v>
      </c>
      <c r="F21" s="677"/>
    </row>
    <row r="22" spans="1:6" s="85" customFormat="1" ht="14.25" customHeight="1">
      <c r="A22" s="524" t="s">
        <v>502</v>
      </c>
      <c r="B22" s="103" t="s">
        <v>503</v>
      </c>
      <c r="C22" s="103">
        <v>5000</v>
      </c>
      <c r="D22" s="525">
        <v>22950</v>
      </c>
      <c r="E22" s="525">
        <f t="shared" si="1"/>
        <v>27950</v>
      </c>
      <c r="F22" s="677"/>
    </row>
    <row r="23" spans="1:6" ht="15" customHeight="1">
      <c r="A23" s="105"/>
      <c r="B23" s="106" t="s">
        <v>504</v>
      </c>
      <c r="C23" s="106">
        <f>SUM(C17:C22)</f>
        <v>4258500</v>
      </c>
      <c r="D23" s="106">
        <f>SUM(D17:D22)</f>
        <v>-621006</v>
      </c>
      <c r="E23" s="106">
        <f>SUM(E17:E22)</f>
        <v>3637494</v>
      </c>
      <c r="F23" s="677"/>
    </row>
    <row r="24" spans="1:6" s="85" customFormat="1" ht="15" customHeight="1">
      <c r="A24" s="100" t="s">
        <v>505</v>
      </c>
      <c r="B24" s="101" t="s">
        <v>291</v>
      </c>
      <c r="C24" s="101">
        <v>2115965</v>
      </c>
      <c r="D24" s="101">
        <v>752030</v>
      </c>
      <c r="E24" s="101">
        <f>SUM(C24:D24)</f>
        <v>2867995</v>
      </c>
      <c r="F24" s="677"/>
    </row>
    <row r="25" spans="1:6" s="85" customFormat="1" ht="15" customHeight="1">
      <c r="A25" s="100" t="s">
        <v>506</v>
      </c>
      <c r="B25" s="101" t="s">
        <v>14</v>
      </c>
      <c r="C25" s="103"/>
      <c r="D25" s="525"/>
      <c r="E25" s="525"/>
      <c r="F25" s="677"/>
    </row>
    <row r="26" spans="1:6" s="85" customFormat="1" ht="15" customHeight="1">
      <c r="A26" s="104" t="s">
        <v>507</v>
      </c>
      <c r="B26" s="103" t="s">
        <v>508</v>
      </c>
      <c r="C26" s="103">
        <v>251100</v>
      </c>
      <c r="D26" s="525">
        <v>112707</v>
      </c>
      <c r="E26" s="525">
        <f>SUM(C26:D26)</f>
        <v>363807</v>
      </c>
      <c r="F26" s="677"/>
    </row>
    <row r="27" spans="1:6" s="85" customFormat="1" ht="15" customHeight="1">
      <c r="A27" s="104" t="s">
        <v>585</v>
      </c>
      <c r="B27" s="103" t="s">
        <v>586</v>
      </c>
      <c r="C27" s="103"/>
      <c r="D27" s="525">
        <v>664</v>
      </c>
      <c r="E27" s="525">
        <f>SUM(C27:D27)</f>
        <v>664</v>
      </c>
      <c r="F27" s="677"/>
    </row>
    <row r="28" spans="1:6" s="85" customFormat="1" ht="15" customHeight="1">
      <c r="A28" s="104" t="s">
        <v>946</v>
      </c>
      <c r="B28" s="103" t="s">
        <v>947</v>
      </c>
      <c r="C28" s="103"/>
      <c r="D28" s="525">
        <v>180</v>
      </c>
      <c r="E28" s="525">
        <f>SUM(C28:D28)</f>
        <v>180</v>
      </c>
      <c r="F28" s="677"/>
    </row>
    <row r="29" spans="1:6" s="85" customFormat="1" ht="15" customHeight="1">
      <c r="A29" s="107"/>
      <c r="B29" s="106" t="s">
        <v>509</v>
      </c>
      <c r="C29" s="106">
        <f>SUM(C26:C27)</f>
        <v>251100</v>
      </c>
      <c r="D29" s="106">
        <f>SUM(D26:D28)</f>
        <v>113551</v>
      </c>
      <c r="E29" s="106">
        <f>SUM(E26:E28)</f>
        <v>364651</v>
      </c>
      <c r="F29" s="677"/>
    </row>
    <row r="30" spans="1:6" s="85" customFormat="1" ht="15" customHeight="1">
      <c r="A30" s="105" t="s">
        <v>510</v>
      </c>
      <c r="B30" s="106" t="s">
        <v>292</v>
      </c>
      <c r="C30" s="106">
        <v>59600</v>
      </c>
      <c r="D30" s="106">
        <v>17865</v>
      </c>
      <c r="E30" s="106">
        <f>SUM(C30:D30)</f>
        <v>77465</v>
      </c>
      <c r="F30" s="677"/>
    </row>
    <row r="31" spans="1:6" s="85" customFormat="1" ht="15" customHeight="1">
      <c r="A31" s="100" t="s">
        <v>511</v>
      </c>
      <c r="B31" s="101" t="s">
        <v>293</v>
      </c>
      <c r="C31" s="101"/>
      <c r="D31" s="525"/>
      <c r="E31" s="525">
        <f>SUM(C31:D31)</f>
        <v>0</v>
      </c>
      <c r="F31" s="677"/>
    </row>
    <row r="32" spans="1:6" s="85" customFormat="1" ht="24.75" customHeight="1">
      <c r="A32" s="104" t="s">
        <v>512</v>
      </c>
      <c r="B32" s="103" t="s">
        <v>513</v>
      </c>
      <c r="C32" s="103">
        <v>20000</v>
      </c>
      <c r="D32" s="525"/>
      <c r="E32" s="525">
        <f>SUM(C32:D32)</f>
        <v>20000</v>
      </c>
      <c r="F32" s="677"/>
    </row>
    <row r="33" spans="1:6" s="85" customFormat="1" ht="15" customHeight="1">
      <c r="A33" s="104" t="s">
        <v>514</v>
      </c>
      <c r="B33" s="103" t="s">
        <v>515</v>
      </c>
      <c r="C33" s="103">
        <v>200000</v>
      </c>
      <c r="D33" s="525">
        <v>27577</v>
      </c>
      <c r="E33" s="525">
        <f>SUM(C33:D33)</f>
        <v>227577</v>
      </c>
      <c r="F33" s="677"/>
    </row>
    <row r="34" spans="1:6" s="85" customFormat="1" ht="15" customHeight="1">
      <c r="A34" s="107"/>
      <c r="B34" s="106" t="s">
        <v>516</v>
      </c>
      <c r="C34" s="106">
        <f>SUM(C32:C33)</f>
        <v>220000</v>
      </c>
      <c r="D34" s="106">
        <f>SUM(D32:D33)</f>
        <v>27577</v>
      </c>
      <c r="E34" s="106">
        <f>SUM(E32:E33)</f>
        <v>247577</v>
      </c>
      <c r="F34" s="677"/>
    </row>
    <row r="35" spans="1:6" s="85" customFormat="1" ht="15" customHeight="1">
      <c r="A35" s="105" t="s">
        <v>517</v>
      </c>
      <c r="B35" s="106" t="s">
        <v>286</v>
      </c>
      <c r="C35" s="106">
        <f>SUM(C12+C16+C23+C24+C29+C30+C34)</f>
        <v>14333320</v>
      </c>
      <c r="D35" s="106">
        <f>SUM(D12+D16+D23+D24+D29+D30+D34)</f>
        <v>3591783</v>
      </c>
      <c r="E35" s="106">
        <f>SUM(E12+E16+E23+E24+E29+E30+E34)</f>
        <v>17925103</v>
      </c>
      <c r="F35" s="677"/>
    </row>
    <row r="36" spans="1:6" s="85" customFormat="1" ht="15.75" customHeight="1">
      <c r="A36" s="100" t="s">
        <v>518</v>
      </c>
      <c r="B36" s="101" t="s">
        <v>287</v>
      </c>
      <c r="C36" s="101"/>
      <c r="D36" s="525"/>
      <c r="E36" s="525">
        <f>SUM(C36:D36)</f>
        <v>0</v>
      </c>
      <c r="F36" s="677"/>
    </row>
    <row r="37" spans="1:6" s="85" customFormat="1" ht="14.25" customHeight="1">
      <c r="A37" s="524" t="s">
        <v>519</v>
      </c>
      <c r="B37" s="103" t="s">
        <v>520</v>
      </c>
      <c r="C37" s="103"/>
      <c r="D37" s="525"/>
      <c r="E37" s="525">
        <f>SUM(C37:D37)</f>
        <v>0</v>
      </c>
      <c r="F37" s="677"/>
    </row>
    <row r="38" spans="1:6" s="85" customFormat="1" ht="14.25" customHeight="1">
      <c r="A38" s="526" t="s">
        <v>521</v>
      </c>
      <c r="B38" s="108" t="s">
        <v>522</v>
      </c>
      <c r="C38" s="103">
        <v>658892</v>
      </c>
      <c r="D38" s="525">
        <v>-185000</v>
      </c>
      <c r="E38" s="525">
        <f>SUM(C38:D38)</f>
        <v>473892</v>
      </c>
      <c r="F38" s="677"/>
    </row>
    <row r="39" spans="1:6" s="85" customFormat="1" ht="14.25" customHeight="1">
      <c r="A39" s="526" t="s">
        <v>523</v>
      </c>
      <c r="B39" s="108" t="s">
        <v>294</v>
      </c>
      <c r="C39" s="103">
        <v>2966806</v>
      </c>
      <c r="D39" s="525">
        <v>857631</v>
      </c>
      <c r="E39" s="525">
        <f>SUM(C39:D39)</f>
        <v>3824437</v>
      </c>
      <c r="F39" s="677"/>
    </row>
    <row r="40" spans="1:6" s="85" customFormat="1" ht="14.25" customHeight="1">
      <c r="A40" s="526" t="s">
        <v>542</v>
      </c>
      <c r="B40" s="108" t="s">
        <v>543</v>
      </c>
      <c r="C40" s="103"/>
      <c r="D40" s="525">
        <v>206178</v>
      </c>
      <c r="E40" s="525">
        <f>SUM(C40:D40)</f>
        <v>206178</v>
      </c>
      <c r="F40" s="677"/>
    </row>
    <row r="41" spans="1:6" s="85" customFormat="1" ht="14.25" customHeight="1">
      <c r="A41" s="527"/>
      <c r="B41" s="106" t="s">
        <v>524</v>
      </c>
      <c r="C41" s="528">
        <f>SUM(C38:C39)</f>
        <v>3625698</v>
      </c>
      <c r="D41" s="528">
        <f>SUM(D38:D40)</f>
        <v>878809</v>
      </c>
      <c r="E41" s="528">
        <f>SUM(E38:E40)</f>
        <v>4504507</v>
      </c>
      <c r="F41" s="677"/>
    </row>
    <row r="42" spans="1:6" ht="15.75" customHeight="1">
      <c r="A42" s="105"/>
      <c r="B42" s="106" t="s">
        <v>525</v>
      </c>
      <c r="C42" s="106">
        <f>SUM(C35+C41)</f>
        <v>17959018</v>
      </c>
      <c r="D42" s="106">
        <f>SUM(D35+D41)</f>
        <v>4470592</v>
      </c>
      <c r="E42" s="106">
        <f>SUM(E35+E41)</f>
        <v>22429610</v>
      </c>
      <c r="F42" s="677"/>
    </row>
  </sheetData>
  <sheetProtection/>
  <printOptions horizontalCentered="1"/>
  <pageMargins left="0.35433070866141736" right="0.35433070866141736" top="1.102362204724409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dőlt"ZALAEGERSZEG MEGYEI  JOGÚ  VÁROS  ÖNKORMÁNYZATA
ÖSSZESÍTŐ A BEVÉTELEKRŐL ROVATONKÉNT
2014. ÉVBEN&amp;R&amp;"Times New Roman CE,Félkövér dőlt"2.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9"/>
  <sheetViews>
    <sheetView zoomScale="90" zoomScaleNormal="90" zoomScalePageLayoutView="0" workbookViewId="0" topLeftCell="A1">
      <pane xSplit="1" ySplit="2" topLeftCell="B10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L23" sqref="L23:L27"/>
    </sheetView>
  </sheetViews>
  <sheetFormatPr defaultColWidth="9.00390625" defaultRowHeight="12.75"/>
  <cols>
    <col min="1" max="1" width="81.00390625" style="119" customWidth="1"/>
    <col min="2" max="2" width="8.875" style="119" customWidth="1"/>
    <col min="3" max="3" width="10.00390625" style="119" customWidth="1"/>
    <col min="4" max="4" width="12.50390625" style="119" customWidth="1"/>
    <col min="5" max="5" width="11.50390625" style="119" customWidth="1"/>
    <col min="6" max="6" width="10.50390625" style="119" customWidth="1"/>
    <col min="7" max="7" width="9.875" style="118" customWidth="1"/>
    <col min="8" max="8" width="10.375" style="118" customWidth="1"/>
    <col min="9" max="9" width="12.875" style="118" customWidth="1"/>
    <col min="10" max="10" width="10.625" style="118" customWidth="1"/>
    <col min="11" max="11" width="11.375" style="118" customWidth="1"/>
    <col min="12" max="12" width="9.375" style="118" customWidth="1"/>
    <col min="13" max="13" width="10.375" style="118" bestFit="1" customWidth="1"/>
    <col min="14" max="14" width="9.375" style="118" customWidth="1"/>
    <col min="15" max="16384" width="9.375" style="119" customWidth="1"/>
  </cols>
  <sheetData>
    <row r="1" spans="1:14" ht="23.25" customHeight="1" thickBot="1">
      <c r="A1" s="533"/>
      <c r="B1" s="684" t="s">
        <v>908</v>
      </c>
      <c r="C1" s="685"/>
      <c r="D1" s="685"/>
      <c r="E1" s="685"/>
      <c r="F1" s="685"/>
      <c r="G1" s="686" t="s">
        <v>909</v>
      </c>
      <c r="H1" s="686"/>
      <c r="I1" s="686"/>
      <c r="J1" s="686"/>
      <c r="K1" s="686"/>
      <c r="N1" s="119"/>
    </row>
    <row r="2" spans="1:13" s="121" customFormat="1" ht="45.75" customHeight="1" thickBot="1">
      <c r="A2" s="534" t="s">
        <v>148</v>
      </c>
      <c r="B2" s="535" t="s">
        <v>149</v>
      </c>
      <c r="C2" s="536" t="s">
        <v>150</v>
      </c>
      <c r="D2" s="536" t="s">
        <v>151</v>
      </c>
      <c r="E2" s="536" t="s">
        <v>189</v>
      </c>
      <c r="F2" s="549" t="s">
        <v>152</v>
      </c>
      <c r="G2" s="551" t="s">
        <v>149</v>
      </c>
      <c r="H2" s="551" t="s">
        <v>150</v>
      </c>
      <c r="I2" s="551" t="s">
        <v>151</v>
      </c>
      <c r="J2" s="551" t="s">
        <v>189</v>
      </c>
      <c r="K2" s="551" t="s">
        <v>152</v>
      </c>
      <c r="L2" s="120"/>
      <c r="M2" s="120"/>
    </row>
    <row r="3" spans="1:14" ht="13.5" customHeight="1">
      <c r="A3" s="537" t="s">
        <v>879</v>
      </c>
      <c r="B3" s="542"/>
      <c r="C3" s="542"/>
      <c r="D3" s="542"/>
      <c r="E3" s="542"/>
      <c r="F3" s="552"/>
      <c r="G3" s="542"/>
      <c r="H3" s="542"/>
      <c r="I3" s="542"/>
      <c r="J3" s="542"/>
      <c r="K3" s="595"/>
      <c r="M3" s="119"/>
      <c r="N3" s="119"/>
    </row>
    <row r="4" spans="1:14" ht="13.5" customHeight="1">
      <c r="A4" s="538" t="s">
        <v>190</v>
      </c>
      <c r="B4" s="553"/>
      <c r="C4" s="553">
        <v>134.94</v>
      </c>
      <c r="D4" s="542">
        <v>4580000</v>
      </c>
      <c r="E4" s="542">
        <v>618025</v>
      </c>
      <c r="F4" s="552"/>
      <c r="G4" s="553"/>
      <c r="H4" s="553">
        <v>134.94</v>
      </c>
      <c r="I4" s="542">
        <v>4580000</v>
      </c>
      <c r="J4" s="542">
        <v>618025</v>
      </c>
      <c r="K4" s="542"/>
      <c r="M4" s="119"/>
      <c r="N4" s="119"/>
    </row>
    <row r="5" spans="1:14" ht="13.5" customHeight="1">
      <c r="A5" s="538" t="s">
        <v>191</v>
      </c>
      <c r="B5" s="553"/>
      <c r="C5" s="553"/>
      <c r="D5" s="542"/>
      <c r="E5" s="542"/>
      <c r="F5" s="552">
        <v>106378</v>
      </c>
      <c r="G5" s="553"/>
      <c r="H5" s="553"/>
      <c r="I5" s="542"/>
      <c r="J5" s="542"/>
      <c r="K5" s="542">
        <v>106378</v>
      </c>
      <c r="M5" s="119"/>
      <c r="N5" s="119"/>
    </row>
    <row r="6" spans="1:14" ht="13.5" customHeight="1">
      <c r="A6" s="538" t="s">
        <v>192</v>
      </c>
      <c r="B6" s="542"/>
      <c r="C6" s="542"/>
      <c r="D6" s="542"/>
      <c r="E6" s="542"/>
      <c r="F6" s="552"/>
      <c r="G6" s="542"/>
      <c r="H6" s="542"/>
      <c r="I6" s="542"/>
      <c r="J6" s="542"/>
      <c r="K6" s="542"/>
      <c r="M6" s="119"/>
      <c r="N6" s="119"/>
    </row>
    <row r="7" spans="1:14" ht="13.5" customHeight="1">
      <c r="A7" s="538" t="s">
        <v>193</v>
      </c>
      <c r="B7" s="542"/>
      <c r="C7" s="542"/>
      <c r="D7" s="542"/>
      <c r="E7" s="542"/>
      <c r="F7" s="552">
        <v>0</v>
      </c>
      <c r="G7" s="542"/>
      <c r="H7" s="542"/>
      <c r="I7" s="542"/>
      <c r="J7" s="542"/>
      <c r="K7" s="542">
        <v>0</v>
      </c>
      <c r="M7" s="119"/>
      <c r="N7" s="119"/>
    </row>
    <row r="8" spans="1:14" ht="13.5" customHeight="1">
      <c r="A8" s="538" t="s">
        <v>880</v>
      </c>
      <c r="B8" s="542"/>
      <c r="C8" s="553"/>
      <c r="D8" s="542">
        <v>22300</v>
      </c>
      <c r="E8" s="542">
        <v>50222</v>
      </c>
      <c r="F8" s="552"/>
      <c r="G8" s="542"/>
      <c r="H8" s="553"/>
      <c r="I8" s="542">
        <v>22300</v>
      </c>
      <c r="J8" s="542">
        <v>50222</v>
      </c>
      <c r="K8" s="542"/>
      <c r="M8" s="119"/>
      <c r="N8" s="119"/>
    </row>
    <row r="9" spans="1:14" ht="13.5" customHeight="1">
      <c r="A9" s="538" t="s">
        <v>881</v>
      </c>
      <c r="B9" s="542"/>
      <c r="C9" s="542"/>
      <c r="D9" s="542">
        <v>423700</v>
      </c>
      <c r="E9" s="542">
        <v>158963</v>
      </c>
      <c r="F9" s="552"/>
      <c r="G9" s="542"/>
      <c r="H9" s="542"/>
      <c r="I9" s="542">
        <v>423700</v>
      </c>
      <c r="J9" s="542">
        <v>158963</v>
      </c>
      <c r="K9" s="542"/>
      <c r="M9" s="119"/>
      <c r="N9" s="119"/>
    </row>
    <row r="10" spans="1:14" ht="13.5" customHeight="1">
      <c r="A10" s="538" t="s">
        <v>882</v>
      </c>
      <c r="B10" s="542"/>
      <c r="C10" s="542">
        <v>323446</v>
      </c>
      <c r="D10" s="542">
        <v>70</v>
      </c>
      <c r="E10" s="542">
        <v>22641</v>
      </c>
      <c r="F10" s="552"/>
      <c r="G10" s="542"/>
      <c r="H10" s="542">
        <v>323446</v>
      </c>
      <c r="I10" s="542">
        <v>70</v>
      </c>
      <c r="J10" s="542">
        <v>22641</v>
      </c>
      <c r="K10" s="542"/>
      <c r="M10" s="119"/>
      <c r="N10" s="119"/>
    </row>
    <row r="11" spans="1:14" ht="13.5" customHeight="1">
      <c r="A11" s="538" t="s">
        <v>883</v>
      </c>
      <c r="B11" s="542"/>
      <c r="C11" s="542"/>
      <c r="D11" s="542"/>
      <c r="E11" s="542">
        <v>102643</v>
      </c>
      <c r="F11" s="552"/>
      <c r="G11" s="542"/>
      <c r="H11" s="542"/>
      <c r="I11" s="542"/>
      <c r="J11" s="542">
        <v>102643</v>
      </c>
      <c r="K11" s="542"/>
      <c r="M11" s="119"/>
      <c r="N11" s="119"/>
    </row>
    <row r="12" spans="1:14" ht="13.5" customHeight="1">
      <c r="A12" s="538" t="s">
        <v>195</v>
      </c>
      <c r="B12" s="542">
        <v>59097</v>
      </c>
      <c r="C12" s="542"/>
      <c r="D12" s="542">
        <v>2700</v>
      </c>
      <c r="E12" s="542">
        <v>159562</v>
      </c>
      <c r="F12" s="552"/>
      <c r="G12" s="542">
        <v>59097</v>
      </c>
      <c r="H12" s="542"/>
      <c r="I12" s="542">
        <v>2700</v>
      </c>
      <c r="J12" s="542">
        <v>159562</v>
      </c>
      <c r="K12" s="542"/>
      <c r="M12" s="119"/>
      <c r="N12" s="119"/>
    </row>
    <row r="13" spans="1:14" ht="13.5" customHeight="1">
      <c r="A13" s="538" t="s">
        <v>196</v>
      </c>
      <c r="B13" s="542"/>
      <c r="C13" s="542"/>
      <c r="D13" s="542"/>
      <c r="E13" s="542"/>
      <c r="F13" s="552">
        <v>79781</v>
      </c>
      <c r="G13" s="542"/>
      <c r="H13" s="542"/>
      <c r="I13" s="542"/>
      <c r="J13" s="542"/>
      <c r="K13" s="542">
        <v>79781</v>
      </c>
      <c r="M13" s="119"/>
      <c r="N13" s="119"/>
    </row>
    <row r="14" spans="1:14" ht="13.5" customHeight="1">
      <c r="A14" s="538" t="s">
        <v>197</v>
      </c>
      <c r="B14" s="542">
        <v>59097</v>
      </c>
      <c r="C14" s="542"/>
      <c r="D14" s="542" t="s">
        <v>891</v>
      </c>
      <c r="E14" s="542">
        <v>163145</v>
      </c>
      <c r="F14" s="552"/>
      <c r="G14" s="542">
        <v>59097</v>
      </c>
      <c r="H14" s="542"/>
      <c r="I14" s="542" t="s">
        <v>891</v>
      </c>
      <c r="J14" s="542">
        <v>163145</v>
      </c>
      <c r="K14" s="542"/>
      <c r="M14" s="119"/>
      <c r="N14" s="119"/>
    </row>
    <row r="15" spans="1:14" ht="13.5" customHeight="1">
      <c r="A15" s="538" t="s">
        <v>198</v>
      </c>
      <c r="B15" s="542"/>
      <c r="C15" s="542"/>
      <c r="D15" s="542"/>
      <c r="E15" s="542"/>
      <c r="F15" s="552">
        <v>81573</v>
      </c>
      <c r="G15" s="542"/>
      <c r="H15" s="542"/>
      <c r="I15" s="542"/>
      <c r="J15" s="542"/>
      <c r="K15" s="542">
        <v>81572</v>
      </c>
      <c r="M15" s="119"/>
      <c r="N15" s="119"/>
    </row>
    <row r="16" spans="1:14" ht="13.5" customHeight="1">
      <c r="A16" s="538" t="s">
        <v>199</v>
      </c>
      <c r="B16" s="542"/>
      <c r="C16" s="542"/>
      <c r="D16" s="542"/>
      <c r="E16" s="542">
        <v>-1007470</v>
      </c>
      <c r="F16" s="552"/>
      <c r="G16" s="542"/>
      <c r="H16" s="542"/>
      <c r="I16" s="542"/>
      <c r="J16" s="542">
        <v>-1007470</v>
      </c>
      <c r="K16" s="542"/>
      <c r="M16" s="119"/>
      <c r="N16" s="119"/>
    </row>
    <row r="17" spans="1:14" ht="13.5" customHeight="1">
      <c r="A17" s="538" t="s">
        <v>201</v>
      </c>
      <c r="B17" s="542"/>
      <c r="C17" s="542">
        <v>1500</v>
      </c>
      <c r="D17" s="542">
        <v>100</v>
      </c>
      <c r="E17" s="542"/>
      <c r="F17" s="552">
        <f>SUM(C17*D17)/1000</f>
        <v>150</v>
      </c>
      <c r="G17" s="542"/>
      <c r="H17" s="542">
        <v>1500</v>
      </c>
      <c r="I17" s="542">
        <v>100</v>
      </c>
      <c r="J17" s="542"/>
      <c r="K17" s="542">
        <f>SUM(H17*I17)/1000</f>
        <v>150</v>
      </c>
      <c r="M17" s="119"/>
      <c r="N17" s="119"/>
    </row>
    <row r="18" spans="1:14" ht="13.5" customHeight="1">
      <c r="A18" s="537" t="s">
        <v>884</v>
      </c>
      <c r="B18" s="542"/>
      <c r="C18" s="542"/>
      <c r="D18" s="542"/>
      <c r="E18" s="542"/>
      <c r="F18" s="552"/>
      <c r="G18" s="542"/>
      <c r="H18" s="542"/>
      <c r="I18" s="542"/>
      <c r="J18" s="542"/>
      <c r="K18" s="542"/>
      <c r="M18" s="119"/>
      <c r="N18" s="119"/>
    </row>
    <row r="19" spans="1:14" ht="24.75" customHeight="1">
      <c r="A19" s="539" t="s">
        <v>885</v>
      </c>
      <c r="B19" s="542"/>
      <c r="C19" s="542"/>
      <c r="D19" s="542"/>
      <c r="E19" s="542"/>
      <c r="F19" s="552"/>
      <c r="G19" s="542"/>
      <c r="H19" s="542"/>
      <c r="I19" s="542"/>
      <c r="J19" s="542"/>
      <c r="K19" s="542"/>
      <c r="M19" s="119"/>
      <c r="N19" s="119"/>
    </row>
    <row r="20" spans="1:14" ht="15" customHeight="1">
      <c r="A20" s="539" t="s">
        <v>202</v>
      </c>
      <c r="B20" s="542"/>
      <c r="C20" s="554">
        <v>144.3</v>
      </c>
      <c r="D20" s="553">
        <v>2674666.67</v>
      </c>
      <c r="E20" s="553"/>
      <c r="F20" s="552">
        <f>SUM(C20*D20)/1000</f>
        <v>385954.400481</v>
      </c>
      <c r="G20" s="542"/>
      <c r="H20" s="554">
        <v>144.1</v>
      </c>
      <c r="I20" s="553">
        <v>2674666.67</v>
      </c>
      <c r="J20" s="553"/>
      <c r="K20" s="542">
        <v>385418</v>
      </c>
      <c r="M20" s="119"/>
      <c r="N20" s="119"/>
    </row>
    <row r="21" spans="1:14" ht="15" customHeight="1">
      <c r="A21" s="539" t="s">
        <v>203</v>
      </c>
      <c r="B21" s="542"/>
      <c r="C21" s="554">
        <v>141.2</v>
      </c>
      <c r="D21" s="553">
        <v>1337333.33</v>
      </c>
      <c r="E21" s="553"/>
      <c r="F21" s="552">
        <f>SUM(C21*D21)/1000</f>
        <v>188831.46619600002</v>
      </c>
      <c r="G21" s="542"/>
      <c r="H21" s="554">
        <v>141.5</v>
      </c>
      <c r="I21" s="553">
        <v>1337333.33</v>
      </c>
      <c r="J21" s="553"/>
      <c r="K21" s="542">
        <f>SUM(H21*I21)/1000</f>
        <v>189232.66619500003</v>
      </c>
      <c r="M21" s="119"/>
      <c r="N21" s="119"/>
    </row>
    <row r="22" spans="1:14" ht="15" customHeight="1">
      <c r="A22" s="540" t="s">
        <v>204</v>
      </c>
      <c r="B22" s="542"/>
      <c r="C22" s="554">
        <v>141.2</v>
      </c>
      <c r="D22" s="542">
        <v>34400</v>
      </c>
      <c r="E22" s="542"/>
      <c r="F22" s="552">
        <f>SUM(C22*D22)/1000</f>
        <v>4857.28</v>
      </c>
      <c r="G22" s="542"/>
      <c r="H22" s="554">
        <v>141.5</v>
      </c>
      <c r="I22" s="542">
        <v>34400</v>
      </c>
      <c r="J22" s="542"/>
      <c r="K22" s="542">
        <f>SUM(H22*I22)/1000</f>
        <v>4867.6</v>
      </c>
      <c r="M22" s="119"/>
      <c r="N22" s="119"/>
    </row>
    <row r="23" spans="1:14" ht="24.75" customHeight="1">
      <c r="A23" s="539" t="s">
        <v>205</v>
      </c>
      <c r="B23" s="542"/>
      <c r="C23" s="542">
        <v>90</v>
      </c>
      <c r="D23" s="542">
        <v>1200000</v>
      </c>
      <c r="E23" s="555"/>
      <c r="F23" s="552">
        <f>SUM(C23*D23)/1000</f>
        <v>108000</v>
      </c>
      <c r="G23" s="542"/>
      <c r="H23" s="542">
        <v>90</v>
      </c>
      <c r="I23" s="542">
        <v>1200000</v>
      </c>
      <c r="J23" s="555"/>
      <c r="K23" s="542">
        <f>SUM(H23*I23)/1000</f>
        <v>108000</v>
      </c>
      <c r="M23" s="119"/>
      <c r="N23" s="119"/>
    </row>
    <row r="24" spans="1:14" ht="24.75" customHeight="1">
      <c r="A24" s="539" t="s">
        <v>206</v>
      </c>
      <c r="B24" s="542"/>
      <c r="C24" s="542">
        <v>90</v>
      </c>
      <c r="D24" s="542">
        <v>600000</v>
      </c>
      <c r="E24" s="555"/>
      <c r="F24" s="552">
        <f>SUM(C24*D24)/1000</f>
        <v>54000</v>
      </c>
      <c r="G24" s="542"/>
      <c r="H24" s="542">
        <v>90</v>
      </c>
      <c r="I24" s="542">
        <v>600000</v>
      </c>
      <c r="J24" s="555"/>
      <c r="K24" s="542">
        <f>SUM(H24*I24)/1000</f>
        <v>54000</v>
      </c>
      <c r="M24" s="119"/>
      <c r="N24" s="119"/>
    </row>
    <row r="25" spans="1:14" ht="13.5" customHeight="1">
      <c r="A25" s="538" t="s">
        <v>886</v>
      </c>
      <c r="B25" s="553">
        <v>1621.67</v>
      </c>
      <c r="C25" s="542"/>
      <c r="D25" s="542">
        <v>56000</v>
      </c>
      <c r="E25" s="555"/>
      <c r="F25" s="552">
        <v>90814</v>
      </c>
      <c r="G25" s="553">
        <v>1616.34</v>
      </c>
      <c r="H25" s="542"/>
      <c r="I25" s="542">
        <v>56000</v>
      </c>
      <c r="J25" s="555"/>
      <c r="K25" s="542">
        <v>90516</v>
      </c>
      <c r="M25" s="119"/>
      <c r="N25" s="119"/>
    </row>
    <row r="26" spans="1:14" ht="13.5" customHeight="1">
      <c r="A26" s="537" t="s">
        <v>890</v>
      </c>
      <c r="B26" s="542"/>
      <c r="C26" s="542"/>
      <c r="D26" s="555"/>
      <c r="E26" s="555"/>
      <c r="F26" s="552"/>
      <c r="G26" s="542"/>
      <c r="H26" s="542"/>
      <c r="I26" s="555"/>
      <c r="J26" s="555"/>
      <c r="K26" s="542"/>
      <c r="M26" s="119"/>
      <c r="N26" s="119"/>
    </row>
    <row r="27" spans="1:14" ht="13.5" customHeight="1">
      <c r="A27" s="538" t="s">
        <v>892</v>
      </c>
      <c r="B27" s="542">
        <v>59859</v>
      </c>
      <c r="C27" s="556">
        <v>11.9718</v>
      </c>
      <c r="D27" s="542">
        <v>3950000</v>
      </c>
      <c r="E27" s="542"/>
      <c r="F27" s="552">
        <f>SUM(C27*D27)/1000</f>
        <v>47288.61</v>
      </c>
      <c r="G27" s="542">
        <v>59859</v>
      </c>
      <c r="H27" s="556">
        <v>11.9718</v>
      </c>
      <c r="I27" s="542">
        <v>3950000</v>
      </c>
      <c r="J27" s="542"/>
      <c r="K27" s="542">
        <v>47289</v>
      </c>
      <c r="M27" s="119"/>
      <c r="N27" s="119"/>
    </row>
    <row r="28" spans="1:14" ht="13.5" customHeight="1">
      <c r="A28" s="538" t="s">
        <v>893</v>
      </c>
      <c r="B28" s="542">
        <v>59859</v>
      </c>
      <c r="C28" s="542"/>
      <c r="D28" s="542">
        <v>300</v>
      </c>
      <c r="E28" s="542"/>
      <c r="F28" s="552">
        <f>SUM(B28*D28)/1000</f>
        <v>17957.7</v>
      </c>
      <c r="G28" s="542">
        <v>59859</v>
      </c>
      <c r="H28" s="542"/>
      <c r="I28" s="542">
        <v>300</v>
      </c>
      <c r="J28" s="542"/>
      <c r="K28" s="542">
        <v>17958</v>
      </c>
      <c r="M28" s="119"/>
      <c r="N28" s="119"/>
    </row>
    <row r="29" spans="1:14" ht="24.75" customHeight="1">
      <c r="A29" s="539" t="s">
        <v>894</v>
      </c>
      <c r="B29" s="542">
        <v>9067</v>
      </c>
      <c r="C29" s="542"/>
      <c r="D29" s="542">
        <v>1200</v>
      </c>
      <c r="E29" s="542"/>
      <c r="F29" s="552">
        <f>SUM(B29*D29)/1000</f>
        <v>10880.4</v>
      </c>
      <c r="G29" s="542">
        <v>9067</v>
      </c>
      <c r="H29" s="542"/>
      <c r="I29" s="542">
        <v>1200</v>
      </c>
      <c r="J29" s="542"/>
      <c r="K29" s="542">
        <v>10880</v>
      </c>
      <c r="M29" s="119"/>
      <c r="N29" s="119"/>
    </row>
    <row r="30" spans="1:14" ht="13.5" customHeight="1">
      <c r="A30" s="538" t="s">
        <v>895</v>
      </c>
      <c r="B30" s="542"/>
      <c r="C30" s="542"/>
      <c r="D30" s="542"/>
      <c r="E30" s="542"/>
      <c r="F30" s="552"/>
      <c r="G30" s="542"/>
      <c r="H30" s="542"/>
      <c r="I30" s="542"/>
      <c r="J30" s="542"/>
      <c r="K30" s="542"/>
      <c r="M30" s="119"/>
      <c r="N30" s="119"/>
    </row>
    <row r="31" spans="1:14" ht="13.5" customHeight="1">
      <c r="A31" s="538" t="s">
        <v>896</v>
      </c>
      <c r="B31" s="542"/>
      <c r="C31" s="542">
        <v>1</v>
      </c>
      <c r="D31" s="542">
        <v>2099400</v>
      </c>
      <c r="E31" s="542"/>
      <c r="F31" s="552">
        <f aca="true" t="shared" si="0" ref="F31:F36">SUM(C31*D31)/1000</f>
        <v>2099.4</v>
      </c>
      <c r="G31" s="542"/>
      <c r="H31" s="542">
        <v>1</v>
      </c>
      <c r="I31" s="542">
        <v>2099400</v>
      </c>
      <c r="J31" s="542"/>
      <c r="K31" s="542">
        <v>2099</v>
      </c>
      <c r="M31" s="119"/>
      <c r="N31" s="119"/>
    </row>
    <row r="32" spans="1:14" ht="13.5" customHeight="1">
      <c r="A32" s="538" t="s">
        <v>897</v>
      </c>
      <c r="B32" s="541"/>
      <c r="C32" s="542">
        <v>450</v>
      </c>
      <c r="D32" s="542">
        <v>60896</v>
      </c>
      <c r="E32" s="542"/>
      <c r="F32" s="552">
        <f t="shared" si="0"/>
        <v>27403.2</v>
      </c>
      <c r="G32" s="541"/>
      <c r="H32" s="542">
        <v>390</v>
      </c>
      <c r="I32" s="542">
        <v>60896</v>
      </c>
      <c r="J32" s="542"/>
      <c r="K32" s="542">
        <v>23750</v>
      </c>
      <c r="M32" s="119"/>
      <c r="N32" s="119"/>
    </row>
    <row r="33" spans="1:14" ht="13.5" customHeight="1">
      <c r="A33" s="538" t="s">
        <v>898</v>
      </c>
      <c r="B33" s="541"/>
      <c r="C33" s="542">
        <v>65</v>
      </c>
      <c r="D33" s="542">
        <v>188500</v>
      </c>
      <c r="E33" s="542"/>
      <c r="F33" s="552">
        <f t="shared" si="0"/>
        <v>12252.5</v>
      </c>
      <c r="G33" s="541"/>
      <c r="H33" s="542">
        <v>65</v>
      </c>
      <c r="I33" s="542">
        <v>188500</v>
      </c>
      <c r="J33" s="542"/>
      <c r="K33" s="542">
        <v>12253</v>
      </c>
      <c r="M33" s="119"/>
      <c r="N33" s="119"/>
    </row>
    <row r="34" spans="1:14" ht="13.5" customHeight="1">
      <c r="A34" s="539" t="s">
        <v>900</v>
      </c>
      <c r="B34" s="557"/>
      <c r="C34" s="542">
        <v>83</v>
      </c>
      <c r="D34" s="542">
        <v>163500</v>
      </c>
      <c r="E34" s="542"/>
      <c r="F34" s="552">
        <f t="shared" si="0"/>
        <v>13570.5</v>
      </c>
      <c r="G34" s="557"/>
      <c r="H34" s="542">
        <v>80</v>
      </c>
      <c r="I34" s="542">
        <v>163500</v>
      </c>
      <c r="J34" s="542"/>
      <c r="K34" s="542">
        <v>13080</v>
      </c>
      <c r="M34" s="119"/>
      <c r="N34" s="119"/>
    </row>
    <row r="35" spans="1:14" ht="13.5" customHeight="1">
      <c r="A35" s="539" t="s">
        <v>926</v>
      </c>
      <c r="B35" s="557"/>
      <c r="C35" s="542">
        <v>6</v>
      </c>
      <c r="D35" s="542">
        <v>550000</v>
      </c>
      <c r="E35" s="542"/>
      <c r="F35" s="552">
        <f t="shared" si="0"/>
        <v>3300</v>
      </c>
      <c r="G35" s="557"/>
      <c r="H35" s="542">
        <v>6</v>
      </c>
      <c r="I35" s="542">
        <v>550000</v>
      </c>
      <c r="J35" s="542"/>
      <c r="K35" s="542">
        <v>3300</v>
      </c>
      <c r="M35" s="119"/>
      <c r="N35" s="119"/>
    </row>
    <row r="36" spans="1:14" ht="13.5" customHeight="1">
      <c r="A36" s="539" t="s">
        <v>930</v>
      </c>
      <c r="B36" s="557"/>
      <c r="C36" s="542">
        <v>21</v>
      </c>
      <c r="D36" s="542">
        <v>372000</v>
      </c>
      <c r="E36" s="542"/>
      <c r="F36" s="552">
        <f t="shared" si="0"/>
        <v>7812</v>
      </c>
      <c r="G36" s="557"/>
      <c r="H36" s="542">
        <v>21</v>
      </c>
      <c r="I36" s="542">
        <v>372000</v>
      </c>
      <c r="J36" s="542"/>
      <c r="K36" s="542">
        <v>7812</v>
      </c>
      <c r="M36" s="119"/>
      <c r="N36" s="119"/>
    </row>
    <row r="37" spans="1:14" ht="15" customHeight="1">
      <c r="A37" s="539" t="s">
        <v>931</v>
      </c>
      <c r="B37" s="557"/>
      <c r="C37" s="542"/>
      <c r="D37" s="542"/>
      <c r="E37" s="542"/>
      <c r="F37" s="552"/>
      <c r="G37" s="557"/>
      <c r="H37" s="542"/>
      <c r="I37" s="542"/>
      <c r="J37" s="542"/>
      <c r="K37" s="542"/>
      <c r="M37" s="119"/>
      <c r="N37" s="119"/>
    </row>
    <row r="38" spans="1:14" ht="13.5" customHeight="1">
      <c r="A38" s="538" t="s">
        <v>932</v>
      </c>
      <c r="B38" s="538"/>
      <c r="C38" s="538">
        <v>258</v>
      </c>
      <c r="D38" s="541">
        <v>494100</v>
      </c>
      <c r="E38" s="541"/>
      <c r="F38" s="552">
        <f>SUM(C38*D38)/1000</f>
        <v>127477.8</v>
      </c>
      <c r="G38" s="538"/>
      <c r="H38" s="538">
        <v>258</v>
      </c>
      <c r="I38" s="541">
        <v>494100</v>
      </c>
      <c r="J38" s="541"/>
      <c r="K38" s="542">
        <v>127478</v>
      </c>
      <c r="M38" s="119"/>
      <c r="N38" s="119"/>
    </row>
    <row r="39" spans="1:14" ht="13.5" customHeight="1">
      <c r="A39" s="538" t="s">
        <v>933</v>
      </c>
      <c r="B39" s="538"/>
      <c r="C39" s="545">
        <v>4</v>
      </c>
      <c r="D39" s="542">
        <v>741150</v>
      </c>
      <c r="E39" s="542"/>
      <c r="F39" s="552">
        <f>SUM(C39*D39)/1000</f>
        <v>2964.6</v>
      </c>
      <c r="G39" s="538"/>
      <c r="H39" s="545">
        <v>4</v>
      </c>
      <c r="I39" s="542">
        <v>741150</v>
      </c>
      <c r="J39" s="542"/>
      <c r="K39" s="542">
        <v>2965</v>
      </c>
      <c r="M39" s="119"/>
      <c r="N39" s="119"/>
    </row>
    <row r="40" spans="1:11" ht="13.5" customHeight="1">
      <c r="A40" s="538" t="s">
        <v>207</v>
      </c>
      <c r="B40" s="558"/>
      <c r="C40" s="542">
        <v>20</v>
      </c>
      <c r="D40" s="542">
        <v>518805</v>
      </c>
      <c r="E40" s="542"/>
      <c r="F40" s="552">
        <f>SUM(C40*D40)/1000</f>
        <v>10376.1</v>
      </c>
      <c r="G40" s="558"/>
      <c r="H40" s="542"/>
      <c r="I40" s="542"/>
      <c r="J40" s="542"/>
      <c r="K40" s="542">
        <f>SUM(H40*I40)/1000</f>
        <v>0</v>
      </c>
    </row>
    <row r="41" spans="1:11" ht="13.5" customHeight="1">
      <c r="A41" s="538" t="s">
        <v>934</v>
      </c>
      <c r="B41" s="558"/>
      <c r="C41" s="542">
        <v>1</v>
      </c>
      <c r="D41" s="542">
        <v>635650</v>
      </c>
      <c r="E41" s="542"/>
      <c r="F41" s="552">
        <f>SUM(C41*D41)/1000</f>
        <v>635.65</v>
      </c>
      <c r="G41" s="558"/>
      <c r="H41" s="542">
        <v>1</v>
      </c>
      <c r="I41" s="542">
        <v>635650</v>
      </c>
      <c r="J41" s="542"/>
      <c r="K41" s="542">
        <v>636</v>
      </c>
    </row>
    <row r="42" spans="1:11" ht="24.75" customHeight="1">
      <c r="A42" s="539" t="s">
        <v>935</v>
      </c>
      <c r="B42" s="541"/>
      <c r="C42" s="542"/>
      <c r="D42" s="542"/>
      <c r="E42" s="542"/>
      <c r="F42" s="552"/>
      <c r="G42" s="541"/>
      <c r="H42" s="542"/>
      <c r="I42" s="542"/>
      <c r="J42" s="542"/>
      <c r="K42" s="542"/>
    </row>
    <row r="43" spans="1:11" ht="15" customHeight="1">
      <c r="A43" s="539" t="s">
        <v>936</v>
      </c>
      <c r="B43" s="541"/>
      <c r="C43" s="542">
        <v>37</v>
      </c>
      <c r="D43" s="542">
        <v>2606040</v>
      </c>
      <c r="E43" s="542"/>
      <c r="F43" s="552">
        <f>SUM(C43*D43)/1000</f>
        <v>96423.48</v>
      </c>
      <c r="G43" s="541"/>
      <c r="H43" s="542">
        <v>37</v>
      </c>
      <c r="I43" s="542">
        <v>2606040</v>
      </c>
      <c r="J43" s="542"/>
      <c r="K43" s="542">
        <v>96423</v>
      </c>
    </row>
    <row r="44" spans="1:11" ht="13.5" customHeight="1">
      <c r="A44" s="538" t="s">
        <v>937</v>
      </c>
      <c r="B44" s="541"/>
      <c r="C44" s="542"/>
      <c r="D44" s="542"/>
      <c r="E44" s="542"/>
      <c r="F44" s="552">
        <v>18351</v>
      </c>
      <c r="G44" s="541"/>
      <c r="H44" s="542"/>
      <c r="I44" s="542"/>
      <c r="J44" s="542"/>
      <c r="K44" s="542">
        <v>10301</v>
      </c>
    </row>
    <row r="45" spans="1:11" ht="13.5" customHeight="1">
      <c r="A45" s="559" t="s">
        <v>208</v>
      </c>
      <c r="B45" s="542"/>
      <c r="C45" s="542"/>
      <c r="D45" s="555"/>
      <c r="E45" s="555"/>
      <c r="F45" s="552"/>
      <c r="G45" s="542"/>
      <c r="H45" s="542"/>
      <c r="I45" s="555"/>
      <c r="J45" s="555"/>
      <c r="K45" s="542"/>
    </row>
    <row r="46" spans="1:11" ht="13.5" customHeight="1">
      <c r="A46" s="543" t="s">
        <v>209</v>
      </c>
      <c r="B46" s="553">
        <v>113.67</v>
      </c>
      <c r="C46" s="542"/>
      <c r="D46" s="542">
        <v>1632000</v>
      </c>
      <c r="E46" s="555"/>
      <c r="F46" s="552">
        <v>185509</v>
      </c>
      <c r="G46" s="553">
        <v>113.27</v>
      </c>
      <c r="H46" s="542"/>
      <c r="I46" s="542">
        <v>1632000</v>
      </c>
      <c r="J46" s="555"/>
      <c r="K46" s="542">
        <v>184856</v>
      </c>
    </row>
    <row r="47" spans="1:11" ht="13.5" customHeight="1">
      <c r="A47" s="543" t="s">
        <v>210</v>
      </c>
      <c r="B47" s="542"/>
      <c r="C47" s="542"/>
      <c r="D47" s="555"/>
      <c r="E47" s="555"/>
      <c r="F47" s="552">
        <v>44543</v>
      </c>
      <c r="G47" s="542"/>
      <c r="H47" s="542"/>
      <c r="I47" s="555"/>
      <c r="J47" s="555"/>
      <c r="K47" s="542">
        <v>37248</v>
      </c>
    </row>
    <row r="48" spans="1:11" ht="13.5" customHeight="1">
      <c r="A48" s="543" t="s">
        <v>959</v>
      </c>
      <c r="B48" s="542"/>
      <c r="C48" s="542"/>
      <c r="D48" s="555"/>
      <c r="E48" s="555"/>
      <c r="F48" s="552"/>
      <c r="G48" s="542"/>
      <c r="H48" s="542"/>
      <c r="I48" s="555"/>
      <c r="J48" s="555"/>
      <c r="K48" s="542">
        <v>244209</v>
      </c>
    </row>
    <row r="49" spans="1:11" ht="13.5" customHeight="1">
      <c r="A49" s="543" t="s">
        <v>960</v>
      </c>
      <c r="B49" s="542"/>
      <c r="C49" s="542"/>
      <c r="D49" s="555"/>
      <c r="E49" s="555"/>
      <c r="F49" s="552"/>
      <c r="G49" s="542"/>
      <c r="H49" s="542"/>
      <c r="I49" s="555"/>
      <c r="J49" s="555"/>
      <c r="K49" s="542">
        <v>130</v>
      </c>
    </row>
    <row r="50" spans="1:11" ht="13.5" customHeight="1">
      <c r="A50" s="544" t="s">
        <v>938</v>
      </c>
      <c r="B50" s="541"/>
      <c r="C50" s="542"/>
      <c r="D50" s="560"/>
      <c r="E50" s="560"/>
      <c r="F50" s="552"/>
      <c r="G50" s="541"/>
      <c r="H50" s="542"/>
      <c r="I50" s="560"/>
      <c r="J50" s="560"/>
      <c r="K50" s="542"/>
    </row>
    <row r="51" spans="1:11" ht="13.5" customHeight="1">
      <c r="A51" s="539" t="s">
        <v>939</v>
      </c>
      <c r="B51" s="541"/>
      <c r="C51" s="542"/>
      <c r="D51" s="560"/>
      <c r="E51" s="560"/>
      <c r="F51" s="552">
        <v>101100</v>
      </c>
      <c r="G51" s="541"/>
      <c r="H51" s="542"/>
      <c r="I51" s="560"/>
      <c r="J51" s="560"/>
      <c r="K51" s="542">
        <v>101100</v>
      </c>
    </row>
    <row r="52" spans="1:11" ht="24.75" customHeight="1">
      <c r="A52" s="539" t="s">
        <v>940</v>
      </c>
      <c r="B52" s="541"/>
      <c r="C52" s="542"/>
      <c r="D52" s="560"/>
      <c r="E52" s="560"/>
      <c r="F52" s="552">
        <v>112600</v>
      </c>
      <c r="G52" s="541"/>
      <c r="H52" s="542"/>
      <c r="I52" s="560"/>
      <c r="J52" s="560"/>
      <c r="K52" s="542">
        <v>112600</v>
      </c>
    </row>
    <row r="53" spans="1:11" ht="13.5" customHeight="1">
      <c r="A53" s="539" t="s">
        <v>941</v>
      </c>
      <c r="B53" s="561">
        <v>59097</v>
      </c>
      <c r="C53" s="542"/>
      <c r="D53" s="560">
        <v>400</v>
      </c>
      <c r="E53" s="560"/>
      <c r="F53" s="552">
        <f>SUM(B53*D53)/1000</f>
        <v>23638.8</v>
      </c>
      <c r="G53" s="561">
        <v>59097</v>
      </c>
      <c r="H53" s="542"/>
      <c r="I53" s="560">
        <v>400</v>
      </c>
      <c r="J53" s="560"/>
      <c r="K53" s="542">
        <f>SUM(G53*I53)/1000</f>
        <v>23638.8</v>
      </c>
    </row>
    <row r="54" spans="1:11" ht="24.75" customHeight="1">
      <c r="A54" s="539" t="s">
        <v>942</v>
      </c>
      <c r="B54" s="541"/>
      <c r="C54" s="542"/>
      <c r="D54" s="542"/>
      <c r="E54" s="542"/>
      <c r="F54" s="552">
        <v>167444</v>
      </c>
      <c r="G54" s="541"/>
      <c r="H54" s="542"/>
      <c r="I54" s="542"/>
      <c r="J54" s="542"/>
      <c r="K54" s="542">
        <v>167456</v>
      </c>
    </row>
    <row r="55" spans="1:11" ht="15" customHeight="1">
      <c r="A55" s="539" t="s">
        <v>943</v>
      </c>
      <c r="B55" s="541"/>
      <c r="C55" s="542"/>
      <c r="D55" s="542"/>
      <c r="E55" s="542"/>
      <c r="F55" s="552"/>
      <c r="G55" s="541"/>
      <c r="H55" s="542"/>
      <c r="I55" s="542"/>
      <c r="J55" s="542"/>
      <c r="K55" s="542"/>
    </row>
    <row r="56" spans="1:11" ht="15" customHeight="1">
      <c r="A56" s="539" t="s">
        <v>948</v>
      </c>
      <c r="B56" s="541"/>
      <c r="C56" s="542"/>
      <c r="D56" s="542"/>
      <c r="E56" s="542"/>
      <c r="F56" s="552"/>
      <c r="G56" s="541"/>
      <c r="H56" s="542"/>
      <c r="I56" s="542"/>
      <c r="J56" s="542"/>
      <c r="K56" s="542"/>
    </row>
    <row r="57" spans="1:11" ht="15" customHeight="1">
      <c r="A57" s="545" t="s">
        <v>211</v>
      </c>
      <c r="B57" s="541"/>
      <c r="C57" s="542"/>
      <c r="D57" s="542"/>
      <c r="E57" s="542"/>
      <c r="F57" s="552">
        <v>246600</v>
      </c>
      <c r="G57" s="541"/>
      <c r="H57" s="542"/>
      <c r="I57" s="542"/>
      <c r="J57" s="542"/>
      <c r="K57" s="542">
        <v>246600</v>
      </c>
    </row>
    <row r="58" spans="1:11" ht="15" customHeight="1">
      <c r="A58" s="546" t="s">
        <v>949</v>
      </c>
      <c r="B58" s="541"/>
      <c r="C58" s="542"/>
      <c r="D58" s="542"/>
      <c r="E58" s="542"/>
      <c r="F58" s="552"/>
      <c r="G58" s="541"/>
      <c r="H58" s="542"/>
      <c r="I58" s="542"/>
      <c r="J58" s="542"/>
      <c r="K58" s="542"/>
    </row>
    <row r="59" spans="1:11" ht="15" customHeight="1">
      <c r="A59" s="539" t="s">
        <v>1111</v>
      </c>
      <c r="B59" s="541"/>
      <c r="C59" s="542"/>
      <c r="D59" s="542"/>
      <c r="E59" s="542"/>
      <c r="F59" s="552">
        <v>8699</v>
      </c>
      <c r="G59" s="541"/>
      <c r="H59" s="542"/>
      <c r="I59" s="542"/>
      <c r="J59" s="542"/>
      <c r="K59" s="542">
        <v>8698</v>
      </c>
    </row>
    <row r="60" spans="1:11" ht="15" customHeight="1">
      <c r="A60" s="539" t="s">
        <v>1112</v>
      </c>
      <c r="B60" s="541"/>
      <c r="C60" s="541">
        <v>6955723</v>
      </c>
      <c r="D60" s="554">
        <v>1.5</v>
      </c>
      <c r="E60" s="554"/>
      <c r="F60" s="552">
        <f>SUM(C60*D60)/1000</f>
        <v>10433.5845</v>
      </c>
      <c r="G60" s="541"/>
      <c r="H60" s="541">
        <v>6955723</v>
      </c>
      <c r="I60" s="554">
        <v>1.5</v>
      </c>
      <c r="J60" s="554"/>
      <c r="K60" s="542">
        <f>SUM(H60*I60)/1000</f>
        <v>10433.5845</v>
      </c>
    </row>
    <row r="61" spans="1:11" ht="15" customHeight="1">
      <c r="A61" s="539" t="s">
        <v>1114</v>
      </c>
      <c r="B61" s="541"/>
      <c r="C61" s="541"/>
      <c r="D61" s="554"/>
      <c r="E61" s="554"/>
      <c r="F61" s="552"/>
      <c r="G61" s="541"/>
      <c r="H61" s="541"/>
      <c r="I61" s="554"/>
      <c r="J61" s="554"/>
      <c r="K61" s="542">
        <v>32091</v>
      </c>
    </row>
    <row r="62" spans="1:11" ht="15" customHeight="1">
      <c r="A62" s="539" t="s">
        <v>1116</v>
      </c>
      <c r="B62" s="541"/>
      <c r="C62" s="541"/>
      <c r="D62" s="554"/>
      <c r="E62" s="554"/>
      <c r="F62" s="552"/>
      <c r="G62" s="541"/>
      <c r="H62" s="541"/>
      <c r="I62" s="554"/>
      <c r="J62" s="554"/>
      <c r="K62" s="542">
        <v>8084</v>
      </c>
    </row>
    <row r="63" spans="1:11" ht="15" customHeight="1">
      <c r="A63" s="539" t="s">
        <v>1115</v>
      </c>
      <c r="B63" s="541"/>
      <c r="C63" s="541"/>
      <c r="D63" s="554"/>
      <c r="E63" s="554"/>
      <c r="F63" s="552"/>
      <c r="G63" s="541"/>
      <c r="H63" s="541"/>
      <c r="I63" s="554"/>
      <c r="J63" s="554"/>
      <c r="K63" s="542">
        <v>24</v>
      </c>
    </row>
    <row r="64" spans="1:11" ht="15" customHeight="1">
      <c r="A64" s="539" t="s">
        <v>1113</v>
      </c>
      <c r="B64" s="541"/>
      <c r="C64" s="541"/>
      <c r="D64" s="554"/>
      <c r="E64" s="554"/>
      <c r="F64" s="552"/>
      <c r="G64" s="541"/>
      <c r="H64" s="541"/>
      <c r="I64" s="554"/>
      <c r="J64" s="554"/>
      <c r="K64" s="542">
        <v>117161</v>
      </c>
    </row>
    <row r="65" spans="1:11" ht="15" customHeight="1">
      <c r="A65" s="539" t="s">
        <v>1117</v>
      </c>
      <c r="B65" s="541"/>
      <c r="C65" s="541"/>
      <c r="D65" s="554"/>
      <c r="E65" s="554"/>
      <c r="F65" s="552"/>
      <c r="G65" s="541"/>
      <c r="H65" s="541"/>
      <c r="I65" s="554"/>
      <c r="J65" s="554"/>
      <c r="K65" s="542">
        <v>6000</v>
      </c>
    </row>
    <row r="66" spans="1:11" ht="15" customHeight="1">
      <c r="A66" s="539" t="s">
        <v>1038</v>
      </c>
      <c r="B66" s="541"/>
      <c r="C66" s="541"/>
      <c r="D66" s="554"/>
      <c r="E66" s="554"/>
      <c r="F66" s="552"/>
      <c r="G66" s="541"/>
      <c r="H66" s="541"/>
      <c r="I66" s="554"/>
      <c r="J66" s="554"/>
      <c r="K66" s="542">
        <v>2528</v>
      </c>
    </row>
    <row r="67" spans="1:11" ht="15" customHeight="1">
      <c r="A67" s="539" t="s">
        <v>1037</v>
      </c>
      <c r="B67" s="541"/>
      <c r="C67" s="541"/>
      <c r="D67" s="554"/>
      <c r="E67" s="554"/>
      <c r="F67" s="552"/>
      <c r="G67" s="541"/>
      <c r="H67" s="541"/>
      <c r="I67" s="554"/>
      <c r="J67" s="554"/>
      <c r="K67" s="542">
        <v>63</v>
      </c>
    </row>
    <row r="68" spans="1:11" ht="15" customHeight="1">
      <c r="A68" s="539" t="s">
        <v>958</v>
      </c>
      <c r="B68" s="541"/>
      <c r="C68" s="541"/>
      <c r="D68" s="554"/>
      <c r="E68" s="554"/>
      <c r="F68" s="552"/>
      <c r="G68" s="541"/>
      <c r="H68" s="541"/>
      <c r="I68" s="554"/>
      <c r="J68" s="554"/>
      <c r="K68" s="542">
        <v>4349</v>
      </c>
    </row>
    <row r="69" spans="1:11" ht="15" customHeight="1">
      <c r="A69" s="539" t="s">
        <v>945</v>
      </c>
      <c r="B69" s="541"/>
      <c r="C69" s="541"/>
      <c r="D69" s="554"/>
      <c r="E69" s="554"/>
      <c r="F69" s="552"/>
      <c r="G69" s="541"/>
      <c r="H69" s="541"/>
      <c r="I69" s="554"/>
      <c r="J69" s="554"/>
      <c r="K69" s="542">
        <v>2045</v>
      </c>
    </row>
    <row r="70" spans="1:11" ht="15" customHeight="1">
      <c r="A70" s="539" t="s">
        <v>382</v>
      </c>
      <c r="B70" s="541"/>
      <c r="C70" s="541"/>
      <c r="D70" s="554"/>
      <c r="E70" s="554"/>
      <c r="F70" s="552"/>
      <c r="G70" s="541"/>
      <c r="H70" s="541"/>
      <c r="I70" s="554"/>
      <c r="J70" s="554"/>
      <c r="K70" s="542">
        <v>32053</v>
      </c>
    </row>
    <row r="71" spans="1:11" ht="15" customHeight="1">
      <c r="A71" s="544" t="s">
        <v>1108</v>
      </c>
      <c r="B71" s="541"/>
      <c r="C71" s="541"/>
      <c r="D71" s="554"/>
      <c r="E71" s="554"/>
      <c r="F71" s="552"/>
      <c r="G71" s="541"/>
      <c r="H71" s="541"/>
      <c r="I71" s="554"/>
      <c r="J71" s="554"/>
      <c r="K71" s="542"/>
    </row>
    <row r="72" spans="1:11" ht="15" customHeight="1">
      <c r="A72" s="539" t="s">
        <v>1109</v>
      </c>
      <c r="B72" s="541"/>
      <c r="C72" s="541"/>
      <c r="D72" s="554"/>
      <c r="E72" s="554"/>
      <c r="F72" s="552"/>
      <c r="G72" s="541"/>
      <c r="H72" s="541"/>
      <c r="I72" s="554"/>
      <c r="J72" s="554"/>
      <c r="K72" s="542">
        <v>80422</v>
      </c>
    </row>
    <row r="73" spans="1:11" ht="15" customHeight="1">
      <c r="A73" s="539" t="s">
        <v>1110</v>
      </c>
      <c r="B73" s="541"/>
      <c r="C73" s="541"/>
      <c r="D73" s="554"/>
      <c r="E73" s="554"/>
      <c r="F73" s="552"/>
      <c r="G73" s="541"/>
      <c r="H73" s="541"/>
      <c r="I73" s="554"/>
      <c r="J73" s="554"/>
      <c r="K73" s="542">
        <v>1243940</v>
      </c>
    </row>
    <row r="74" spans="1:11" ht="15" customHeight="1">
      <c r="A74" s="543" t="s">
        <v>1036</v>
      </c>
      <c r="B74" s="542"/>
      <c r="C74" s="542"/>
      <c r="D74" s="555"/>
      <c r="E74" s="555"/>
      <c r="F74" s="552"/>
      <c r="G74" s="542"/>
      <c r="H74" s="542"/>
      <c r="I74" s="555"/>
      <c r="J74" s="555"/>
      <c r="K74" s="542">
        <v>37294</v>
      </c>
    </row>
    <row r="75" spans="1:11" ht="15" customHeight="1">
      <c r="A75" s="543" t="s">
        <v>337</v>
      </c>
      <c r="B75" s="542"/>
      <c r="C75" s="542"/>
      <c r="D75" s="555"/>
      <c r="E75" s="555"/>
      <c r="F75" s="552"/>
      <c r="G75" s="542"/>
      <c r="H75" s="542"/>
      <c r="I75" s="555"/>
      <c r="J75" s="555"/>
      <c r="K75" s="542">
        <v>31964</v>
      </c>
    </row>
    <row r="76" spans="1:11" ht="15" customHeight="1">
      <c r="A76" s="543" t="s">
        <v>546</v>
      </c>
      <c r="B76" s="542"/>
      <c r="C76" s="542"/>
      <c r="D76" s="555"/>
      <c r="E76" s="555"/>
      <c r="F76" s="552"/>
      <c r="G76" s="542"/>
      <c r="H76" s="542"/>
      <c r="I76" s="555"/>
      <c r="J76" s="555"/>
      <c r="K76" s="542">
        <v>800000</v>
      </c>
    </row>
    <row r="77" spans="1:14" s="121" customFormat="1" ht="13.5" customHeight="1">
      <c r="A77" s="547" t="s">
        <v>950</v>
      </c>
      <c r="B77" s="548"/>
      <c r="C77" s="548"/>
      <c r="D77" s="548"/>
      <c r="E77" s="548"/>
      <c r="F77" s="550">
        <f>SUM(F4:F60)</f>
        <v>2399699.4711769996</v>
      </c>
      <c r="G77" s="548"/>
      <c r="H77" s="548"/>
      <c r="I77" s="548"/>
      <c r="J77" s="548"/>
      <c r="K77" s="548">
        <f>SUM(K4:K76)</f>
        <v>5011126.650695</v>
      </c>
      <c r="L77" s="120"/>
      <c r="M77" s="120"/>
      <c r="N77" s="120"/>
    </row>
    <row r="78" spans="1:6" ht="12.75" customHeight="1">
      <c r="A78" s="122"/>
      <c r="B78" s="122"/>
      <c r="C78" s="122"/>
      <c r="D78" s="122"/>
      <c r="E78" s="122"/>
      <c r="F78" s="128"/>
    </row>
    <row r="79" spans="1:6" ht="18" customHeight="1">
      <c r="A79" s="123"/>
      <c r="B79" s="124"/>
      <c r="C79" s="124"/>
      <c r="D79" s="124"/>
      <c r="E79" s="124"/>
      <c r="F79" s="129"/>
    </row>
    <row r="80" ht="12" hidden="1"/>
    <row r="81" ht="12" hidden="1"/>
  </sheetData>
  <sheetProtection selectLockedCells="1" selectUnlockedCells="1"/>
  <mergeCells count="2">
    <mergeCell ref="B1:F1"/>
    <mergeCell ref="G1:K1"/>
  </mergeCells>
  <printOptions horizontalCentered="1" verticalCentered="1"/>
  <pageMargins left="0.07874015748031496" right="0.07874015748031496" top="0.7086614173228347" bottom="0.1968503937007874" header="0.3937007874015748" footer="0.1968503937007874"/>
  <pageSetup horizontalDpi="300" verticalDpi="300" orientation="landscape" paperSize="9" scale="80" r:id="rId1"/>
  <headerFooter alignWithMargins="0">
    <oddHeader>&amp;C&amp;"Times New Roman,Félkövér dőlt"ÁLLAMI HOZZÁJÁRULÁSOK  ÉS SZJA BEVÉTEL 2014. ÉVBEN&amp;R&amp;"Times New Roman,Dőlt"3. melléklet
</oddHeader>
  </headerFooter>
  <rowBreaks count="1" manualBreakCount="1">
    <brk id="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9.375" style="47" customWidth="1"/>
    <col min="2" max="2" width="50.50390625" style="47" customWidth="1"/>
    <col min="3" max="3" width="16.375" style="47" customWidth="1"/>
    <col min="4" max="4" width="14.50390625" style="47" customWidth="1"/>
    <col min="5" max="5" width="15.125" style="47" customWidth="1"/>
    <col min="6" max="16384" width="9.375" style="47" customWidth="1"/>
  </cols>
  <sheetData>
    <row r="1" spans="1:5" s="130" customFormat="1" ht="49.5" customHeight="1">
      <c r="A1" s="664" t="s">
        <v>467</v>
      </c>
      <c r="B1" s="664" t="s">
        <v>239</v>
      </c>
      <c r="C1" s="664" t="s">
        <v>640</v>
      </c>
      <c r="D1" s="531" t="s">
        <v>951</v>
      </c>
      <c r="E1" s="531" t="s">
        <v>641</v>
      </c>
    </row>
    <row r="2" spans="1:5" s="130" customFormat="1" ht="19.5" customHeight="1">
      <c r="A2" s="529"/>
      <c r="B2" s="530" t="s">
        <v>280</v>
      </c>
      <c r="C2" s="529"/>
      <c r="D2" s="663"/>
      <c r="E2" s="663"/>
    </row>
    <row r="3" spans="1:5" s="135" customFormat="1" ht="12.75">
      <c r="A3" s="132" t="s">
        <v>526</v>
      </c>
      <c r="B3" s="133" t="s">
        <v>952</v>
      </c>
      <c r="C3" s="134">
        <v>2951765</v>
      </c>
      <c r="D3" s="25">
        <v>225403</v>
      </c>
      <c r="E3" s="25">
        <f>SUM(C3:D3)</f>
        <v>3177168</v>
      </c>
    </row>
    <row r="4" spans="1:5" s="69" customFormat="1" ht="12.75">
      <c r="A4" s="132" t="s">
        <v>527</v>
      </c>
      <c r="B4" s="136" t="s">
        <v>953</v>
      </c>
      <c r="C4" s="137">
        <v>809399</v>
      </c>
      <c r="D4" s="23">
        <v>53136</v>
      </c>
      <c r="E4" s="25">
        <f>SUM(C4:D4)</f>
        <v>862535</v>
      </c>
    </row>
    <row r="5" spans="1:5" s="69" customFormat="1" ht="12.75">
      <c r="A5" s="132" t="s">
        <v>528</v>
      </c>
      <c r="B5" s="138" t="s">
        <v>954</v>
      </c>
      <c r="C5" s="137">
        <v>4417840</v>
      </c>
      <c r="D5" s="23">
        <v>654113</v>
      </c>
      <c r="E5" s="25">
        <f>SUM(C5:D5)</f>
        <v>5071953</v>
      </c>
    </row>
    <row r="6" spans="1:5" s="69" customFormat="1" ht="12.75">
      <c r="A6" s="132" t="s">
        <v>529</v>
      </c>
      <c r="B6" s="138" t="s">
        <v>282</v>
      </c>
      <c r="C6" s="139">
        <v>143280</v>
      </c>
      <c r="D6" s="23">
        <v>270326</v>
      </c>
      <c r="E6" s="25">
        <f>SUM(C6:D6)</f>
        <v>413606</v>
      </c>
    </row>
    <row r="7" spans="1:5" s="69" customFormat="1" ht="12.75">
      <c r="A7" s="132" t="s">
        <v>530</v>
      </c>
      <c r="B7" s="138" t="s">
        <v>955</v>
      </c>
      <c r="C7" s="137">
        <v>1583144</v>
      </c>
      <c r="D7" s="23">
        <v>1002971</v>
      </c>
      <c r="E7" s="25">
        <f>SUM(C7:D7)</f>
        <v>2586115</v>
      </c>
    </row>
    <row r="8" spans="1:5" s="69" customFormat="1" ht="13.5">
      <c r="A8" s="132"/>
      <c r="B8" s="131" t="s">
        <v>961</v>
      </c>
      <c r="C8" s="140">
        <f>SUM(C3:C7)</f>
        <v>9905428</v>
      </c>
      <c r="D8" s="140">
        <f>SUM(D3:D7)</f>
        <v>2205949</v>
      </c>
      <c r="E8" s="140">
        <f>SUM(E3:E7)</f>
        <v>12111377</v>
      </c>
    </row>
    <row r="9" spans="1:5" s="69" customFormat="1" ht="12.75">
      <c r="A9" s="142" t="s">
        <v>531</v>
      </c>
      <c r="B9" s="137" t="s">
        <v>962</v>
      </c>
      <c r="C9" s="137">
        <v>6800899</v>
      </c>
      <c r="D9" s="23">
        <v>-262472</v>
      </c>
      <c r="E9" s="25">
        <f>SUM(C9:D9)</f>
        <v>6538427</v>
      </c>
    </row>
    <row r="10" spans="1:5" s="69" customFormat="1" ht="12.75">
      <c r="A10" s="142" t="s">
        <v>532</v>
      </c>
      <c r="B10" s="137" t="s">
        <v>963</v>
      </c>
      <c r="C10" s="137">
        <v>701881</v>
      </c>
      <c r="D10" s="23">
        <v>657297</v>
      </c>
      <c r="E10" s="25">
        <f>SUM(C10:D10)</f>
        <v>1359178</v>
      </c>
    </row>
    <row r="11" spans="1:5" s="69" customFormat="1" ht="12.75">
      <c r="A11" s="142" t="s">
        <v>533</v>
      </c>
      <c r="B11" s="137" t="s">
        <v>283</v>
      </c>
      <c r="C11" s="139">
        <v>516142</v>
      </c>
      <c r="D11" s="23">
        <v>500841</v>
      </c>
      <c r="E11" s="25">
        <f>SUM(C11:D11)</f>
        <v>1016983</v>
      </c>
    </row>
    <row r="12" spans="1:5" s="69" customFormat="1" ht="13.5">
      <c r="A12" s="142"/>
      <c r="B12" s="141" t="s">
        <v>965</v>
      </c>
      <c r="C12" s="143">
        <f>SUM(C9:C11)</f>
        <v>8018922</v>
      </c>
      <c r="D12" s="143">
        <f>SUM(D9:D11)</f>
        <v>895666</v>
      </c>
      <c r="E12" s="143">
        <f>SUM(E9:E11)</f>
        <v>8914588</v>
      </c>
    </row>
    <row r="13" spans="1:5" s="69" customFormat="1" ht="18" customHeight="1">
      <c r="A13" s="142" t="s">
        <v>534</v>
      </c>
      <c r="B13" s="141" t="s">
        <v>549</v>
      </c>
      <c r="C13" s="143">
        <f>SUM(C8+C12)</f>
        <v>17924350</v>
      </c>
      <c r="D13" s="143">
        <f>SUM(D8+D12)</f>
        <v>3101615</v>
      </c>
      <c r="E13" s="143">
        <f>SUM(E8+E12)</f>
        <v>21025965</v>
      </c>
    </row>
    <row r="14" spans="1:5" s="69" customFormat="1" ht="16.5" customHeight="1">
      <c r="A14" s="142" t="s">
        <v>550</v>
      </c>
      <c r="B14" s="141" t="s">
        <v>284</v>
      </c>
      <c r="C14" s="143">
        <v>34668</v>
      </c>
      <c r="D14" s="532">
        <v>1368977</v>
      </c>
      <c r="E14" s="143">
        <f>SUM(C14:D14)</f>
        <v>1403645</v>
      </c>
    </row>
    <row r="15" spans="1:5" s="71" customFormat="1" ht="18.75" customHeight="1">
      <c r="A15" s="144"/>
      <c r="B15" s="145" t="s">
        <v>966</v>
      </c>
      <c r="C15" s="146">
        <f>SUM(C13:C14)</f>
        <v>17959018</v>
      </c>
      <c r="D15" s="146">
        <f>SUM(D13:D14)</f>
        <v>4470592</v>
      </c>
      <c r="E15" s="146">
        <f>SUM(E13:E14)</f>
        <v>22429610</v>
      </c>
    </row>
    <row r="16" spans="1:3" s="46" customFormat="1" ht="12.75">
      <c r="A16" s="147"/>
      <c r="B16" s="148"/>
      <c r="C16" s="148"/>
    </row>
    <row r="17" spans="1:3" s="16" customFormat="1" ht="12.75">
      <c r="A17" s="147"/>
      <c r="B17" s="147"/>
      <c r="C17" s="147"/>
    </row>
    <row r="18" spans="1:3" s="16" customFormat="1" ht="12.75">
      <c r="A18" s="147"/>
      <c r="B18" s="147"/>
      <c r="C18" s="147"/>
    </row>
    <row r="19" spans="1:3" s="16" customFormat="1" ht="12.75">
      <c r="A19" s="147"/>
      <c r="B19" s="147"/>
      <c r="C19" s="147"/>
    </row>
    <row r="20" spans="1:3" s="16" customFormat="1" ht="12.75">
      <c r="A20" s="147"/>
      <c r="B20" s="147"/>
      <c r="C20" s="147"/>
    </row>
    <row r="21" spans="1:3" s="16" customFormat="1" ht="12.75">
      <c r="A21" s="147"/>
      <c r="B21" s="147"/>
      <c r="C21" s="147"/>
    </row>
    <row r="22" spans="1:3" s="16" customFormat="1" ht="12.75">
      <c r="A22" s="147"/>
      <c r="B22" s="147"/>
      <c r="C22" s="147"/>
    </row>
    <row r="23" spans="1:3" s="16" customFormat="1" ht="12.75">
      <c r="A23" s="147"/>
      <c r="B23" s="147"/>
      <c r="C23" s="147"/>
    </row>
    <row r="24" spans="1:3" s="16" customFormat="1" ht="12.75">
      <c r="A24" s="147"/>
      <c r="B24" s="147"/>
      <c r="C24" s="147"/>
    </row>
    <row r="25" spans="1:3" s="16" customFormat="1" ht="12.75">
      <c r="A25" s="147"/>
      <c r="B25" s="147"/>
      <c r="C25" s="147"/>
    </row>
    <row r="26" spans="1:3" s="16" customFormat="1" ht="12.75">
      <c r="A26" s="149"/>
      <c r="B26" s="147"/>
      <c r="C26" s="147"/>
    </row>
    <row r="27" spans="1:3" ht="12.75">
      <c r="A27" s="149"/>
      <c r="B27" s="149"/>
      <c r="C27" s="149"/>
    </row>
    <row r="28" spans="1:3" ht="12.75">
      <c r="A28" s="149"/>
      <c r="B28" s="149"/>
      <c r="C28" s="149"/>
    </row>
    <row r="29" spans="1:3" ht="12.75">
      <c r="A29" s="149"/>
      <c r="B29" s="149"/>
      <c r="C29" s="149"/>
    </row>
    <row r="30" spans="1:3" ht="12.75">
      <c r="A30" s="149"/>
      <c r="B30" s="149"/>
      <c r="C30" s="149"/>
    </row>
    <row r="31" spans="1:3" ht="12.75">
      <c r="A31" s="149"/>
      <c r="B31" s="149"/>
      <c r="C31" s="149"/>
    </row>
    <row r="32" spans="2:3" ht="12.75">
      <c r="B32" s="149"/>
      <c r="C32" s="149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2014.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K15" sqref="K15:M15"/>
    </sheetView>
  </sheetViews>
  <sheetFormatPr defaultColWidth="9.00390625" defaultRowHeight="12.75"/>
  <cols>
    <col min="1" max="1" width="5.375" style="49" customWidth="1"/>
    <col min="2" max="2" width="7.00390625" style="49" customWidth="1"/>
    <col min="3" max="3" width="32.00390625" style="49" customWidth="1"/>
    <col min="4" max="4" width="11.50390625" style="49" customWidth="1"/>
    <col min="5" max="5" width="14.875" style="49" customWidth="1"/>
    <col min="6" max="6" width="11.625" style="49" customWidth="1"/>
    <col min="7" max="7" width="10.375" style="49" customWidth="1"/>
    <col min="8" max="8" width="11.875" style="49" customWidth="1"/>
    <col min="9" max="9" width="12.00390625" style="49" customWidth="1"/>
    <col min="10" max="11" width="10.875" style="49" customWidth="1"/>
    <col min="12" max="12" width="12.50390625" style="49" customWidth="1"/>
    <col min="13" max="13" width="12.625" style="49" customWidth="1"/>
    <col min="14" max="14" width="15.625" style="49" customWidth="1"/>
    <col min="15" max="16384" width="9.375" style="49" customWidth="1"/>
  </cols>
  <sheetData>
    <row r="1" spans="1:14" s="50" customFormat="1" ht="42" customHeight="1">
      <c r="A1" s="687" t="s">
        <v>279</v>
      </c>
      <c r="B1" s="687" t="s">
        <v>638</v>
      </c>
      <c r="C1" s="691" t="s">
        <v>239</v>
      </c>
      <c r="D1" s="687" t="s">
        <v>286</v>
      </c>
      <c r="E1" s="687"/>
      <c r="F1" s="687"/>
      <c r="G1" s="687"/>
      <c r="H1" s="687"/>
      <c r="I1" s="687"/>
      <c r="J1" s="687"/>
      <c r="K1" s="688" t="s">
        <v>287</v>
      </c>
      <c r="L1" s="687"/>
      <c r="M1" s="687"/>
      <c r="N1" s="689" t="s">
        <v>242</v>
      </c>
    </row>
    <row r="2" spans="1:14" s="50" customFormat="1" ht="84.75" customHeight="1">
      <c r="A2" s="687"/>
      <c r="B2" s="687"/>
      <c r="C2" s="691"/>
      <c r="D2" s="501" t="s">
        <v>289</v>
      </c>
      <c r="E2" s="501" t="s">
        <v>290</v>
      </c>
      <c r="F2" s="502" t="s">
        <v>969</v>
      </c>
      <c r="G2" s="501" t="s">
        <v>291</v>
      </c>
      <c r="H2" s="501" t="s">
        <v>14</v>
      </c>
      <c r="I2" s="501" t="s">
        <v>292</v>
      </c>
      <c r="J2" s="501" t="s">
        <v>293</v>
      </c>
      <c r="K2" s="501" t="s">
        <v>99</v>
      </c>
      <c r="L2" s="501" t="s">
        <v>294</v>
      </c>
      <c r="M2" s="501" t="s">
        <v>296</v>
      </c>
      <c r="N2" s="690"/>
    </row>
    <row r="3" spans="1:14" ht="16.5" customHeight="1">
      <c r="A3" s="153">
        <v>1</v>
      </c>
      <c r="B3" s="110"/>
      <c r="C3" s="110" t="s">
        <v>15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6.5" customHeight="1">
      <c r="A4" s="58"/>
      <c r="B4" s="58">
        <v>12</v>
      </c>
      <c r="C4" s="57" t="s">
        <v>970</v>
      </c>
      <c r="D4" s="59">
        <f>13115+'11'!D7</f>
        <v>13115</v>
      </c>
      <c r="E4" s="59">
        <f>0+'11'!E7</f>
        <v>0</v>
      </c>
      <c r="F4" s="59">
        <f>0+'11'!F7</f>
        <v>0</v>
      </c>
      <c r="G4" s="59">
        <f>18363+'11'!G7</f>
        <v>18363</v>
      </c>
      <c r="H4" s="59">
        <f>0+'11'!H7</f>
        <v>0</v>
      </c>
      <c r="I4" s="59">
        <f>0+'11'!I7</f>
        <v>0</v>
      </c>
      <c r="J4" s="59">
        <f>0+'11'!J7</f>
        <v>0</v>
      </c>
      <c r="K4" s="59">
        <f>0+'11'!K7</f>
        <v>0</v>
      </c>
      <c r="L4" s="59">
        <f>0+'11'!L7</f>
        <v>0</v>
      </c>
      <c r="M4" s="59">
        <f>0+'11'!M7</f>
        <v>0</v>
      </c>
      <c r="N4" s="59">
        <f>SUM(D4:M4)</f>
        <v>31478</v>
      </c>
    </row>
    <row r="5" spans="1:14" ht="16.5" customHeight="1">
      <c r="A5" s="58"/>
      <c r="B5" s="58">
        <v>13</v>
      </c>
      <c r="C5" s="57" t="s">
        <v>971</v>
      </c>
      <c r="D5" s="59">
        <f>49150+'11'!D11</f>
        <v>49150</v>
      </c>
      <c r="E5" s="59">
        <f>200441+'11'!E11</f>
        <v>200441</v>
      </c>
      <c r="F5" s="59">
        <f>0+'11'!F11</f>
        <v>0</v>
      </c>
      <c r="G5" s="59">
        <f>5461+'11'!G11</f>
        <v>5461</v>
      </c>
      <c r="H5" s="59">
        <f>0+'11'!H11</f>
        <v>0</v>
      </c>
      <c r="I5" s="59">
        <f>4400+'11'!I11</f>
        <v>4400</v>
      </c>
      <c r="J5" s="59">
        <f>0+'11'!J11</f>
        <v>0</v>
      </c>
      <c r="K5" s="59">
        <f>0+'11'!K11</f>
        <v>0</v>
      </c>
      <c r="L5" s="59">
        <f>0+'11'!L11</f>
        <v>0</v>
      </c>
      <c r="M5" s="59">
        <f>0+'11'!M11</f>
        <v>0</v>
      </c>
      <c r="N5" s="59">
        <f aca="true" t="shared" si="0" ref="N5:N12">SUM(D5:M5)</f>
        <v>259452</v>
      </c>
    </row>
    <row r="6" spans="1:14" ht="16.5" customHeight="1">
      <c r="A6" s="58"/>
      <c r="B6" s="58">
        <v>15</v>
      </c>
      <c r="C6" s="57" t="s">
        <v>244</v>
      </c>
      <c r="D6" s="59">
        <f>1711+'11'!D15</f>
        <v>1711</v>
      </c>
      <c r="E6" s="59">
        <f>577891+'11'!E15</f>
        <v>577891</v>
      </c>
      <c r="F6" s="59">
        <f>564+'11'!F15</f>
        <v>564</v>
      </c>
      <c r="G6" s="59">
        <f>669477+'11'!G15</f>
        <v>681312</v>
      </c>
      <c r="H6" s="59">
        <f>0+'11'!H15</f>
        <v>0</v>
      </c>
      <c r="I6" s="59">
        <f>0+'11'!I15</f>
        <v>0</v>
      </c>
      <c r="J6" s="59">
        <f>4906+'11'!J15</f>
        <v>4906</v>
      </c>
      <c r="K6" s="59">
        <f>0+'11'!K15</f>
        <v>0</v>
      </c>
      <c r="L6" s="59">
        <f>0+'11'!L15</f>
        <v>0</v>
      </c>
      <c r="M6" s="59">
        <f>0+'11'!M15</f>
        <v>0</v>
      </c>
      <c r="N6" s="59">
        <f t="shared" si="0"/>
        <v>1266384</v>
      </c>
    </row>
    <row r="7" spans="1:14" ht="16.5" customHeight="1">
      <c r="A7" s="58"/>
      <c r="B7" s="58">
        <v>16</v>
      </c>
      <c r="C7" s="57" t="s">
        <v>1140</v>
      </c>
      <c r="D7" s="59">
        <f>0+'11'!D18</f>
        <v>0</v>
      </c>
      <c r="E7" s="59">
        <f>4314385+'11'!E18</f>
        <v>4314385</v>
      </c>
      <c r="F7" s="59">
        <f>0+'11'!F18</f>
        <v>0</v>
      </c>
      <c r="G7" s="59">
        <f>3080+'11'!G18</f>
        <v>3080</v>
      </c>
      <c r="H7" s="59">
        <f>0+'11'!H18</f>
        <v>0</v>
      </c>
      <c r="I7" s="59">
        <f>0+'11'!I18</f>
        <v>0</v>
      </c>
      <c r="J7" s="59">
        <f>220000+'11'!J18</f>
        <v>220000</v>
      </c>
      <c r="K7" s="59">
        <f>0+'11'!K18</f>
        <v>0</v>
      </c>
      <c r="L7" s="59">
        <f>0+'11'!L18</f>
        <v>0</v>
      </c>
      <c r="M7" s="59">
        <f>0+'11'!M18</f>
        <v>0</v>
      </c>
      <c r="N7" s="59">
        <f t="shared" si="0"/>
        <v>4537465</v>
      </c>
    </row>
    <row r="8" spans="1:14" ht="16.5" customHeight="1">
      <c r="A8" s="58"/>
      <c r="B8" s="58">
        <v>17</v>
      </c>
      <c r="C8" s="57" t="s">
        <v>245</v>
      </c>
      <c r="D8" s="59">
        <f>0+'11'!D24</f>
        <v>0</v>
      </c>
      <c r="E8" s="59">
        <f>0+'11'!E24</f>
        <v>0</v>
      </c>
      <c r="F8" s="59">
        <f>0+'11'!F24</f>
        <v>0</v>
      </c>
      <c r="G8" s="59">
        <f>407669+'11'!G24</f>
        <v>407669</v>
      </c>
      <c r="H8" s="59">
        <f>362607+'11'!H24</f>
        <v>363807</v>
      </c>
      <c r="I8" s="59">
        <f>2500+'11'!I24</f>
        <v>2500</v>
      </c>
      <c r="J8" s="59">
        <f>20000+'11'!J24</f>
        <v>20000</v>
      </c>
      <c r="K8" s="59">
        <f>0+'11'!K24</f>
        <v>0</v>
      </c>
      <c r="L8" s="59">
        <f>342239+'11'!L24</f>
        <v>301918</v>
      </c>
      <c r="M8" s="59">
        <f>0+'11'!M24</f>
        <v>40321</v>
      </c>
      <c r="N8" s="59">
        <f t="shared" si="0"/>
        <v>1136215</v>
      </c>
    </row>
    <row r="9" spans="1:14" ht="16.5" customHeight="1">
      <c r="A9" s="58"/>
      <c r="B9" s="58">
        <v>18</v>
      </c>
      <c r="C9" s="57" t="s">
        <v>1139</v>
      </c>
      <c r="D9" s="59">
        <f>0+'11'!D28</f>
        <v>0</v>
      </c>
      <c r="E9" s="59">
        <f>0+'11'!E28</f>
        <v>0</v>
      </c>
      <c r="F9" s="59">
        <f>8000+'11'!F28</f>
        <v>8000</v>
      </c>
      <c r="G9" s="59">
        <f>39510+'11'!G28</f>
        <v>41115</v>
      </c>
      <c r="H9" s="59">
        <f>0+'11'!H28</f>
        <v>0</v>
      </c>
      <c r="I9" s="59">
        <f>0+'11'!I28</f>
        <v>0</v>
      </c>
      <c r="J9" s="59">
        <f>0+'11'!J28</f>
        <v>0</v>
      </c>
      <c r="K9" s="59">
        <f>0+'11'!K28</f>
        <v>0</v>
      </c>
      <c r="L9" s="59">
        <f>0+'11'!L28</f>
        <v>0</v>
      </c>
      <c r="M9" s="59">
        <f>0+'11'!M28</f>
        <v>0</v>
      </c>
      <c r="N9" s="59">
        <f t="shared" si="0"/>
        <v>49115</v>
      </c>
    </row>
    <row r="10" spans="1:14" ht="16.5" customHeight="1">
      <c r="A10" s="58"/>
      <c r="B10" s="58">
        <v>19</v>
      </c>
      <c r="C10" s="57" t="s">
        <v>246</v>
      </c>
      <c r="D10" s="59">
        <f>2976447+'11'!D38</f>
        <v>2976448</v>
      </c>
      <c r="E10" s="59">
        <f>1181447+'11'!E38</f>
        <v>1981447</v>
      </c>
      <c r="F10" s="59">
        <f>3653768+'11'!F38</f>
        <v>3628768</v>
      </c>
      <c r="G10" s="59">
        <f>501770+'11'!G38</f>
        <v>501770</v>
      </c>
      <c r="H10" s="59">
        <f>0+'11'!H38</f>
        <v>0</v>
      </c>
      <c r="I10" s="59">
        <f>0+'11'!I38</f>
        <v>0</v>
      </c>
      <c r="J10" s="59">
        <f>0+'11'!J38</f>
        <v>0</v>
      </c>
      <c r="K10" s="59">
        <f>473892+'11'!K38</f>
        <v>473892</v>
      </c>
      <c r="L10" s="59">
        <f>3332613+'11'!L38</f>
        <v>3166756</v>
      </c>
      <c r="M10" s="59">
        <f>0+'11'!M38</f>
        <v>165857</v>
      </c>
      <c r="N10" s="59">
        <f t="shared" si="0"/>
        <v>12894938</v>
      </c>
    </row>
    <row r="11" spans="1:14" ht="16.5" customHeight="1">
      <c r="A11" s="58"/>
      <c r="B11" s="58">
        <v>20</v>
      </c>
      <c r="C11" s="32" t="s">
        <v>156</v>
      </c>
      <c r="D11" s="59">
        <f>0+'11'!D41</f>
        <v>0</v>
      </c>
      <c r="E11" s="59">
        <f>0+'11'!E41</f>
        <v>0</v>
      </c>
      <c r="F11" s="59">
        <f>162+'11'!F41</f>
        <v>162</v>
      </c>
      <c r="G11" s="59">
        <f>0+'11'!G41</f>
        <v>0</v>
      </c>
      <c r="H11" s="59">
        <f>0+'11'!H41</f>
        <v>0</v>
      </c>
      <c r="I11" s="59">
        <f>0+'11'!I41</f>
        <v>0</v>
      </c>
      <c r="J11" s="59">
        <f>0+'11'!J41</f>
        <v>0</v>
      </c>
      <c r="K11" s="59">
        <f>0+'11'!K41</f>
        <v>0</v>
      </c>
      <c r="L11" s="59">
        <f>0+'11'!L41</f>
        <v>0</v>
      </c>
      <c r="M11" s="59">
        <f>0+'11'!M41</f>
        <v>0</v>
      </c>
      <c r="N11" s="59">
        <f t="shared" si="0"/>
        <v>162</v>
      </c>
    </row>
    <row r="12" spans="1:14" ht="16.5" customHeight="1">
      <c r="A12" s="58"/>
      <c r="B12" s="58">
        <v>22</v>
      </c>
      <c r="C12" s="57" t="s">
        <v>978</v>
      </c>
      <c r="D12" s="59">
        <f>7185+'11'!D44</f>
        <v>7185</v>
      </c>
      <c r="E12" s="59">
        <f>0+'11'!E44</f>
        <v>0</v>
      </c>
      <c r="F12" s="59">
        <f>0+'11'!F44</f>
        <v>0</v>
      </c>
      <c r="G12" s="59">
        <f>2183+'11'!G44</f>
        <v>2183</v>
      </c>
      <c r="H12" s="59">
        <f>180+'11'!H44</f>
        <v>180</v>
      </c>
      <c r="I12" s="59">
        <f>1000+'11'!I44</f>
        <v>1000</v>
      </c>
      <c r="J12" s="59">
        <f>2671+'11'!J44</f>
        <v>2671</v>
      </c>
      <c r="K12" s="59">
        <f>0+'11'!K44</f>
        <v>0</v>
      </c>
      <c r="L12" s="59">
        <f>0+'11'!L44</f>
        <v>0</v>
      </c>
      <c r="M12" s="59">
        <f>0+'11'!M44</f>
        <v>0</v>
      </c>
      <c r="N12" s="59">
        <f t="shared" si="0"/>
        <v>13219</v>
      </c>
    </row>
    <row r="13" spans="1:14" ht="27.75" customHeight="1">
      <c r="A13" s="60"/>
      <c r="B13" s="60"/>
      <c r="C13" s="115" t="s">
        <v>16</v>
      </c>
      <c r="D13" s="111">
        <f aca="true" t="shared" si="1" ref="D13:N13">SUM(D4:D12)</f>
        <v>3047609</v>
      </c>
      <c r="E13" s="111">
        <f t="shared" si="1"/>
        <v>7074164</v>
      </c>
      <c r="F13" s="111">
        <f t="shared" si="1"/>
        <v>3637494</v>
      </c>
      <c r="G13" s="111">
        <f t="shared" si="1"/>
        <v>1660953</v>
      </c>
      <c r="H13" s="111">
        <f t="shared" si="1"/>
        <v>363987</v>
      </c>
      <c r="I13" s="111">
        <f t="shared" si="1"/>
        <v>7900</v>
      </c>
      <c r="J13" s="111">
        <f t="shared" si="1"/>
        <v>247577</v>
      </c>
      <c r="K13" s="111">
        <f t="shared" si="1"/>
        <v>473892</v>
      </c>
      <c r="L13" s="111">
        <f t="shared" si="1"/>
        <v>3468674</v>
      </c>
      <c r="M13" s="111">
        <f t="shared" si="1"/>
        <v>206178</v>
      </c>
      <c r="N13" s="111">
        <f t="shared" si="1"/>
        <v>20188428</v>
      </c>
    </row>
    <row r="14" spans="1:14" ht="16.5" customHeight="1">
      <c r="A14" s="62">
        <v>2</v>
      </c>
      <c r="B14" s="62"/>
      <c r="C14" s="57" t="s">
        <v>13</v>
      </c>
      <c r="D14" s="59">
        <f>512166+'táj.1.'!C20</f>
        <v>512166</v>
      </c>
      <c r="E14" s="59">
        <f>95891+'táj.1.'!D20</f>
        <v>95982</v>
      </c>
      <c r="F14" s="59">
        <f>0+'táj.1.'!E20</f>
        <v>0</v>
      </c>
      <c r="G14" s="59">
        <f>1198725+'táj.1.'!F20</f>
        <v>1207042</v>
      </c>
      <c r="H14" s="59">
        <f>664+'táj.1.'!G20</f>
        <v>664</v>
      </c>
      <c r="I14" s="59">
        <f>69565+'táj.1.'!H20</f>
        <v>69565</v>
      </c>
      <c r="J14" s="59">
        <f>0+'táj.1.'!I20</f>
        <v>0</v>
      </c>
      <c r="K14" s="59"/>
      <c r="L14" s="59">
        <f>355763+'táj.1.'!J20</f>
        <v>355763</v>
      </c>
      <c r="M14" s="59">
        <f>0+'táj.1.'!L20</f>
        <v>0</v>
      </c>
      <c r="N14" s="59">
        <f>SUM(D14:M14)</f>
        <v>2241182</v>
      </c>
    </row>
    <row r="15" spans="1:14" ht="16.5" customHeight="1">
      <c r="A15" s="60"/>
      <c r="B15" s="60"/>
      <c r="C15" s="61" t="s">
        <v>1136</v>
      </c>
      <c r="D15" s="111">
        <f aca="true" t="shared" si="2" ref="D15:N15">SUM(D13:D14)</f>
        <v>3559775</v>
      </c>
      <c r="E15" s="111">
        <f t="shared" si="2"/>
        <v>7170146</v>
      </c>
      <c r="F15" s="111">
        <f t="shared" si="2"/>
        <v>3637494</v>
      </c>
      <c r="G15" s="111">
        <f t="shared" si="2"/>
        <v>2867995</v>
      </c>
      <c r="H15" s="111">
        <f t="shared" si="2"/>
        <v>364651</v>
      </c>
      <c r="I15" s="111">
        <f t="shared" si="2"/>
        <v>77465</v>
      </c>
      <c r="J15" s="111">
        <f t="shared" si="2"/>
        <v>247577</v>
      </c>
      <c r="K15" s="111">
        <f t="shared" si="2"/>
        <v>473892</v>
      </c>
      <c r="L15" s="111">
        <f t="shared" si="2"/>
        <v>3824437</v>
      </c>
      <c r="M15" s="111">
        <f t="shared" si="2"/>
        <v>206178</v>
      </c>
      <c r="N15" s="111">
        <f t="shared" si="2"/>
        <v>22429610</v>
      </c>
    </row>
    <row r="16" spans="3:12" ht="16.5" customHeight="1">
      <c r="C16" s="51"/>
      <c r="D16" s="52"/>
      <c r="E16" s="52"/>
      <c r="F16" s="52"/>
      <c r="G16" s="52"/>
      <c r="H16" s="52"/>
      <c r="I16" s="52"/>
      <c r="J16" s="52"/>
      <c r="K16" s="52"/>
      <c r="L16" s="52"/>
    </row>
    <row r="17" spans="3:11" ht="13.5" customHeight="1">
      <c r="C17" s="51"/>
      <c r="D17" s="52"/>
      <c r="E17" s="52"/>
      <c r="F17" s="52"/>
      <c r="G17" s="52"/>
      <c r="H17" s="52"/>
      <c r="I17" s="52"/>
      <c r="J17" s="52"/>
      <c r="K17" s="52"/>
    </row>
    <row r="18" spans="4:11" ht="13.5" customHeight="1">
      <c r="D18" s="52"/>
      <c r="E18" s="52"/>
      <c r="F18" s="52"/>
      <c r="G18" s="52"/>
      <c r="H18" s="52"/>
      <c r="I18" s="52"/>
      <c r="J18" s="52"/>
      <c r="K18" s="52"/>
    </row>
    <row r="19" spans="4:11" ht="13.5" customHeight="1">
      <c r="D19" s="52"/>
      <c r="E19" s="52"/>
      <c r="F19" s="52"/>
      <c r="G19" s="52"/>
      <c r="H19" s="52"/>
      <c r="I19" s="52"/>
      <c r="J19" s="52"/>
      <c r="K19" s="52"/>
    </row>
    <row r="20" spans="4:11" ht="13.5" customHeight="1">
      <c r="D20" s="52"/>
      <c r="E20" s="52"/>
      <c r="F20" s="52"/>
      <c r="G20" s="52"/>
      <c r="H20" s="52"/>
      <c r="I20" s="52"/>
      <c r="J20" s="52"/>
      <c r="K20" s="52"/>
    </row>
    <row r="21" spans="4:11" ht="13.5" customHeight="1">
      <c r="D21" s="52"/>
      <c r="E21" s="52"/>
      <c r="F21" s="52"/>
      <c r="G21" s="52"/>
      <c r="H21" s="52"/>
      <c r="I21" s="52"/>
      <c r="J21" s="52"/>
      <c r="K21" s="52"/>
    </row>
    <row r="22" spans="4:11" ht="13.5" customHeight="1">
      <c r="D22" s="52"/>
      <c r="E22" s="52"/>
      <c r="F22" s="52"/>
      <c r="G22" s="52"/>
      <c r="H22" s="52"/>
      <c r="I22" s="52"/>
      <c r="J22" s="52"/>
      <c r="K22" s="52"/>
    </row>
    <row r="23" spans="4:11" ht="13.5" customHeight="1">
      <c r="D23" s="52"/>
      <c r="E23" s="52"/>
      <c r="F23" s="52"/>
      <c r="G23" s="52"/>
      <c r="H23" s="52"/>
      <c r="I23" s="52"/>
      <c r="J23" s="52"/>
      <c r="K23" s="52"/>
    </row>
    <row r="24" spans="4:11" ht="13.5" customHeight="1">
      <c r="D24" s="52"/>
      <c r="E24" s="52"/>
      <c r="F24" s="52"/>
      <c r="G24" s="52"/>
      <c r="H24" s="52"/>
      <c r="I24" s="52"/>
      <c r="J24" s="52"/>
      <c r="K24" s="52"/>
    </row>
    <row r="25" spans="4:11" ht="13.5" customHeight="1">
      <c r="D25" s="52"/>
      <c r="E25" s="52"/>
      <c r="F25" s="52"/>
      <c r="G25" s="52"/>
      <c r="H25" s="52"/>
      <c r="I25" s="52"/>
      <c r="J25" s="52"/>
      <c r="K25" s="52"/>
    </row>
    <row r="26" ht="13.5" customHeight="1"/>
    <row r="27" ht="13.5" customHeight="1"/>
    <row r="28" ht="13.5" customHeight="1"/>
  </sheetData>
  <sheetProtection/>
  <mergeCells count="6">
    <mergeCell ref="A1:A2"/>
    <mergeCell ref="D1:J1"/>
    <mergeCell ref="K1:M1"/>
    <mergeCell ref="N1:N2"/>
    <mergeCell ref="B1:B2"/>
    <mergeCell ref="C1:C2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
 2014. ÉVI  BEVÉTELI ELŐIRÁNYZATAI CíMENKÉNTI BONTÁSBAN 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="120" zoomScaleNormal="120" zoomScalePageLayoutView="0" workbookViewId="0" topLeftCell="A1">
      <pane ySplit="2" topLeftCell="A3" activePane="bottomLeft" state="frozen"/>
      <selection pane="topLeft" activeCell="B1" sqref="B1"/>
      <selection pane="bottomLeft" activeCell="L17" sqref="L17:M17"/>
    </sheetView>
  </sheetViews>
  <sheetFormatPr defaultColWidth="9.00390625" defaultRowHeight="12.75"/>
  <cols>
    <col min="1" max="1" width="6.875" style="47" customWidth="1"/>
    <col min="2" max="2" width="7.00390625" style="47" customWidth="1"/>
    <col min="3" max="3" width="28.00390625" style="47" customWidth="1"/>
    <col min="4" max="4" width="10.00390625" style="47" customWidth="1"/>
    <col min="5" max="5" width="11.875" style="47" customWidth="1"/>
    <col min="6" max="6" width="9.875" style="47" customWidth="1"/>
    <col min="7" max="7" width="9.625" style="47" customWidth="1"/>
    <col min="8" max="8" width="10.50390625" style="47" customWidth="1"/>
    <col min="9" max="9" width="10.125" style="47" bestFit="1" customWidth="1"/>
    <col min="10" max="10" width="9.875" style="47" bestFit="1" customWidth="1"/>
    <col min="11" max="11" width="9.50390625" style="47" customWidth="1"/>
    <col min="12" max="12" width="11.00390625" style="47" customWidth="1"/>
    <col min="13" max="13" width="11.625" style="72" customWidth="1"/>
    <col min="14" max="14" width="10.875" style="72" customWidth="1"/>
    <col min="15" max="16384" width="9.375" style="47" customWidth="1"/>
  </cols>
  <sheetData>
    <row r="1" spans="1:14" s="67" customFormat="1" ht="12.75">
      <c r="A1" s="628"/>
      <c r="B1" s="629"/>
      <c r="C1" s="629"/>
      <c r="D1" s="692" t="s">
        <v>280</v>
      </c>
      <c r="E1" s="693"/>
      <c r="F1" s="693"/>
      <c r="G1" s="693"/>
      <c r="H1" s="693"/>
      <c r="I1" s="693"/>
      <c r="J1" s="693"/>
      <c r="K1" s="694"/>
      <c r="L1" s="695" t="s">
        <v>284</v>
      </c>
      <c r="M1" s="696"/>
      <c r="N1" s="630"/>
    </row>
    <row r="2" spans="1:14" s="68" customFormat="1" ht="60" customHeight="1" thickBot="1">
      <c r="A2" s="73" t="s">
        <v>248</v>
      </c>
      <c r="B2" s="74" t="s">
        <v>249</v>
      </c>
      <c r="C2" s="74" t="s">
        <v>239</v>
      </c>
      <c r="D2" s="154" t="s">
        <v>952</v>
      </c>
      <c r="E2" s="154" t="s">
        <v>1030</v>
      </c>
      <c r="F2" s="154" t="s">
        <v>1150</v>
      </c>
      <c r="G2" s="154" t="s">
        <v>282</v>
      </c>
      <c r="H2" s="154" t="s">
        <v>955</v>
      </c>
      <c r="I2" s="154" t="s">
        <v>962</v>
      </c>
      <c r="J2" s="154" t="s">
        <v>963</v>
      </c>
      <c r="K2" s="154" t="s">
        <v>283</v>
      </c>
      <c r="L2" s="154" t="s">
        <v>901</v>
      </c>
      <c r="M2" s="154" t="s">
        <v>902</v>
      </c>
      <c r="N2" s="155" t="s">
        <v>155</v>
      </c>
    </row>
    <row r="3" spans="1:14" s="68" customFormat="1" ht="15" customHeight="1">
      <c r="A3" s="17">
        <v>1</v>
      </c>
      <c r="B3" s="17"/>
      <c r="C3" s="156" t="s">
        <v>12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68" customFormat="1" ht="15" customHeight="1">
      <c r="A4" s="17">
        <v>1</v>
      </c>
      <c r="B4" s="17">
        <v>1</v>
      </c>
      <c r="C4" s="157" t="s">
        <v>972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69" customFormat="1" ht="13.5" customHeight="1">
      <c r="A5" s="21"/>
      <c r="B5" s="21">
        <v>12</v>
      </c>
      <c r="C5" s="156" t="s">
        <v>970</v>
      </c>
      <c r="D5" s="22">
        <f>0+'12'!F13</f>
        <v>33</v>
      </c>
      <c r="E5" s="22">
        <f>2500+'12'!G13</f>
        <v>2521</v>
      </c>
      <c r="F5" s="22">
        <f>21955+'12'!H13</f>
        <v>21251</v>
      </c>
      <c r="G5" s="22">
        <f>394242+'12'!I13</f>
        <v>394242</v>
      </c>
      <c r="H5" s="22">
        <f>24800+'12'!J13</f>
        <v>24800</v>
      </c>
      <c r="I5" s="22">
        <f>0+'12'!K16</f>
        <v>0</v>
      </c>
      <c r="J5" s="22">
        <f>0+'12'!L16</f>
        <v>0</v>
      </c>
      <c r="K5" s="22">
        <f>36924+'12'!M16</f>
        <v>36924</v>
      </c>
      <c r="L5" s="22">
        <f>0+'12'!N13</f>
        <v>0</v>
      </c>
      <c r="M5" s="22">
        <f>0+'12'!O13</f>
        <v>0</v>
      </c>
      <c r="N5" s="22">
        <f aca="true" t="shared" si="0" ref="N5:N14">SUM(D5:M5)</f>
        <v>479771</v>
      </c>
    </row>
    <row r="6" spans="1:14" s="135" customFormat="1" ht="13.5" customHeight="1">
      <c r="A6" s="24"/>
      <c r="B6" s="24">
        <v>13</v>
      </c>
      <c r="C6" s="159" t="s">
        <v>971</v>
      </c>
      <c r="D6" s="649">
        <f>10398+'12'!F45</f>
        <v>10274</v>
      </c>
      <c r="E6" s="649">
        <f>3128+'12'!G45</f>
        <v>3476</v>
      </c>
      <c r="F6" s="649">
        <f>214004+'12'!H45</f>
        <v>213472</v>
      </c>
      <c r="G6" s="649">
        <f>18205+'12'!I45</f>
        <v>18223</v>
      </c>
      <c r="H6" s="649">
        <f>489095+'12'!J45</f>
        <v>490153</v>
      </c>
      <c r="I6" s="649">
        <f>284814+'12'!K48</f>
        <v>284408</v>
      </c>
      <c r="J6" s="649">
        <f>201563+'12'!L48</f>
        <v>203085</v>
      </c>
      <c r="K6" s="649">
        <f>139493+'12'!M48</f>
        <v>139593</v>
      </c>
      <c r="L6" s="649">
        <f>0+'12'!N45</f>
        <v>0</v>
      </c>
      <c r="M6" s="649">
        <f>0+'12'!O45</f>
        <v>0</v>
      </c>
      <c r="N6" s="649">
        <f t="shared" si="0"/>
        <v>1362684</v>
      </c>
    </row>
    <row r="7" spans="1:14" s="69" customFormat="1" ht="13.5" customHeight="1">
      <c r="A7" s="21"/>
      <c r="B7" s="21">
        <v>15</v>
      </c>
      <c r="C7" s="76" t="s">
        <v>244</v>
      </c>
      <c r="D7" s="22">
        <f>2696+'12'!F60</f>
        <v>2985</v>
      </c>
      <c r="E7" s="22">
        <f>615+'12'!G60</f>
        <v>715</v>
      </c>
      <c r="F7" s="22">
        <f>1310379+'12'!H60</f>
        <v>1321099</v>
      </c>
      <c r="G7" s="22">
        <f>0+'12'!I60</f>
        <v>1141</v>
      </c>
      <c r="H7" s="22">
        <f>39644+'12'!J60</f>
        <v>39644</v>
      </c>
      <c r="I7" s="22">
        <f>253282+'12'!K63</f>
        <v>249310</v>
      </c>
      <c r="J7" s="22">
        <f>656159+'12'!L63</f>
        <v>658380</v>
      </c>
      <c r="K7" s="22">
        <f>640049+'12'!M63</f>
        <v>640049</v>
      </c>
      <c r="L7" s="22">
        <f>0+'12'!N60</f>
        <v>0</v>
      </c>
      <c r="M7" s="22">
        <f>0+'12'!O60</f>
        <v>0</v>
      </c>
      <c r="N7" s="22">
        <f t="shared" si="0"/>
        <v>2913323</v>
      </c>
    </row>
    <row r="8" spans="1:15" s="69" customFormat="1" ht="13.5" customHeight="1">
      <c r="A8" s="21"/>
      <c r="B8" s="21">
        <v>16</v>
      </c>
      <c r="C8" s="76" t="s">
        <v>1140</v>
      </c>
      <c r="D8" s="22">
        <f>0+'12'!F73</f>
        <v>0</v>
      </c>
      <c r="E8" s="22">
        <f>0+'12'!G73</f>
        <v>0</v>
      </c>
      <c r="F8" s="22">
        <f>138393+'12'!H73</f>
        <v>189255</v>
      </c>
      <c r="G8" s="22">
        <f>0+'12'!I73</f>
        <v>0</v>
      </c>
      <c r="H8" s="22">
        <f>42208+'12'!J73</f>
        <v>42208</v>
      </c>
      <c r="I8" s="22">
        <f>5398396+'12'!K76</f>
        <v>5350010</v>
      </c>
      <c r="J8" s="22">
        <f>333960+'12'!L76</f>
        <v>333739</v>
      </c>
      <c r="K8" s="22">
        <f>47323+'12'!M76</f>
        <v>47323</v>
      </c>
      <c r="L8" s="22">
        <f>0+'12'!N73</f>
        <v>0</v>
      </c>
      <c r="M8" s="22">
        <f>0+'12'!O73</f>
        <v>0</v>
      </c>
      <c r="N8" s="22">
        <f t="shared" si="0"/>
        <v>5962535</v>
      </c>
      <c r="O8" s="70"/>
    </row>
    <row r="9" spans="1:14" s="69" customFormat="1" ht="13.5" customHeight="1">
      <c r="A9" s="21"/>
      <c r="B9" s="21">
        <v>17</v>
      </c>
      <c r="C9" s="76" t="s">
        <v>245</v>
      </c>
      <c r="D9" s="22">
        <f>0+'12'!F82</f>
        <v>0</v>
      </c>
      <c r="E9" s="22">
        <f>0+'12'!G82</f>
        <v>0</v>
      </c>
      <c r="F9" s="22">
        <f>90592+'12'!H82</f>
        <v>92763</v>
      </c>
      <c r="G9" s="22">
        <f>0+'12'!I82</f>
        <v>0</v>
      </c>
      <c r="H9" s="22">
        <f>72207+'12'!J82</f>
        <v>72207</v>
      </c>
      <c r="I9" s="22">
        <f>455342+'12'!K85</f>
        <v>456542</v>
      </c>
      <c r="J9" s="22">
        <f>31937+'12'!L85</f>
        <v>31937</v>
      </c>
      <c r="K9" s="22">
        <f>28969+'12'!M85</f>
        <v>28969</v>
      </c>
      <c r="L9" s="22">
        <f>0+'12'!N82</f>
        <v>0</v>
      </c>
      <c r="M9" s="22">
        <f>63841+'12'!O82</f>
        <v>63841</v>
      </c>
      <c r="N9" s="22">
        <f t="shared" si="0"/>
        <v>746259</v>
      </c>
    </row>
    <row r="10" spans="1:14" s="69" customFormat="1" ht="13.5" customHeight="1">
      <c r="A10" s="21"/>
      <c r="B10" s="21">
        <v>18</v>
      </c>
      <c r="C10" s="76" t="s">
        <v>90</v>
      </c>
      <c r="D10" s="22">
        <f>0+'12'!F89</f>
        <v>0</v>
      </c>
      <c r="E10" s="22">
        <f>0+'12'!G89</f>
        <v>0</v>
      </c>
      <c r="F10" s="22">
        <f>38174+'12'!H89</f>
        <v>39439</v>
      </c>
      <c r="G10" s="22">
        <f>0+'12'!I89</f>
        <v>0</v>
      </c>
      <c r="H10" s="22">
        <f>1100+'12'!J89</f>
        <v>1100</v>
      </c>
      <c r="I10" s="22">
        <f>500+'12'!K91</f>
        <v>500</v>
      </c>
      <c r="J10" s="22">
        <f>0+'12'!L91</f>
        <v>0</v>
      </c>
      <c r="K10" s="22">
        <f>0+'12'!M91</f>
        <v>0</v>
      </c>
      <c r="L10" s="22">
        <f>0+'12'!N89</f>
        <v>0</v>
      </c>
      <c r="M10" s="22">
        <f>0+'12'!O89</f>
        <v>0</v>
      </c>
      <c r="N10" s="22">
        <f t="shared" si="0"/>
        <v>41039</v>
      </c>
    </row>
    <row r="11" spans="1:14" s="69" customFormat="1" ht="13.5" customHeight="1">
      <c r="A11" s="21"/>
      <c r="B11" s="21">
        <v>19</v>
      </c>
      <c r="C11" s="75" t="s">
        <v>246</v>
      </c>
      <c r="D11" s="22">
        <f>0+'12'!F95</f>
        <v>0</v>
      </c>
      <c r="E11" s="22">
        <f>0+'12'!G95</f>
        <v>0</v>
      </c>
      <c r="F11" s="22">
        <f>498780+'12'!H95</f>
        <v>499121</v>
      </c>
      <c r="G11" s="22">
        <f>0+'12'!I95</f>
        <v>0</v>
      </c>
      <c r="H11" s="22">
        <f>867711+'12'!J95</f>
        <v>867711</v>
      </c>
      <c r="I11" s="22">
        <f>0+'12'!K98</f>
        <v>0</v>
      </c>
      <c r="J11" s="22">
        <f>0+'12'!L98</f>
        <v>0</v>
      </c>
      <c r="K11" s="22">
        <f>15464+'12'!M98</f>
        <v>11304</v>
      </c>
      <c r="L11" s="22">
        <f>951340+'12'!N95</f>
        <v>951340</v>
      </c>
      <c r="M11" s="22">
        <f>388464+'12'!O95</f>
        <v>388464</v>
      </c>
      <c r="N11" s="22">
        <f t="shared" si="0"/>
        <v>2717940</v>
      </c>
    </row>
    <row r="12" spans="1:14" s="69" customFormat="1" ht="12.75" customHeight="1">
      <c r="A12" s="21"/>
      <c r="B12" s="21">
        <v>20</v>
      </c>
      <c r="C12" s="75" t="s">
        <v>156</v>
      </c>
      <c r="D12" s="22">
        <f>0+'12'!F100</f>
        <v>0</v>
      </c>
      <c r="E12" s="22">
        <f>0+'12'!G100</f>
        <v>0</v>
      </c>
      <c r="F12" s="22">
        <f>0+'12'!H100</f>
        <v>0</v>
      </c>
      <c r="G12" s="22">
        <f>0+'12'!I100</f>
        <v>0</v>
      </c>
      <c r="H12" s="22">
        <f>0+'12'!J100</f>
        <v>0</v>
      </c>
      <c r="I12" s="22">
        <f>0+'12'!K100</f>
        <v>0</v>
      </c>
      <c r="J12" s="22">
        <f>0+'12'!L100</f>
        <v>0</v>
      </c>
      <c r="K12" s="22">
        <f>0+'12'!M100</f>
        <v>0</v>
      </c>
      <c r="L12" s="22">
        <f>0+'12'!N100</f>
        <v>0</v>
      </c>
      <c r="M12" s="22">
        <f>0+'12'!O100</f>
        <v>0</v>
      </c>
      <c r="N12" s="22">
        <f t="shared" si="0"/>
        <v>0</v>
      </c>
    </row>
    <row r="13" spans="1:14" s="69" customFormat="1" ht="12.75" customHeight="1">
      <c r="A13" s="21"/>
      <c r="B13" s="21">
        <v>21</v>
      </c>
      <c r="C13" s="75" t="s">
        <v>157</v>
      </c>
      <c r="D13" s="22">
        <f>76704+'12'!F104</f>
        <v>76704</v>
      </c>
      <c r="E13" s="22">
        <f>22074+'12'!G104</f>
        <v>22074</v>
      </c>
      <c r="F13" s="22">
        <f>65827+'12'!H104</f>
        <v>65519</v>
      </c>
      <c r="G13" s="22">
        <f>0+'12'!I104</f>
        <v>0</v>
      </c>
      <c r="H13" s="22">
        <f>103368+'12'!J104</f>
        <v>103368</v>
      </c>
      <c r="I13" s="22">
        <f>462+'12'!K106</f>
        <v>750</v>
      </c>
      <c r="J13" s="22">
        <f>0+'12'!L106</f>
        <v>0</v>
      </c>
      <c r="K13" s="22">
        <f>112801+'12'!M106</f>
        <v>112821</v>
      </c>
      <c r="L13" s="22">
        <f>0+'12'!N104</f>
        <v>0</v>
      </c>
      <c r="M13" s="22">
        <f>0+'12'!O104</f>
        <v>0</v>
      </c>
      <c r="N13" s="22">
        <f t="shared" si="0"/>
        <v>381236</v>
      </c>
    </row>
    <row r="14" spans="1:14" s="69" customFormat="1" ht="12.75" customHeight="1">
      <c r="A14" s="21"/>
      <c r="B14" s="21">
        <v>30</v>
      </c>
      <c r="C14" s="23" t="s">
        <v>60</v>
      </c>
      <c r="D14" s="22">
        <f>0+'12'!F114</f>
        <v>0</v>
      </c>
      <c r="E14" s="22">
        <f>0+'12'!G114</f>
        <v>0</v>
      </c>
      <c r="F14" s="22">
        <f>0+'12'!H114</f>
        <v>0</v>
      </c>
      <c r="G14" s="22">
        <f>0+'12'!I114</f>
        <v>0</v>
      </c>
      <c r="H14" s="22">
        <f>126107+'12'!J114</f>
        <v>898205</v>
      </c>
      <c r="I14" s="22">
        <f>0+'12'!K114</f>
        <v>4160</v>
      </c>
      <c r="J14" s="22">
        <f>7751+'12'!L114</f>
        <v>6229</v>
      </c>
      <c r="K14" s="22">
        <f>0+'12'!M114</f>
        <v>0</v>
      </c>
      <c r="L14" s="22">
        <f>0+'12'!N114</f>
        <v>0</v>
      </c>
      <c r="M14" s="22">
        <f>0+'12'!O114</f>
        <v>0</v>
      </c>
      <c r="N14" s="22">
        <f t="shared" si="0"/>
        <v>908594</v>
      </c>
    </row>
    <row r="15" spans="1:14" s="71" customFormat="1" ht="24.75" customHeight="1">
      <c r="A15" s="77"/>
      <c r="B15" s="77"/>
      <c r="C15" s="158" t="s">
        <v>1031</v>
      </c>
      <c r="D15" s="26">
        <f>SUM(D3:D14)</f>
        <v>89996</v>
      </c>
      <c r="E15" s="26">
        <f aca="true" t="shared" si="1" ref="E15:M15">SUM(E3:E14)</f>
        <v>28786</v>
      </c>
      <c r="F15" s="26">
        <f t="shared" si="1"/>
        <v>2441919</v>
      </c>
      <c r="G15" s="26">
        <f t="shared" si="1"/>
        <v>413606</v>
      </c>
      <c r="H15" s="26">
        <f t="shared" si="1"/>
        <v>2539396</v>
      </c>
      <c r="I15" s="26">
        <f t="shared" si="1"/>
        <v>6345680</v>
      </c>
      <c r="J15" s="26">
        <f t="shared" si="1"/>
        <v>1233370</v>
      </c>
      <c r="K15" s="26">
        <f t="shared" si="1"/>
        <v>1016983</v>
      </c>
      <c r="L15" s="26">
        <f t="shared" si="1"/>
        <v>951340</v>
      </c>
      <c r="M15" s="26">
        <f t="shared" si="1"/>
        <v>452305</v>
      </c>
      <c r="N15" s="26">
        <f>SUM(N3:N14)</f>
        <v>15513381</v>
      </c>
    </row>
    <row r="16" spans="1:14" s="71" customFormat="1" ht="12.75" customHeight="1">
      <c r="A16" s="24">
        <v>2</v>
      </c>
      <c r="B16" s="27"/>
      <c r="C16" s="159" t="s">
        <v>13</v>
      </c>
      <c r="D16" s="25">
        <f>3090672+'táj.2.'!C20</f>
        <v>3087172</v>
      </c>
      <c r="E16" s="25">
        <f>833929+'táj.2.'!D20</f>
        <v>833749</v>
      </c>
      <c r="F16" s="25">
        <f>2621728+'táj.2.'!E20</f>
        <v>2630034</v>
      </c>
      <c r="G16" s="25">
        <f>0+'táj.2.'!F20</f>
        <v>0</v>
      </c>
      <c r="H16" s="25">
        <f>46137+'táj.2.'!G20</f>
        <v>46719</v>
      </c>
      <c r="I16" s="25">
        <f>189547+'táj.2.'!H20</f>
        <v>192747</v>
      </c>
      <c r="J16" s="25">
        <f>125808+'táj.2.'!I20</f>
        <v>125808</v>
      </c>
      <c r="K16" s="25">
        <f>0+'táj.2.'!J20</f>
        <v>0</v>
      </c>
      <c r="L16" s="25">
        <f>0+'táj.2.'!K20</f>
        <v>0</v>
      </c>
      <c r="M16" s="25">
        <f>0+'táj.2.'!J20</f>
        <v>0</v>
      </c>
      <c r="N16" s="25">
        <f>SUM(D16:M16)</f>
        <v>6916229</v>
      </c>
    </row>
    <row r="17" spans="1:14" s="71" customFormat="1" ht="12.75" customHeight="1">
      <c r="A17" s="77"/>
      <c r="B17" s="77"/>
      <c r="C17" s="112" t="s">
        <v>1136</v>
      </c>
      <c r="D17" s="26">
        <f aca="true" t="shared" si="2" ref="D17:N17">SUM(D15:D16)</f>
        <v>3177168</v>
      </c>
      <c r="E17" s="26">
        <f t="shared" si="2"/>
        <v>862535</v>
      </c>
      <c r="F17" s="26">
        <f t="shared" si="2"/>
        <v>5071953</v>
      </c>
      <c r="G17" s="26">
        <f t="shared" si="2"/>
        <v>413606</v>
      </c>
      <c r="H17" s="26">
        <f t="shared" si="2"/>
        <v>2586115</v>
      </c>
      <c r="I17" s="26">
        <f t="shared" si="2"/>
        <v>6538427</v>
      </c>
      <c r="J17" s="26">
        <f t="shared" si="2"/>
        <v>1359178</v>
      </c>
      <c r="K17" s="26">
        <f t="shared" si="2"/>
        <v>1016983</v>
      </c>
      <c r="L17" s="26">
        <f t="shared" si="2"/>
        <v>951340</v>
      </c>
      <c r="M17" s="26">
        <f t="shared" si="2"/>
        <v>452305</v>
      </c>
      <c r="N17" s="26">
        <f t="shared" si="2"/>
        <v>22429610</v>
      </c>
    </row>
    <row r="18" spans="13:14" s="16" customFormat="1" ht="12">
      <c r="M18" s="48"/>
      <c r="N18" s="48"/>
    </row>
    <row r="19" spans="13:14" s="16" customFormat="1" ht="12">
      <c r="M19" s="48"/>
      <c r="N19" s="182"/>
    </row>
    <row r="20" spans="13:14" s="16" customFormat="1" ht="12">
      <c r="M20" s="48"/>
      <c r="N20" s="48"/>
    </row>
    <row r="21" spans="13:14" s="16" customFormat="1" ht="12">
      <c r="M21" s="48"/>
      <c r="N21" s="48"/>
    </row>
    <row r="22" spans="13:14" s="16" customFormat="1" ht="12">
      <c r="M22" s="48"/>
      <c r="N22" s="48"/>
    </row>
    <row r="23" spans="13:14" s="16" customFormat="1" ht="12">
      <c r="M23" s="48"/>
      <c r="N23" s="48"/>
    </row>
    <row r="24" spans="13:14" s="16" customFormat="1" ht="12">
      <c r="M24" s="48"/>
      <c r="N24" s="48"/>
    </row>
    <row r="25" spans="13:14" s="16" customFormat="1" ht="12">
      <c r="M25" s="48"/>
      <c r="N25" s="48"/>
    </row>
    <row r="26" spans="13:14" s="16" customFormat="1" ht="12">
      <c r="M26" s="48"/>
      <c r="N26" s="48"/>
    </row>
    <row r="27" spans="13:14" s="16" customFormat="1" ht="12">
      <c r="M27" s="48"/>
      <c r="N27" s="48"/>
    </row>
    <row r="28" spans="13:14" s="16" customFormat="1" ht="12">
      <c r="M28" s="48"/>
      <c r="N28" s="48"/>
    </row>
  </sheetData>
  <sheetProtection/>
  <mergeCells count="2">
    <mergeCell ref="D1:K1"/>
    <mergeCell ref="L1:M1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2014.  ÉVI KIADÁSI ELŐIRÁNYZATAI
CÍMENKÉNTI BONTÁSBAN&amp;R&amp;"Times New Roman CE,Félkövér dőlt"6. melléklet
Adatok: 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08"/>
  <sheetViews>
    <sheetView zoomScalePageLayoutView="0" workbookViewId="0" topLeftCell="A1">
      <pane ySplit="3" topLeftCell="A257" activePane="bottomLeft" state="frozen"/>
      <selection pane="topLeft" activeCell="A1" sqref="A1"/>
      <selection pane="bottomLeft" activeCell="G259" sqref="G259:O259"/>
    </sheetView>
  </sheetViews>
  <sheetFormatPr defaultColWidth="9.00390625" defaultRowHeight="12.75"/>
  <cols>
    <col min="1" max="1" width="4.625" style="208" customWidth="1"/>
    <col min="2" max="2" width="4.375" style="208" customWidth="1"/>
    <col min="3" max="3" width="6.625" style="208" customWidth="1"/>
    <col min="4" max="4" width="64.375" style="208" customWidth="1"/>
    <col min="5" max="5" width="4.50390625" style="208" customWidth="1"/>
    <col min="6" max="6" width="5.00390625" style="208" customWidth="1"/>
    <col min="7" max="7" width="12.50390625" style="208" customWidth="1"/>
    <col min="8" max="8" width="10.875" style="208" customWidth="1"/>
    <col min="9" max="9" width="12.50390625" style="208" customWidth="1"/>
    <col min="10" max="10" width="11.125" style="208" customWidth="1"/>
    <col min="11" max="11" width="11.625" style="208" customWidth="1"/>
    <col min="12" max="12" width="12.375" style="208" customWidth="1"/>
    <col min="13" max="13" width="12.50390625" style="208" customWidth="1"/>
    <col min="14" max="14" width="14.50390625" style="208" customWidth="1"/>
    <col min="15" max="15" width="13.00390625" style="208" customWidth="1"/>
    <col min="16" max="16384" width="9.375" style="208" customWidth="1"/>
  </cols>
  <sheetData>
    <row r="1" spans="1:15" ht="37.5" customHeight="1">
      <c r="A1" s="702" t="s">
        <v>279</v>
      </c>
      <c r="B1" s="704" t="s">
        <v>638</v>
      </c>
      <c r="C1" s="704" t="s">
        <v>639</v>
      </c>
      <c r="D1" s="708" t="s">
        <v>1141</v>
      </c>
      <c r="E1" s="709"/>
      <c r="F1" s="700" t="s">
        <v>642</v>
      </c>
      <c r="G1" s="712" t="s">
        <v>559</v>
      </c>
      <c r="H1" s="713"/>
      <c r="I1" s="714"/>
      <c r="J1" s="715" t="s">
        <v>560</v>
      </c>
      <c r="K1" s="715"/>
      <c r="L1" s="715"/>
      <c r="M1" s="697" t="s">
        <v>641</v>
      </c>
      <c r="N1" s="698"/>
      <c r="O1" s="699"/>
    </row>
    <row r="2" spans="1:15" ht="95.25" thickBot="1">
      <c r="A2" s="703"/>
      <c r="B2" s="705"/>
      <c r="C2" s="705"/>
      <c r="D2" s="710"/>
      <c r="E2" s="711"/>
      <c r="F2" s="701"/>
      <c r="G2" s="646" t="s">
        <v>1142</v>
      </c>
      <c r="H2" s="647" t="s">
        <v>1047</v>
      </c>
      <c r="I2" s="646" t="s">
        <v>1048</v>
      </c>
      <c r="J2" s="646" t="s">
        <v>1142</v>
      </c>
      <c r="K2" s="647" t="s">
        <v>1047</v>
      </c>
      <c r="L2" s="646" t="s">
        <v>1048</v>
      </c>
      <c r="M2" s="646" t="s">
        <v>1142</v>
      </c>
      <c r="N2" s="647" t="s">
        <v>1047</v>
      </c>
      <c r="O2" s="646" t="s">
        <v>1048</v>
      </c>
    </row>
    <row r="3" spans="1:15" ht="13.5" customHeight="1">
      <c r="A3" s="209">
        <v>1</v>
      </c>
      <c r="B3" s="389"/>
      <c r="C3" s="389"/>
      <c r="D3" s="390" t="s">
        <v>12</v>
      </c>
      <c r="E3" s="391"/>
      <c r="F3" s="391"/>
      <c r="G3" s="393"/>
      <c r="H3" s="393"/>
      <c r="I3" s="393"/>
      <c r="J3" s="323"/>
      <c r="K3" s="323"/>
      <c r="L3" s="323"/>
      <c r="M3" s="323"/>
      <c r="N3" s="323"/>
      <c r="O3" s="323"/>
    </row>
    <row r="4" spans="1:15" ht="13.5" customHeight="1">
      <c r="A4" s="213">
        <v>1</v>
      </c>
      <c r="B4" s="213">
        <v>12</v>
      </c>
      <c r="C4" s="214"/>
      <c r="D4" s="215" t="s">
        <v>970</v>
      </c>
      <c r="E4" s="211"/>
      <c r="F4" s="211"/>
      <c r="G4" s="393"/>
      <c r="H4" s="393"/>
      <c r="I4" s="393"/>
      <c r="J4" s="323"/>
      <c r="K4" s="323"/>
      <c r="L4" s="323"/>
      <c r="M4" s="323"/>
      <c r="N4" s="323"/>
      <c r="O4" s="323"/>
    </row>
    <row r="5" spans="1:15" ht="24.75" customHeight="1">
      <c r="A5" s="209"/>
      <c r="B5" s="210"/>
      <c r="C5" s="209" t="s">
        <v>93</v>
      </c>
      <c r="D5" s="216" t="s">
        <v>297</v>
      </c>
      <c r="E5" s="217"/>
      <c r="F5" s="596" t="s">
        <v>25</v>
      </c>
      <c r="G5" s="323">
        <v>0</v>
      </c>
      <c r="H5" s="283">
        <v>13205</v>
      </c>
      <c r="I5" s="218">
        <v>13205</v>
      </c>
      <c r="J5" s="657"/>
      <c r="K5" s="657">
        <v>-200</v>
      </c>
      <c r="L5" s="657">
        <f aca="true" t="shared" si="0" ref="L5:L90">SUM(J5:K5)</f>
        <v>-200</v>
      </c>
      <c r="M5" s="657">
        <f>SUM(G5+J5)</f>
        <v>0</v>
      </c>
      <c r="N5" s="657">
        <f>SUM(H5+K5)</f>
        <v>13005</v>
      </c>
      <c r="O5" s="657">
        <f aca="true" t="shared" si="1" ref="O5:O90">SUM(M5:N5)</f>
        <v>13005</v>
      </c>
    </row>
    <row r="6" spans="1:15" ht="24.75" customHeight="1">
      <c r="A6" s="209"/>
      <c r="B6" s="210"/>
      <c r="C6" s="209" t="s">
        <v>172</v>
      </c>
      <c r="D6" s="219" t="s">
        <v>298</v>
      </c>
      <c r="E6" s="220"/>
      <c r="F6" s="220"/>
      <c r="G6" s="323">
        <v>0</v>
      </c>
      <c r="H6" s="283">
        <v>22519</v>
      </c>
      <c r="I6" s="218">
        <v>22519</v>
      </c>
      <c r="J6" s="657"/>
      <c r="K6" s="657"/>
      <c r="L6" s="657">
        <f t="shared" si="0"/>
        <v>0</v>
      </c>
      <c r="M6" s="657">
        <f aca="true" t="shared" si="2" ref="M6:M90">SUM(G6+J6)</f>
        <v>0</v>
      </c>
      <c r="N6" s="657">
        <f aca="true" t="shared" si="3" ref="N6:N90">SUM(H6+K6)</f>
        <v>22519</v>
      </c>
      <c r="O6" s="657">
        <f t="shared" si="1"/>
        <v>22519</v>
      </c>
    </row>
    <row r="7" spans="1:15" ht="15" customHeight="1">
      <c r="A7" s="209"/>
      <c r="B7" s="210"/>
      <c r="C7" s="209" t="s">
        <v>174</v>
      </c>
      <c r="D7" s="673" t="s">
        <v>331</v>
      </c>
      <c r="E7" s="220"/>
      <c r="F7" s="674" t="s">
        <v>25</v>
      </c>
      <c r="G7" s="323"/>
      <c r="H7" s="283">
        <v>1200</v>
      </c>
      <c r="I7" s="218">
        <v>1200</v>
      </c>
      <c r="J7" s="657"/>
      <c r="K7" s="657">
        <v>200</v>
      </c>
      <c r="L7" s="657">
        <f t="shared" si="0"/>
        <v>200</v>
      </c>
      <c r="M7" s="657"/>
      <c r="N7" s="657">
        <f t="shared" si="3"/>
        <v>1400</v>
      </c>
      <c r="O7" s="657">
        <f t="shared" si="1"/>
        <v>1400</v>
      </c>
    </row>
    <row r="8" spans="1:15" ht="13.5" customHeight="1">
      <c r="A8" s="221"/>
      <c r="B8" s="222"/>
      <c r="C8" s="221"/>
      <c r="D8" s="223" t="s">
        <v>299</v>
      </c>
      <c r="E8" s="224"/>
      <c r="F8" s="224"/>
      <c r="G8" s="648"/>
      <c r="H8" s="394">
        <f>SUM(H5:H7)</f>
        <v>36924</v>
      </c>
      <c r="I8" s="394">
        <f aca="true" t="shared" si="4" ref="I8:O8">SUM(I5:I7)</f>
        <v>36924</v>
      </c>
      <c r="J8" s="394">
        <f t="shared" si="4"/>
        <v>0</v>
      </c>
      <c r="K8" s="394">
        <f t="shared" si="4"/>
        <v>0</v>
      </c>
      <c r="L8" s="394">
        <f t="shared" si="4"/>
        <v>0</v>
      </c>
      <c r="M8" s="394">
        <f t="shared" si="4"/>
        <v>0</v>
      </c>
      <c r="N8" s="394">
        <f t="shared" si="4"/>
        <v>36924</v>
      </c>
      <c r="O8" s="394">
        <f t="shared" si="4"/>
        <v>36924</v>
      </c>
    </row>
    <row r="9" spans="1:15" ht="13.5" customHeight="1">
      <c r="A9" s="225">
        <v>1</v>
      </c>
      <c r="B9" s="225">
        <v>13</v>
      </c>
      <c r="C9" s="226"/>
      <c r="D9" s="227" t="s">
        <v>971</v>
      </c>
      <c r="E9" s="228"/>
      <c r="F9" s="228"/>
      <c r="G9" s="323">
        <v>0</v>
      </c>
      <c r="H9" s="323">
        <v>0</v>
      </c>
      <c r="I9" s="229">
        <f>SUM(G9:H9)</f>
        <v>0</v>
      </c>
      <c r="J9" s="283"/>
      <c r="K9" s="283"/>
      <c r="L9" s="283"/>
      <c r="M9" s="283">
        <f t="shared" si="2"/>
        <v>0</v>
      </c>
      <c r="N9" s="283">
        <f t="shared" si="3"/>
        <v>0</v>
      </c>
      <c r="O9" s="283"/>
    </row>
    <row r="10" spans="1:15" ht="13.5" customHeight="1">
      <c r="A10" s="230"/>
      <c r="B10" s="231"/>
      <c r="C10" s="232" t="s">
        <v>93</v>
      </c>
      <c r="D10" s="233" t="s">
        <v>8</v>
      </c>
      <c r="E10" s="228"/>
      <c r="F10" s="228"/>
      <c r="G10" s="323">
        <v>0</v>
      </c>
      <c r="H10" s="323">
        <v>0</v>
      </c>
      <c r="I10" s="229">
        <f>SUM(G10:H10)</f>
        <v>0</v>
      </c>
      <c r="J10" s="283"/>
      <c r="K10" s="283"/>
      <c r="L10" s="283"/>
      <c r="M10" s="283">
        <f t="shared" si="2"/>
        <v>0</v>
      </c>
      <c r="N10" s="283">
        <f t="shared" si="3"/>
        <v>0</v>
      </c>
      <c r="O10" s="283"/>
    </row>
    <row r="11" spans="1:15" ht="13.5" customHeight="1">
      <c r="A11" s="230"/>
      <c r="B11" s="231"/>
      <c r="C11" s="234" t="s">
        <v>300</v>
      </c>
      <c r="D11" s="235" t="s">
        <v>301</v>
      </c>
      <c r="E11" s="228"/>
      <c r="F11" s="580"/>
      <c r="G11" s="323">
        <v>0</v>
      </c>
      <c r="H11" s="323">
        <v>0</v>
      </c>
      <c r="I11" s="229">
        <f>SUM(G11:H11)</f>
        <v>0</v>
      </c>
      <c r="J11" s="283"/>
      <c r="K11" s="283"/>
      <c r="L11" s="283"/>
      <c r="M11" s="283">
        <f t="shared" si="2"/>
        <v>0</v>
      </c>
      <c r="N11" s="283">
        <f t="shared" si="3"/>
        <v>0</v>
      </c>
      <c r="O11" s="283"/>
    </row>
    <row r="12" spans="1:15" ht="13.5" customHeight="1">
      <c r="A12" s="230"/>
      <c r="B12" s="231"/>
      <c r="C12" s="236" t="s">
        <v>302</v>
      </c>
      <c r="D12" s="237" t="s">
        <v>303</v>
      </c>
      <c r="E12" s="238"/>
      <c r="F12" s="238"/>
      <c r="G12" s="323">
        <v>0</v>
      </c>
      <c r="H12" s="323">
        <v>2000</v>
      </c>
      <c r="I12" s="229">
        <v>2000</v>
      </c>
      <c r="J12" s="283"/>
      <c r="K12" s="283"/>
      <c r="L12" s="283">
        <f>SUM(J12:K12)</f>
        <v>0</v>
      </c>
      <c r="M12" s="283">
        <f t="shared" si="2"/>
        <v>0</v>
      </c>
      <c r="N12" s="283">
        <f t="shared" si="3"/>
        <v>2000</v>
      </c>
      <c r="O12" s="283">
        <f t="shared" si="1"/>
        <v>2000</v>
      </c>
    </row>
    <row r="13" spans="1:15" ht="13.5" customHeight="1">
      <c r="A13" s="230"/>
      <c r="B13" s="231"/>
      <c r="C13" s="236" t="s">
        <v>721</v>
      </c>
      <c r="D13" s="564" t="s">
        <v>1010</v>
      </c>
      <c r="E13" s="241"/>
      <c r="F13" s="589"/>
      <c r="G13" s="323">
        <v>0</v>
      </c>
      <c r="H13" s="323"/>
      <c r="I13" s="229">
        <v>0</v>
      </c>
      <c r="J13" s="283"/>
      <c r="K13" s="283"/>
      <c r="L13" s="283">
        <f t="shared" si="0"/>
        <v>0</v>
      </c>
      <c r="M13" s="283">
        <f t="shared" si="2"/>
        <v>0</v>
      </c>
      <c r="N13" s="283"/>
      <c r="O13" s="283">
        <f t="shared" si="1"/>
        <v>0</v>
      </c>
    </row>
    <row r="14" spans="1:15" ht="13.5" customHeight="1">
      <c r="A14" s="230"/>
      <c r="B14" s="231"/>
      <c r="C14" s="236" t="s">
        <v>374</v>
      </c>
      <c r="D14" s="237" t="s">
        <v>375</v>
      </c>
      <c r="E14" s="241"/>
      <c r="F14" s="589"/>
      <c r="G14" s="323">
        <v>3500</v>
      </c>
      <c r="H14" s="323"/>
      <c r="I14" s="229">
        <v>3500</v>
      </c>
      <c r="J14" s="283"/>
      <c r="K14" s="283"/>
      <c r="L14" s="283">
        <f t="shared" si="0"/>
        <v>0</v>
      </c>
      <c r="M14" s="283">
        <f t="shared" si="2"/>
        <v>3500</v>
      </c>
      <c r="N14" s="283"/>
      <c r="O14" s="283">
        <f t="shared" si="1"/>
        <v>3500</v>
      </c>
    </row>
    <row r="15" spans="1:15" ht="13.5" customHeight="1">
      <c r="A15" s="230"/>
      <c r="B15" s="231"/>
      <c r="C15" s="236" t="s">
        <v>304</v>
      </c>
      <c r="D15" s="240" t="s">
        <v>9</v>
      </c>
      <c r="E15" s="241"/>
      <c r="F15" s="589"/>
      <c r="G15" s="323">
        <v>0</v>
      </c>
      <c r="H15" s="323">
        <v>0</v>
      </c>
      <c r="I15" s="229">
        <v>0</v>
      </c>
      <c r="J15" s="283"/>
      <c r="K15" s="283"/>
      <c r="L15" s="283">
        <f t="shared" si="0"/>
        <v>0</v>
      </c>
      <c r="M15" s="283">
        <f t="shared" si="2"/>
        <v>0</v>
      </c>
      <c r="N15" s="283">
        <f t="shared" si="3"/>
        <v>0</v>
      </c>
      <c r="O15" s="283">
        <f t="shared" si="1"/>
        <v>0</v>
      </c>
    </row>
    <row r="16" spans="1:15" ht="15" customHeight="1">
      <c r="A16" s="230"/>
      <c r="B16" s="231"/>
      <c r="C16" s="236" t="s">
        <v>173</v>
      </c>
      <c r="D16" s="242" t="s">
        <v>305</v>
      </c>
      <c r="E16" s="241"/>
      <c r="F16" s="589"/>
      <c r="G16" s="323">
        <v>0</v>
      </c>
      <c r="H16" s="323">
        <v>13294</v>
      </c>
      <c r="I16" s="229">
        <v>13294</v>
      </c>
      <c r="J16" s="283"/>
      <c r="K16" s="283"/>
      <c r="L16" s="283">
        <f t="shared" si="0"/>
        <v>0</v>
      </c>
      <c r="M16" s="283">
        <f t="shared" si="2"/>
        <v>0</v>
      </c>
      <c r="N16" s="283">
        <f t="shared" si="3"/>
        <v>13294</v>
      </c>
      <c r="O16" s="283">
        <f t="shared" si="1"/>
        <v>13294</v>
      </c>
    </row>
    <row r="17" spans="1:15" ht="14.25" customHeight="1">
      <c r="A17" s="230"/>
      <c r="B17" s="231"/>
      <c r="C17" s="236" t="s">
        <v>1</v>
      </c>
      <c r="D17" s="243" t="s">
        <v>306</v>
      </c>
      <c r="E17" s="241"/>
      <c r="F17" s="589"/>
      <c r="G17" s="323">
        <v>0</v>
      </c>
      <c r="H17" s="323">
        <v>8000</v>
      </c>
      <c r="I17" s="229">
        <v>8000</v>
      </c>
      <c r="J17" s="283"/>
      <c r="K17" s="283"/>
      <c r="L17" s="283">
        <f t="shared" si="0"/>
        <v>0</v>
      </c>
      <c r="M17" s="283">
        <f t="shared" si="2"/>
        <v>0</v>
      </c>
      <c r="N17" s="283">
        <f t="shared" si="3"/>
        <v>8000</v>
      </c>
      <c r="O17" s="283">
        <f t="shared" si="1"/>
        <v>8000</v>
      </c>
    </row>
    <row r="18" spans="1:15" ht="15" customHeight="1">
      <c r="A18" s="230"/>
      <c r="B18" s="231"/>
      <c r="C18" s="236" t="s">
        <v>877</v>
      </c>
      <c r="D18" s="244" t="s">
        <v>307</v>
      </c>
      <c r="E18" s="241"/>
      <c r="F18" s="589"/>
      <c r="G18" s="323">
        <v>3000</v>
      </c>
      <c r="H18" s="323">
        <v>0</v>
      </c>
      <c r="I18" s="229">
        <v>3000</v>
      </c>
      <c r="J18" s="283"/>
      <c r="K18" s="283"/>
      <c r="L18" s="283">
        <f t="shared" si="0"/>
        <v>0</v>
      </c>
      <c r="M18" s="283">
        <f t="shared" si="2"/>
        <v>3000</v>
      </c>
      <c r="N18" s="283">
        <f t="shared" si="3"/>
        <v>0</v>
      </c>
      <c r="O18" s="283">
        <f t="shared" si="1"/>
        <v>3000</v>
      </c>
    </row>
    <row r="19" spans="1:15" ht="15" customHeight="1">
      <c r="A19" s="230"/>
      <c r="B19" s="231"/>
      <c r="C19" s="236" t="s">
        <v>1014</v>
      </c>
      <c r="D19" s="244" t="s">
        <v>1015</v>
      </c>
      <c r="E19" s="241"/>
      <c r="F19" s="589"/>
      <c r="G19" s="323">
        <v>1798</v>
      </c>
      <c r="H19" s="323">
        <v>0</v>
      </c>
      <c r="I19" s="229">
        <v>1798</v>
      </c>
      <c r="J19" s="283"/>
      <c r="K19" s="283"/>
      <c r="L19" s="283">
        <f t="shared" si="0"/>
        <v>0</v>
      </c>
      <c r="M19" s="283">
        <f t="shared" si="2"/>
        <v>1798</v>
      </c>
      <c r="N19" s="283">
        <f t="shared" si="3"/>
        <v>0</v>
      </c>
      <c r="O19" s="283">
        <f t="shared" si="1"/>
        <v>1798</v>
      </c>
    </row>
    <row r="20" spans="1:15" ht="15" customHeight="1">
      <c r="A20" s="230"/>
      <c r="B20" s="231"/>
      <c r="C20" s="236" t="s">
        <v>671</v>
      </c>
      <c r="D20" s="671" t="s">
        <v>672</v>
      </c>
      <c r="E20" s="241"/>
      <c r="F20" s="589"/>
      <c r="G20" s="323"/>
      <c r="H20" s="323">
        <v>140</v>
      </c>
      <c r="I20" s="229">
        <v>140</v>
      </c>
      <c r="J20" s="283"/>
      <c r="K20" s="283"/>
      <c r="L20" s="283">
        <f t="shared" si="0"/>
        <v>0</v>
      </c>
      <c r="M20" s="283"/>
      <c r="N20" s="283">
        <f t="shared" si="3"/>
        <v>140</v>
      </c>
      <c r="O20" s="283">
        <f t="shared" si="1"/>
        <v>140</v>
      </c>
    </row>
    <row r="21" spans="1:15" ht="15" customHeight="1">
      <c r="A21" s="230"/>
      <c r="B21" s="231"/>
      <c r="C21" s="236" t="s">
        <v>673</v>
      </c>
      <c r="D21" s="671" t="s">
        <v>674</v>
      </c>
      <c r="E21" s="241"/>
      <c r="F21" s="589"/>
      <c r="G21" s="323"/>
      <c r="H21" s="323">
        <v>800</v>
      </c>
      <c r="I21" s="229">
        <v>800</v>
      </c>
      <c r="J21" s="283"/>
      <c r="K21" s="283"/>
      <c r="L21" s="283">
        <f t="shared" si="0"/>
        <v>0</v>
      </c>
      <c r="M21" s="283"/>
      <c r="N21" s="283">
        <f t="shared" si="3"/>
        <v>800</v>
      </c>
      <c r="O21" s="283">
        <f t="shared" si="1"/>
        <v>800</v>
      </c>
    </row>
    <row r="22" spans="1:15" ht="15" customHeight="1">
      <c r="A22" s="230"/>
      <c r="B22" s="231"/>
      <c r="C22" s="236" t="s">
        <v>537</v>
      </c>
      <c r="D22" s="671" t="s">
        <v>539</v>
      </c>
      <c r="E22" s="241"/>
      <c r="F22" s="589" t="s">
        <v>25</v>
      </c>
      <c r="G22" s="323"/>
      <c r="H22" s="323"/>
      <c r="I22" s="229"/>
      <c r="J22" s="283"/>
      <c r="K22" s="283">
        <v>100</v>
      </c>
      <c r="L22" s="283">
        <f t="shared" si="0"/>
        <v>100</v>
      </c>
      <c r="M22" s="283"/>
      <c r="N22" s="283">
        <f t="shared" si="3"/>
        <v>100</v>
      </c>
      <c r="O22" s="283">
        <f t="shared" si="1"/>
        <v>100</v>
      </c>
    </row>
    <row r="23" spans="1:15" ht="15" customHeight="1">
      <c r="A23" s="230"/>
      <c r="B23" s="231"/>
      <c r="C23" s="234" t="s">
        <v>308</v>
      </c>
      <c r="D23" s="245" t="s">
        <v>309</v>
      </c>
      <c r="E23" s="241"/>
      <c r="F23" s="589"/>
      <c r="G23" s="323">
        <v>0</v>
      </c>
      <c r="H23" s="323">
        <v>0</v>
      </c>
      <c r="I23" s="229">
        <v>0</v>
      </c>
      <c r="J23" s="283"/>
      <c r="K23" s="283"/>
      <c r="L23" s="283">
        <f t="shared" si="0"/>
        <v>0</v>
      </c>
      <c r="M23" s="283">
        <f t="shared" si="2"/>
        <v>0</v>
      </c>
      <c r="N23" s="283">
        <f t="shared" si="3"/>
        <v>0</v>
      </c>
      <c r="O23" s="283">
        <f t="shared" si="1"/>
        <v>0</v>
      </c>
    </row>
    <row r="24" spans="1:15" ht="24.75" customHeight="1">
      <c r="A24" s="230"/>
      <c r="B24" s="231"/>
      <c r="C24" s="226" t="s">
        <v>310</v>
      </c>
      <c r="D24" s="237" t="s">
        <v>1005</v>
      </c>
      <c r="E24" s="241"/>
      <c r="F24" s="589"/>
      <c r="G24" s="323">
        <v>15685</v>
      </c>
      <c r="H24" s="283">
        <v>0</v>
      </c>
      <c r="I24" s="229">
        <v>15685</v>
      </c>
      <c r="J24" s="283"/>
      <c r="K24" s="283"/>
      <c r="L24" s="283">
        <f t="shared" si="0"/>
        <v>0</v>
      </c>
      <c r="M24" s="283">
        <f t="shared" si="2"/>
        <v>15685</v>
      </c>
      <c r="N24" s="283">
        <f t="shared" si="3"/>
        <v>0</v>
      </c>
      <c r="O24" s="283">
        <f t="shared" si="1"/>
        <v>15685</v>
      </c>
    </row>
    <row r="25" spans="1:15" ht="24.75" customHeight="1">
      <c r="A25" s="230"/>
      <c r="B25" s="231"/>
      <c r="C25" s="226" t="s">
        <v>311</v>
      </c>
      <c r="D25" s="237" t="s">
        <v>1006</v>
      </c>
      <c r="E25" s="241"/>
      <c r="F25" s="589" t="s">
        <v>25</v>
      </c>
      <c r="G25" s="323">
        <v>5656</v>
      </c>
      <c r="H25" s="283">
        <v>38059</v>
      </c>
      <c r="I25" s="229">
        <v>43715</v>
      </c>
      <c r="J25" s="283">
        <v>-406</v>
      </c>
      <c r="K25" s="283"/>
      <c r="L25" s="283">
        <f t="shared" si="0"/>
        <v>-406</v>
      </c>
      <c r="M25" s="283">
        <f t="shared" si="2"/>
        <v>5250</v>
      </c>
      <c r="N25" s="283">
        <f t="shared" si="3"/>
        <v>38059</v>
      </c>
      <c r="O25" s="283">
        <f t="shared" si="1"/>
        <v>43309</v>
      </c>
    </row>
    <row r="26" spans="1:15" ht="15" customHeight="1">
      <c r="A26" s="230"/>
      <c r="B26" s="231"/>
      <c r="C26" s="226" t="s">
        <v>312</v>
      </c>
      <c r="D26" s="237" t="s">
        <v>313</v>
      </c>
      <c r="E26" s="241"/>
      <c r="F26" s="589"/>
      <c r="G26" s="323">
        <v>12000</v>
      </c>
      <c r="H26" s="323">
        <v>0</v>
      </c>
      <c r="I26" s="229">
        <v>12000</v>
      </c>
      <c r="J26" s="283"/>
      <c r="K26" s="283"/>
      <c r="L26" s="283">
        <f t="shared" si="0"/>
        <v>0</v>
      </c>
      <c r="M26" s="283">
        <f t="shared" si="2"/>
        <v>12000</v>
      </c>
      <c r="N26" s="283">
        <f t="shared" si="3"/>
        <v>0</v>
      </c>
      <c r="O26" s="283">
        <f t="shared" si="1"/>
        <v>12000</v>
      </c>
    </row>
    <row r="27" spans="1:15" ht="15" customHeight="1">
      <c r="A27" s="230"/>
      <c r="B27" s="231"/>
      <c r="C27" s="226" t="s">
        <v>314</v>
      </c>
      <c r="D27" s="243" t="s">
        <v>315</v>
      </c>
      <c r="E27" s="241"/>
      <c r="F27" s="589"/>
      <c r="G27" s="323">
        <v>5700</v>
      </c>
      <c r="H27" s="323">
        <v>0</v>
      </c>
      <c r="I27" s="229">
        <v>5700</v>
      </c>
      <c r="J27" s="283"/>
      <c r="K27" s="283"/>
      <c r="L27" s="283">
        <f t="shared" si="0"/>
        <v>0</v>
      </c>
      <c r="M27" s="283">
        <f t="shared" si="2"/>
        <v>5700</v>
      </c>
      <c r="N27" s="283">
        <f t="shared" si="3"/>
        <v>0</v>
      </c>
      <c r="O27" s="283">
        <f t="shared" si="1"/>
        <v>5700</v>
      </c>
    </row>
    <row r="28" spans="1:15" ht="15" customHeight="1">
      <c r="A28" s="230"/>
      <c r="B28" s="231"/>
      <c r="C28" s="226" t="s">
        <v>316</v>
      </c>
      <c r="D28" s="246" t="s">
        <v>317</v>
      </c>
      <c r="E28" s="241"/>
      <c r="F28" s="589"/>
      <c r="G28" s="323">
        <v>0</v>
      </c>
      <c r="H28" s="323">
        <v>4933</v>
      </c>
      <c r="I28" s="229">
        <v>4933</v>
      </c>
      <c r="J28" s="283"/>
      <c r="K28" s="283"/>
      <c r="L28" s="283">
        <f t="shared" si="0"/>
        <v>0</v>
      </c>
      <c r="M28" s="283">
        <f t="shared" si="2"/>
        <v>0</v>
      </c>
      <c r="N28" s="283">
        <f t="shared" si="3"/>
        <v>4933</v>
      </c>
      <c r="O28" s="283">
        <f t="shared" si="1"/>
        <v>4933</v>
      </c>
    </row>
    <row r="29" spans="1:15" ht="15" customHeight="1">
      <c r="A29" s="230"/>
      <c r="B29" s="231"/>
      <c r="C29" s="226" t="s">
        <v>999</v>
      </c>
      <c r="D29" s="246" t="s">
        <v>991</v>
      </c>
      <c r="E29" s="241"/>
      <c r="F29" s="589"/>
      <c r="G29" s="323">
        <v>50000</v>
      </c>
      <c r="H29" s="323"/>
      <c r="I29" s="229">
        <v>50000</v>
      </c>
      <c r="J29" s="283"/>
      <c r="K29" s="283"/>
      <c r="L29" s="283">
        <f t="shared" si="0"/>
        <v>0</v>
      </c>
      <c r="M29" s="283">
        <f t="shared" si="2"/>
        <v>50000</v>
      </c>
      <c r="N29" s="283"/>
      <c r="O29" s="283">
        <f t="shared" si="1"/>
        <v>50000</v>
      </c>
    </row>
    <row r="30" spans="1:15" ht="24.75" customHeight="1">
      <c r="A30" s="230"/>
      <c r="B30" s="231"/>
      <c r="C30" s="263" t="s">
        <v>994</v>
      </c>
      <c r="D30" s="246" t="s">
        <v>995</v>
      </c>
      <c r="E30" s="241"/>
      <c r="F30" s="589"/>
      <c r="G30" s="323"/>
      <c r="H30" s="323">
        <v>200</v>
      </c>
      <c r="I30" s="229">
        <v>200</v>
      </c>
      <c r="J30" s="283"/>
      <c r="K30" s="283"/>
      <c r="L30" s="283">
        <f t="shared" si="0"/>
        <v>0</v>
      </c>
      <c r="M30" s="283"/>
      <c r="N30" s="283">
        <v>200</v>
      </c>
      <c r="O30" s="283">
        <f t="shared" si="1"/>
        <v>200</v>
      </c>
    </row>
    <row r="31" spans="1:15" ht="15" customHeight="1">
      <c r="A31" s="230"/>
      <c r="B31" s="231"/>
      <c r="C31" s="263" t="s">
        <v>863</v>
      </c>
      <c r="D31" s="246" t="s">
        <v>194</v>
      </c>
      <c r="E31" s="241"/>
      <c r="F31" s="589"/>
      <c r="G31" s="323">
        <v>28000</v>
      </c>
      <c r="H31" s="323"/>
      <c r="I31" s="229">
        <v>28000</v>
      </c>
      <c r="J31" s="283"/>
      <c r="K31" s="283"/>
      <c r="L31" s="283">
        <f t="shared" si="0"/>
        <v>0</v>
      </c>
      <c r="M31" s="283">
        <f t="shared" si="2"/>
        <v>28000</v>
      </c>
      <c r="N31" s="283"/>
      <c r="O31" s="283">
        <f t="shared" si="1"/>
        <v>28000</v>
      </c>
    </row>
    <row r="32" spans="1:15" ht="15" customHeight="1">
      <c r="A32" s="230"/>
      <c r="B32" s="231"/>
      <c r="C32" s="226">
        <v>5</v>
      </c>
      <c r="D32" s="247" t="s">
        <v>318</v>
      </c>
      <c r="E32" s="241"/>
      <c r="F32" s="589"/>
      <c r="G32" s="323">
        <v>0</v>
      </c>
      <c r="H32" s="323">
        <v>0</v>
      </c>
      <c r="I32" s="229">
        <v>0</v>
      </c>
      <c r="J32" s="283"/>
      <c r="K32" s="283"/>
      <c r="L32" s="283">
        <f t="shared" si="0"/>
        <v>0</v>
      </c>
      <c r="M32" s="283">
        <f t="shared" si="2"/>
        <v>0</v>
      </c>
      <c r="N32" s="283">
        <f t="shared" si="3"/>
        <v>0</v>
      </c>
      <c r="O32" s="283">
        <f t="shared" si="1"/>
        <v>0</v>
      </c>
    </row>
    <row r="33" spans="1:15" ht="15" customHeight="1">
      <c r="A33" s="230"/>
      <c r="B33" s="231"/>
      <c r="C33" s="248" t="s">
        <v>319</v>
      </c>
      <c r="D33" s="249" t="s">
        <v>320</v>
      </c>
      <c r="E33" s="252"/>
      <c r="F33" s="590"/>
      <c r="G33" s="323">
        <v>19050</v>
      </c>
      <c r="H33" s="323">
        <v>0</v>
      </c>
      <c r="I33" s="229">
        <v>19050</v>
      </c>
      <c r="J33" s="283"/>
      <c r="K33" s="283"/>
      <c r="L33" s="283">
        <f t="shared" si="0"/>
        <v>0</v>
      </c>
      <c r="M33" s="283">
        <f t="shared" si="2"/>
        <v>19050</v>
      </c>
      <c r="N33" s="283">
        <f t="shared" si="3"/>
        <v>0</v>
      </c>
      <c r="O33" s="283">
        <f t="shared" si="1"/>
        <v>19050</v>
      </c>
    </row>
    <row r="34" spans="1:15" ht="24.75" customHeight="1">
      <c r="A34" s="230"/>
      <c r="B34" s="231"/>
      <c r="C34" s="248" t="s">
        <v>321</v>
      </c>
      <c r="D34" s="251" t="s">
        <v>1051</v>
      </c>
      <c r="E34" s="252"/>
      <c r="F34" s="590"/>
      <c r="G34" s="323">
        <v>140425</v>
      </c>
      <c r="H34" s="323">
        <v>0</v>
      </c>
      <c r="I34" s="229">
        <v>140425</v>
      </c>
      <c r="J34" s="283"/>
      <c r="K34" s="283"/>
      <c r="L34" s="283">
        <f t="shared" si="0"/>
        <v>0</v>
      </c>
      <c r="M34" s="283">
        <f t="shared" si="2"/>
        <v>140425</v>
      </c>
      <c r="N34" s="283">
        <f t="shared" si="3"/>
        <v>0</v>
      </c>
      <c r="O34" s="283">
        <f t="shared" si="1"/>
        <v>140425</v>
      </c>
    </row>
    <row r="35" spans="1:15" ht="24.75" customHeight="1">
      <c r="A35" s="230"/>
      <c r="B35" s="231"/>
      <c r="C35" s="248" t="s">
        <v>322</v>
      </c>
      <c r="D35" s="253" t="s">
        <v>1049</v>
      </c>
      <c r="E35" s="250"/>
      <c r="F35" s="577"/>
      <c r="G35" s="323">
        <v>0</v>
      </c>
      <c r="H35" s="323">
        <v>0</v>
      </c>
      <c r="I35" s="229">
        <v>0</v>
      </c>
      <c r="J35" s="283"/>
      <c r="K35" s="283"/>
      <c r="L35" s="283">
        <f t="shared" si="0"/>
        <v>0</v>
      </c>
      <c r="M35" s="283">
        <f t="shared" si="2"/>
        <v>0</v>
      </c>
      <c r="N35" s="283">
        <f t="shared" si="3"/>
        <v>0</v>
      </c>
      <c r="O35" s="283">
        <f t="shared" si="1"/>
        <v>0</v>
      </c>
    </row>
    <row r="36" spans="1:15" ht="15" customHeight="1">
      <c r="A36" s="230"/>
      <c r="B36" s="231"/>
      <c r="C36" s="248" t="s">
        <v>323</v>
      </c>
      <c r="D36" s="253" t="s">
        <v>1050</v>
      </c>
      <c r="E36" s="250"/>
      <c r="F36" s="577"/>
      <c r="G36" s="323">
        <v>0</v>
      </c>
      <c r="H36" s="323">
        <v>0</v>
      </c>
      <c r="I36" s="229">
        <v>0</v>
      </c>
      <c r="J36" s="283"/>
      <c r="K36" s="283"/>
      <c r="L36" s="283">
        <f t="shared" si="0"/>
        <v>0</v>
      </c>
      <c r="M36" s="283">
        <f t="shared" si="2"/>
        <v>0</v>
      </c>
      <c r="N36" s="283">
        <f t="shared" si="3"/>
        <v>0</v>
      </c>
      <c r="O36" s="283">
        <f t="shared" si="1"/>
        <v>0</v>
      </c>
    </row>
    <row r="37" spans="1:15" ht="24.75" customHeight="1">
      <c r="A37" s="230"/>
      <c r="B37" s="231"/>
      <c r="C37" s="248" t="s">
        <v>324</v>
      </c>
      <c r="D37" s="246" t="s">
        <v>325</v>
      </c>
      <c r="E37" s="254"/>
      <c r="F37" s="238"/>
      <c r="G37" s="323">
        <v>0</v>
      </c>
      <c r="H37" s="323">
        <v>29000</v>
      </c>
      <c r="I37" s="229">
        <v>29000</v>
      </c>
      <c r="J37" s="283"/>
      <c r="K37" s="283"/>
      <c r="L37" s="283">
        <f t="shared" si="0"/>
        <v>0</v>
      </c>
      <c r="M37" s="283">
        <f t="shared" si="2"/>
        <v>0</v>
      </c>
      <c r="N37" s="283">
        <f t="shared" si="3"/>
        <v>29000</v>
      </c>
      <c r="O37" s="283">
        <f t="shared" si="1"/>
        <v>29000</v>
      </c>
    </row>
    <row r="38" spans="1:15" ht="12.75" customHeight="1">
      <c r="A38" s="255"/>
      <c r="B38" s="256"/>
      <c r="C38" s="257"/>
      <c r="D38" s="258" t="s">
        <v>1054</v>
      </c>
      <c r="E38" s="259"/>
      <c r="F38" s="581"/>
      <c r="G38" s="260">
        <f>SUM(G12:G37)</f>
        <v>284814</v>
      </c>
      <c r="H38" s="260">
        <f>SUM(H12:H37)</f>
        <v>96426</v>
      </c>
      <c r="I38" s="260">
        <f>SUM(I12:I37)</f>
        <v>381240</v>
      </c>
      <c r="J38" s="260">
        <f aca="true" t="shared" si="5" ref="J38:O38">SUM(J12:J37)</f>
        <v>-406</v>
      </c>
      <c r="K38" s="260">
        <f t="shared" si="5"/>
        <v>100</v>
      </c>
      <c r="L38" s="260">
        <f t="shared" si="5"/>
        <v>-306</v>
      </c>
      <c r="M38" s="260">
        <f t="shared" si="5"/>
        <v>284408</v>
      </c>
      <c r="N38" s="260">
        <f t="shared" si="5"/>
        <v>96526</v>
      </c>
      <c r="O38" s="260">
        <f t="shared" si="5"/>
        <v>380934</v>
      </c>
    </row>
    <row r="39" spans="1:15" ht="12.75" customHeight="1">
      <c r="A39" s="261">
        <v>1</v>
      </c>
      <c r="B39" s="262">
        <v>15</v>
      </c>
      <c r="C39" s="263"/>
      <c r="D39" s="264" t="s">
        <v>244</v>
      </c>
      <c r="E39" s="265"/>
      <c r="F39" s="582"/>
      <c r="G39" s="323"/>
      <c r="H39" s="323"/>
      <c r="I39" s="266"/>
      <c r="J39" s="283"/>
      <c r="K39" s="283"/>
      <c r="L39" s="283"/>
      <c r="M39" s="283"/>
      <c r="N39" s="283"/>
      <c r="O39" s="283"/>
    </row>
    <row r="40" spans="1:15" ht="12.75" customHeight="1">
      <c r="A40" s="261"/>
      <c r="B40" s="262"/>
      <c r="C40" s="267">
        <v>1</v>
      </c>
      <c r="D40" s="264" t="s">
        <v>256</v>
      </c>
      <c r="E40" s="265"/>
      <c r="F40" s="582"/>
      <c r="G40" s="323"/>
      <c r="H40" s="323"/>
      <c r="I40" s="266"/>
      <c r="J40" s="283"/>
      <c r="K40" s="283"/>
      <c r="L40" s="283"/>
      <c r="M40" s="283"/>
      <c r="N40" s="283"/>
      <c r="O40" s="283">
        <f t="shared" si="1"/>
        <v>0</v>
      </c>
    </row>
    <row r="41" spans="1:15" ht="15" customHeight="1">
      <c r="A41" s="261"/>
      <c r="B41" s="262"/>
      <c r="C41" s="263" t="s">
        <v>169</v>
      </c>
      <c r="D41" s="243" t="s">
        <v>326</v>
      </c>
      <c r="E41" s="265"/>
      <c r="F41" s="582"/>
      <c r="G41" s="323">
        <v>18800</v>
      </c>
      <c r="H41" s="323">
        <v>0</v>
      </c>
      <c r="I41" s="268">
        <v>18800</v>
      </c>
      <c r="J41" s="283"/>
      <c r="K41" s="283"/>
      <c r="L41" s="283">
        <f t="shared" si="0"/>
        <v>0</v>
      </c>
      <c r="M41" s="283">
        <f t="shared" si="2"/>
        <v>18800</v>
      </c>
      <c r="N41" s="283">
        <f t="shared" si="3"/>
        <v>0</v>
      </c>
      <c r="O41" s="283">
        <f t="shared" si="1"/>
        <v>18800</v>
      </c>
    </row>
    <row r="42" spans="1:15" ht="15" customHeight="1">
      <c r="A42" s="269"/>
      <c r="B42" s="270"/>
      <c r="C42" s="263" t="s">
        <v>170</v>
      </c>
      <c r="D42" s="243" t="s">
        <v>327</v>
      </c>
      <c r="E42" s="265"/>
      <c r="F42" s="582"/>
      <c r="G42" s="323">
        <v>700</v>
      </c>
      <c r="H42" s="323">
        <v>0</v>
      </c>
      <c r="I42" s="268">
        <v>700</v>
      </c>
      <c r="J42" s="283"/>
      <c r="K42" s="283"/>
      <c r="L42" s="283">
        <f t="shared" si="0"/>
        <v>0</v>
      </c>
      <c r="M42" s="283">
        <f t="shared" si="2"/>
        <v>700</v>
      </c>
      <c r="N42" s="283">
        <f t="shared" si="3"/>
        <v>0</v>
      </c>
      <c r="O42" s="283">
        <f t="shared" si="1"/>
        <v>700</v>
      </c>
    </row>
    <row r="43" spans="1:15" ht="15" customHeight="1">
      <c r="A43" s="261"/>
      <c r="B43" s="262"/>
      <c r="C43" s="263" t="s">
        <v>171</v>
      </c>
      <c r="D43" s="271" t="s">
        <v>328</v>
      </c>
      <c r="E43" s="265"/>
      <c r="F43" s="582"/>
      <c r="G43" s="323">
        <v>0</v>
      </c>
      <c r="H43" s="323">
        <v>0</v>
      </c>
      <c r="I43" s="268">
        <v>0</v>
      </c>
      <c r="J43" s="283"/>
      <c r="K43" s="283"/>
      <c r="L43" s="283">
        <f t="shared" si="0"/>
        <v>0</v>
      </c>
      <c r="M43" s="283">
        <f t="shared" si="2"/>
        <v>0</v>
      </c>
      <c r="N43" s="283">
        <f t="shared" si="3"/>
        <v>0</v>
      </c>
      <c r="O43" s="283">
        <f t="shared" si="1"/>
        <v>0</v>
      </c>
    </row>
    <row r="44" spans="1:15" ht="24.75" customHeight="1">
      <c r="A44" s="261"/>
      <c r="B44" s="262"/>
      <c r="C44" s="263" t="s">
        <v>158</v>
      </c>
      <c r="D44" s="271" t="s">
        <v>338</v>
      </c>
      <c r="E44" s="265"/>
      <c r="F44" s="582"/>
      <c r="G44" s="323">
        <v>5000</v>
      </c>
      <c r="H44" s="323">
        <v>0</v>
      </c>
      <c r="I44" s="268">
        <v>5000</v>
      </c>
      <c r="J44" s="283"/>
      <c r="K44" s="283"/>
      <c r="L44" s="283">
        <f t="shared" si="0"/>
        <v>0</v>
      </c>
      <c r="M44" s="283">
        <f t="shared" si="2"/>
        <v>5000</v>
      </c>
      <c r="N44" s="283">
        <f t="shared" si="3"/>
        <v>0</v>
      </c>
      <c r="O44" s="283">
        <f t="shared" si="1"/>
        <v>5000</v>
      </c>
    </row>
    <row r="45" spans="1:15" ht="15" customHeight="1">
      <c r="A45" s="261"/>
      <c r="B45" s="262"/>
      <c r="C45" s="263" t="s">
        <v>159</v>
      </c>
      <c r="D45" s="243" t="s">
        <v>339</v>
      </c>
      <c r="E45" s="265"/>
      <c r="F45" s="582"/>
      <c r="G45" s="323">
        <v>750</v>
      </c>
      <c r="H45" s="323">
        <v>0</v>
      </c>
      <c r="I45" s="268">
        <v>750</v>
      </c>
      <c r="J45" s="283"/>
      <c r="K45" s="283"/>
      <c r="L45" s="283">
        <f t="shared" si="0"/>
        <v>0</v>
      </c>
      <c r="M45" s="283">
        <f t="shared" si="2"/>
        <v>750</v>
      </c>
      <c r="N45" s="283">
        <f t="shared" si="3"/>
        <v>0</v>
      </c>
      <c r="O45" s="283">
        <f t="shared" si="1"/>
        <v>750</v>
      </c>
    </row>
    <row r="46" spans="1:15" ht="12.75" customHeight="1">
      <c r="A46" s="261"/>
      <c r="B46" s="262"/>
      <c r="C46" s="263" t="s">
        <v>888</v>
      </c>
      <c r="D46" s="271" t="s">
        <v>340</v>
      </c>
      <c r="E46" s="265"/>
      <c r="F46" s="582"/>
      <c r="G46" s="323">
        <v>0</v>
      </c>
      <c r="H46" s="323">
        <v>0</v>
      </c>
      <c r="I46" s="268">
        <v>0</v>
      </c>
      <c r="J46" s="283"/>
      <c r="K46" s="283"/>
      <c r="L46" s="283">
        <f t="shared" si="0"/>
        <v>0</v>
      </c>
      <c r="M46" s="283">
        <f t="shared" si="2"/>
        <v>0</v>
      </c>
      <c r="N46" s="283">
        <f t="shared" si="3"/>
        <v>0</v>
      </c>
      <c r="O46" s="283">
        <f t="shared" si="1"/>
        <v>0</v>
      </c>
    </row>
    <row r="47" spans="1:15" ht="12.75" customHeight="1">
      <c r="A47" s="261"/>
      <c r="B47" s="262"/>
      <c r="C47" s="263" t="s">
        <v>889</v>
      </c>
      <c r="D47" s="271" t="s">
        <v>1060</v>
      </c>
      <c r="E47" s="265"/>
      <c r="F47" s="582"/>
      <c r="G47" s="323">
        <v>0</v>
      </c>
      <c r="H47" s="323">
        <v>0</v>
      </c>
      <c r="I47" s="268">
        <v>0</v>
      </c>
      <c r="J47" s="283"/>
      <c r="K47" s="283"/>
      <c r="L47" s="283">
        <f t="shared" si="0"/>
        <v>0</v>
      </c>
      <c r="M47" s="283">
        <f t="shared" si="2"/>
        <v>0</v>
      </c>
      <c r="N47" s="283">
        <f t="shared" si="3"/>
        <v>0</v>
      </c>
      <c r="O47" s="283">
        <f t="shared" si="1"/>
        <v>0</v>
      </c>
    </row>
    <row r="48" spans="1:15" ht="12.75" customHeight="1">
      <c r="A48" s="261"/>
      <c r="B48" s="262"/>
      <c r="C48" s="263" t="s">
        <v>887</v>
      </c>
      <c r="D48" s="243" t="s">
        <v>866</v>
      </c>
      <c r="E48" s="265"/>
      <c r="F48" s="582"/>
      <c r="G48" s="323">
        <v>200</v>
      </c>
      <c r="H48" s="323">
        <v>0</v>
      </c>
      <c r="I48" s="268">
        <v>200</v>
      </c>
      <c r="J48" s="283"/>
      <c r="K48" s="283"/>
      <c r="L48" s="283">
        <f t="shared" si="0"/>
        <v>0</v>
      </c>
      <c r="M48" s="283">
        <f t="shared" si="2"/>
        <v>200</v>
      </c>
      <c r="N48" s="283">
        <f t="shared" si="3"/>
        <v>0</v>
      </c>
      <c r="O48" s="283">
        <f t="shared" si="1"/>
        <v>200</v>
      </c>
    </row>
    <row r="49" spans="1:15" ht="12.75" customHeight="1">
      <c r="A49" s="261"/>
      <c r="B49" s="262"/>
      <c r="C49" s="263" t="s">
        <v>341</v>
      </c>
      <c r="D49" s="243" t="s">
        <v>342</v>
      </c>
      <c r="E49" s="265"/>
      <c r="F49" s="582"/>
      <c r="G49" s="323">
        <v>0</v>
      </c>
      <c r="H49" s="323">
        <v>0</v>
      </c>
      <c r="I49" s="268">
        <v>0</v>
      </c>
      <c r="J49" s="283"/>
      <c r="K49" s="283"/>
      <c r="L49" s="283">
        <f t="shared" si="0"/>
        <v>0</v>
      </c>
      <c r="M49" s="283">
        <f t="shared" si="2"/>
        <v>0</v>
      </c>
      <c r="N49" s="283">
        <f t="shared" si="3"/>
        <v>0</v>
      </c>
      <c r="O49" s="283">
        <f t="shared" si="1"/>
        <v>0</v>
      </c>
    </row>
    <row r="50" spans="1:15" ht="12.75" customHeight="1">
      <c r="A50" s="261"/>
      <c r="B50" s="262"/>
      <c r="C50" s="263" t="s">
        <v>1025</v>
      </c>
      <c r="D50" s="243" t="s">
        <v>1026</v>
      </c>
      <c r="E50" s="265"/>
      <c r="F50" s="582"/>
      <c r="G50" s="323">
        <v>0</v>
      </c>
      <c r="H50" s="323">
        <v>0</v>
      </c>
      <c r="I50" s="268">
        <v>0</v>
      </c>
      <c r="J50" s="283"/>
      <c r="K50" s="283"/>
      <c r="L50" s="283">
        <f t="shared" si="0"/>
        <v>0</v>
      </c>
      <c r="M50" s="283">
        <f t="shared" si="2"/>
        <v>0</v>
      </c>
      <c r="N50" s="283">
        <f t="shared" si="3"/>
        <v>0</v>
      </c>
      <c r="O50" s="283">
        <f t="shared" si="1"/>
        <v>0</v>
      </c>
    </row>
    <row r="51" spans="1:15" ht="12.75" customHeight="1">
      <c r="A51" s="261"/>
      <c r="B51" s="262"/>
      <c r="C51" s="263" t="s">
        <v>1000</v>
      </c>
      <c r="D51" s="316" t="s">
        <v>1027</v>
      </c>
      <c r="E51" s="265"/>
      <c r="F51" s="582"/>
      <c r="G51" s="323">
        <v>0</v>
      </c>
      <c r="H51" s="323">
        <v>0</v>
      </c>
      <c r="I51" s="268">
        <v>0</v>
      </c>
      <c r="J51" s="283"/>
      <c r="K51" s="283"/>
      <c r="L51" s="283">
        <f t="shared" si="0"/>
        <v>0</v>
      </c>
      <c r="M51" s="283">
        <f t="shared" si="2"/>
        <v>0</v>
      </c>
      <c r="N51" s="283">
        <f t="shared" si="3"/>
        <v>0</v>
      </c>
      <c r="O51" s="283">
        <f t="shared" si="1"/>
        <v>0</v>
      </c>
    </row>
    <row r="52" spans="1:15" ht="12.75" customHeight="1">
      <c r="A52" s="261"/>
      <c r="B52" s="262"/>
      <c r="C52" s="263" t="s">
        <v>675</v>
      </c>
      <c r="D52" s="316" t="s">
        <v>676</v>
      </c>
      <c r="E52" s="265"/>
      <c r="F52" s="582"/>
      <c r="G52" s="323">
        <v>15123</v>
      </c>
      <c r="H52" s="323"/>
      <c r="I52" s="268">
        <v>15123</v>
      </c>
      <c r="J52" s="283"/>
      <c r="K52" s="283"/>
      <c r="L52" s="283">
        <f t="shared" si="0"/>
        <v>0</v>
      </c>
      <c r="M52" s="283">
        <f t="shared" si="2"/>
        <v>15123</v>
      </c>
      <c r="N52" s="283"/>
      <c r="O52" s="283">
        <f t="shared" si="1"/>
        <v>15123</v>
      </c>
    </row>
    <row r="53" spans="1:15" ht="12.75" customHeight="1">
      <c r="A53" s="261"/>
      <c r="B53" s="262"/>
      <c r="C53" s="263" t="s">
        <v>657</v>
      </c>
      <c r="D53" s="316" t="s">
        <v>982</v>
      </c>
      <c r="E53" s="265"/>
      <c r="F53" s="582"/>
      <c r="G53" s="323">
        <v>991</v>
      </c>
      <c r="H53" s="323"/>
      <c r="I53" s="268">
        <v>991</v>
      </c>
      <c r="J53" s="283"/>
      <c r="K53" s="283"/>
      <c r="L53" s="283">
        <f t="shared" si="0"/>
        <v>0</v>
      </c>
      <c r="M53" s="283">
        <f t="shared" si="2"/>
        <v>991</v>
      </c>
      <c r="N53" s="283"/>
      <c r="O53" s="283">
        <f t="shared" si="1"/>
        <v>991</v>
      </c>
    </row>
    <row r="54" spans="1:15" ht="12.75" customHeight="1">
      <c r="A54" s="261"/>
      <c r="B54" s="262"/>
      <c r="C54" s="263"/>
      <c r="D54" s="272" t="s">
        <v>318</v>
      </c>
      <c r="E54" s="265"/>
      <c r="F54" s="582"/>
      <c r="G54" s="323">
        <v>0</v>
      </c>
      <c r="H54" s="323">
        <v>0</v>
      </c>
      <c r="I54" s="268">
        <v>0</v>
      </c>
      <c r="J54" s="283"/>
      <c r="K54" s="283"/>
      <c r="L54" s="283">
        <f t="shared" si="0"/>
        <v>0</v>
      </c>
      <c r="M54" s="283">
        <f t="shared" si="2"/>
        <v>0</v>
      </c>
      <c r="N54" s="283">
        <f t="shared" si="3"/>
        <v>0</v>
      </c>
      <c r="O54" s="283">
        <f t="shared" si="1"/>
        <v>0</v>
      </c>
    </row>
    <row r="55" spans="1:15" ht="12.75" customHeight="1">
      <c r="A55" s="261"/>
      <c r="B55" s="262"/>
      <c r="C55" s="263" t="s">
        <v>29</v>
      </c>
      <c r="D55" s="273" t="s">
        <v>343</v>
      </c>
      <c r="E55" s="274"/>
      <c r="F55" s="583"/>
      <c r="G55" s="323">
        <v>18326</v>
      </c>
      <c r="H55" s="323">
        <v>0</v>
      </c>
      <c r="I55" s="268">
        <v>18326</v>
      </c>
      <c r="J55" s="283"/>
      <c r="K55" s="283"/>
      <c r="L55" s="283">
        <f t="shared" si="0"/>
        <v>0</v>
      </c>
      <c r="M55" s="283">
        <f t="shared" si="2"/>
        <v>18326</v>
      </c>
      <c r="N55" s="283">
        <f t="shared" si="3"/>
        <v>0</v>
      </c>
      <c r="O55" s="283">
        <f t="shared" si="1"/>
        <v>18326</v>
      </c>
    </row>
    <row r="56" spans="1:15" ht="12.75" customHeight="1">
      <c r="A56" s="261"/>
      <c r="B56" s="262"/>
      <c r="C56" s="275" t="s">
        <v>172</v>
      </c>
      <c r="D56" s="276" t="s">
        <v>867</v>
      </c>
      <c r="E56" s="265"/>
      <c r="F56" s="582"/>
      <c r="G56" s="323"/>
      <c r="H56" s="323"/>
      <c r="I56" s="268"/>
      <c r="J56" s="283"/>
      <c r="K56" s="283"/>
      <c r="L56" s="283"/>
      <c r="M56" s="283"/>
      <c r="N56" s="283"/>
      <c r="O56" s="283"/>
    </row>
    <row r="57" spans="1:15" ht="12.75" customHeight="1">
      <c r="A57" s="261"/>
      <c r="B57" s="262"/>
      <c r="C57" s="263" t="s">
        <v>173</v>
      </c>
      <c r="D57" s="273" t="s">
        <v>2</v>
      </c>
      <c r="E57" s="265"/>
      <c r="F57" s="582"/>
      <c r="G57" s="323">
        <v>0</v>
      </c>
      <c r="H57" s="323">
        <v>0</v>
      </c>
      <c r="I57" s="268">
        <v>0</v>
      </c>
      <c r="J57" s="283"/>
      <c r="K57" s="283"/>
      <c r="L57" s="283">
        <f t="shared" si="0"/>
        <v>0</v>
      </c>
      <c r="M57" s="283">
        <f t="shared" si="2"/>
        <v>0</v>
      </c>
      <c r="N57" s="283">
        <f t="shared" si="3"/>
        <v>0</v>
      </c>
      <c r="O57" s="283">
        <f t="shared" si="1"/>
        <v>0</v>
      </c>
    </row>
    <row r="58" spans="1:15" ht="12.75" customHeight="1">
      <c r="A58" s="261"/>
      <c r="B58" s="262"/>
      <c r="C58" s="263" t="s">
        <v>1</v>
      </c>
      <c r="D58" s="277" t="s">
        <v>344</v>
      </c>
      <c r="E58" s="265"/>
      <c r="F58" s="582"/>
      <c r="G58" s="323">
        <v>0</v>
      </c>
      <c r="H58" s="323">
        <v>57864</v>
      </c>
      <c r="I58" s="268">
        <v>57864</v>
      </c>
      <c r="J58" s="283"/>
      <c r="K58" s="283"/>
      <c r="L58" s="283">
        <f t="shared" si="0"/>
        <v>0</v>
      </c>
      <c r="M58" s="283">
        <f t="shared" si="2"/>
        <v>0</v>
      </c>
      <c r="N58" s="283">
        <f t="shared" si="3"/>
        <v>57864</v>
      </c>
      <c r="O58" s="283">
        <f t="shared" si="1"/>
        <v>57864</v>
      </c>
    </row>
    <row r="59" spans="1:15" ht="12.75" customHeight="1">
      <c r="A59" s="261"/>
      <c r="B59" s="262"/>
      <c r="C59" s="263" t="s">
        <v>877</v>
      </c>
      <c r="D59" s="565" t="s">
        <v>265</v>
      </c>
      <c r="E59" s="265"/>
      <c r="F59" s="582"/>
      <c r="G59" s="323">
        <v>0</v>
      </c>
      <c r="H59" s="323">
        <v>0</v>
      </c>
      <c r="I59" s="268">
        <v>0</v>
      </c>
      <c r="J59" s="283"/>
      <c r="K59" s="283"/>
      <c r="L59" s="283">
        <f t="shared" si="0"/>
        <v>0</v>
      </c>
      <c r="M59" s="283">
        <f t="shared" si="2"/>
        <v>0</v>
      </c>
      <c r="N59" s="283">
        <f t="shared" si="3"/>
        <v>0</v>
      </c>
      <c r="O59" s="283">
        <f t="shared" si="1"/>
        <v>0</v>
      </c>
    </row>
    <row r="60" spans="1:15" ht="15" customHeight="1">
      <c r="A60" s="261"/>
      <c r="B60" s="262"/>
      <c r="C60" s="263"/>
      <c r="D60" s="272" t="s">
        <v>318</v>
      </c>
      <c r="E60" s="265"/>
      <c r="F60" s="582"/>
      <c r="G60" s="323">
        <v>0</v>
      </c>
      <c r="H60" s="323">
        <v>0</v>
      </c>
      <c r="I60" s="268">
        <v>0</v>
      </c>
      <c r="J60" s="283"/>
      <c r="K60" s="283"/>
      <c r="L60" s="283">
        <f t="shared" si="0"/>
        <v>0</v>
      </c>
      <c r="M60" s="283">
        <f t="shared" si="2"/>
        <v>0</v>
      </c>
      <c r="N60" s="283">
        <f t="shared" si="3"/>
        <v>0</v>
      </c>
      <c r="O60" s="283">
        <f t="shared" si="1"/>
        <v>0</v>
      </c>
    </row>
    <row r="61" spans="1:15" ht="24.75" customHeight="1">
      <c r="A61" s="261"/>
      <c r="B61" s="262"/>
      <c r="C61" s="263" t="s">
        <v>64</v>
      </c>
      <c r="D61" s="278" t="s">
        <v>345</v>
      </c>
      <c r="E61" s="265"/>
      <c r="F61" s="582"/>
      <c r="G61" s="323">
        <v>0</v>
      </c>
      <c r="H61" s="323">
        <v>355893</v>
      </c>
      <c r="I61" s="268">
        <v>355893</v>
      </c>
      <c r="J61" s="283"/>
      <c r="K61" s="283"/>
      <c r="L61" s="283">
        <f t="shared" si="0"/>
        <v>0</v>
      </c>
      <c r="M61" s="283">
        <f t="shared" si="2"/>
        <v>0</v>
      </c>
      <c r="N61" s="283">
        <f t="shared" si="3"/>
        <v>355893</v>
      </c>
      <c r="O61" s="283">
        <f t="shared" si="1"/>
        <v>355893</v>
      </c>
    </row>
    <row r="62" spans="1:15" ht="12.75" customHeight="1">
      <c r="A62" s="261"/>
      <c r="B62" s="262"/>
      <c r="C62" s="279" t="s">
        <v>174</v>
      </c>
      <c r="D62" s="280" t="s">
        <v>94</v>
      </c>
      <c r="E62" s="265"/>
      <c r="F62" s="582"/>
      <c r="G62" s="323"/>
      <c r="H62" s="323"/>
      <c r="I62" s="268"/>
      <c r="J62" s="283"/>
      <c r="K62" s="283"/>
      <c r="L62" s="283"/>
      <c r="M62" s="283"/>
      <c r="N62" s="283"/>
      <c r="O62" s="283"/>
    </row>
    <row r="63" spans="1:15" ht="12.75" customHeight="1">
      <c r="A63" s="261"/>
      <c r="B63" s="262"/>
      <c r="C63" s="263" t="s">
        <v>179</v>
      </c>
      <c r="D63" s="271" t="s">
        <v>346</v>
      </c>
      <c r="E63" s="265"/>
      <c r="F63" s="582"/>
      <c r="G63" s="323">
        <v>1420</v>
      </c>
      <c r="H63" s="323">
        <v>0</v>
      </c>
      <c r="I63" s="268">
        <v>1420</v>
      </c>
      <c r="J63" s="283"/>
      <c r="K63" s="283"/>
      <c r="L63" s="283">
        <f t="shared" si="0"/>
        <v>0</v>
      </c>
      <c r="M63" s="283">
        <f t="shared" si="2"/>
        <v>1420</v>
      </c>
      <c r="N63" s="283">
        <f t="shared" si="3"/>
        <v>0</v>
      </c>
      <c r="O63" s="283">
        <f t="shared" si="1"/>
        <v>1420</v>
      </c>
    </row>
    <row r="64" spans="1:15" ht="12.75" customHeight="1">
      <c r="A64" s="261"/>
      <c r="B64" s="262"/>
      <c r="C64" s="263" t="s">
        <v>180</v>
      </c>
      <c r="D64" s="281" t="s">
        <v>347</v>
      </c>
      <c r="E64" s="282"/>
      <c r="F64" s="582"/>
      <c r="G64" s="323">
        <v>4000</v>
      </c>
      <c r="H64" s="323">
        <v>0</v>
      </c>
      <c r="I64" s="268">
        <v>4000</v>
      </c>
      <c r="J64" s="283"/>
      <c r="K64" s="283"/>
      <c r="L64" s="283">
        <f t="shared" si="0"/>
        <v>0</v>
      </c>
      <c r="M64" s="283">
        <f t="shared" si="2"/>
        <v>4000</v>
      </c>
      <c r="N64" s="283">
        <f t="shared" si="3"/>
        <v>0</v>
      </c>
      <c r="O64" s="283">
        <f t="shared" si="1"/>
        <v>4000</v>
      </c>
    </row>
    <row r="65" spans="1:15" ht="12.75" customHeight="1">
      <c r="A65" s="261"/>
      <c r="B65" s="262"/>
      <c r="C65" s="263" t="s">
        <v>224</v>
      </c>
      <c r="D65" s="284" t="s">
        <v>348</v>
      </c>
      <c r="E65" s="282"/>
      <c r="F65" s="584"/>
      <c r="G65" s="323">
        <v>0</v>
      </c>
      <c r="H65" s="323">
        <v>0</v>
      </c>
      <c r="I65" s="268">
        <v>0</v>
      </c>
      <c r="J65" s="283"/>
      <c r="K65" s="283"/>
      <c r="L65" s="283">
        <f t="shared" si="0"/>
        <v>0</v>
      </c>
      <c r="M65" s="283">
        <f t="shared" si="2"/>
        <v>0</v>
      </c>
      <c r="N65" s="283">
        <f t="shared" si="3"/>
        <v>0</v>
      </c>
      <c r="O65" s="283">
        <f t="shared" si="1"/>
        <v>0</v>
      </c>
    </row>
    <row r="66" spans="1:15" ht="37.5" customHeight="1">
      <c r="A66" s="261"/>
      <c r="B66" s="262"/>
      <c r="C66" s="263" t="s">
        <v>11</v>
      </c>
      <c r="D66" s="284" t="s">
        <v>349</v>
      </c>
      <c r="E66" s="282"/>
      <c r="F66" s="584"/>
      <c r="G66" s="323">
        <v>1000</v>
      </c>
      <c r="H66" s="323">
        <v>0</v>
      </c>
      <c r="I66" s="268">
        <v>1000</v>
      </c>
      <c r="J66" s="283"/>
      <c r="K66" s="283"/>
      <c r="L66" s="283">
        <f t="shared" si="0"/>
        <v>0</v>
      </c>
      <c r="M66" s="283">
        <f t="shared" si="2"/>
        <v>1000</v>
      </c>
      <c r="N66" s="283">
        <f t="shared" si="3"/>
        <v>0</v>
      </c>
      <c r="O66" s="283">
        <f t="shared" si="1"/>
        <v>1000</v>
      </c>
    </row>
    <row r="67" spans="1:15" ht="12.75" customHeight="1">
      <c r="A67" s="261"/>
      <c r="B67" s="262"/>
      <c r="C67" s="263" t="s">
        <v>927</v>
      </c>
      <c r="D67" s="284" t="s">
        <v>350</v>
      </c>
      <c r="E67" s="282"/>
      <c r="F67" s="584"/>
      <c r="G67" s="323">
        <v>2071</v>
      </c>
      <c r="H67" s="323">
        <v>0</v>
      </c>
      <c r="I67" s="268">
        <v>2071</v>
      </c>
      <c r="J67" s="283"/>
      <c r="K67" s="283"/>
      <c r="L67" s="283">
        <f t="shared" si="0"/>
        <v>0</v>
      </c>
      <c r="M67" s="283">
        <f t="shared" si="2"/>
        <v>2071</v>
      </c>
      <c r="N67" s="283">
        <f t="shared" si="3"/>
        <v>0</v>
      </c>
      <c r="O67" s="283">
        <f t="shared" si="1"/>
        <v>2071</v>
      </c>
    </row>
    <row r="68" spans="1:15" ht="12.75" customHeight="1">
      <c r="A68" s="261"/>
      <c r="B68" s="262"/>
      <c r="C68" s="263" t="s">
        <v>928</v>
      </c>
      <c r="D68" s="284" t="s">
        <v>351</v>
      </c>
      <c r="E68" s="282"/>
      <c r="F68" s="584"/>
      <c r="G68" s="323">
        <v>1200</v>
      </c>
      <c r="H68" s="323">
        <v>0</v>
      </c>
      <c r="I68" s="268">
        <v>1200</v>
      </c>
      <c r="J68" s="283"/>
      <c r="K68" s="283"/>
      <c r="L68" s="283">
        <f t="shared" si="0"/>
        <v>0</v>
      </c>
      <c r="M68" s="283">
        <f t="shared" si="2"/>
        <v>1200</v>
      </c>
      <c r="N68" s="283">
        <f t="shared" si="3"/>
        <v>0</v>
      </c>
      <c r="O68" s="283">
        <f t="shared" si="1"/>
        <v>1200</v>
      </c>
    </row>
    <row r="69" spans="1:15" ht="12.75" customHeight="1">
      <c r="A69" s="261"/>
      <c r="B69" s="262"/>
      <c r="C69" s="263" t="s">
        <v>929</v>
      </c>
      <c r="D69" s="284" t="s">
        <v>352</v>
      </c>
      <c r="E69" s="282"/>
      <c r="F69" s="584"/>
      <c r="G69" s="323">
        <v>1000</v>
      </c>
      <c r="H69" s="323">
        <v>0</v>
      </c>
      <c r="I69" s="268">
        <v>1000</v>
      </c>
      <c r="J69" s="283"/>
      <c r="K69" s="283"/>
      <c r="L69" s="283">
        <f t="shared" si="0"/>
        <v>0</v>
      </c>
      <c r="M69" s="283">
        <f t="shared" si="2"/>
        <v>1000</v>
      </c>
      <c r="N69" s="283">
        <f t="shared" si="3"/>
        <v>0</v>
      </c>
      <c r="O69" s="283">
        <f t="shared" si="1"/>
        <v>1000</v>
      </c>
    </row>
    <row r="70" spans="1:15" ht="12.75" customHeight="1">
      <c r="A70" s="261"/>
      <c r="B70" s="262"/>
      <c r="C70" s="263" t="s">
        <v>996</v>
      </c>
      <c r="D70" s="284" t="s">
        <v>997</v>
      </c>
      <c r="E70" s="282"/>
      <c r="F70" s="584"/>
      <c r="G70" s="323">
        <v>1400</v>
      </c>
      <c r="H70" s="323">
        <v>0</v>
      </c>
      <c r="I70" s="268">
        <v>1400</v>
      </c>
      <c r="J70" s="283"/>
      <c r="K70" s="283"/>
      <c r="L70" s="283">
        <f t="shared" si="0"/>
        <v>0</v>
      </c>
      <c r="M70" s="283">
        <f t="shared" si="2"/>
        <v>1400</v>
      </c>
      <c r="N70" s="283">
        <f t="shared" si="3"/>
        <v>0</v>
      </c>
      <c r="O70" s="283">
        <f t="shared" si="1"/>
        <v>1400</v>
      </c>
    </row>
    <row r="71" spans="1:15" ht="12.75" customHeight="1">
      <c r="A71" s="261"/>
      <c r="B71" s="262"/>
      <c r="C71" s="263" t="s">
        <v>264</v>
      </c>
      <c r="D71" s="566" t="s">
        <v>225</v>
      </c>
      <c r="E71" s="282"/>
      <c r="F71" s="584"/>
      <c r="G71" s="323">
        <v>0</v>
      </c>
      <c r="H71" s="323">
        <v>24</v>
      </c>
      <c r="I71" s="268">
        <v>24</v>
      </c>
      <c r="J71" s="283"/>
      <c r="K71" s="283"/>
      <c r="L71" s="283">
        <f t="shared" si="0"/>
        <v>0</v>
      </c>
      <c r="M71" s="283">
        <f t="shared" si="2"/>
        <v>0</v>
      </c>
      <c r="N71" s="283">
        <f t="shared" si="3"/>
        <v>24</v>
      </c>
      <c r="O71" s="283">
        <f t="shared" si="1"/>
        <v>24</v>
      </c>
    </row>
    <row r="72" spans="1:15" ht="12.75" customHeight="1">
      <c r="A72" s="261"/>
      <c r="B72" s="262"/>
      <c r="C72" s="279"/>
      <c r="D72" s="272" t="s">
        <v>318</v>
      </c>
      <c r="E72" s="265"/>
      <c r="F72" s="582"/>
      <c r="G72" s="323">
        <v>0</v>
      </c>
      <c r="H72" s="323">
        <v>0</v>
      </c>
      <c r="I72" s="268">
        <v>0</v>
      </c>
      <c r="J72" s="283"/>
      <c r="K72" s="283"/>
      <c r="L72" s="283">
        <f t="shared" si="0"/>
        <v>0</v>
      </c>
      <c r="M72" s="283">
        <f t="shared" si="2"/>
        <v>0</v>
      </c>
      <c r="N72" s="283">
        <f t="shared" si="3"/>
        <v>0</v>
      </c>
      <c r="O72" s="283">
        <f t="shared" si="1"/>
        <v>0</v>
      </c>
    </row>
    <row r="73" spans="1:15" ht="12.75" customHeight="1">
      <c r="A73" s="261"/>
      <c r="B73" s="262"/>
      <c r="C73" s="285" t="s">
        <v>353</v>
      </c>
      <c r="D73" s="286" t="s">
        <v>868</v>
      </c>
      <c r="E73" s="265"/>
      <c r="F73" s="582"/>
      <c r="G73" s="323">
        <v>2653</v>
      </c>
      <c r="H73" s="323">
        <v>0</v>
      </c>
      <c r="I73" s="268">
        <v>2653</v>
      </c>
      <c r="J73" s="283"/>
      <c r="K73" s="283"/>
      <c r="L73" s="283">
        <f t="shared" si="0"/>
        <v>0</v>
      </c>
      <c r="M73" s="283">
        <f t="shared" si="2"/>
        <v>2653</v>
      </c>
      <c r="N73" s="283">
        <f t="shared" si="3"/>
        <v>0</v>
      </c>
      <c r="O73" s="283">
        <f t="shared" si="1"/>
        <v>2653</v>
      </c>
    </row>
    <row r="74" spans="1:15" ht="12.75" customHeight="1">
      <c r="A74" s="261"/>
      <c r="B74" s="262"/>
      <c r="C74" s="279" t="s">
        <v>176</v>
      </c>
      <c r="D74" s="287" t="s">
        <v>181</v>
      </c>
      <c r="E74" s="265"/>
      <c r="F74" s="582"/>
      <c r="G74" s="323"/>
      <c r="H74" s="323"/>
      <c r="I74" s="268"/>
      <c r="J74" s="283"/>
      <c r="K74" s="283"/>
      <c r="L74" s="283"/>
      <c r="M74" s="283"/>
      <c r="N74" s="283"/>
      <c r="O74" s="283"/>
    </row>
    <row r="75" spans="1:15" ht="12.75" customHeight="1">
      <c r="A75" s="261"/>
      <c r="B75" s="262"/>
      <c r="C75" s="263" t="s">
        <v>182</v>
      </c>
      <c r="D75" s="288" t="s">
        <v>869</v>
      </c>
      <c r="E75" s="265"/>
      <c r="F75" s="582"/>
      <c r="G75" s="323">
        <v>4001</v>
      </c>
      <c r="H75" s="323">
        <v>0</v>
      </c>
      <c r="I75" s="268">
        <v>4001</v>
      </c>
      <c r="J75" s="283"/>
      <c r="K75" s="283"/>
      <c r="L75" s="283">
        <f t="shared" si="0"/>
        <v>0</v>
      </c>
      <c r="M75" s="283">
        <f t="shared" si="2"/>
        <v>4001</v>
      </c>
      <c r="N75" s="283">
        <f t="shared" si="3"/>
        <v>0</v>
      </c>
      <c r="O75" s="283">
        <f t="shared" si="1"/>
        <v>4001</v>
      </c>
    </row>
    <row r="76" spans="1:15" ht="12.75" customHeight="1">
      <c r="A76" s="261"/>
      <c r="B76" s="262"/>
      <c r="C76" s="263" t="s">
        <v>183</v>
      </c>
      <c r="D76" s="288" t="s">
        <v>354</v>
      </c>
      <c r="E76" s="265"/>
      <c r="F76" s="582"/>
      <c r="G76" s="323">
        <v>10737</v>
      </c>
      <c r="H76" s="323">
        <v>0</v>
      </c>
      <c r="I76" s="268">
        <v>10737</v>
      </c>
      <c r="J76" s="283"/>
      <c r="K76" s="283"/>
      <c r="L76" s="283">
        <f t="shared" si="0"/>
        <v>0</v>
      </c>
      <c r="M76" s="283">
        <f t="shared" si="2"/>
        <v>10737</v>
      </c>
      <c r="N76" s="283">
        <f t="shared" si="3"/>
        <v>0</v>
      </c>
      <c r="O76" s="283">
        <f t="shared" si="1"/>
        <v>10737</v>
      </c>
    </row>
    <row r="77" spans="1:15" ht="12.75" customHeight="1">
      <c r="A77" s="261"/>
      <c r="B77" s="262"/>
      <c r="C77" s="263" t="s">
        <v>184</v>
      </c>
      <c r="D77" s="288" t="s">
        <v>355</v>
      </c>
      <c r="E77" s="265"/>
      <c r="F77" s="582"/>
      <c r="G77" s="323">
        <v>3000</v>
      </c>
      <c r="H77" s="323">
        <v>0</v>
      </c>
      <c r="I77" s="268">
        <v>3000</v>
      </c>
      <c r="J77" s="283"/>
      <c r="K77" s="283"/>
      <c r="L77" s="283">
        <f t="shared" si="0"/>
        <v>0</v>
      </c>
      <c r="M77" s="283">
        <f t="shared" si="2"/>
        <v>3000</v>
      </c>
      <c r="N77" s="283">
        <f t="shared" si="3"/>
        <v>0</v>
      </c>
      <c r="O77" s="283">
        <f t="shared" si="1"/>
        <v>3000</v>
      </c>
    </row>
    <row r="78" spans="1:15" ht="12.75" customHeight="1">
      <c r="A78" s="261"/>
      <c r="B78" s="262"/>
      <c r="C78" s="263" t="s">
        <v>185</v>
      </c>
      <c r="D78" s="277" t="s">
        <v>356</v>
      </c>
      <c r="E78" s="265"/>
      <c r="F78" s="582"/>
      <c r="G78" s="323">
        <v>3918</v>
      </c>
      <c r="H78" s="323">
        <v>0</v>
      </c>
      <c r="I78" s="268">
        <v>3918</v>
      </c>
      <c r="J78" s="283"/>
      <c r="K78" s="283"/>
      <c r="L78" s="283">
        <f t="shared" si="0"/>
        <v>0</v>
      </c>
      <c r="M78" s="283">
        <f t="shared" si="2"/>
        <v>3918</v>
      </c>
      <c r="N78" s="283">
        <f t="shared" si="3"/>
        <v>0</v>
      </c>
      <c r="O78" s="283">
        <f t="shared" si="1"/>
        <v>3918</v>
      </c>
    </row>
    <row r="79" spans="1:15" ht="20.25" customHeight="1">
      <c r="A79" s="261"/>
      <c r="B79" s="262"/>
      <c r="C79" s="263" t="s">
        <v>186</v>
      </c>
      <c r="D79" s="288" t="s">
        <v>677</v>
      </c>
      <c r="E79" s="265"/>
      <c r="F79" s="582"/>
      <c r="G79" s="323">
        <v>2902</v>
      </c>
      <c r="H79" s="323">
        <v>0</v>
      </c>
      <c r="I79" s="268">
        <v>2902</v>
      </c>
      <c r="J79" s="283"/>
      <c r="K79" s="283"/>
      <c r="L79" s="283">
        <f t="shared" si="0"/>
        <v>0</v>
      </c>
      <c r="M79" s="283">
        <f t="shared" si="2"/>
        <v>2902</v>
      </c>
      <c r="N79" s="283">
        <f t="shared" si="3"/>
        <v>0</v>
      </c>
      <c r="O79" s="283">
        <f t="shared" si="1"/>
        <v>2902</v>
      </c>
    </row>
    <row r="80" spans="1:15" ht="12.75" customHeight="1">
      <c r="A80" s="261"/>
      <c r="B80" s="262"/>
      <c r="C80" s="263" t="s">
        <v>187</v>
      </c>
      <c r="D80" s="289" t="s">
        <v>357</v>
      </c>
      <c r="E80" s="265"/>
      <c r="F80" s="582"/>
      <c r="G80" s="323">
        <v>1999</v>
      </c>
      <c r="H80" s="323">
        <v>0</v>
      </c>
      <c r="I80" s="268">
        <v>1999</v>
      </c>
      <c r="J80" s="283"/>
      <c r="K80" s="283"/>
      <c r="L80" s="283">
        <f t="shared" si="0"/>
        <v>0</v>
      </c>
      <c r="M80" s="283">
        <f t="shared" si="2"/>
        <v>1999</v>
      </c>
      <c r="N80" s="283">
        <f t="shared" si="3"/>
        <v>0</v>
      </c>
      <c r="O80" s="283">
        <f t="shared" si="1"/>
        <v>1999</v>
      </c>
    </row>
    <row r="81" spans="1:15" ht="12.75" customHeight="1">
      <c r="A81" s="261"/>
      <c r="B81" s="262"/>
      <c r="C81" s="263" t="s">
        <v>188</v>
      </c>
      <c r="D81" s="288" t="s">
        <v>358</v>
      </c>
      <c r="E81" s="265"/>
      <c r="F81" s="582" t="s">
        <v>25</v>
      </c>
      <c r="G81" s="323">
        <v>14044</v>
      </c>
      <c r="H81" s="323">
        <v>0</v>
      </c>
      <c r="I81" s="268">
        <v>14044</v>
      </c>
      <c r="J81" s="283">
        <v>-401</v>
      </c>
      <c r="K81" s="283"/>
      <c r="L81" s="283">
        <f t="shared" si="0"/>
        <v>-401</v>
      </c>
      <c r="M81" s="283">
        <f t="shared" si="2"/>
        <v>13643</v>
      </c>
      <c r="N81" s="283">
        <f t="shared" si="3"/>
        <v>0</v>
      </c>
      <c r="O81" s="283">
        <f t="shared" si="1"/>
        <v>13643</v>
      </c>
    </row>
    <row r="82" spans="1:15" ht="12.75" customHeight="1">
      <c r="A82" s="261"/>
      <c r="B82" s="262"/>
      <c r="C82" s="263" t="s">
        <v>863</v>
      </c>
      <c r="D82" s="277" t="s">
        <v>864</v>
      </c>
      <c r="E82" s="265"/>
      <c r="F82" s="582"/>
      <c r="G82" s="323">
        <v>3863</v>
      </c>
      <c r="H82" s="323"/>
      <c r="I82" s="268">
        <v>3863</v>
      </c>
      <c r="J82" s="283"/>
      <c r="K82" s="283"/>
      <c r="L82" s="283">
        <f t="shared" si="0"/>
        <v>0</v>
      </c>
      <c r="M82" s="283">
        <f t="shared" si="2"/>
        <v>3863</v>
      </c>
      <c r="N82" s="283"/>
      <c r="O82" s="283">
        <f t="shared" si="1"/>
        <v>3863</v>
      </c>
    </row>
    <row r="83" spans="1:15" ht="12.75" customHeight="1">
      <c r="A83" s="261"/>
      <c r="B83" s="262"/>
      <c r="C83" s="263" t="s">
        <v>441</v>
      </c>
      <c r="D83" s="277" t="s">
        <v>442</v>
      </c>
      <c r="E83" s="265"/>
      <c r="F83" s="582"/>
      <c r="G83" s="323">
        <v>1000</v>
      </c>
      <c r="H83" s="323"/>
      <c r="I83" s="268">
        <v>1000</v>
      </c>
      <c r="J83" s="283"/>
      <c r="K83" s="283"/>
      <c r="L83" s="283">
        <f t="shared" si="0"/>
        <v>0</v>
      </c>
      <c r="M83" s="283">
        <f t="shared" si="2"/>
        <v>1000</v>
      </c>
      <c r="N83" s="283"/>
      <c r="O83" s="283">
        <f t="shared" si="1"/>
        <v>1000</v>
      </c>
    </row>
    <row r="84" spans="1:15" ht="12.75" customHeight="1">
      <c r="A84" s="261"/>
      <c r="B84" s="262"/>
      <c r="C84" s="263" t="s">
        <v>443</v>
      </c>
      <c r="D84" s="277" t="s">
        <v>444</v>
      </c>
      <c r="E84" s="265"/>
      <c r="F84" s="582"/>
      <c r="G84" s="323">
        <v>1424</v>
      </c>
      <c r="H84" s="323"/>
      <c r="I84" s="268">
        <v>1424</v>
      </c>
      <c r="J84" s="283"/>
      <c r="K84" s="283"/>
      <c r="L84" s="283">
        <f t="shared" si="0"/>
        <v>0</v>
      </c>
      <c r="M84" s="283">
        <f t="shared" si="2"/>
        <v>1424</v>
      </c>
      <c r="N84" s="283"/>
      <c r="O84" s="283">
        <f t="shared" si="1"/>
        <v>1424</v>
      </c>
    </row>
    <row r="85" spans="1:15" ht="12.75" customHeight="1">
      <c r="A85" s="261"/>
      <c r="B85" s="262"/>
      <c r="C85" s="263" t="s">
        <v>445</v>
      </c>
      <c r="D85" s="277" t="s">
        <v>450</v>
      </c>
      <c r="E85" s="265"/>
      <c r="F85" s="582"/>
      <c r="G85" s="323">
        <v>5507</v>
      </c>
      <c r="H85" s="323"/>
      <c r="I85" s="268">
        <v>5507</v>
      </c>
      <c r="J85" s="283"/>
      <c r="K85" s="283"/>
      <c r="L85" s="283">
        <f t="shared" si="0"/>
        <v>0</v>
      </c>
      <c r="M85" s="283">
        <f t="shared" si="2"/>
        <v>5507</v>
      </c>
      <c r="N85" s="283"/>
      <c r="O85" s="283">
        <f t="shared" si="1"/>
        <v>5507</v>
      </c>
    </row>
    <row r="86" spans="1:15" ht="12.75" customHeight="1">
      <c r="A86" s="261"/>
      <c r="B86" s="262"/>
      <c r="C86" s="263" t="s">
        <v>446</v>
      </c>
      <c r="D86" s="277" t="s">
        <v>447</v>
      </c>
      <c r="E86" s="265"/>
      <c r="F86" s="582"/>
      <c r="G86" s="323">
        <v>910</v>
      </c>
      <c r="H86" s="323"/>
      <c r="I86" s="268">
        <v>910</v>
      </c>
      <c r="J86" s="283"/>
      <c r="K86" s="283"/>
      <c r="L86" s="283">
        <f t="shared" si="0"/>
        <v>0</v>
      </c>
      <c r="M86" s="283">
        <f t="shared" si="2"/>
        <v>910</v>
      </c>
      <c r="N86" s="283"/>
      <c r="O86" s="283">
        <f t="shared" si="1"/>
        <v>910</v>
      </c>
    </row>
    <row r="87" spans="1:15" ht="12.75" customHeight="1">
      <c r="A87" s="261"/>
      <c r="B87" s="262"/>
      <c r="C87" s="279"/>
      <c r="D87" s="272" t="s">
        <v>318</v>
      </c>
      <c r="E87" s="265"/>
      <c r="F87" s="582"/>
      <c r="G87" s="323"/>
      <c r="H87" s="323"/>
      <c r="I87" s="268"/>
      <c r="J87" s="283"/>
      <c r="K87" s="283"/>
      <c r="L87" s="283"/>
      <c r="M87" s="283"/>
      <c r="N87" s="283"/>
      <c r="O87" s="283"/>
    </row>
    <row r="88" spans="1:15" ht="24.75" customHeight="1">
      <c r="A88" s="269"/>
      <c r="B88" s="270"/>
      <c r="C88" s="263" t="s">
        <v>65</v>
      </c>
      <c r="D88" s="290" t="s">
        <v>1056</v>
      </c>
      <c r="E88" s="265"/>
      <c r="F88" s="582"/>
      <c r="G88" s="323">
        <v>1415</v>
      </c>
      <c r="H88" s="323">
        <v>0</v>
      </c>
      <c r="I88" s="268">
        <v>1415</v>
      </c>
      <c r="J88" s="283"/>
      <c r="K88" s="283"/>
      <c r="L88" s="283">
        <f t="shared" si="0"/>
        <v>0</v>
      </c>
      <c r="M88" s="283">
        <f t="shared" si="2"/>
        <v>1415</v>
      </c>
      <c r="N88" s="283">
        <f t="shared" si="3"/>
        <v>0</v>
      </c>
      <c r="O88" s="283">
        <f t="shared" si="1"/>
        <v>1415</v>
      </c>
    </row>
    <row r="89" spans="1:15" ht="15" customHeight="1">
      <c r="A89" s="261"/>
      <c r="B89" s="262"/>
      <c r="C89" s="263" t="s">
        <v>183</v>
      </c>
      <c r="D89" s="291" t="s">
        <v>359</v>
      </c>
      <c r="E89" s="265"/>
      <c r="F89" s="582"/>
      <c r="G89" s="323">
        <v>1987</v>
      </c>
      <c r="H89" s="323">
        <v>0</v>
      </c>
      <c r="I89" s="268">
        <v>1987</v>
      </c>
      <c r="J89" s="283"/>
      <c r="K89" s="283"/>
      <c r="L89" s="283">
        <f t="shared" si="0"/>
        <v>0</v>
      </c>
      <c r="M89" s="283">
        <f t="shared" si="2"/>
        <v>1987</v>
      </c>
      <c r="N89" s="283">
        <f t="shared" si="3"/>
        <v>0</v>
      </c>
      <c r="O89" s="283">
        <f t="shared" si="1"/>
        <v>1987</v>
      </c>
    </row>
    <row r="90" spans="1:15" ht="12.75" customHeight="1">
      <c r="A90" s="261"/>
      <c r="B90" s="262"/>
      <c r="C90" s="263" t="s">
        <v>184</v>
      </c>
      <c r="D90" s="290" t="s">
        <v>360</v>
      </c>
      <c r="E90" s="265"/>
      <c r="F90" s="582"/>
      <c r="G90" s="323">
        <v>2950</v>
      </c>
      <c r="H90" s="323">
        <v>0</v>
      </c>
      <c r="I90" s="268">
        <v>2950</v>
      </c>
      <c r="J90" s="283"/>
      <c r="K90" s="283"/>
      <c r="L90" s="283">
        <f t="shared" si="0"/>
        <v>0</v>
      </c>
      <c r="M90" s="283">
        <f t="shared" si="2"/>
        <v>2950</v>
      </c>
      <c r="N90" s="283">
        <f t="shared" si="3"/>
        <v>0</v>
      </c>
      <c r="O90" s="283">
        <f t="shared" si="1"/>
        <v>2950</v>
      </c>
    </row>
    <row r="91" spans="1:15" ht="12.75" customHeight="1">
      <c r="A91" s="261"/>
      <c r="B91" s="262"/>
      <c r="C91" s="279" t="s">
        <v>177</v>
      </c>
      <c r="D91" s="280" t="s">
        <v>95</v>
      </c>
      <c r="E91" s="265"/>
      <c r="F91" s="582"/>
      <c r="G91" s="323"/>
      <c r="H91" s="323"/>
      <c r="I91" s="268"/>
      <c r="J91" s="283"/>
      <c r="K91" s="283"/>
      <c r="L91" s="283"/>
      <c r="M91" s="283"/>
      <c r="N91" s="283"/>
      <c r="O91" s="283"/>
    </row>
    <row r="92" spans="1:15" ht="12.75" customHeight="1">
      <c r="A92" s="261"/>
      <c r="B92" s="262"/>
      <c r="C92" s="285" t="s">
        <v>220</v>
      </c>
      <c r="D92" s="292" t="s">
        <v>361</v>
      </c>
      <c r="E92" s="265"/>
      <c r="F92" s="582"/>
      <c r="G92" s="323">
        <v>1943</v>
      </c>
      <c r="H92" s="323">
        <v>0</v>
      </c>
      <c r="I92" s="268">
        <v>1943</v>
      </c>
      <c r="J92" s="283"/>
      <c r="K92" s="283"/>
      <c r="L92" s="283">
        <f aca="true" t="shared" si="6" ref="L92:L160">SUM(J92:K92)</f>
        <v>0</v>
      </c>
      <c r="M92" s="283">
        <f aca="true" t="shared" si="7" ref="M92:M162">SUM(G92+J92)</f>
        <v>1943</v>
      </c>
      <c r="N92" s="283">
        <f aca="true" t="shared" si="8" ref="N92:N162">SUM(H92+K92)</f>
        <v>0</v>
      </c>
      <c r="O92" s="283">
        <f aca="true" t="shared" si="9" ref="O92:O160">SUM(M92:N92)</f>
        <v>1943</v>
      </c>
    </row>
    <row r="93" spans="1:15" ht="12.75" customHeight="1">
      <c r="A93" s="261"/>
      <c r="B93" s="262"/>
      <c r="C93" s="285" t="s">
        <v>221</v>
      </c>
      <c r="D93" s="292" t="s">
        <v>362</v>
      </c>
      <c r="E93" s="265"/>
      <c r="F93" s="582"/>
      <c r="G93" s="323">
        <v>1000</v>
      </c>
      <c r="H93" s="323">
        <v>0</v>
      </c>
      <c r="I93" s="268">
        <v>1000</v>
      </c>
      <c r="J93" s="283"/>
      <c r="K93" s="283"/>
      <c r="L93" s="283">
        <f t="shared" si="6"/>
        <v>0</v>
      </c>
      <c r="M93" s="283">
        <f t="shared" si="7"/>
        <v>1000</v>
      </c>
      <c r="N93" s="283">
        <f t="shared" si="8"/>
        <v>0</v>
      </c>
      <c r="O93" s="283">
        <f t="shared" si="9"/>
        <v>1000</v>
      </c>
    </row>
    <row r="94" spans="1:15" ht="12.75" customHeight="1">
      <c r="A94" s="261"/>
      <c r="B94" s="262"/>
      <c r="C94" s="285" t="s">
        <v>222</v>
      </c>
      <c r="D94" s="293" t="s">
        <v>363</v>
      </c>
      <c r="E94" s="265"/>
      <c r="F94" s="582"/>
      <c r="G94" s="323">
        <v>494</v>
      </c>
      <c r="H94" s="323">
        <v>0</v>
      </c>
      <c r="I94" s="268">
        <v>494</v>
      </c>
      <c r="J94" s="283"/>
      <c r="K94" s="283"/>
      <c r="L94" s="283">
        <f t="shared" si="6"/>
        <v>0</v>
      </c>
      <c r="M94" s="283">
        <f t="shared" si="7"/>
        <v>494</v>
      </c>
      <c r="N94" s="283">
        <f t="shared" si="8"/>
        <v>0</v>
      </c>
      <c r="O94" s="283">
        <f t="shared" si="9"/>
        <v>494</v>
      </c>
    </row>
    <row r="95" spans="1:15" ht="12.75" customHeight="1">
      <c r="A95" s="261"/>
      <c r="B95" s="262"/>
      <c r="C95" s="285" t="s">
        <v>223</v>
      </c>
      <c r="D95" s="243" t="s">
        <v>364</v>
      </c>
      <c r="E95" s="265"/>
      <c r="F95" s="582"/>
      <c r="G95" s="323">
        <v>0</v>
      </c>
      <c r="H95" s="323">
        <v>800</v>
      </c>
      <c r="I95" s="268">
        <v>800</v>
      </c>
      <c r="J95" s="283"/>
      <c r="K95" s="283"/>
      <c r="L95" s="283">
        <f t="shared" si="6"/>
        <v>0</v>
      </c>
      <c r="M95" s="283">
        <f t="shared" si="7"/>
        <v>0</v>
      </c>
      <c r="N95" s="283">
        <f t="shared" si="8"/>
        <v>800</v>
      </c>
      <c r="O95" s="283">
        <f t="shared" si="9"/>
        <v>800</v>
      </c>
    </row>
    <row r="96" spans="1:15" ht="12.75" customHeight="1">
      <c r="A96" s="261"/>
      <c r="B96" s="262"/>
      <c r="C96" s="285" t="s">
        <v>365</v>
      </c>
      <c r="D96" s="243" t="s">
        <v>366</v>
      </c>
      <c r="E96" s="265"/>
      <c r="F96" s="582"/>
      <c r="G96" s="323">
        <v>0</v>
      </c>
      <c r="H96" s="323">
        <v>0</v>
      </c>
      <c r="I96" s="268">
        <v>0</v>
      </c>
      <c r="J96" s="283"/>
      <c r="K96" s="283"/>
      <c r="L96" s="283">
        <f t="shared" si="6"/>
        <v>0</v>
      </c>
      <c r="M96" s="283">
        <f t="shared" si="7"/>
        <v>0</v>
      </c>
      <c r="N96" s="283">
        <f t="shared" si="8"/>
        <v>0</v>
      </c>
      <c r="O96" s="283">
        <f t="shared" si="9"/>
        <v>0</v>
      </c>
    </row>
    <row r="97" spans="1:15" ht="12.75" customHeight="1">
      <c r="A97" s="261"/>
      <c r="B97" s="262"/>
      <c r="C97" s="285" t="s">
        <v>367</v>
      </c>
      <c r="D97" s="243" t="s">
        <v>368</v>
      </c>
      <c r="E97" s="265"/>
      <c r="F97" s="582"/>
      <c r="G97" s="323">
        <v>1000</v>
      </c>
      <c r="H97" s="323">
        <v>0</v>
      </c>
      <c r="I97" s="268">
        <v>1000</v>
      </c>
      <c r="J97" s="283"/>
      <c r="K97" s="283"/>
      <c r="L97" s="283">
        <f t="shared" si="6"/>
        <v>0</v>
      </c>
      <c r="M97" s="283">
        <f t="shared" si="7"/>
        <v>1000</v>
      </c>
      <c r="N97" s="283">
        <f t="shared" si="8"/>
        <v>0</v>
      </c>
      <c r="O97" s="283">
        <f t="shared" si="9"/>
        <v>1000</v>
      </c>
    </row>
    <row r="98" spans="1:15" ht="12.75" customHeight="1">
      <c r="A98" s="261"/>
      <c r="B98" s="262"/>
      <c r="C98" s="285" t="s">
        <v>369</v>
      </c>
      <c r="D98" s="243" t="s">
        <v>370</v>
      </c>
      <c r="E98" s="265"/>
      <c r="F98" s="582"/>
      <c r="G98" s="323">
        <v>1500</v>
      </c>
      <c r="H98" s="323">
        <v>0</v>
      </c>
      <c r="I98" s="268">
        <v>1500</v>
      </c>
      <c r="J98" s="283"/>
      <c r="K98" s="283"/>
      <c r="L98" s="283">
        <f t="shared" si="6"/>
        <v>0</v>
      </c>
      <c r="M98" s="283">
        <f t="shared" si="7"/>
        <v>1500</v>
      </c>
      <c r="N98" s="283">
        <f t="shared" si="8"/>
        <v>0</v>
      </c>
      <c r="O98" s="283">
        <f t="shared" si="9"/>
        <v>1500</v>
      </c>
    </row>
    <row r="99" spans="1:15" ht="12.75" customHeight="1">
      <c r="A99" s="261"/>
      <c r="B99" s="262"/>
      <c r="C99" s="285" t="s">
        <v>371</v>
      </c>
      <c r="D99" s="294" t="s">
        <v>372</v>
      </c>
      <c r="E99" s="265"/>
      <c r="F99" s="582"/>
      <c r="G99" s="323">
        <v>1000</v>
      </c>
      <c r="H99" s="323">
        <v>0</v>
      </c>
      <c r="I99" s="268">
        <v>1000</v>
      </c>
      <c r="J99" s="283"/>
      <c r="K99" s="283"/>
      <c r="L99" s="283">
        <f t="shared" si="6"/>
        <v>0</v>
      </c>
      <c r="M99" s="283">
        <f t="shared" si="7"/>
        <v>1000</v>
      </c>
      <c r="N99" s="283">
        <f t="shared" si="8"/>
        <v>0</v>
      </c>
      <c r="O99" s="283">
        <f t="shared" si="9"/>
        <v>1000</v>
      </c>
    </row>
    <row r="100" spans="1:15" ht="12.75" customHeight="1">
      <c r="A100" s="261"/>
      <c r="B100" s="262"/>
      <c r="C100" s="285" t="s">
        <v>373</v>
      </c>
      <c r="D100" s="271" t="s">
        <v>383</v>
      </c>
      <c r="E100" s="265"/>
      <c r="F100" s="582"/>
      <c r="G100" s="323">
        <v>1245</v>
      </c>
      <c r="H100" s="323">
        <v>0</v>
      </c>
      <c r="I100" s="268">
        <v>1245</v>
      </c>
      <c r="J100" s="283"/>
      <c r="K100" s="283"/>
      <c r="L100" s="283">
        <f t="shared" si="6"/>
        <v>0</v>
      </c>
      <c r="M100" s="283">
        <f t="shared" si="7"/>
        <v>1245</v>
      </c>
      <c r="N100" s="283">
        <f t="shared" si="8"/>
        <v>0</v>
      </c>
      <c r="O100" s="283">
        <f t="shared" si="9"/>
        <v>1245</v>
      </c>
    </row>
    <row r="101" spans="1:15" ht="12.75" customHeight="1">
      <c r="A101" s="261"/>
      <c r="B101" s="262"/>
      <c r="C101" s="285" t="s">
        <v>384</v>
      </c>
      <c r="D101" s="271" t="s">
        <v>385</v>
      </c>
      <c r="E101" s="265"/>
      <c r="F101" s="582"/>
      <c r="G101" s="323">
        <v>0</v>
      </c>
      <c r="H101" s="323">
        <v>0</v>
      </c>
      <c r="I101" s="268">
        <v>0</v>
      </c>
      <c r="J101" s="283"/>
      <c r="K101" s="283"/>
      <c r="L101" s="283">
        <f t="shared" si="6"/>
        <v>0</v>
      </c>
      <c r="M101" s="283">
        <f t="shared" si="7"/>
        <v>0</v>
      </c>
      <c r="N101" s="283">
        <f t="shared" si="8"/>
        <v>0</v>
      </c>
      <c r="O101" s="283">
        <f t="shared" si="9"/>
        <v>0</v>
      </c>
    </row>
    <row r="102" spans="1:15" ht="24.75" customHeight="1">
      <c r="A102" s="261"/>
      <c r="B102" s="262"/>
      <c r="C102" s="285" t="s">
        <v>386</v>
      </c>
      <c r="D102" s="295" t="s">
        <v>387</v>
      </c>
      <c r="E102" s="265"/>
      <c r="F102" s="582"/>
      <c r="G102" s="323">
        <v>1385</v>
      </c>
      <c r="H102" s="323">
        <v>0</v>
      </c>
      <c r="I102" s="268">
        <v>1385</v>
      </c>
      <c r="J102" s="283"/>
      <c r="K102" s="283"/>
      <c r="L102" s="283">
        <f t="shared" si="6"/>
        <v>0</v>
      </c>
      <c r="M102" s="283">
        <f t="shared" si="7"/>
        <v>1385</v>
      </c>
      <c r="N102" s="283">
        <f t="shared" si="8"/>
        <v>0</v>
      </c>
      <c r="O102" s="283">
        <f t="shared" si="9"/>
        <v>1385</v>
      </c>
    </row>
    <row r="103" spans="1:15" ht="12.75" customHeight="1">
      <c r="A103" s="261"/>
      <c r="B103" s="262"/>
      <c r="C103" s="285" t="s">
        <v>388</v>
      </c>
      <c r="D103" s="271" t="s">
        <v>389</v>
      </c>
      <c r="E103" s="265"/>
      <c r="F103" s="582"/>
      <c r="G103" s="323">
        <v>0</v>
      </c>
      <c r="H103" s="323">
        <v>0</v>
      </c>
      <c r="I103" s="268">
        <v>0</v>
      </c>
      <c r="J103" s="283"/>
      <c r="K103" s="283"/>
      <c r="L103" s="283">
        <f t="shared" si="6"/>
        <v>0</v>
      </c>
      <c r="M103" s="283">
        <f t="shared" si="7"/>
        <v>0</v>
      </c>
      <c r="N103" s="283">
        <f t="shared" si="8"/>
        <v>0</v>
      </c>
      <c r="O103" s="283">
        <f t="shared" si="9"/>
        <v>0</v>
      </c>
    </row>
    <row r="104" spans="1:15" ht="24.75" customHeight="1">
      <c r="A104" s="261"/>
      <c r="B104" s="262"/>
      <c r="C104" s="285" t="s">
        <v>390</v>
      </c>
      <c r="D104" s="271" t="s">
        <v>391</v>
      </c>
      <c r="E104" s="265"/>
      <c r="F104" s="582"/>
      <c r="G104" s="323">
        <v>130</v>
      </c>
      <c r="H104" s="323">
        <v>0</v>
      </c>
      <c r="I104" s="268">
        <v>130</v>
      </c>
      <c r="J104" s="283"/>
      <c r="K104" s="283"/>
      <c r="L104" s="283">
        <f t="shared" si="6"/>
        <v>0</v>
      </c>
      <c r="M104" s="283">
        <f t="shared" si="7"/>
        <v>130</v>
      </c>
      <c r="N104" s="283">
        <f t="shared" si="8"/>
        <v>0</v>
      </c>
      <c r="O104" s="283">
        <f t="shared" si="9"/>
        <v>130</v>
      </c>
    </row>
    <row r="105" spans="1:15" ht="12.75" customHeight="1">
      <c r="A105" s="261"/>
      <c r="B105" s="262"/>
      <c r="C105" s="285" t="s">
        <v>392</v>
      </c>
      <c r="D105" s="296" t="s">
        <v>393</v>
      </c>
      <c r="E105" s="265"/>
      <c r="F105" s="582"/>
      <c r="G105" s="323">
        <v>3000</v>
      </c>
      <c r="H105" s="323">
        <v>0</v>
      </c>
      <c r="I105" s="268">
        <v>3000</v>
      </c>
      <c r="J105" s="283"/>
      <c r="K105" s="283"/>
      <c r="L105" s="283">
        <f t="shared" si="6"/>
        <v>0</v>
      </c>
      <c r="M105" s="283">
        <f t="shared" si="7"/>
        <v>3000</v>
      </c>
      <c r="N105" s="283">
        <f t="shared" si="8"/>
        <v>0</v>
      </c>
      <c r="O105" s="283">
        <f t="shared" si="9"/>
        <v>3000</v>
      </c>
    </row>
    <row r="106" spans="1:15" ht="12.75" customHeight="1">
      <c r="A106" s="261"/>
      <c r="B106" s="262"/>
      <c r="C106" s="285" t="s">
        <v>394</v>
      </c>
      <c r="D106" s="296" t="s">
        <v>395</v>
      </c>
      <c r="E106" s="265"/>
      <c r="F106" s="582"/>
      <c r="G106" s="323">
        <v>0</v>
      </c>
      <c r="H106" s="323">
        <v>0</v>
      </c>
      <c r="I106" s="268">
        <v>0</v>
      </c>
      <c r="J106" s="283"/>
      <c r="K106" s="283"/>
      <c r="L106" s="283">
        <f t="shared" si="6"/>
        <v>0</v>
      </c>
      <c r="M106" s="283">
        <f t="shared" si="7"/>
        <v>0</v>
      </c>
      <c r="N106" s="283">
        <f t="shared" si="8"/>
        <v>0</v>
      </c>
      <c r="O106" s="283">
        <f t="shared" si="9"/>
        <v>0</v>
      </c>
    </row>
    <row r="107" spans="1:15" ht="24.75" customHeight="1">
      <c r="A107" s="261"/>
      <c r="B107" s="262"/>
      <c r="C107" s="285" t="s">
        <v>396</v>
      </c>
      <c r="D107" s="271" t="s">
        <v>397</v>
      </c>
      <c r="E107" s="265"/>
      <c r="F107" s="582"/>
      <c r="G107" s="323">
        <v>1337</v>
      </c>
      <c r="H107" s="323">
        <v>0</v>
      </c>
      <c r="I107" s="268">
        <v>1337</v>
      </c>
      <c r="J107" s="283"/>
      <c r="K107" s="283"/>
      <c r="L107" s="283">
        <f t="shared" si="6"/>
        <v>0</v>
      </c>
      <c r="M107" s="283">
        <f t="shared" si="7"/>
        <v>1337</v>
      </c>
      <c r="N107" s="283">
        <f t="shared" si="8"/>
        <v>0</v>
      </c>
      <c r="O107" s="283">
        <f t="shared" si="9"/>
        <v>1337</v>
      </c>
    </row>
    <row r="108" spans="1:15" ht="24.75" customHeight="1">
      <c r="A108" s="261"/>
      <c r="B108" s="262"/>
      <c r="C108" s="285" t="s">
        <v>398</v>
      </c>
      <c r="D108" s="271" t="s">
        <v>399</v>
      </c>
      <c r="E108" s="265"/>
      <c r="F108" s="582"/>
      <c r="G108" s="323">
        <v>1500</v>
      </c>
      <c r="H108" s="323">
        <v>0</v>
      </c>
      <c r="I108" s="268">
        <v>1500</v>
      </c>
      <c r="J108" s="283"/>
      <c r="K108" s="283"/>
      <c r="L108" s="283">
        <f t="shared" si="6"/>
        <v>0</v>
      </c>
      <c r="M108" s="283">
        <f t="shared" si="7"/>
        <v>1500</v>
      </c>
      <c r="N108" s="283">
        <f t="shared" si="8"/>
        <v>0</v>
      </c>
      <c r="O108" s="283">
        <f t="shared" si="9"/>
        <v>1500</v>
      </c>
    </row>
    <row r="109" spans="1:15" ht="12.75" customHeight="1">
      <c r="A109" s="261"/>
      <c r="B109" s="262"/>
      <c r="C109" s="285" t="s">
        <v>400</v>
      </c>
      <c r="D109" s="271" t="s">
        <v>401</v>
      </c>
      <c r="E109" s="265"/>
      <c r="F109" s="582"/>
      <c r="G109" s="323">
        <v>8000</v>
      </c>
      <c r="H109" s="323">
        <v>0</v>
      </c>
      <c r="I109" s="268">
        <v>8000</v>
      </c>
      <c r="J109" s="283"/>
      <c r="K109" s="283"/>
      <c r="L109" s="283">
        <f t="shared" si="6"/>
        <v>0</v>
      </c>
      <c r="M109" s="283">
        <f t="shared" si="7"/>
        <v>8000</v>
      </c>
      <c r="N109" s="283">
        <f t="shared" si="8"/>
        <v>0</v>
      </c>
      <c r="O109" s="283">
        <f t="shared" si="9"/>
        <v>8000</v>
      </c>
    </row>
    <row r="110" spans="1:15" ht="12.75" customHeight="1">
      <c r="A110" s="261"/>
      <c r="B110" s="262"/>
      <c r="C110" s="285" t="s">
        <v>402</v>
      </c>
      <c r="D110" s="297" t="s">
        <v>403</v>
      </c>
      <c r="E110" s="265"/>
      <c r="F110" s="582"/>
      <c r="G110" s="323">
        <v>0</v>
      </c>
      <c r="H110" s="323">
        <v>6000</v>
      </c>
      <c r="I110" s="268">
        <v>6000</v>
      </c>
      <c r="J110" s="283"/>
      <c r="K110" s="283"/>
      <c r="L110" s="283">
        <f t="shared" si="6"/>
        <v>0</v>
      </c>
      <c r="M110" s="283">
        <f t="shared" si="7"/>
        <v>0</v>
      </c>
      <c r="N110" s="283">
        <f t="shared" si="8"/>
        <v>6000</v>
      </c>
      <c r="O110" s="283">
        <f t="shared" si="9"/>
        <v>6000</v>
      </c>
    </row>
    <row r="111" spans="1:15" ht="12.75" customHeight="1">
      <c r="A111" s="261"/>
      <c r="B111" s="262"/>
      <c r="C111" s="285" t="s">
        <v>404</v>
      </c>
      <c r="D111" s="297" t="s">
        <v>405</v>
      </c>
      <c r="E111" s="265"/>
      <c r="F111" s="582"/>
      <c r="G111" s="323">
        <v>500</v>
      </c>
      <c r="H111" s="323">
        <v>0</v>
      </c>
      <c r="I111" s="268">
        <v>500</v>
      </c>
      <c r="J111" s="283"/>
      <c r="K111" s="283"/>
      <c r="L111" s="283">
        <f t="shared" si="6"/>
        <v>0</v>
      </c>
      <c r="M111" s="283">
        <f t="shared" si="7"/>
        <v>500</v>
      </c>
      <c r="N111" s="283">
        <f t="shared" si="8"/>
        <v>0</v>
      </c>
      <c r="O111" s="283">
        <f t="shared" si="9"/>
        <v>500</v>
      </c>
    </row>
    <row r="112" spans="1:15" ht="24.75" customHeight="1">
      <c r="A112" s="261"/>
      <c r="B112" s="262"/>
      <c r="C112" s="285" t="s">
        <v>1001</v>
      </c>
      <c r="D112" s="567" t="s">
        <v>1020</v>
      </c>
      <c r="E112" s="265"/>
      <c r="F112" s="582"/>
      <c r="G112" s="323">
        <v>0</v>
      </c>
      <c r="H112" s="323">
        <v>500</v>
      </c>
      <c r="I112" s="268">
        <v>500</v>
      </c>
      <c r="J112" s="283"/>
      <c r="K112" s="283"/>
      <c r="L112" s="283">
        <f t="shared" si="6"/>
        <v>0</v>
      </c>
      <c r="M112" s="283">
        <f t="shared" si="7"/>
        <v>0</v>
      </c>
      <c r="N112" s="283">
        <f t="shared" si="8"/>
        <v>500</v>
      </c>
      <c r="O112" s="283">
        <f t="shared" si="9"/>
        <v>500</v>
      </c>
    </row>
    <row r="113" spans="1:15" ht="12.75" customHeight="1">
      <c r="A113" s="261"/>
      <c r="B113" s="262"/>
      <c r="C113" s="285" t="s">
        <v>1002</v>
      </c>
      <c r="D113" s="567" t="s">
        <v>1021</v>
      </c>
      <c r="E113" s="265"/>
      <c r="F113" s="582"/>
      <c r="G113" s="323">
        <v>997</v>
      </c>
      <c r="H113" s="323"/>
      <c r="I113" s="268">
        <v>997</v>
      </c>
      <c r="J113" s="283"/>
      <c r="K113" s="283"/>
      <c r="L113" s="283">
        <f t="shared" si="6"/>
        <v>0</v>
      </c>
      <c r="M113" s="283">
        <f t="shared" si="7"/>
        <v>997</v>
      </c>
      <c r="N113" s="283"/>
      <c r="O113" s="283">
        <f t="shared" si="9"/>
        <v>997</v>
      </c>
    </row>
    <row r="114" spans="1:15" ht="12.75" customHeight="1">
      <c r="A114" s="261"/>
      <c r="B114" s="262"/>
      <c r="C114" s="279"/>
      <c r="D114" s="272" t="s">
        <v>318</v>
      </c>
      <c r="E114" s="265"/>
      <c r="F114" s="582"/>
      <c r="G114" s="323">
        <v>0</v>
      </c>
      <c r="H114" s="323">
        <v>0</v>
      </c>
      <c r="I114" s="268">
        <v>0</v>
      </c>
      <c r="J114" s="283"/>
      <c r="K114" s="283"/>
      <c r="L114" s="283">
        <f t="shared" si="6"/>
        <v>0</v>
      </c>
      <c r="M114" s="283">
        <f t="shared" si="7"/>
        <v>0</v>
      </c>
      <c r="N114" s="283">
        <f t="shared" si="8"/>
        <v>0</v>
      </c>
      <c r="O114" s="283">
        <f t="shared" si="9"/>
        <v>0</v>
      </c>
    </row>
    <row r="115" spans="1:15" ht="12.75" customHeight="1">
      <c r="A115" s="261"/>
      <c r="B115" s="262"/>
      <c r="C115" s="285" t="s">
        <v>870</v>
      </c>
      <c r="D115" s="298" t="s">
        <v>406</v>
      </c>
      <c r="E115" s="265"/>
      <c r="F115" s="582"/>
      <c r="G115" s="323">
        <v>1905</v>
      </c>
      <c r="H115" s="323">
        <v>0</v>
      </c>
      <c r="I115" s="268">
        <v>1905</v>
      </c>
      <c r="J115" s="283"/>
      <c r="K115" s="283"/>
      <c r="L115" s="283">
        <f t="shared" si="6"/>
        <v>0</v>
      </c>
      <c r="M115" s="283">
        <f t="shared" si="7"/>
        <v>1905</v>
      </c>
      <c r="N115" s="283">
        <f t="shared" si="8"/>
        <v>0</v>
      </c>
      <c r="O115" s="283">
        <f t="shared" si="9"/>
        <v>1905</v>
      </c>
    </row>
    <row r="116" spans="1:15" ht="12.75" customHeight="1">
      <c r="A116" s="261"/>
      <c r="B116" s="262"/>
      <c r="C116" s="279" t="s">
        <v>231</v>
      </c>
      <c r="D116" s="287" t="s">
        <v>232</v>
      </c>
      <c r="E116" s="265"/>
      <c r="F116" s="582"/>
      <c r="G116" s="283"/>
      <c r="H116" s="323"/>
      <c r="I116" s="268"/>
      <c r="J116" s="283"/>
      <c r="K116" s="283"/>
      <c r="L116" s="283"/>
      <c r="M116" s="283"/>
      <c r="N116" s="283"/>
      <c r="O116" s="283"/>
    </row>
    <row r="117" spans="1:15" ht="24.75" customHeight="1">
      <c r="A117" s="261"/>
      <c r="B117" s="262"/>
      <c r="C117" s="285" t="s">
        <v>871</v>
      </c>
      <c r="D117" s="299" t="s">
        <v>407</v>
      </c>
      <c r="E117" s="265"/>
      <c r="F117" s="582"/>
      <c r="G117" s="283">
        <v>2398</v>
      </c>
      <c r="H117" s="323">
        <v>0</v>
      </c>
      <c r="I117" s="268">
        <v>2398</v>
      </c>
      <c r="J117" s="283"/>
      <c r="K117" s="283"/>
      <c r="L117" s="283">
        <f t="shared" si="6"/>
        <v>0</v>
      </c>
      <c r="M117" s="283">
        <f t="shared" si="7"/>
        <v>2398</v>
      </c>
      <c r="N117" s="283">
        <f t="shared" si="8"/>
        <v>0</v>
      </c>
      <c r="O117" s="283">
        <f t="shared" si="9"/>
        <v>2398</v>
      </c>
    </row>
    <row r="118" spans="1:15" ht="12.75" customHeight="1">
      <c r="A118" s="261"/>
      <c r="B118" s="262"/>
      <c r="C118" s="285" t="s">
        <v>872</v>
      </c>
      <c r="D118" s="300" t="s">
        <v>409</v>
      </c>
      <c r="E118" s="265"/>
      <c r="F118" s="582"/>
      <c r="G118" s="283">
        <v>8865</v>
      </c>
      <c r="H118" s="323">
        <v>0</v>
      </c>
      <c r="I118" s="268">
        <v>8865</v>
      </c>
      <c r="J118" s="283"/>
      <c r="K118" s="283"/>
      <c r="L118" s="283">
        <f t="shared" si="6"/>
        <v>0</v>
      </c>
      <c r="M118" s="283">
        <f t="shared" si="7"/>
        <v>8865</v>
      </c>
      <c r="N118" s="283">
        <f t="shared" si="8"/>
        <v>0</v>
      </c>
      <c r="O118" s="283">
        <f t="shared" si="9"/>
        <v>8865</v>
      </c>
    </row>
    <row r="119" spans="1:15" ht="12.75" customHeight="1">
      <c r="A119" s="261"/>
      <c r="B119" s="262"/>
      <c r="C119" s="279" t="s">
        <v>233</v>
      </c>
      <c r="D119" s="280" t="s">
        <v>234</v>
      </c>
      <c r="E119" s="265"/>
      <c r="F119" s="582"/>
      <c r="G119" s="283"/>
      <c r="H119" s="323"/>
      <c r="I119" s="268"/>
      <c r="J119" s="283"/>
      <c r="K119" s="283"/>
      <c r="L119" s="283"/>
      <c r="M119" s="283"/>
      <c r="N119" s="283"/>
      <c r="O119" s="283"/>
    </row>
    <row r="120" spans="1:15" ht="12.75" customHeight="1">
      <c r="A120" s="261"/>
      <c r="B120" s="262"/>
      <c r="C120" s="285" t="s">
        <v>235</v>
      </c>
      <c r="D120" s="288" t="s">
        <v>410</v>
      </c>
      <c r="E120" s="265"/>
      <c r="F120" s="582"/>
      <c r="G120" s="283">
        <v>0</v>
      </c>
      <c r="H120" s="323">
        <v>0</v>
      </c>
      <c r="I120" s="268">
        <v>0</v>
      </c>
      <c r="J120" s="283"/>
      <c r="K120" s="283"/>
      <c r="L120" s="283">
        <f t="shared" si="6"/>
        <v>0</v>
      </c>
      <c r="M120" s="283">
        <f t="shared" si="7"/>
        <v>0</v>
      </c>
      <c r="N120" s="283">
        <f t="shared" si="8"/>
        <v>0</v>
      </c>
      <c r="O120" s="283">
        <f t="shared" si="9"/>
        <v>0</v>
      </c>
    </row>
    <row r="121" spans="1:15" ht="12.75" customHeight="1">
      <c r="A121" s="261"/>
      <c r="B121" s="262"/>
      <c r="C121" s="285" t="s">
        <v>236</v>
      </c>
      <c r="D121" s="288" t="s">
        <v>411</v>
      </c>
      <c r="E121" s="265"/>
      <c r="F121" s="582"/>
      <c r="G121" s="283">
        <v>2000</v>
      </c>
      <c r="H121" s="323">
        <v>0</v>
      </c>
      <c r="I121" s="268">
        <v>2000</v>
      </c>
      <c r="J121" s="283"/>
      <c r="K121" s="283"/>
      <c r="L121" s="283">
        <f t="shared" si="6"/>
        <v>0</v>
      </c>
      <c r="M121" s="283">
        <f t="shared" si="7"/>
        <v>2000</v>
      </c>
      <c r="N121" s="283">
        <f t="shared" si="8"/>
        <v>0</v>
      </c>
      <c r="O121" s="283">
        <f t="shared" si="9"/>
        <v>2000</v>
      </c>
    </row>
    <row r="122" spans="1:15" ht="12.75" customHeight="1">
      <c r="A122" s="261"/>
      <c r="B122" s="262"/>
      <c r="C122" s="285" t="s">
        <v>237</v>
      </c>
      <c r="D122" s="243" t="s">
        <v>412</v>
      </c>
      <c r="E122" s="265"/>
      <c r="F122" s="582"/>
      <c r="G122" s="283">
        <v>4413</v>
      </c>
      <c r="H122" s="323">
        <v>0</v>
      </c>
      <c r="I122" s="268">
        <v>4413</v>
      </c>
      <c r="J122" s="283"/>
      <c r="K122" s="283"/>
      <c r="L122" s="283">
        <f t="shared" si="6"/>
        <v>0</v>
      </c>
      <c r="M122" s="283">
        <f t="shared" si="7"/>
        <v>4413</v>
      </c>
      <c r="N122" s="283">
        <f t="shared" si="8"/>
        <v>0</v>
      </c>
      <c r="O122" s="283">
        <f t="shared" si="9"/>
        <v>4413</v>
      </c>
    </row>
    <row r="123" spans="1:15" ht="24.75" customHeight="1">
      <c r="A123" s="261"/>
      <c r="B123" s="262"/>
      <c r="C123" s="285" t="s">
        <v>238</v>
      </c>
      <c r="D123" s="301" t="s">
        <v>1004</v>
      </c>
      <c r="E123" s="302"/>
      <c r="F123" s="597"/>
      <c r="G123" s="283">
        <v>0</v>
      </c>
      <c r="H123" s="323">
        <v>500</v>
      </c>
      <c r="I123" s="268">
        <v>500</v>
      </c>
      <c r="J123" s="283"/>
      <c r="K123" s="283"/>
      <c r="L123" s="283">
        <f t="shared" si="6"/>
        <v>0</v>
      </c>
      <c r="M123" s="283">
        <f t="shared" si="7"/>
        <v>0</v>
      </c>
      <c r="N123" s="283">
        <f t="shared" si="8"/>
        <v>500</v>
      </c>
      <c r="O123" s="283">
        <f t="shared" si="9"/>
        <v>500</v>
      </c>
    </row>
    <row r="124" spans="1:15" ht="24.75" customHeight="1">
      <c r="A124" s="269"/>
      <c r="B124" s="270"/>
      <c r="C124" s="285" t="s">
        <v>874</v>
      </c>
      <c r="D124" s="303" t="s">
        <v>1035</v>
      </c>
      <c r="E124" s="250"/>
      <c r="F124" s="597" t="s">
        <v>25</v>
      </c>
      <c r="G124" s="283">
        <v>14615</v>
      </c>
      <c r="H124" s="323">
        <v>0</v>
      </c>
      <c r="I124" s="268">
        <v>14615</v>
      </c>
      <c r="J124" s="283">
        <v>-2921</v>
      </c>
      <c r="K124" s="283"/>
      <c r="L124" s="283">
        <f t="shared" si="6"/>
        <v>-2921</v>
      </c>
      <c r="M124" s="283">
        <f t="shared" si="7"/>
        <v>11694</v>
      </c>
      <c r="N124" s="283">
        <f t="shared" si="8"/>
        <v>0</v>
      </c>
      <c r="O124" s="283">
        <f t="shared" si="9"/>
        <v>11694</v>
      </c>
    </row>
    <row r="125" spans="1:15" ht="24.75" customHeight="1">
      <c r="A125" s="261"/>
      <c r="B125" s="262"/>
      <c r="C125" s="285" t="s">
        <v>875</v>
      </c>
      <c r="D125" s="347" t="s">
        <v>1018</v>
      </c>
      <c r="E125" s="250"/>
      <c r="F125" s="597"/>
      <c r="G125" s="283">
        <v>1029</v>
      </c>
      <c r="H125" s="323">
        <v>0</v>
      </c>
      <c r="I125" s="268">
        <v>1029</v>
      </c>
      <c r="J125" s="283"/>
      <c r="K125" s="283"/>
      <c r="L125" s="283">
        <f t="shared" si="6"/>
        <v>0</v>
      </c>
      <c r="M125" s="283">
        <f t="shared" si="7"/>
        <v>1029</v>
      </c>
      <c r="N125" s="283">
        <f t="shared" si="8"/>
        <v>0</v>
      </c>
      <c r="O125" s="283">
        <f t="shared" si="9"/>
        <v>1029</v>
      </c>
    </row>
    <row r="126" spans="1:15" ht="15" customHeight="1">
      <c r="A126" s="261"/>
      <c r="B126" s="262"/>
      <c r="C126" s="285" t="s">
        <v>1016</v>
      </c>
      <c r="D126" s="347" t="s">
        <v>1022</v>
      </c>
      <c r="E126" s="250"/>
      <c r="F126" s="597" t="s">
        <v>25</v>
      </c>
      <c r="G126" s="323">
        <v>150</v>
      </c>
      <c r="H126" s="323">
        <v>0</v>
      </c>
      <c r="I126" s="268">
        <v>150</v>
      </c>
      <c r="J126" s="283">
        <v>-150</v>
      </c>
      <c r="K126" s="283"/>
      <c r="L126" s="283">
        <f t="shared" si="6"/>
        <v>-150</v>
      </c>
      <c r="M126" s="283">
        <f t="shared" si="7"/>
        <v>0</v>
      </c>
      <c r="N126" s="283">
        <f t="shared" si="8"/>
        <v>0</v>
      </c>
      <c r="O126" s="283">
        <f t="shared" si="9"/>
        <v>0</v>
      </c>
    </row>
    <row r="127" spans="1:15" ht="15" customHeight="1">
      <c r="A127" s="261"/>
      <c r="B127" s="262"/>
      <c r="C127" s="285" t="s">
        <v>1007</v>
      </c>
      <c r="D127" s="32" t="s">
        <v>1023</v>
      </c>
      <c r="E127" s="250"/>
      <c r="F127" s="597"/>
      <c r="G127" s="323">
        <v>463</v>
      </c>
      <c r="H127" s="323">
        <v>0</v>
      </c>
      <c r="I127" s="268">
        <v>463</v>
      </c>
      <c r="J127" s="283"/>
      <c r="K127" s="283"/>
      <c r="L127" s="283">
        <f t="shared" si="6"/>
        <v>0</v>
      </c>
      <c r="M127" s="283">
        <f t="shared" si="7"/>
        <v>463</v>
      </c>
      <c r="N127" s="283">
        <f t="shared" si="8"/>
        <v>0</v>
      </c>
      <c r="O127" s="283">
        <f t="shared" si="9"/>
        <v>463</v>
      </c>
    </row>
    <row r="128" spans="1:15" ht="15" customHeight="1">
      <c r="A128" s="261"/>
      <c r="B128" s="262"/>
      <c r="C128" s="285" t="s">
        <v>1008</v>
      </c>
      <c r="D128" s="90" t="s">
        <v>1024</v>
      </c>
      <c r="E128" s="250"/>
      <c r="F128" s="597"/>
      <c r="G128" s="323">
        <v>5600</v>
      </c>
      <c r="H128" s="323">
        <v>0</v>
      </c>
      <c r="I128" s="268">
        <v>5600</v>
      </c>
      <c r="J128" s="283"/>
      <c r="K128" s="283"/>
      <c r="L128" s="283">
        <f t="shared" si="6"/>
        <v>0</v>
      </c>
      <c r="M128" s="283">
        <f t="shared" si="7"/>
        <v>5600</v>
      </c>
      <c r="N128" s="283">
        <f t="shared" si="8"/>
        <v>0</v>
      </c>
      <c r="O128" s="283">
        <f t="shared" si="9"/>
        <v>5600</v>
      </c>
    </row>
    <row r="129" spans="1:15" ht="15" customHeight="1">
      <c r="A129" s="261"/>
      <c r="B129" s="262"/>
      <c r="C129" s="285" t="s">
        <v>448</v>
      </c>
      <c r="D129" s="656" t="s">
        <v>449</v>
      </c>
      <c r="E129" s="250"/>
      <c r="F129" s="582"/>
      <c r="G129" s="323"/>
      <c r="H129" s="323">
        <v>254</v>
      </c>
      <c r="I129" s="268">
        <v>254</v>
      </c>
      <c r="J129" s="283"/>
      <c r="K129" s="283"/>
      <c r="L129" s="283">
        <f t="shared" si="6"/>
        <v>0</v>
      </c>
      <c r="M129" s="283"/>
      <c r="N129" s="283">
        <f t="shared" si="8"/>
        <v>254</v>
      </c>
      <c r="O129" s="283">
        <f t="shared" si="9"/>
        <v>254</v>
      </c>
    </row>
    <row r="130" spans="1:15" ht="15" customHeight="1">
      <c r="A130" s="261"/>
      <c r="B130" s="262"/>
      <c r="C130" s="285"/>
      <c r="D130" s="304" t="s">
        <v>318</v>
      </c>
      <c r="E130" s="265"/>
      <c r="F130" s="582"/>
      <c r="G130" s="323"/>
      <c r="H130" s="323"/>
      <c r="I130" s="268"/>
      <c r="J130" s="283"/>
      <c r="K130" s="283"/>
      <c r="L130" s="283"/>
      <c r="M130" s="283"/>
      <c r="N130" s="283"/>
      <c r="O130" s="283"/>
    </row>
    <row r="131" spans="1:15" ht="24.75" customHeight="1">
      <c r="A131" s="261"/>
      <c r="B131" s="262"/>
      <c r="C131" s="285" t="s">
        <v>84</v>
      </c>
      <c r="D131" s="305" t="s">
        <v>873</v>
      </c>
      <c r="E131" s="274"/>
      <c r="F131" s="583"/>
      <c r="G131" s="283">
        <v>3626</v>
      </c>
      <c r="H131" s="323">
        <v>0</v>
      </c>
      <c r="I131" s="268">
        <v>3626</v>
      </c>
      <c r="J131" s="283"/>
      <c r="K131" s="283"/>
      <c r="L131" s="283">
        <f t="shared" si="6"/>
        <v>0</v>
      </c>
      <c r="M131" s="283">
        <f t="shared" si="7"/>
        <v>3626</v>
      </c>
      <c r="N131" s="283">
        <f t="shared" si="8"/>
        <v>0</v>
      </c>
      <c r="O131" s="283">
        <f t="shared" si="9"/>
        <v>3626</v>
      </c>
    </row>
    <row r="132" spans="1:15" ht="15" customHeight="1">
      <c r="A132" s="261"/>
      <c r="B132" s="262"/>
      <c r="C132" s="285" t="s">
        <v>23</v>
      </c>
      <c r="D132" s="298" t="s">
        <v>413</v>
      </c>
      <c r="E132" s="265"/>
      <c r="F132" s="582"/>
      <c r="G132" s="323">
        <v>0</v>
      </c>
      <c r="H132" s="323">
        <v>0</v>
      </c>
      <c r="I132" s="268">
        <v>0</v>
      </c>
      <c r="J132" s="283"/>
      <c r="K132" s="283"/>
      <c r="L132" s="283">
        <f t="shared" si="6"/>
        <v>0</v>
      </c>
      <c r="M132" s="283">
        <f t="shared" si="7"/>
        <v>0</v>
      </c>
      <c r="N132" s="283">
        <f t="shared" si="8"/>
        <v>0</v>
      </c>
      <c r="O132" s="283">
        <f t="shared" si="9"/>
        <v>0</v>
      </c>
    </row>
    <row r="133" spans="1:15" ht="15" customHeight="1">
      <c r="A133" s="261"/>
      <c r="B133" s="262"/>
      <c r="C133" s="285" t="s">
        <v>414</v>
      </c>
      <c r="D133" s="306" t="s">
        <v>415</v>
      </c>
      <c r="E133" s="265"/>
      <c r="F133" s="582"/>
      <c r="G133" s="323">
        <v>48396</v>
      </c>
      <c r="H133" s="323">
        <v>0</v>
      </c>
      <c r="I133" s="268">
        <v>48396</v>
      </c>
      <c r="J133" s="283"/>
      <c r="K133" s="283"/>
      <c r="L133" s="283">
        <f t="shared" si="6"/>
        <v>0</v>
      </c>
      <c r="M133" s="283">
        <f t="shared" si="7"/>
        <v>48396</v>
      </c>
      <c r="N133" s="283">
        <f t="shared" si="8"/>
        <v>0</v>
      </c>
      <c r="O133" s="283">
        <f t="shared" si="9"/>
        <v>48396</v>
      </c>
    </row>
    <row r="134" spans="1:15" ht="15" customHeight="1">
      <c r="A134" s="261"/>
      <c r="B134" s="262"/>
      <c r="C134" s="285" t="s">
        <v>416</v>
      </c>
      <c r="D134" s="307" t="s">
        <v>417</v>
      </c>
      <c r="E134" s="265"/>
      <c r="F134" s="582" t="s">
        <v>25</v>
      </c>
      <c r="G134" s="323">
        <v>500</v>
      </c>
      <c r="H134" s="323">
        <v>0</v>
      </c>
      <c r="I134" s="268">
        <v>500</v>
      </c>
      <c r="J134" s="283">
        <v>-500</v>
      </c>
      <c r="K134" s="283"/>
      <c r="L134" s="283">
        <f t="shared" si="6"/>
        <v>-500</v>
      </c>
      <c r="M134" s="283">
        <f t="shared" si="7"/>
        <v>0</v>
      </c>
      <c r="N134" s="283">
        <f t="shared" si="8"/>
        <v>0</v>
      </c>
      <c r="O134" s="283">
        <f t="shared" si="9"/>
        <v>0</v>
      </c>
    </row>
    <row r="135" spans="1:15" ht="12.75" customHeight="1">
      <c r="A135" s="255"/>
      <c r="B135" s="256"/>
      <c r="C135" s="257"/>
      <c r="D135" s="308" t="s">
        <v>154</v>
      </c>
      <c r="E135" s="309"/>
      <c r="F135" s="586"/>
      <c r="G135" s="260">
        <f>SUM(G41:G134)</f>
        <v>253282</v>
      </c>
      <c r="H135" s="260">
        <f>SUM(H41:H134)</f>
        <v>421835</v>
      </c>
      <c r="I135" s="260">
        <f>SUM(I41:I134)</f>
        <v>675117</v>
      </c>
      <c r="J135" s="260">
        <f aca="true" t="shared" si="10" ref="J135:O135">SUM(J41:J134)</f>
        <v>-3972</v>
      </c>
      <c r="K135" s="260">
        <f t="shared" si="10"/>
        <v>0</v>
      </c>
      <c r="L135" s="260">
        <f t="shared" si="10"/>
        <v>-3972</v>
      </c>
      <c r="M135" s="260">
        <f t="shared" si="10"/>
        <v>249310</v>
      </c>
      <c r="N135" s="260">
        <f t="shared" si="10"/>
        <v>421835</v>
      </c>
      <c r="O135" s="260">
        <f t="shared" si="10"/>
        <v>671145</v>
      </c>
    </row>
    <row r="136" spans="1:15" ht="13.5" customHeight="1">
      <c r="A136" s="230">
        <v>1</v>
      </c>
      <c r="B136" s="231">
        <v>16</v>
      </c>
      <c r="C136" s="226"/>
      <c r="D136" s="310" t="s">
        <v>1140</v>
      </c>
      <c r="E136" s="311"/>
      <c r="F136" s="587"/>
      <c r="G136" s="323"/>
      <c r="H136" s="323"/>
      <c r="I136" s="229"/>
      <c r="J136" s="323"/>
      <c r="K136" s="323"/>
      <c r="L136" s="323"/>
      <c r="M136" s="323"/>
      <c r="N136" s="323"/>
      <c r="O136" s="323"/>
    </row>
    <row r="137" spans="1:15" ht="13.5" customHeight="1">
      <c r="A137" s="261"/>
      <c r="B137" s="262"/>
      <c r="C137" s="267">
        <v>1</v>
      </c>
      <c r="D137" s="264" t="s">
        <v>256</v>
      </c>
      <c r="E137" s="265"/>
      <c r="F137" s="582"/>
      <c r="G137" s="323"/>
      <c r="H137" s="323"/>
      <c r="I137" s="268"/>
      <c r="J137" s="323"/>
      <c r="K137" s="323"/>
      <c r="L137" s="323"/>
      <c r="M137" s="323"/>
      <c r="N137" s="323"/>
      <c r="O137" s="323"/>
    </row>
    <row r="138" spans="1:15" ht="36" customHeight="1">
      <c r="A138" s="261"/>
      <c r="B138" s="262"/>
      <c r="C138" s="263" t="s">
        <v>169</v>
      </c>
      <c r="D138" s="314" t="s">
        <v>466</v>
      </c>
      <c r="E138" s="265"/>
      <c r="F138" s="582"/>
      <c r="G138" s="323">
        <v>12500</v>
      </c>
      <c r="H138" s="323">
        <v>0</v>
      </c>
      <c r="I138" s="268">
        <v>12500</v>
      </c>
      <c r="J138" s="283"/>
      <c r="K138" s="283"/>
      <c r="L138" s="283">
        <f t="shared" si="6"/>
        <v>0</v>
      </c>
      <c r="M138" s="283">
        <f t="shared" si="7"/>
        <v>12500</v>
      </c>
      <c r="N138" s="283">
        <f t="shared" si="8"/>
        <v>0</v>
      </c>
      <c r="O138" s="283">
        <f t="shared" si="9"/>
        <v>12500</v>
      </c>
    </row>
    <row r="139" spans="1:15" ht="24.75" customHeight="1">
      <c r="A139" s="261"/>
      <c r="B139" s="262"/>
      <c r="C139" s="263" t="s">
        <v>170</v>
      </c>
      <c r="D139" s="314" t="s">
        <v>551</v>
      </c>
      <c r="E139" s="265"/>
      <c r="F139" s="582"/>
      <c r="G139" s="323">
        <v>16000</v>
      </c>
      <c r="H139" s="323">
        <v>0</v>
      </c>
      <c r="I139" s="268">
        <v>16000</v>
      </c>
      <c r="J139" s="657"/>
      <c r="K139" s="657"/>
      <c r="L139" s="657">
        <f t="shared" si="6"/>
        <v>0</v>
      </c>
      <c r="M139" s="657">
        <f t="shared" si="7"/>
        <v>16000</v>
      </c>
      <c r="N139" s="657">
        <f t="shared" si="8"/>
        <v>0</v>
      </c>
      <c r="O139" s="657">
        <f t="shared" si="9"/>
        <v>16000</v>
      </c>
    </row>
    <row r="140" spans="1:15" ht="24.75" customHeight="1">
      <c r="A140" s="261"/>
      <c r="B140" s="262"/>
      <c r="C140" s="263" t="s">
        <v>171</v>
      </c>
      <c r="D140" s="314" t="s">
        <v>552</v>
      </c>
      <c r="E140" s="265"/>
      <c r="F140" s="582"/>
      <c r="G140" s="323">
        <v>5100</v>
      </c>
      <c r="H140" s="323">
        <v>0</v>
      </c>
      <c r="I140" s="268">
        <v>5100</v>
      </c>
      <c r="J140" s="283"/>
      <c r="K140" s="283"/>
      <c r="L140" s="283">
        <f t="shared" si="6"/>
        <v>0</v>
      </c>
      <c r="M140" s="283">
        <f t="shared" si="7"/>
        <v>5100</v>
      </c>
      <c r="N140" s="283">
        <f t="shared" si="8"/>
        <v>0</v>
      </c>
      <c r="O140" s="283">
        <f t="shared" si="9"/>
        <v>5100</v>
      </c>
    </row>
    <row r="141" spans="1:15" ht="13.5" customHeight="1">
      <c r="A141" s="261"/>
      <c r="B141" s="262"/>
      <c r="C141" s="263" t="s">
        <v>158</v>
      </c>
      <c r="D141" s="315" t="s">
        <v>553</v>
      </c>
      <c r="E141" s="265"/>
      <c r="F141" s="582"/>
      <c r="G141" s="323">
        <v>43311</v>
      </c>
      <c r="H141" s="323">
        <v>0</v>
      </c>
      <c r="I141" s="268">
        <v>43311</v>
      </c>
      <c r="J141" s="323"/>
      <c r="K141" s="323"/>
      <c r="L141" s="323">
        <f t="shared" si="6"/>
        <v>0</v>
      </c>
      <c r="M141" s="323">
        <f t="shared" si="7"/>
        <v>43311</v>
      </c>
      <c r="N141" s="323">
        <f t="shared" si="8"/>
        <v>0</v>
      </c>
      <c r="O141" s="323">
        <f t="shared" si="9"/>
        <v>43311</v>
      </c>
    </row>
    <row r="142" spans="1:15" ht="13.5" customHeight="1">
      <c r="A142" s="261"/>
      <c r="B142" s="262"/>
      <c r="C142" s="263" t="s">
        <v>159</v>
      </c>
      <c r="D142" s="243" t="s">
        <v>554</v>
      </c>
      <c r="E142" s="265"/>
      <c r="F142" s="582" t="s">
        <v>25</v>
      </c>
      <c r="G142" s="323">
        <v>4761</v>
      </c>
      <c r="H142" s="323">
        <v>0</v>
      </c>
      <c r="I142" s="268">
        <v>4761</v>
      </c>
      <c r="J142" s="323">
        <v>-100</v>
      </c>
      <c r="K142" s="323"/>
      <c r="L142" s="323">
        <f t="shared" si="6"/>
        <v>-100</v>
      </c>
      <c r="M142" s="323">
        <f t="shared" si="7"/>
        <v>4661</v>
      </c>
      <c r="N142" s="323">
        <f t="shared" si="8"/>
        <v>0</v>
      </c>
      <c r="O142" s="323">
        <f t="shared" si="9"/>
        <v>4661</v>
      </c>
    </row>
    <row r="143" spans="1:15" ht="13.5" customHeight="1">
      <c r="A143" s="261"/>
      <c r="B143" s="262"/>
      <c r="C143" s="263" t="s">
        <v>888</v>
      </c>
      <c r="D143" s="243" t="s">
        <v>555</v>
      </c>
      <c r="E143" s="265"/>
      <c r="F143" s="582"/>
      <c r="G143" s="323">
        <v>1704</v>
      </c>
      <c r="H143" s="323">
        <v>0</v>
      </c>
      <c r="I143" s="268">
        <v>1704</v>
      </c>
      <c r="J143" s="323"/>
      <c r="K143" s="323"/>
      <c r="L143" s="323">
        <f t="shared" si="6"/>
        <v>0</v>
      </c>
      <c r="M143" s="323">
        <f t="shared" si="7"/>
        <v>1704</v>
      </c>
      <c r="N143" s="323">
        <f t="shared" si="8"/>
        <v>0</v>
      </c>
      <c r="O143" s="323">
        <f t="shared" si="9"/>
        <v>1704</v>
      </c>
    </row>
    <row r="144" spans="1:15" ht="13.5" customHeight="1">
      <c r="A144" s="261"/>
      <c r="B144" s="262"/>
      <c r="C144" s="267"/>
      <c r="D144" s="272" t="s">
        <v>318</v>
      </c>
      <c r="E144" s="265"/>
      <c r="F144" s="582"/>
      <c r="G144" s="323">
        <v>0</v>
      </c>
      <c r="H144" s="323">
        <v>0</v>
      </c>
      <c r="I144" s="268">
        <v>0</v>
      </c>
      <c r="J144" s="323"/>
      <c r="K144" s="323"/>
      <c r="L144" s="323">
        <f t="shared" si="6"/>
        <v>0</v>
      </c>
      <c r="M144" s="323">
        <f t="shared" si="7"/>
        <v>0</v>
      </c>
      <c r="N144" s="323">
        <f t="shared" si="8"/>
        <v>0</v>
      </c>
      <c r="O144" s="323">
        <f t="shared" si="9"/>
        <v>0</v>
      </c>
    </row>
    <row r="145" spans="1:15" ht="13.5" customHeight="1">
      <c r="A145" s="261"/>
      <c r="B145" s="262"/>
      <c r="C145" s="263" t="s">
        <v>29</v>
      </c>
      <c r="D145" s="316" t="s">
        <v>878</v>
      </c>
      <c r="E145" s="265"/>
      <c r="F145" s="582"/>
      <c r="G145" s="323">
        <v>157</v>
      </c>
      <c r="H145" s="323">
        <v>0</v>
      </c>
      <c r="I145" s="268">
        <v>157</v>
      </c>
      <c r="J145" s="323"/>
      <c r="K145" s="323"/>
      <c r="L145" s="323">
        <f t="shared" si="6"/>
        <v>0</v>
      </c>
      <c r="M145" s="323">
        <f t="shared" si="7"/>
        <v>157</v>
      </c>
      <c r="N145" s="323">
        <f t="shared" si="8"/>
        <v>0</v>
      </c>
      <c r="O145" s="323">
        <f t="shared" si="9"/>
        <v>157</v>
      </c>
    </row>
    <row r="146" spans="1:15" ht="13.5" customHeight="1">
      <c r="A146" s="261"/>
      <c r="B146" s="262"/>
      <c r="C146" s="263" t="s">
        <v>61</v>
      </c>
      <c r="D146" s="315" t="s">
        <v>556</v>
      </c>
      <c r="E146" s="265"/>
      <c r="F146" s="582"/>
      <c r="G146" s="323">
        <v>20209</v>
      </c>
      <c r="H146" s="323">
        <v>0</v>
      </c>
      <c r="I146" s="268">
        <v>20209</v>
      </c>
      <c r="J146" s="323"/>
      <c r="K146" s="323"/>
      <c r="L146" s="323">
        <f t="shared" si="6"/>
        <v>0</v>
      </c>
      <c r="M146" s="323">
        <f t="shared" si="7"/>
        <v>20209</v>
      </c>
      <c r="N146" s="323">
        <f t="shared" si="8"/>
        <v>0</v>
      </c>
      <c r="O146" s="323">
        <f t="shared" si="9"/>
        <v>20209</v>
      </c>
    </row>
    <row r="147" spans="1:15" ht="13.5" customHeight="1">
      <c r="A147" s="261"/>
      <c r="B147" s="262"/>
      <c r="C147" s="263" t="s">
        <v>62</v>
      </c>
      <c r="D147" s="315" t="s">
        <v>557</v>
      </c>
      <c r="E147" s="265"/>
      <c r="F147" s="582"/>
      <c r="G147" s="323">
        <v>0</v>
      </c>
      <c r="H147" s="323">
        <v>0</v>
      </c>
      <c r="I147" s="268">
        <v>0</v>
      </c>
      <c r="J147" s="323"/>
      <c r="K147" s="323"/>
      <c r="L147" s="323">
        <f t="shared" si="6"/>
        <v>0</v>
      </c>
      <c r="M147" s="323">
        <f t="shared" si="7"/>
        <v>0</v>
      </c>
      <c r="N147" s="323">
        <f t="shared" si="8"/>
        <v>0</v>
      </c>
      <c r="O147" s="323">
        <f t="shared" si="9"/>
        <v>0</v>
      </c>
    </row>
    <row r="148" spans="1:15" ht="15" customHeight="1">
      <c r="A148" s="269"/>
      <c r="B148" s="269"/>
      <c r="C148" s="263" t="s">
        <v>63</v>
      </c>
      <c r="D148" s="317" t="s">
        <v>1055</v>
      </c>
      <c r="E148" s="318"/>
      <c r="F148" s="445"/>
      <c r="G148" s="323">
        <v>900</v>
      </c>
      <c r="H148" s="323">
        <v>0</v>
      </c>
      <c r="I148" s="268">
        <v>900</v>
      </c>
      <c r="J148" s="323"/>
      <c r="K148" s="323"/>
      <c r="L148" s="323">
        <f t="shared" si="6"/>
        <v>0</v>
      </c>
      <c r="M148" s="323">
        <f t="shared" si="7"/>
        <v>900</v>
      </c>
      <c r="N148" s="323">
        <f t="shared" si="8"/>
        <v>0</v>
      </c>
      <c r="O148" s="323">
        <f t="shared" si="9"/>
        <v>900</v>
      </c>
    </row>
    <row r="149" spans="1:15" ht="15" customHeight="1">
      <c r="A149" s="269"/>
      <c r="B149" s="269"/>
      <c r="C149" s="263" t="s">
        <v>1052</v>
      </c>
      <c r="D149" s="319" t="s">
        <v>1061</v>
      </c>
      <c r="E149" s="320"/>
      <c r="F149" s="578"/>
      <c r="G149" s="323">
        <v>343</v>
      </c>
      <c r="H149" s="323">
        <v>0</v>
      </c>
      <c r="I149" s="268">
        <v>343</v>
      </c>
      <c r="J149" s="323"/>
      <c r="K149" s="323"/>
      <c r="L149" s="323">
        <f t="shared" si="6"/>
        <v>0</v>
      </c>
      <c r="M149" s="323">
        <f t="shared" si="7"/>
        <v>343</v>
      </c>
      <c r="N149" s="323">
        <f t="shared" si="8"/>
        <v>0</v>
      </c>
      <c r="O149" s="323">
        <f t="shared" si="9"/>
        <v>343</v>
      </c>
    </row>
    <row r="150" spans="1:15" ht="15" customHeight="1">
      <c r="A150" s="269"/>
      <c r="B150" s="269"/>
      <c r="C150" s="263" t="s">
        <v>1053</v>
      </c>
      <c r="D150" s="321" t="s">
        <v>876</v>
      </c>
      <c r="E150" s="322"/>
      <c r="F150" s="591"/>
      <c r="G150" s="323">
        <v>0</v>
      </c>
      <c r="H150" s="323">
        <v>0</v>
      </c>
      <c r="I150" s="268">
        <v>0</v>
      </c>
      <c r="J150" s="323"/>
      <c r="K150" s="323"/>
      <c r="L150" s="323">
        <f t="shared" si="6"/>
        <v>0</v>
      </c>
      <c r="M150" s="323">
        <f t="shared" si="7"/>
        <v>0</v>
      </c>
      <c r="N150" s="323">
        <f t="shared" si="8"/>
        <v>0</v>
      </c>
      <c r="O150" s="323">
        <f t="shared" si="9"/>
        <v>0</v>
      </c>
    </row>
    <row r="151" spans="1:15" ht="13.5" customHeight="1">
      <c r="A151" s="324"/>
      <c r="B151" s="324"/>
      <c r="C151" s="275" t="s">
        <v>172</v>
      </c>
      <c r="D151" s="276" t="s">
        <v>867</v>
      </c>
      <c r="E151" s="282"/>
      <c r="F151" s="584"/>
      <c r="G151" s="323"/>
      <c r="H151" s="323"/>
      <c r="I151" s="268"/>
      <c r="J151" s="323"/>
      <c r="K151" s="323"/>
      <c r="L151" s="323"/>
      <c r="M151" s="323"/>
      <c r="N151" s="323"/>
      <c r="O151" s="323"/>
    </row>
    <row r="152" spans="1:15" ht="25.5" customHeight="1">
      <c r="A152" s="324"/>
      <c r="B152" s="324"/>
      <c r="C152" s="248" t="s">
        <v>173</v>
      </c>
      <c r="D152" s="325" t="s">
        <v>558</v>
      </c>
      <c r="E152" s="282"/>
      <c r="F152" s="584"/>
      <c r="G152" s="283">
        <v>50500</v>
      </c>
      <c r="H152" s="283">
        <v>0</v>
      </c>
      <c r="I152" s="268">
        <v>50500</v>
      </c>
      <c r="J152" s="283"/>
      <c r="K152" s="283"/>
      <c r="L152" s="283">
        <f t="shared" si="6"/>
        <v>0</v>
      </c>
      <c r="M152" s="283">
        <f t="shared" si="7"/>
        <v>50500</v>
      </c>
      <c r="N152" s="283">
        <f t="shared" si="8"/>
        <v>0</v>
      </c>
      <c r="O152" s="283">
        <f t="shared" si="9"/>
        <v>50500</v>
      </c>
    </row>
    <row r="153" spans="1:15" ht="13.5" customHeight="1">
      <c r="A153" s="324"/>
      <c r="B153" s="324"/>
      <c r="C153" s="248" t="s">
        <v>1</v>
      </c>
      <c r="D153" s="315" t="s">
        <v>562</v>
      </c>
      <c r="E153" s="282"/>
      <c r="F153" s="584"/>
      <c r="G153" s="323">
        <v>330</v>
      </c>
      <c r="H153" s="323">
        <v>0</v>
      </c>
      <c r="I153" s="268">
        <v>330</v>
      </c>
      <c r="J153" s="323"/>
      <c r="K153" s="323"/>
      <c r="L153" s="323">
        <f t="shared" si="6"/>
        <v>0</v>
      </c>
      <c r="M153" s="323">
        <f t="shared" si="7"/>
        <v>330</v>
      </c>
      <c r="N153" s="323">
        <f t="shared" si="8"/>
        <v>0</v>
      </c>
      <c r="O153" s="323">
        <f t="shared" si="9"/>
        <v>330</v>
      </c>
    </row>
    <row r="154" spans="1:15" ht="13.5" customHeight="1">
      <c r="A154" s="324"/>
      <c r="B154" s="324"/>
      <c r="C154" s="248" t="s">
        <v>877</v>
      </c>
      <c r="D154" s="326" t="s">
        <v>563</v>
      </c>
      <c r="E154" s="282"/>
      <c r="F154" s="584"/>
      <c r="G154" s="323">
        <v>800</v>
      </c>
      <c r="H154" s="323">
        <v>0</v>
      </c>
      <c r="I154" s="268">
        <v>800</v>
      </c>
      <c r="J154" s="323"/>
      <c r="K154" s="323"/>
      <c r="L154" s="323">
        <f t="shared" si="6"/>
        <v>0</v>
      </c>
      <c r="M154" s="323">
        <f t="shared" si="7"/>
        <v>800</v>
      </c>
      <c r="N154" s="323">
        <f t="shared" si="8"/>
        <v>0</v>
      </c>
      <c r="O154" s="323">
        <f t="shared" si="9"/>
        <v>800</v>
      </c>
    </row>
    <row r="155" spans="1:15" ht="13.5" customHeight="1">
      <c r="A155" s="324"/>
      <c r="B155" s="324"/>
      <c r="C155" s="275"/>
      <c r="D155" s="272" t="s">
        <v>318</v>
      </c>
      <c r="E155" s="282"/>
      <c r="F155" s="584"/>
      <c r="G155" s="323">
        <v>0</v>
      </c>
      <c r="H155" s="323">
        <v>0</v>
      </c>
      <c r="I155" s="268">
        <v>0</v>
      </c>
      <c r="J155" s="323"/>
      <c r="K155" s="323"/>
      <c r="L155" s="323">
        <f t="shared" si="6"/>
        <v>0</v>
      </c>
      <c r="M155" s="323">
        <f t="shared" si="7"/>
        <v>0</v>
      </c>
      <c r="N155" s="323">
        <f t="shared" si="8"/>
        <v>0</v>
      </c>
      <c r="O155" s="323">
        <f t="shared" si="9"/>
        <v>0</v>
      </c>
    </row>
    <row r="156" spans="1:15" ht="13.5" customHeight="1">
      <c r="A156" s="324"/>
      <c r="B156" s="324"/>
      <c r="C156" s="248" t="s">
        <v>64</v>
      </c>
      <c r="D156" s="327" t="s">
        <v>1062</v>
      </c>
      <c r="E156" s="265"/>
      <c r="F156" s="582"/>
      <c r="G156" s="323">
        <v>239</v>
      </c>
      <c r="H156" s="323">
        <v>0</v>
      </c>
      <c r="I156" s="268">
        <v>239</v>
      </c>
      <c r="J156" s="323"/>
      <c r="K156" s="323"/>
      <c r="L156" s="323">
        <f t="shared" si="6"/>
        <v>0</v>
      </c>
      <c r="M156" s="323">
        <f t="shared" si="7"/>
        <v>239</v>
      </c>
      <c r="N156" s="323">
        <f t="shared" si="8"/>
        <v>0</v>
      </c>
      <c r="O156" s="323">
        <f t="shared" si="9"/>
        <v>239</v>
      </c>
    </row>
    <row r="157" spans="1:15" ht="13.5" customHeight="1">
      <c r="A157" s="324"/>
      <c r="B157" s="324"/>
      <c r="C157" s="279" t="s">
        <v>174</v>
      </c>
      <c r="D157" s="280" t="s">
        <v>94</v>
      </c>
      <c r="E157" s="282"/>
      <c r="F157" s="584"/>
      <c r="G157" s="323"/>
      <c r="H157" s="323"/>
      <c r="I157" s="268"/>
      <c r="J157" s="323"/>
      <c r="K157" s="323"/>
      <c r="L157" s="323"/>
      <c r="M157" s="323"/>
      <c r="N157" s="323"/>
      <c r="O157" s="323"/>
    </row>
    <row r="158" spans="1:15" ht="13.5" customHeight="1">
      <c r="A158" s="324"/>
      <c r="B158" s="324"/>
      <c r="C158" s="279"/>
      <c r="D158" s="272" t="s">
        <v>318</v>
      </c>
      <c r="E158" s="282"/>
      <c r="F158" s="584"/>
      <c r="G158" s="323"/>
      <c r="H158" s="323"/>
      <c r="I158" s="268"/>
      <c r="J158" s="323"/>
      <c r="K158" s="323"/>
      <c r="L158" s="323"/>
      <c r="M158" s="323"/>
      <c r="N158" s="323"/>
      <c r="O158" s="323"/>
    </row>
    <row r="159" spans="1:15" ht="15" customHeight="1">
      <c r="A159" s="324"/>
      <c r="B159" s="324"/>
      <c r="C159" s="248" t="s">
        <v>353</v>
      </c>
      <c r="D159" s="328" t="s">
        <v>564</v>
      </c>
      <c r="E159" s="329" t="s">
        <v>1137</v>
      </c>
      <c r="F159" s="584" t="s">
        <v>25</v>
      </c>
      <c r="G159" s="323">
        <v>577653</v>
      </c>
      <c r="H159" s="323">
        <v>0</v>
      </c>
      <c r="I159" s="268">
        <v>577653</v>
      </c>
      <c r="J159" s="323">
        <v>-80</v>
      </c>
      <c r="K159" s="323"/>
      <c r="L159" s="323">
        <f t="shared" si="6"/>
        <v>-80</v>
      </c>
      <c r="M159" s="323">
        <f t="shared" si="7"/>
        <v>577573</v>
      </c>
      <c r="N159" s="323">
        <f t="shared" si="8"/>
        <v>0</v>
      </c>
      <c r="O159" s="323">
        <f t="shared" si="9"/>
        <v>577573</v>
      </c>
    </row>
    <row r="160" spans="1:15" ht="24.75" customHeight="1">
      <c r="A160" s="324"/>
      <c r="B160" s="324"/>
      <c r="C160" s="248" t="s">
        <v>565</v>
      </c>
      <c r="D160" s="328" t="s">
        <v>566</v>
      </c>
      <c r="E160" s="329" t="s">
        <v>1137</v>
      </c>
      <c r="F160" s="584" t="s">
        <v>25</v>
      </c>
      <c r="G160" s="323">
        <v>581631</v>
      </c>
      <c r="H160" s="323">
        <v>0</v>
      </c>
      <c r="I160" s="268">
        <v>581631</v>
      </c>
      <c r="J160" s="323">
        <v>-80</v>
      </c>
      <c r="K160" s="323"/>
      <c r="L160" s="323">
        <f t="shared" si="6"/>
        <v>-80</v>
      </c>
      <c r="M160" s="323">
        <f t="shared" si="7"/>
        <v>581551</v>
      </c>
      <c r="N160" s="323">
        <f t="shared" si="8"/>
        <v>0</v>
      </c>
      <c r="O160" s="323">
        <f t="shared" si="9"/>
        <v>581551</v>
      </c>
    </row>
    <row r="161" spans="1:15" ht="12" customHeight="1">
      <c r="A161" s="279"/>
      <c r="B161" s="279"/>
      <c r="C161" s="279" t="s">
        <v>176</v>
      </c>
      <c r="D161" s="280" t="s">
        <v>181</v>
      </c>
      <c r="E161" s="331"/>
      <c r="F161" s="579"/>
      <c r="G161" s="323"/>
      <c r="H161" s="323"/>
      <c r="I161" s="268"/>
      <c r="J161" s="323"/>
      <c r="K161" s="323"/>
      <c r="L161" s="323"/>
      <c r="M161" s="323"/>
      <c r="N161" s="323"/>
      <c r="O161" s="323"/>
    </row>
    <row r="162" spans="1:15" ht="12" customHeight="1">
      <c r="A162" s="279"/>
      <c r="B162" s="279"/>
      <c r="C162" s="285" t="s">
        <v>182</v>
      </c>
      <c r="D162" s="325" t="s">
        <v>567</v>
      </c>
      <c r="E162" s="331"/>
      <c r="F162" s="579"/>
      <c r="G162" s="323">
        <v>5231</v>
      </c>
      <c r="H162" s="323">
        <v>0</v>
      </c>
      <c r="I162" s="268">
        <v>5231</v>
      </c>
      <c r="J162" s="323"/>
      <c r="K162" s="323"/>
      <c r="L162" s="323">
        <f aca="true" t="shared" si="11" ref="L162:L228">SUM(J162:K162)</f>
        <v>0</v>
      </c>
      <c r="M162" s="323">
        <f t="shared" si="7"/>
        <v>5231</v>
      </c>
      <c r="N162" s="323">
        <f t="shared" si="8"/>
        <v>0</v>
      </c>
      <c r="O162" s="323">
        <f aca="true" t="shared" si="12" ref="O162:O228">SUM(M162:N162)</f>
        <v>5231</v>
      </c>
    </row>
    <row r="163" spans="1:15" ht="12" customHeight="1">
      <c r="A163" s="279"/>
      <c r="B163" s="279"/>
      <c r="C163" s="285" t="s">
        <v>183</v>
      </c>
      <c r="D163" s="237" t="s">
        <v>568</v>
      </c>
      <c r="E163" s="331"/>
      <c r="F163" s="579"/>
      <c r="G163" s="323">
        <v>3000</v>
      </c>
      <c r="H163" s="323">
        <v>0</v>
      </c>
      <c r="I163" s="268">
        <v>3000</v>
      </c>
      <c r="J163" s="323"/>
      <c r="K163" s="323"/>
      <c r="L163" s="323">
        <f t="shared" si="11"/>
        <v>0</v>
      </c>
      <c r="M163" s="323">
        <f aca="true" t="shared" si="13" ref="M163:M229">SUM(G163+J163)</f>
        <v>3000</v>
      </c>
      <c r="N163" s="323">
        <f aca="true" t="shared" si="14" ref="N163:N229">SUM(H163+K163)</f>
        <v>0</v>
      </c>
      <c r="O163" s="323">
        <f t="shared" si="12"/>
        <v>3000</v>
      </c>
    </row>
    <row r="164" spans="1:15" ht="12" customHeight="1">
      <c r="A164" s="279"/>
      <c r="B164" s="279"/>
      <c r="C164" s="285" t="s">
        <v>184</v>
      </c>
      <c r="D164" s="288" t="s">
        <v>419</v>
      </c>
      <c r="E164" s="265"/>
      <c r="F164" s="582"/>
      <c r="G164" s="323">
        <v>6500</v>
      </c>
      <c r="H164" s="323">
        <v>0</v>
      </c>
      <c r="I164" s="268">
        <v>6500</v>
      </c>
      <c r="J164" s="323"/>
      <c r="K164" s="323"/>
      <c r="L164" s="323">
        <f t="shared" si="11"/>
        <v>0</v>
      </c>
      <c r="M164" s="323">
        <f t="shared" si="13"/>
        <v>6500</v>
      </c>
      <c r="N164" s="323">
        <f t="shared" si="14"/>
        <v>0</v>
      </c>
      <c r="O164" s="323">
        <f t="shared" si="12"/>
        <v>6500</v>
      </c>
    </row>
    <row r="165" spans="1:15" ht="12" customHeight="1">
      <c r="A165" s="279"/>
      <c r="B165" s="279"/>
      <c r="C165" s="285" t="s">
        <v>185</v>
      </c>
      <c r="D165" s="277" t="s">
        <v>569</v>
      </c>
      <c r="E165" s="265"/>
      <c r="F165" s="582" t="s">
        <v>25</v>
      </c>
      <c r="G165" s="323">
        <v>20800</v>
      </c>
      <c r="H165" s="323">
        <v>0</v>
      </c>
      <c r="I165" s="268">
        <v>20800</v>
      </c>
      <c r="J165" s="323">
        <v>-365</v>
      </c>
      <c r="K165" s="323"/>
      <c r="L165" s="323">
        <f t="shared" si="11"/>
        <v>-365</v>
      </c>
      <c r="M165" s="323">
        <f t="shared" si="13"/>
        <v>20435</v>
      </c>
      <c r="N165" s="323">
        <f t="shared" si="14"/>
        <v>0</v>
      </c>
      <c r="O165" s="323">
        <f t="shared" si="12"/>
        <v>20435</v>
      </c>
    </row>
    <row r="166" spans="1:15" ht="12" customHeight="1">
      <c r="A166" s="279"/>
      <c r="B166" s="279"/>
      <c r="C166" s="285" t="s">
        <v>186</v>
      </c>
      <c r="D166" s="288" t="s">
        <v>570</v>
      </c>
      <c r="E166" s="265"/>
      <c r="F166" s="582"/>
      <c r="G166" s="323">
        <v>2456</v>
      </c>
      <c r="H166" s="323">
        <v>0</v>
      </c>
      <c r="I166" s="268">
        <v>2456</v>
      </c>
      <c r="J166" s="323"/>
      <c r="K166" s="323"/>
      <c r="L166" s="323">
        <f t="shared" si="11"/>
        <v>0</v>
      </c>
      <c r="M166" s="323">
        <f t="shared" si="13"/>
        <v>2456</v>
      </c>
      <c r="N166" s="323">
        <f t="shared" si="14"/>
        <v>0</v>
      </c>
      <c r="O166" s="323">
        <f t="shared" si="12"/>
        <v>2456</v>
      </c>
    </row>
    <row r="167" spans="1:15" ht="12" customHeight="1">
      <c r="A167" s="279"/>
      <c r="B167" s="279"/>
      <c r="C167" s="285" t="s">
        <v>187</v>
      </c>
      <c r="D167" s="288" t="s">
        <v>571</v>
      </c>
      <c r="E167" s="265"/>
      <c r="F167" s="582"/>
      <c r="G167" s="323">
        <v>0</v>
      </c>
      <c r="H167" s="323">
        <v>4000</v>
      </c>
      <c r="I167" s="268">
        <v>4000</v>
      </c>
      <c r="J167" s="323"/>
      <c r="K167" s="323"/>
      <c r="L167" s="323">
        <f t="shared" si="11"/>
        <v>0</v>
      </c>
      <c r="M167" s="323">
        <f t="shared" si="13"/>
        <v>0</v>
      </c>
      <c r="N167" s="323">
        <f t="shared" si="14"/>
        <v>4000</v>
      </c>
      <c r="O167" s="323">
        <f t="shared" si="12"/>
        <v>4000</v>
      </c>
    </row>
    <row r="168" spans="1:15" ht="12" customHeight="1">
      <c r="A168" s="279"/>
      <c r="B168" s="279"/>
      <c r="C168" s="285" t="s">
        <v>188</v>
      </c>
      <c r="D168" s="300" t="s">
        <v>572</v>
      </c>
      <c r="E168" s="265"/>
      <c r="F168" s="582" t="s">
        <v>25</v>
      </c>
      <c r="G168" s="323">
        <v>12700</v>
      </c>
      <c r="H168" s="323">
        <v>0</v>
      </c>
      <c r="I168" s="268">
        <v>12700</v>
      </c>
      <c r="J168" s="323">
        <v>-56</v>
      </c>
      <c r="K168" s="323"/>
      <c r="L168" s="323">
        <f t="shared" si="11"/>
        <v>-56</v>
      </c>
      <c r="M168" s="323">
        <f t="shared" si="13"/>
        <v>12644</v>
      </c>
      <c r="N168" s="323">
        <f t="shared" si="14"/>
        <v>0</v>
      </c>
      <c r="O168" s="323">
        <f t="shared" si="12"/>
        <v>12644</v>
      </c>
    </row>
    <row r="169" spans="1:15" ht="12" customHeight="1">
      <c r="A169" s="279"/>
      <c r="B169" s="279"/>
      <c r="C169" s="285" t="s">
        <v>212</v>
      </c>
      <c r="D169" s="277" t="s">
        <v>852</v>
      </c>
      <c r="E169" s="265"/>
      <c r="F169" s="582"/>
      <c r="G169" s="323">
        <v>4000</v>
      </c>
      <c r="H169" s="323"/>
      <c r="I169" s="268">
        <v>4000</v>
      </c>
      <c r="J169" s="323"/>
      <c r="K169" s="323"/>
      <c r="L169" s="323">
        <f t="shared" si="11"/>
        <v>0</v>
      </c>
      <c r="M169" s="323">
        <f t="shared" si="13"/>
        <v>4000</v>
      </c>
      <c r="N169" s="323"/>
      <c r="O169" s="323">
        <f t="shared" si="12"/>
        <v>4000</v>
      </c>
    </row>
    <row r="170" spans="1:15" ht="12" customHeight="1">
      <c r="A170" s="279"/>
      <c r="B170" s="279"/>
      <c r="C170" s="279"/>
      <c r="D170" s="272" t="s">
        <v>318</v>
      </c>
      <c r="E170" s="331"/>
      <c r="F170" s="579"/>
      <c r="G170" s="323">
        <v>0</v>
      </c>
      <c r="H170" s="323">
        <v>0</v>
      </c>
      <c r="I170" s="268">
        <v>0</v>
      </c>
      <c r="J170" s="323"/>
      <c r="K170" s="323"/>
      <c r="L170" s="323">
        <f t="shared" si="11"/>
        <v>0</v>
      </c>
      <c r="M170" s="323">
        <f t="shared" si="13"/>
        <v>0</v>
      </c>
      <c r="N170" s="323">
        <f t="shared" si="14"/>
        <v>0</v>
      </c>
      <c r="O170" s="323">
        <f t="shared" si="12"/>
        <v>0</v>
      </c>
    </row>
    <row r="171" spans="1:15" ht="12" customHeight="1">
      <c r="A171" s="279"/>
      <c r="B171" s="279"/>
      <c r="C171" s="332" t="s">
        <v>65</v>
      </c>
      <c r="D171" s="305" t="s">
        <v>573</v>
      </c>
      <c r="E171" s="331"/>
      <c r="F171" s="579"/>
      <c r="G171" s="323">
        <v>13510</v>
      </c>
      <c r="H171" s="323">
        <v>0</v>
      </c>
      <c r="I171" s="268">
        <v>13510</v>
      </c>
      <c r="J171" s="323"/>
      <c r="K171" s="323"/>
      <c r="L171" s="323">
        <f t="shared" si="11"/>
        <v>0</v>
      </c>
      <c r="M171" s="323">
        <f t="shared" si="13"/>
        <v>13510</v>
      </c>
      <c r="N171" s="323">
        <f t="shared" si="14"/>
        <v>0</v>
      </c>
      <c r="O171" s="323">
        <f t="shared" si="12"/>
        <v>13510</v>
      </c>
    </row>
    <row r="172" spans="1:15" ht="12" customHeight="1">
      <c r="A172" s="279"/>
      <c r="B172" s="279"/>
      <c r="C172" s="332" t="s">
        <v>66</v>
      </c>
      <c r="D172" s="328" t="s">
        <v>1066</v>
      </c>
      <c r="E172" s="331"/>
      <c r="F172" s="579"/>
      <c r="G172" s="323">
        <v>16089</v>
      </c>
      <c r="H172" s="323">
        <v>0</v>
      </c>
      <c r="I172" s="268">
        <v>16089</v>
      </c>
      <c r="J172" s="323"/>
      <c r="K172" s="323"/>
      <c r="L172" s="323">
        <f t="shared" si="11"/>
        <v>0</v>
      </c>
      <c r="M172" s="323">
        <f t="shared" si="13"/>
        <v>16089</v>
      </c>
      <c r="N172" s="323">
        <f t="shared" si="14"/>
        <v>0</v>
      </c>
      <c r="O172" s="323">
        <f t="shared" si="12"/>
        <v>16089</v>
      </c>
    </row>
    <row r="173" spans="1:15" ht="24.75" customHeight="1">
      <c r="A173" s="279"/>
      <c r="B173" s="279"/>
      <c r="C173" s="332" t="s">
        <v>67</v>
      </c>
      <c r="D173" s="333" t="s">
        <v>574</v>
      </c>
      <c r="E173" s="331"/>
      <c r="F173" s="579"/>
      <c r="G173" s="323">
        <v>0</v>
      </c>
      <c r="H173" s="323">
        <v>12100</v>
      </c>
      <c r="I173" s="268">
        <v>12100</v>
      </c>
      <c r="J173" s="323"/>
      <c r="K173" s="323"/>
      <c r="L173" s="323">
        <f t="shared" si="11"/>
        <v>0</v>
      </c>
      <c r="M173" s="323">
        <f t="shared" si="13"/>
        <v>0</v>
      </c>
      <c r="N173" s="323">
        <f t="shared" si="14"/>
        <v>12100</v>
      </c>
      <c r="O173" s="323">
        <f t="shared" si="12"/>
        <v>12100</v>
      </c>
    </row>
    <row r="174" spans="1:15" ht="12" customHeight="1">
      <c r="A174" s="279"/>
      <c r="B174" s="279"/>
      <c r="C174" s="332" t="s">
        <v>68</v>
      </c>
      <c r="D174" s="334" t="s">
        <v>1064</v>
      </c>
      <c r="E174" s="331"/>
      <c r="F174" s="579"/>
      <c r="G174" s="323">
        <v>30200</v>
      </c>
      <c r="H174" s="323">
        <v>0</v>
      </c>
      <c r="I174" s="268">
        <v>30200</v>
      </c>
      <c r="J174" s="323"/>
      <c r="K174" s="323"/>
      <c r="L174" s="323">
        <f t="shared" si="11"/>
        <v>0</v>
      </c>
      <c r="M174" s="323">
        <f t="shared" si="13"/>
        <v>30200</v>
      </c>
      <c r="N174" s="323">
        <f t="shared" si="14"/>
        <v>0</v>
      </c>
      <c r="O174" s="323">
        <f t="shared" si="12"/>
        <v>30200</v>
      </c>
    </row>
    <row r="175" spans="1:15" ht="12" customHeight="1">
      <c r="A175" s="279"/>
      <c r="B175" s="279"/>
      <c r="C175" s="332" t="s">
        <v>69</v>
      </c>
      <c r="D175" s="335" t="s">
        <v>1065</v>
      </c>
      <c r="E175" s="331"/>
      <c r="F175" s="579" t="s">
        <v>25</v>
      </c>
      <c r="G175" s="323">
        <v>20895</v>
      </c>
      <c r="H175" s="323">
        <v>0</v>
      </c>
      <c r="I175" s="268">
        <v>20895</v>
      </c>
      <c r="J175" s="323">
        <v>-51</v>
      </c>
      <c r="K175" s="323"/>
      <c r="L175" s="323">
        <f t="shared" si="11"/>
        <v>-51</v>
      </c>
      <c r="M175" s="323">
        <f t="shared" si="13"/>
        <v>20844</v>
      </c>
      <c r="N175" s="323">
        <f t="shared" si="14"/>
        <v>0</v>
      </c>
      <c r="O175" s="323">
        <f t="shared" si="12"/>
        <v>20844</v>
      </c>
    </row>
    <row r="176" spans="1:15" ht="12" customHeight="1">
      <c r="A176" s="279"/>
      <c r="B176" s="279"/>
      <c r="C176" s="332" t="s">
        <v>70</v>
      </c>
      <c r="D176" s="321" t="s">
        <v>1063</v>
      </c>
      <c r="E176" s="331"/>
      <c r="F176" s="579"/>
      <c r="G176" s="323">
        <v>1132</v>
      </c>
      <c r="H176" s="323">
        <v>0</v>
      </c>
      <c r="I176" s="268">
        <v>1132</v>
      </c>
      <c r="J176" s="323"/>
      <c r="K176" s="323"/>
      <c r="L176" s="323">
        <f t="shared" si="11"/>
        <v>0</v>
      </c>
      <c r="M176" s="323">
        <f t="shared" si="13"/>
        <v>1132</v>
      </c>
      <c r="N176" s="323">
        <f t="shared" si="14"/>
        <v>0</v>
      </c>
      <c r="O176" s="323">
        <f t="shared" si="12"/>
        <v>1132</v>
      </c>
    </row>
    <row r="177" spans="1:15" ht="12" customHeight="1">
      <c r="A177" s="279"/>
      <c r="B177" s="279"/>
      <c r="C177" s="332" t="s">
        <v>71</v>
      </c>
      <c r="D177" s="336" t="s">
        <v>575</v>
      </c>
      <c r="E177" s="331"/>
      <c r="F177" s="579"/>
      <c r="G177" s="323">
        <v>306</v>
      </c>
      <c r="H177" s="323">
        <v>0</v>
      </c>
      <c r="I177" s="268">
        <v>306</v>
      </c>
      <c r="J177" s="323"/>
      <c r="K177" s="323"/>
      <c r="L177" s="323">
        <f t="shared" si="11"/>
        <v>0</v>
      </c>
      <c r="M177" s="323">
        <f t="shared" si="13"/>
        <v>306</v>
      </c>
      <c r="N177" s="323">
        <f t="shared" si="14"/>
        <v>0</v>
      </c>
      <c r="O177" s="323">
        <f t="shared" si="12"/>
        <v>306</v>
      </c>
    </row>
    <row r="178" spans="1:15" ht="13.5" customHeight="1">
      <c r="A178" s="279"/>
      <c r="B178" s="279"/>
      <c r="C178" s="279" t="s">
        <v>177</v>
      </c>
      <c r="D178" s="280" t="s">
        <v>95</v>
      </c>
      <c r="E178" s="337"/>
      <c r="F178" s="345"/>
      <c r="G178" s="323"/>
      <c r="H178" s="323"/>
      <c r="I178" s="268"/>
      <c r="J178" s="323"/>
      <c r="K178" s="323"/>
      <c r="L178" s="323"/>
      <c r="M178" s="323"/>
      <c r="N178" s="323"/>
      <c r="O178" s="323"/>
    </row>
    <row r="179" spans="1:15" ht="13.5" customHeight="1">
      <c r="A179" s="279"/>
      <c r="B179" s="279"/>
      <c r="C179" s="279"/>
      <c r="D179" s="272" t="s">
        <v>318</v>
      </c>
      <c r="E179" s="337"/>
      <c r="F179" s="345"/>
      <c r="G179" s="323"/>
      <c r="H179" s="323"/>
      <c r="I179" s="268"/>
      <c r="J179" s="323"/>
      <c r="K179" s="323"/>
      <c r="L179" s="323"/>
      <c r="M179" s="323"/>
      <c r="N179" s="323"/>
      <c r="O179" s="323"/>
    </row>
    <row r="180" spans="1:15" ht="13.5" customHeight="1">
      <c r="A180" s="279"/>
      <c r="B180" s="279"/>
      <c r="C180" s="285" t="s">
        <v>319</v>
      </c>
      <c r="D180" s="338" t="s">
        <v>576</v>
      </c>
      <c r="E180" s="265"/>
      <c r="F180" s="582"/>
      <c r="G180" s="323">
        <v>4658</v>
      </c>
      <c r="H180" s="323">
        <v>0</v>
      </c>
      <c r="I180" s="268">
        <v>4658</v>
      </c>
      <c r="J180" s="323"/>
      <c r="K180" s="323"/>
      <c r="L180" s="323">
        <f t="shared" si="11"/>
        <v>0</v>
      </c>
      <c r="M180" s="323">
        <f t="shared" si="13"/>
        <v>4658</v>
      </c>
      <c r="N180" s="323">
        <f t="shared" si="14"/>
        <v>0</v>
      </c>
      <c r="O180" s="323">
        <f t="shared" si="12"/>
        <v>4658</v>
      </c>
    </row>
    <row r="181" spans="1:15" ht="13.5" customHeight="1">
      <c r="A181" s="279"/>
      <c r="B181" s="279"/>
      <c r="C181" s="285" t="s">
        <v>321</v>
      </c>
      <c r="D181" s="339" t="s">
        <v>19</v>
      </c>
      <c r="E181" s="265"/>
      <c r="F181" s="582"/>
      <c r="G181" s="323">
        <v>6000</v>
      </c>
      <c r="H181" s="323">
        <v>0</v>
      </c>
      <c r="I181" s="268">
        <v>6000</v>
      </c>
      <c r="J181" s="323"/>
      <c r="K181" s="323"/>
      <c r="L181" s="323">
        <f t="shared" si="11"/>
        <v>0</v>
      </c>
      <c r="M181" s="323">
        <f t="shared" si="13"/>
        <v>6000</v>
      </c>
      <c r="N181" s="323">
        <f t="shared" si="14"/>
        <v>0</v>
      </c>
      <c r="O181" s="323">
        <f t="shared" si="12"/>
        <v>6000</v>
      </c>
    </row>
    <row r="182" spans="1:15" ht="13.5" customHeight="1">
      <c r="A182" s="279"/>
      <c r="B182" s="279"/>
      <c r="C182" s="285" t="s">
        <v>322</v>
      </c>
      <c r="D182" s="340" t="s">
        <v>577</v>
      </c>
      <c r="E182" s="265"/>
      <c r="F182" s="582"/>
      <c r="G182" s="323">
        <v>2500</v>
      </c>
      <c r="H182" s="323">
        <v>0</v>
      </c>
      <c r="I182" s="268">
        <v>2500</v>
      </c>
      <c r="J182" s="323"/>
      <c r="K182" s="323"/>
      <c r="L182" s="323">
        <f t="shared" si="11"/>
        <v>0</v>
      </c>
      <c r="M182" s="323">
        <f t="shared" si="13"/>
        <v>2500</v>
      </c>
      <c r="N182" s="323">
        <f t="shared" si="14"/>
        <v>0</v>
      </c>
      <c r="O182" s="323">
        <f t="shared" si="12"/>
        <v>2500</v>
      </c>
    </row>
    <row r="183" spans="1:15" ht="12.75" customHeight="1">
      <c r="A183" s="279"/>
      <c r="B183" s="279"/>
      <c r="C183" s="279" t="s">
        <v>178</v>
      </c>
      <c r="D183" s="280" t="s">
        <v>96</v>
      </c>
      <c r="E183" s="331"/>
      <c r="F183" s="579"/>
      <c r="G183" s="323"/>
      <c r="H183" s="323"/>
      <c r="I183" s="268"/>
      <c r="J183" s="323"/>
      <c r="K183" s="323"/>
      <c r="L183" s="323"/>
      <c r="M183" s="323"/>
      <c r="N183" s="323"/>
      <c r="O183" s="323"/>
    </row>
    <row r="184" spans="1:15" ht="12.75" customHeight="1">
      <c r="A184" s="279"/>
      <c r="B184" s="279"/>
      <c r="C184" s="285" t="s">
        <v>227</v>
      </c>
      <c r="D184" s="339" t="s">
        <v>72</v>
      </c>
      <c r="E184" s="337"/>
      <c r="F184" s="345" t="s">
        <v>25</v>
      </c>
      <c r="G184" s="323">
        <v>4312</v>
      </c>
      <c r="H184" s="323">
        <v>0</v>
      </c>
      <c r="I184" s="268">
        <v>4312</v>
      </c>
      <c r="J184" s="323">
        <v>69</v>
      </c>
      <c r="K184" s="323"/>
      <c r="L184" s="323">
        <f t="shared" si="11"/>
        <v>69</v>
      </c>
      <c r="M184" s="323">
        <f t="shared" si="13"/>
        <v>4381</v>
      </c>
      <c r="N184" s="323">
        <f t="shared" si="14"/>
        <v>0</v>
      </c>
      <c r="O184" s="323">
        <f t="shared" si="12"/>
        <v>4381</v>
      </c>
    </row>
    <row r="185" spans="1:15" ht="12.75" customHeight="1">
      <c r="A185" s="279"/>
      <c r="B185" s="279"/>
      <c r="C185" s="285"/>
      <c r="D185" s="272" t="s">
        <v>578</v>
      </c>
      <c r="E185" s="337"/>
      <c r="F185" s="345"/>
      <c r="G185" s="323">
        <v>0</v>
      </c>
      <c r="H185" s="323">
        <v>0</v>
      </c>
      <c r="I185" s="268">
        <v>0</v>
      </c>
      <c r="J185" s="323"/>
      <c r="K185" s="323"/>
      <c r="L185" s="323">
        <f t="shared" si="11"/>
        <v>0</v>
      </c>
      <c r="M185" s="323">
        <f t="shared" si="13"/>
        <v>0</v>
      </c>
      <c r="N185" s="323">
        <f t="shared" si="14"/>
        <v>0</v>
      </c>
      <c r="O185" s="323">
        <f t="shared" si="12"/>
        <v>0</v>
      </c>
    </row>
    <row r="186" spans="1:15" ht="12.75" customHeight="1">
      <c r="A186" s="279"/>
      <c r="B186" s="279"/>
      <c r="C186" s="285" t="s">
        <v>73</v>
      </c>
      <c r="D186" s="341" t="s">
        <v>579</v>
      </c>
      <c r="E186" s="337"/>
      <c r="F186" s="345"/>
      <c r="G186" s="323">
        <v>1268</v>
      </c>
      <c r="H186" s="323">
        <v>0</v>
      </c>
      <c r="I186" s="268">
        <v>1268</v>
      </c>
      <c r="J186" s="323"/>
      <c r="K186" s="323"/>
      <c r="L186" s="323">
        <f t="shared" si="11"/>
        <v>0</v>
      </c>
      <c r="M186" s="323">
        <f t="shared" si="13"/>
        <v>1268</v>
      </c>
      <c r="N186" s="323">
        <f t="shared" si="14"/>
        <v>0</v>
      </c>
      <c r="O186" s="323">
        <f t="shared" si="12"/>
        <v>1268</v>
      </c>
    </row>
    <row r="187" spans="1:15" ht="24.75" customHeight="1">
      <c r="A187" s="279"/>
      <c r="B187" s="279"/>
      <c r="C187" s="285" t="s">
        <v>1132</v>
      </c>
      <c r="D187" s="342" t="s">
        <v>580</v>
      </c>
      <c r="E187" s="337"/>
      <c r="F187" s="345"/>
      <c r="G187" s="323">
        <v>1500</v>
      </c>
      <c r="H187" s="323">
        <v>0</v>
      </c>
      <c r="I187" s="268">
        <v>1500</v>
      </c>
      <c r="J187" s="323"/>
      <c r="K187" s="323"/>
      <c r="L187" s="323">
        <f t="shared" si="11"/>
        <v>0</v>
      </c>
      <c r="M187" s="323">
        <f t="shared" si="13"/>
        <v>1500</v>
      </c>
      <c r="N187" s="323">
        <f t="shared" si="14"/>
        <v>0</v>
      </c>
      <c r="O187" s="323">
        <f t="shared" si="12"/>
        <v>1500</v>
      </c>
    </row>
    <row r="188" spans="1:15" ht="12.75" customHeight="1">
      <c r="A188" s="279"/>
      <c r="B188" s="279"/>
      <c r="C188" s="285" t="s">
        <v>581</v>
      </c>
      <c r="D188" s="341" t="s">
        <v>582</v>
      </c>
      <c r="E188" s="337"/>
      <c r="F188" s="345"/>
      <c r="G188" s="323">
        <v>2286</v>
      </c>
      <c r="H188" s="323">
        <v>0</v>
      </c>
      <c r="I188" s="268">
        <v>2286</v>
      </c>
      <c r="J188" s="323"/>
      <c r="K188" s="323"/>
      <c r="L188" s="323">
        <f t="shared" si="11"/>
        <v>0</v>
      </c>
      <c r="M188" s="323">
        <f t="shared" si="13"/>
        <v>2286</v>
      </c>
      <c r="N188" s="323">
        <f t="shared" si="14"/>
        <v>0</v>
      </c>
      <c r="O188" s="323">
        <f t="shared" si="12"/>
        <v>2286</v>
      </c>
    </row>
    <row r="189" spans="1:15" ht="12.75" customHeight="1">
      <c r="A189" s="279"/>
      <c r="B189" s="279"/>
      <c r="C189" s="285" t="s">
        <v>583</v>
      </c>
      <c r="D189" s="341" t="s">
        <v>587</v>
      </c>
      <c r="E189" s="337"/>
      <c r="F189" s="345"/>
      <c r="G189" s="323">
        <v>2500</v>
      </c>
      <c r="H189" s="323">
        <v>0</v>
      </c>
      <c r="I189" s="268">
        <v>2500</v>
      </c>
      <c r="J189" s="323"/>
      <c r="K189" s="323"/>
      <c r="L189" s="323">
        <f t="shared" si="11"/>
        <v>0</v>
      </c>
      <c r="M189" s="323">
        <f t="shared" si="13"/>
        <v>2500</v>
      </c>
      <c r="N189" s="323">
        <f t="shared" si="14"/>
        <v>0</v>
      </c>
      <c r="O189" s="323">
        <f t="shared" si="12"/>
        <v>2500</v>
      </c>
    </row>
    <row r="190" spans="1:15" ht="15" customHeight="1">
      <c r="A190" s="279"/>
      <c r="B190" s="279"/>
      <c r="C190" s="285" t="s">
        <v>588</v>
      </c>
      <c r="D190" s="343" t="s">
        <v>589</v>
      </c>
      <c r="E190" s="337"/>
      <c r="F190" s="345" t="s">
        <v>25</v>
      </c>
      <c r="G190" s="323">
        <v>950</v>
      </c>
      <c r="H190" s="323">
        <v>0</v>
      </c>
      <c r="I190" s="268">
        <v>950</v>
      </c>
      <c r="J190" s="323">
        <v>-12</v>
      </c>
      <c r="K190" s="323"/>
      <c r="L190" s="323">
        <f t="shared" si="11"/>
        <v>-12</v>
      </c>
      <c r="M190" s="323">
        <f t="shared" si="13"/>
        <v>938</v>
      </c>
      <c r="N190" s="323">
        <f t="shared" si="14"/>
        <v>0</v>
      </c>
      <c r="O190" s="323">
        <f t="shared" si="12"/>
        <v>938</v>
      </c>
    </row>
    <row r="191" spans="1:15" ht="27" customHeight="1">
      <c r="A191" s="279"/>
      <c r="B191" s="279"/>
      <c r="C191" s="285" t="s">
        <v>228</v>
      </c>
      <c r="D191" s="344" t="s">
        <v>590</v>
      </c>
      <c r="E191" s="345" t="s">
        <v>1137</v>
      </c>
      <c r="F191" s="632"/>
      <c r="G191" s="283">
        <v>117187</v>
      </c>
      <c r="H191" s="323">
        <v>0</v>
      </c>
      <c r="I191" s="268">
        <v>117187</v>
      </c>
      <c r="J191" s="283"/>
      <c r="K191" s="283"/>
      <c r="L191" s="283">
        <f t="shared" si="11"/>
        <v>0</v>
      </c>
      <c r="M191" s="283">
        <f t="shared" si="13"/>
        <v>117187</v>
      </c>
      <c r="N191" s="283">
        <f t="shared" si="14"/>
        <v>0</v>
      </c>
      <c r="O191" s="283">
        <f t="shared" si="12"/>
        <v>117187</v>
      </c>
    </row>
    <row r="192" spans="1:15" ht="15" customHeight="1">
      <c r="A192" s="279"/>
      <c r="B192" s="279"/>
      <c r="C192" s="285" t="s">
        <v>229</v>
      </c>
      <c r="D192" s="300" t="s">
        <v>20</v>
      </c>
      <c r="E192" s="337"/>
      <c r="F192" s="345"/>
      <c r="G192" s="323">
        <v>0</v>
      </c>
      <c r="H192" s="323">
        <v>17500</v>
      </c>
      <c r="I192" s="268">
        <v>17500</v>
      </c>
      <c r="J192" s="323"/>
      <c r="K192" s="323"/>
      <c r="L192" s="323">
        <f t="shared" si="11"/>
        <v>0</v>
      </c>
      <c r="M192" s="323">
        <f t="shared" si="13"/>
        <v>0</v>
      </c>
      <c r="N192" s="323">
        <f t="shared" si="14"/>
        <v>17500</v>
      </c>
      <c r="O192" s="323">
        <f t="shared" si="12"/>
        <v>17500</v>
      </c>
    </row>
    <row r="193" spans="1:15" ht="15" customHeight="1">
      <c r="A193" s="279"/>
      <c r="B193" s="279"/>
      <c r="C193" s="285" t="s">
        <v>34</v>
      </c>
      <c r="D193" s="346" t="s">
        <v>591</v>
      </c>
      <c r="E193" s="345" t="s">
        <v>1137</v>
      </c>
      <c r="F193" s="345" t="s">
        <v>25</v>
      </c>
      <c r="G193" s="323">
        <v>115790</v>
      </c>
      <c r="H193" s="323">
        <v>0</v>
      </c>
      <c r="I193" s="268">
        <v>115790</v>
      </c>
      <c r="J193" s="323">
        <v>-252</v>
      </c>
      <c r="K193" s="323"/>
      <c r="L193" s="323">
        <f t="shared" si="11"/>
        <v>-252</v>
      </c>
      <c r="M193" s="323">
        <f t="shared" si="13"/>
        <v>115538</v>
      </c>
      <c r="N193" s="323">
        <f t="shared" si="14"/>
        <v>0</v>
      </c>
      <c r="O193" s="323">
        <f t="shared" si="12"/>
        <v>115538</v>
      </c>
    </row>
    <row r="194" spans="1:15" ht="15" customHeight="1">
      <c r="A194" s="279"/>
      <c r="B194" s="279"/>
      <c r="C194" s="285" t="s">
        <v>35</v>
      </c>
      <c r="D194" s="326" t="s">
        <v>592</v>
      </c>
      <c r="E194" s="345" t="s">
        <v>1137</v>
      </c>
      <c r="F194" s="345"/>
      <c r="G194" s="323">
        <v>126316</v>
      </c>
      <c r="H194" s="323">
        <v>0</v>
      </c>
      <c r="I194" s="268">
        <v>126316</v>
      </c>
      <c r="J194" s="323"/>
      <c r="K194" s="323"/>
      <c r="L194" s="323">
        <f t="shared" si="11"/>
        <v>0</v>
      </c>
      <c r="M194" s="323">
        <f t="shared" si="13"/>
        <v>126316</v>
      </c>
      <c r="N194" s="323">
        <f t="shared" si="14"/>
        <v>0</v>
      </c>
      <c r="O194" s="323">
        <f t="shared" si="12"/>
        <v>126316</v>
      </c>
    </row>
    <row r="195" spans="1:15" ht="15" customHeight="1">
      <c r="A195" s="279"/>
      <c r="B195" s="279"/>
      <c r="C195" s="285" t="s">
        <v>74</v>
      </c>
      <c r="D195" s="326" t="s">
        <v>593</v>
      </c>
      <c r="E195" s="345" t="s">
        <v>1137</v>
      </c>
      <c r="F195" s="345"/>
      <c r="G195" s="323">
        <v>75591</v>
      </c>
      <c r="H195" s="323">
        <v>0</v>
      </c>
      <c r="I195" s="268">
        <v>75591</v>
      </c>
      <c r="J195" s="323"/>
      <c r="K195" s="323"/>
      <c r="L195" s="323">
        <f t="shared" si="11"/>
        <v>0</v>
      </c>
      <c r="M195" s="323">
        <f t="shared" si="13"/>
        <v>75591</v>
      </c>
      <c r="N195" s="323">
        <f t="shared" si="14"/>
        <v>0</v>
      </c>
      <c r="O195" s="323">
        <f t="shared" si="12"/>
        <v>75591</v>
      </c>
    </row>
    <row r="196" spans="1:15" ht="15" customHeight="1">
      <c r="A196" s="279"/>
      <c r="B196" s="279"/>
      <c r="C196" s="285" t="s">
        <v>75</v>
      </c>
      <c r="D196" s="339" t="s">
        <v>92</v>
      </c>
      <c r="E196" s="337"/>
      <c r="F196" s="345"/>
      <c r="G196" s="323">
        <v>7358</v>
      </c>
      <c r="H196" s="323">
        <v>0</v>
      </c>
      <c r="I196" s="268">
        <v>7358</v>
      </c>
      <c r="J196" s="323"/>
      <c r="K196" s="323"/>
      <c r="L196" s="323">
        <f t="shared" si="11"/>
        <v>0</v>
      </c>
      <c r="M196" s="323">
        <f t="shared" si="13"/>
        <v>7358</v>
      </c>
      <c r="N196" s="323">
        <f t="shared" si="14"/>
        <v>0</v>
      </c>
      <c r="O196" s="323">
        <f t="shared" si="12"/>
        <v>7358</v>
      </c>
    </row>
    <row r="197" spans="1:15" ht="15" customHeight="1">
      <c r="A197" s="279"/>
      <c r="B197" s="279"/>
      <c r="C197" s="285" t="s">
        <v>41</v>
      </c>
      <c r="D197" s="316" t="s">
        <v>1067</v>
      </c>
      <c r="E197" s="337"/>
      <c r="F197" s="345"/>
      <c r="G197" s="323">
        <v>23328</v>
      </c>
      <c r="H197" s="323">
        <v>0</v>
      </c>
      <c r="I197" s="268">
        <v>23328</v>
      </c>
      <c r="J197" s="323"/>
      <c r="K197" s="323"/>
      <c r="L197" s="323">
        <f t="shared" si="11"/>
        <v>0</v>
      </c>
      <c r="M197" s="323">
        <f t="shared" si="13"/>
        <v>23328</v>
      </c>
      <c r="N197" s="323">
        <f t="shared" si="14"/>
        <v>0</v>
      </c>
      <c r="O197" s="323">
        <f t="shared" si="12"/>
        <v>23328</v>
      </c>
    </row>
    <row r="198" spans="1:15" ht="15" customHeight="1">
      <c r="A198" s="279"/>
      <c r="B198" s="279"/>
      <c r="C198" s="285" t="s">
        <v>59</v>
      </c>
      <c r="D198" s="300" t="s">
        <v>1069</v>
      </c>
      <c r="E198" s="337"/>
      <c r="F198" s="345" t="s">
        <v>25</v>
      </c>
      <c r="G198" s="323">
        <v>3000</v>
      </c>
      <c r="H198" s="323">
        <v>0</v>
      </c>
      <c r="I198" s="268">
        <v>3000</v>
      </c>
      <c r="J198" s="323">
        <v>-20</v>
      </c>
      <c r="K198" s="323"/>
      <c r="L198" s="323">
        <f t="shared" si="11"/>
        <v>-20</v>
      </c>
      <c r="M198" s="323">
        <f t="shared" si="13"/>
        <v>2980</v>
      </c>
      <c r="N198" s="323">
        <f t="shared" si="14"/>
        <v>0</v>
      </c>
      <c r="O198" s="323">
        <f t="shared" si="12"/>
        <v>2980</v>
      </c>
    </row>
    <row r="199" spans="1:15" ht="15" customHeight="1">
      <c r="A199" s="279"/>
      <c r="B199" s="279"/>
      <c r="C199" s="285" t="s">
        <v>1070</v>
      </c>
      <c r="D199" s="300" t="s">
        <v>594</v>
      </c>
      <c r="E199" s="337"/>
      <c r="F199" s="345"/>
      <c r="G199" s="323">
        <v>0</v>
      </c>
      <c r="H199" s="323">
        <v>0</v>
      </c>
      <c r="I199" s="268">
        <v>0</v>
      </c>
      <c r="J199" s="323"/>
      <c r="K199" s="323"/>
      <c r="L199" s="323">
        <f t="shared" si="11"/>
        <v>0</v>
      </c>
      <c r="M199" s="323">
        <f t="shared" si="13"/>
        <v>0</v>
      </c>
      <c r="N199" s="323">
        <f t="shared" si="14"/>
        <v>0</v>
      </c>
      <c r="O199" s="323">
        <f t="shared" si="12"/>
        <v>0</v>
      </c>
    </row>
    <row r="200" spans="1:15" ht="15" customHeight="1">
      <c r="A200" s="279"/>
      <c r="B200" s="279"/>
      <c r="C200" s="285" t="s">
        <v>595</v>
      </c>
      <c r="D200" s="347" t="s">
        <v>1073</v>
      </c>
      <c r="E200" s="337"/>
      <c r="F200" s="345"/>
      <c r="G200" s="323">
        <v>2989</v>
      </c>
      <c r="H200" s="323">
        <v>0</v>
      </c>
      <c r="I200" s="268">
        <v>2989</v>
      </c>
      <c r="J200" s="323"/>
      <c r="K200" s="323"/>
      <c r="L200" s="323">
        <f t="shared" si="11"/>
        <v>0</v>
      </c>
      <c r="M200" s="323">
        <f t="shared" si="13"/>
        <v>2989</v>
      </c>
      <c r="N200" s="323">
        <f t="shared" si="14"/>
        <v>0</v>
      </c>
      <c r="O200" s="323">
        <f t="shared" si="12"/>
        <v>2989</v>
      </c>
    </row>
    <row r="201" spans="1:15" ht="15" customHeight="1">
      <c r="A201" s="279"/>
      <c r="B201" s="279"/>
      <c r="C201" s="285" t="s">
        <v>1072</v>
      </c>
      <c r="D201" s="347" t="s">
        <v>596</v>
      </c>
      <c r="E201" s="345"/>
      <c r="F201" s="345"/>
      <c r="G201" s="323">
        <v>31103</v>
      </c>
      <c r="H201" s="323">
        <v>0</v>
      </c>
      <c r="I201" s="268">
        <v>31103</v>
      </c>
      <c r="J201" s="323"/>
      <c r="K201" s="323"/>
      <c r="L201" s="323">
        <f t="shared" si="11"/>
        <v>0</v>
      </c>
      <c r="M201" s="323">
        <f t="shared" si="13"/>
        <v>31103</v>
      </c>
      <c r="N201" s="323">
        <f t="shared" si="14"/>
        <v>0</v>
      </c>
      <c r="O201" s="323">
        <f t="shared" si="12"/>
        <v>31103</v>
      </c>
    </row>
    <row r="202" spans="1:15" ht="15" customHeight="1">
      <c r="A202" s="279"/>
      <c r="B202" s="279"/>
      <c r="C202" s="285" t="s">
        <v>597</v>
      </c>
      <c r="D202" s="316" t="s">
        <v>598</v>
      </c>
      <c r="E202" s="337"/>
      <c r="F202" s="345"/>
      <c r="G202" s="323">
        <v>33020</v>
      </c>
      <c r="H202" s="323">
        <v>0</v>
      </c>
      <c r="I202" s="268">
        <v>33020</v>
      </c>
      <c r="J202" s="323"/>
      <c r="K202" s="323"/>
      <c r="L202" s="323">
        <f t="shared" si="11"/>
        <v>0</v>
      </c>
      <c r="M202" s="323">
        <f t="shared" si="13"/>
        <v>33020</v>
      </c>
      <c r="N202" s="323">
        <f t="shared" si="14"/>
        <v>0</v>
      </c>
      <c r="O202" s="323">
        <f t="shared" si="12"/>
        <v>33020</v>
      </c>
    </row>
    <row r="203" spans="1:15" ht="15" customHeight="1">
      <c r="A203" s="279"/>
      <c r="B203" s="279"/>
      <c r="C203" s="285" t="s">
        <v>1074</v>
      </c>
      <c r="D203" s="307" t="s">
        <v>599</v>
      </c>
      <c r="E203" s="337"/>
      <c r="F203" s="345"/>
      <c r="G203" s="323">
        <v>2500</v>
      </c>
      <c r="H203" s="323">
        <v>0</v>
      </c>
      <c r="I203" s="268">
        <v>2500</v>
      </c>
      <c r="J203" s="323"/>
      <c r="K203" s="323"/>
      <c r="L203" s="323">
        <f t="shared" si="11"/>
        <v>0</v>
      </c>
      <c r="M203" s="323">
        <f t="shared" si="13"/>
        <v>2500</v>
      </c>
      <c r="N203" s="323">
        <f t="shared" si="14"/>
        <v>0</v>
      </c>
      <c r="O203" s="323">
        <f t="shared" si="12"/>
        <v>2500</v>
      </c>
    </row>
    <row r="204" spans="1:15" ht="15" customHeight="1">
      <c r="A204" s="279"/>
      <c r="B204" s="279"/>
      <c r="C204" s="285" t="s">
        <v>1075</v>
      </c>
      <c r="D204" s="307" t="s">
        <v>600</v>
      </c>
      <c r="E204" s="337"/>
      <c r="F204" s="345" t="s">
        <v>25</v>
      </c>
      <c r="G204" s="323">
        <v>5487</v>
      </c>
      <c r="H204" s="323">
        <v>43</v>
      </c>
      <c r="I204" s="268">
        <v>5530</v>
      </c>
      <c r="J204" s="323">
        <v>-90</v>
      </c>
      <c r="K204" s="323"/>
      <c r="L204" s="323">
        <f t="shared" si="11"/>
        <v>-90</v>
      </c>
      <c r="M204" s="323">
        <f t="shared" si="13"/>
        <v>5397</v>
      </c>
      <c r="N204" s="323">
        <f t="shared" si="14"/>
        <v>43</v>
      </c>
      <c r="O204" s="323">
        <f t="shared" si="12"/>
        <v>5440</v>
      </c>
    </row>
    <row r="205" spans="1:15" ht="15" customHeight="1">
      <c r="A205" s="279"/>
      <c r="B205" s="279"/>
      <c r="C205" s="285" t="s">
        <v>1076</v>
      </c>
      <c r="D205" s="307" t="s">
        <v>846</v>
      </c>
      <c r="E205" s="337"/>
      <c r="F205" s="345"/>
      <c r="G205" s="323">
        <v>45017</v>
      </c>
      <c r="H205" s="323">
        <v>0</v>
      </c>
      <c r="I205" s="268">
        <v>45017</v>
      </c>
      <c r="J205" s="323"/>
      <c r="K205" s="323"/>
      <c r="L205" s="323">
        <f t="shared" si="11"/>
        <v>0</v>
      </c>
      <c r="M205" s="323">
        <f t="shared" si="13"/>
        <v>45017</v>
      </c>
      <c r="N205" s="323">
        <f t="shared" si="14"/>
        <v>0</v>
      </c>
      <c r="O205" s="323">
        <f t="shared" si="12"/>
        <v>45017</v>
      </c>
    </row>
    <row r="206" spans="1:15" ht="15" customHeight="1">
      <c r="A206" s="279"/>
      <c r="B206" s="279"/>
      <c r="C206" s="285" t="s">
        <v>1078</v>
      </c>
      <c r="D206" s="348" t="s">
        <v>601</v>
      </c>
      <c r="E206" s="337"/>
      <c r="F206" s="345"/>
      <c r="G206" s="323">
        <v>2159</v>
      </c>
      <c r="H206" s="323">
        <v>0</v>
      </c>
      <c r="I206" s="268">
        <v>2159</v>
      </c>
      <c r="J206" s="323"/>
      <c r="K206" s="323"/>
      <c r="L206" s="323">
        <f t="shared" si="11"/>
        <v>0</v>
      </c>
      <c r="M206" s="323">
        <f t="shared" si="13"/>
        <v>2159</v>
      </c>
      <c r="N206" s="323">
        <f t="shared" si="14"/>
        <v>0</v>
      </c>
      <c r="O206" s="323">
        <f t="shared" si="12"/>
        <v>2159</v>
      </c>
    </row>
    <row r="207" spans="1:15" ht="12.75" customHeight="1">
      <c r="A207" s="279"/>
      <c r="B207" s="279"/>
      <c r="C207" s="285" t="s">
        <v>1080</v>
      </c>
      <c r="D207" s="349" t="s">
        <v>602</v>
      </c>
      <c r="E207" s="337"/>
      <c r="F207" s="345"/>
      <c r="G207" s="323">
        <v>6000</v>
      </c>
      <c r="H207" s="323">
        <v>0</v>
      </c>
      <c r="I207" s="268">
        <v>6000</v>
      </c>
      <c r="J207" s="323"/>
      <c r="K207" s="323"/>
      <c r="L207" s="323">
        <f t="shared" si="11"/>
        <v>0</v>
      </c>
      <c r="M207" s="323">
        <f t="shared" si="13"/>
        <v>6000</v>
      </c>
      <c r="N207" s="323">
        <f t="shared" si="14"/>
        <v>0</v>
      </c>
      <c r="O207" s="323">
        <f t="shared" si="12"/>
        <v>6000</v>
      </c>
    </row>
    <row r="208" spans="1:15" ht="12.75" customHeight="1">
      <c r="A208" s="279"/>
      <c r="B208" s="279"/>
      <c r="C208" s="285" t="s">
        <v>1081</v>
      </c>
      <c r="D208" s="349" t="s">
        <v>603</v>
      </c>
      <c r="E208" s="337"/>
      <c r="F208" s="345"/>
      <c r="G208" s="323">
        <v>2000</v>
      </c>
      <c r="H208" s="323">
        <v>0</v>
      </c>
      <c r="I208" s="268">
        <v>2000</v>
      </c>
      <c r="J208" s="323"/>
      <c r="K208" s="323"/>
      <c r="L208" s="323">
        <f t="shared" si="11"/>
        <v>0</v>
      </c>
      <c r="M208" s="323">
        <f t="shared" si="13"/>
        <v>2000</v>
      </c>
      <c r="N208" s="323">
        <f t="shared" si="14"/>
        <v>0</v>
      </c>
      <c r="O208" s="323">
        <f t="shared" si="12"/>
        <v>2000</v>
      </c>
    </row>
    <row r="209" spans="1:15" ht="12.75" customHeight="1">
      <c r="A209" s="279"/>
      <c r="B209" s="279"/>
      <c r="C209" s="285" t="s">
        <v>604</v>
      </c>
      <c r="D209" s="349" t="s">
        <v>605</v>
      </c>
      <c r="E209" s="337"/>
      <c r="F209" s="345" t="s">
        <v>25</v>
      </c>
      <c r="G209" s="323">
        <v>500000</v>
      </c>
      <c r="H209" s="323">
        <v>0</v>
      </c>
      <c r="I209" s="268">
        <v>500000</v>
      </c>
      <c r="J209" s="323">
        <v>-9846</v>
      </c>
      <c r="K209" s="323"/>
      <c r="L209" s="323">
        <f t="shared" si="11"/>
        <v>-9846</v>
      </c>
      <c r="M209" s="323">
        <f t="shared" si="13"/>
        <v>490154</v>
      </c>
      <c r="N209" s="323">
        <f t="shared" si="14"/>
        <v>0</v>
      </c>
      <c r="O209" s="323">
        <f t="shared" si="12"/>
        <v>490154</v>
      </c>
    </row>
    <row r="210" spans="1:15" ht="12.75" customHeight="1">
      <c r="A210" s="279"/>
      <c r="B210" s="279"/>
      <c r="C210" s="285" t="s">
        <v>606</v>
      </c>
      <c r="D210" s="349" t="s">
        <v>607</v>
      </c>
      <c r="E210" s="337"/>
      <c r="F210" s="345"/>
      <c r="G210" s="323">
        <v>27300</v>
      </c>
      <c r="H210" s="323">
        <v>0</v>
      </c>
      <c r="I210" s="268">
        <v>27300</v>
      </c>
      <c r="J210" s="323"/>
      <c r="K210" s="323"/>
      <c r="L210" s="323">
        <f>SUM(J210:K210)</f>
        <v>0</v>
      </c>
      <c r="M210" s="323">
        <f t="shared" si="13"/>
        <v>27300</v>
      </c>
      <c r="N210" s="323">
        <f t="shared" si="14"/>
        <v>0</v>
      </c>
      <c r="O210" s="323">
        <f t="shared" si="12"/>
        <v>27300</v>
      </c>
    </row>
    <row r="211" spans="1:15" ht="12.75" customHeight="1">
      <c r="A211" s="279"/>
      <c r="B211" s="279"/>
      <c r="C211" s="285" t="s">
        <v>540</v>
      </c>
      <c r="D211" s="718" t="s">
        <v>541</v>
      </c>
      <c r="E211" s="719"/>
      <c r="F211" s="345" t="s">
        <v>25</v>
      </c>
      <c r="G211" s="323"/>
      <c r="H211" s="323"/>
      <c r="I211" s="268"/>
      <c r="J211" s="323">
        <v>229</v>
      </c>
      <c r="K211" s="323"/>
      <c r="L211" s="323">
        <f>SUM(J211:K211)</f>
        <v>229</v>
      </c>
      <c r="M211" s="323">
        <f t="shared" si="13"/>
        <v>229</v>
      </c>
      <c r="N211" s="323"/>
      <c r="O211" s="323">
        <f t="shared" si="12"/>
        <v>229</v>
      </c>
    </row>
    <row r="212" spans="1:15" ht="15" customHeight="1">
      <c r="A212" s="279"/>
      <c r="B212" s="279"/>
      <c r="C212" s="285"/>
      <c r="D212" s="272" t="s">
        <v>318</v>
      </c>
      <c r="E212" s="337"/>
      <c r="F212" s="345"/>
      <c r="G212" s="323"/>
      <c r="H212" s="323"/>
      <c r="I212" s="268"/>
      <c r="J212" s="323"/>
      <c r="K212" s="323"/>
      <c r="L212" s="323"/>
      <c r="M212" s="323"/>
      <c r="N212" s="323"/>
      <c r="O212" s="323"/>
    </row>
    <row r="213" spans="1:15" ht="15" customHeight="1">
      <c r="A213" s="279"/>
      <c r="B213" s="279"/>
      <c r="C213" s="285" t="s">
        <v>76</v>
      </c>
      <c r="D213" s="343" t="s">
        <v>1068</v>
      </c>
      <c r="E213" s="337"/>
      <c r="F213" s="345"/>
      <c r="G213" s="323">
        <v>0</v>
      </c>
      <c r="H213" s="323">
        <v>0</v>
      </c>
      <c r="I213" s="268">
        <v>0</v>
      </c>
      <c r="J213" s="323"/>
      <c r="K213" s="323"/>
      <c r="L213" s="323">
        <f t="shared" si="11"/>
        <v>0</v>
      </c>
      <c r="M213" s="323">
        <f t="shared" si="13"/>
        <v>0</v>
      </c>
      <c r="N213" s="323">
        <f t="shared" si="14"/>
        <v>0</v>
      </c>
      <c r="O213" s="323">
        <f t="shared" si="12"/>
        <v>0</v>
      </c>
    </row>
    <row r="214" spans="1:15" ht="24.75" customHeight="1">
      <c r="A214" s="279"/>
      <c r="B214" s="279"/>
      <c r="C214" s="285" t="s">
        <v>77</v>
      </c>
      <c r="D214" s="306" t="s">
        <v>1077</v>
      </c>
      <c r="E214" s="345" t="s">
        <v>1137</v>
      </c>
      <c r="F214" s="345"/>
      <c r="G214" s="283">
        <v>0</v>
      </c>
      <c r="H214" s="323">
        <v>0</v>
      </c>
      <c r="I214" s="268">
        <v>0</v>
      </c>
      <c r="J214" s="283"/>
      <c r="K214" s="283"/>
      <c r="L214" s="283">
        <f t="shared" si="11"/>
        <v>0</v>
      </c>
      <c r="M214" s="283">
        <f t="shared" si="13"/>
        <v>0</v>
      </c>
      <c r="N214" s="283">
        <f t="shared" si="14"/>
        <v>0</v>
      </c>
      <c r="O214" s="283">
        <f t="shared" si="12"/>
        <v>0</v>
      </c>
    </row>
    <row r="215" spans="1:15" ht="24.75" customHeight="1">
      <c r="A215" s="279"/>
      <c r="B215" s="279"/>
      <c r="C215" s="285" t="s">
        <v>78</v>
      </c>
      <c r="D215" s="306" t="s">
        <v>1079</v>
      </c>
      <c r="E215" s="345" t="s">
        <v>1137</v>
      </c>
      <c r="F215" s="345"/>
      <c r="G215" s="283">
        <v>0</v>
      </c>
      <c r="H215" s="323">
        <v>0</v>
      </c>
      <c r="I215" s="268">
        <v>0</v>
      </c>
      <c r="J215" s="283"/>
      <c r="K215" s="283"/>
      <c r="L215" s="283">
        <f t="shared" si="11"/>
        <v>0</v>
      </c>
      <c r="M215" s="283">
        <f t="shared" si="13"/>
        <v>0</v>
      </c>
      <c r="N215" s="283">
        <f t="shared" si="14"/>
        <v>0</v>
      </c>
      <c r="O215" s="283">
        <f t="shared" si="12"/>
        <v>0</v>
      </c>
    </row>
    <row r="216" spans="1:15" ht="15" customHeight="1">
      <c r="A216" s="279"/>
      <c r="B216" s="279"/>
      <c r="C216" s="285" t="s">
        <v>79</v>
      </c>
      <c r="D216" s="253" t="s">
        <v>1082</v>
      </c>
      <c r="E216" s="337"/>
      <c r="F216" s="345"/>
      <c r="G216" s="323">
        <v>2950</v>
      </c>
      <c r="H216" s="323">
        <v>0</v>
      </c>
      <c r="I216" s="268">
        <v>2950</v>
      </c>
      <c r="J216" s="283"/>
      <c r="K216" s="283"/>
      <c r="L216" s="283">
        <f t="shared" si="11"/>
        <v>0</v>
      </c>
      <c r="M216" s="283">
        <f t="shared" si="13"/>
        <v>2950</v>
      </c>
      <c r="N216" s="283">
        <f t="shared" si="14"/>
        <v>0</v>
      </c>
      <c r="O216" s="283">
        <f t="shared" si="12"/>
        <v>2950</v>
      </c>
    </row>
    <row r="217" spans="1:15" ht="24.75" customHeight="1">
      <c r="A217" s="279"/>
      <c r="B217" s="279"/>
      <c r="C217" s="285" t="s">
        <v>80</v>
      </c>
      <c r="D217" s="350" t="s">
        <v>261</v>
      </c>
      <c r="E217" s="337"/>
      <c r="F217" s="345" t="s">
        <v>25</v>
      </c>
      <c r="G217" s="283">
        <v>259762</v>
      </c>
      <c r="H217" s="323">
        <v>0</v>
      </c>
      <c r="I217" s="268">
        <v>259762</v>
      </c>
      <c r="J217" s="283">
        <v>-12192</v>
      </c>
      <c r="K217" s="283"/>
      <c r="L217" s="283">
        <f t="shared" si="11"/>
        <v>-12192</v>
      </c>
      <c r="M217" s="283">
        <f t="shared" si="13"/>
        <v>247570</v>
      </c>
      <c r="N217" s="283">
        <f t="shared" si="14"/>
        <v>0</v>
      </c>
      <c r="O217" s="283">
        <f t="shared" si="12"/>
        <v>247570</v>
      </c>
    </row>
    <row r="218" spans="1:15" ht="24.75" customHeight="1">
      <c r="A218" s="279"/>
      <c r="B218" s="279"/>
      <c r="C218" s="285" t="s">
        <v>81</v>
      </c>
      <c r="D218" s="350" t="s">
        <v>262</v>
      </c>
      <c r="E218" s="337"/>
      <c r="F218" s="345" t="s">
        <v>25</v>
      </c>
      <c r="G218" s="283">
        <v>340423</v>
      </c>
      <c r="H218" s="323">
        <v>0</v>
      </c>
      <c r="I218" s="268">
        <v>340423</v>
      </c>
      <c r="J218" s="283">
        <v>-12192</v>
      </c>
      <c r="K218" s="283"/>
      <c r="L218" s="283">
        <f t="shared" si="11"/>
        <v>-12192</v>
      </c>
      <c r="M218" s="283">
        <f t="shared" si="13"/>
        <v>328231</v>
      </c>
      <c r="N218" s="283">
        <f t="shared" si="14"/>
        <v>0</v>
      </c>
      <c r="O218" s="283">
        <f t="shared" si="12"/>
        <v>328231</v>
      </c>
    </row>
    <row r="219" spans="1:15" ht="24.75" customHeight="1">
      <c r="A219" s="279"/>
      <c r="B219" s="279"/>
      <c r="C219" s="285" t="s">
        <v>608</v>
      </c>
      <c r="D219" s="351" t="s">
        <v>3</v>
      </c>
      <c r="E219" s="337"/>
      <c r="F219" s="345"/>
      <c r="G219" s="283">
        <v>297367</v>
      </c>
      <c r="H219" s="323">
        <v>0</v>
      </c>
      <c r="I219" s="268">
        <v>297367</v>
      </c>
      <c r="J219" s="283"/>
      <c r="K219" s="283"/>
      <c r="L219" s="283">
        <f t="shared" si="11"/>
        <v>0</v>
      </c>
      <c r="M219" s="283">
        <f t="shared" si="13"/>
        <v>297367</v>
      </c>
      <c r="N219" s="283">
        <f t="shared" si="14"/>
        <v>0</v>
      </c>
      <c r="O219" s="283">
        <f t="shared" si="12"/>
        <v>297367</v>
      </c>
    </row>
    <row r="220" spans="1:15" ht="24.75" customHeight="1">
      <c r="A220" s="279"/>
      <c r="B220" s="279"/>
      <c r="C220" s="285" t="s">
        <v>609</v>
      </c>
      <c r="D220" s="352" t="s">
        <v>610</v>
      </c>
      <c r="E220" s="337"/>
      <c r="F220" s="345"/>
      <c r="G220" s="283">
        <v>30226</v>
      </c>
      <c r="H220" s="323">
        <v>0</v>
      </c>
      <c r="I220" s="268">
        <v>30226</v>
      </c>
      <c r="J220" s="283"/>
      <c r="K220" s="283"/>
      <c r="L220" s="283">
        <f t="shared" si="11"/>
        <v>0</v>
      </c>
      <c r="M220" s="283">
        <f t="shared" si="13"/>
        <v>30226</v>
      </c>
      <c r="N220" s="283">
        <f t="shared" si="14"/>
        <v>0</v>
      </c>
      <c r="O220" s="283">
        <f t="shared" si="12"/>
        <v>30226</v>
      </c>
    </row>
    <row r="221" spans="1:15" ht="24.75" customHeight="1">
      <c r="A221" s="279"/>
      <c r="B221" s="279"/>
      <c r="C221" s="285" t="s">
        <v>611</v>
      </c>
      <c r="D221" s="353" t="s">
        <v>612</v>
      </c>
      <c r="E221" s="337"/>
      <c r="F221" s="345"/>
      <c r="G221" s="283">
        <v>545696</v>
      </c>
      <c r="H221" s="323">
        <v>0</v>
      </c>
      <c r="I221" s="268">
        <v>545696</v>
      </c>
      <c r="J221" s="283"/>
      <c r="K221" s="283"/>
      <c r="L221" s="283">
        <f t="shared" si="11"/>
        <v>0</v>
      </c>
      <c r="M221" s="283">
        <f t="shared" si="13"/>
        <v>545696</v>
      </c>
      <c r="N221" s="283">
        <f t="shared" si="14"/>
        <v>0</v>
      </c>
      <c r="O221" s="283">
        <f t="shared" si="12"/>
        <v>545696</v>
      </c>
    </row>
    <row r="222" spans="1:15" ht="15" customHeight="1">
      <c r="A222" s="279"/>
      <c r="B222" s="279"/>
      <c r="C222" s="285" t="s">
        <v>613</v>
      </c>
      <c r="D222" s="353" t="s">
        <v>614</v>
      </c>
      <c r="E222" s="337"/>
      <c r="F222" s="345"/>
      <c r="G222" s="283">
        <v>0</v>
      </c>
      <c r="H222" s="323">
        <v>0</v>
      </c>
      <c r="I222" s="268">
        <v>0</v>
      </c>
      <c r="J222" s="323"/>
      <c r="K222" s="323"/>
      <c r="L222" s="323">
        <f t="shared" si="11"/>
        <v>0</v>
      </c>
      <c r="M222" s="323">
        <f t="shared" si="13"/>
        <v>0</v>
      </c>
      <c r="N222" s="323">
        <f t="shared" si="14"/>
        <v>0</v>
      </c>
      <c r="O222" s="323">
        <f t="shared" si="12"/>
        <v>0</v>
      </c>
    </row>
    <row r="223" spans="1:15" ht="15" customHeight="1">
      <c r="A223" s="279"/>
      <c r="B223" s="279"/>
      <c r="C223" s="285" t="s">
        <v>615</v>
      </c>
      <c r="D223" s="347" t="s">
        <v>616</v>
      </c>
      <c r="E223" s="345" t="s">
        <v>1137</v>
      </c>
      <c r="F223" s="345"/>
      <c r="G223" s="283">
        <v>0</v>
      </c>
      <c r="H223" s="323">
        <v>0</v>
      </c>
      <c r="I223" s="268">
        <v>0</v>
      </c>
      <c r="J223" s="323"/>
      <c r="K223" s="323"/>
      <c r="L223" s="323">
        <f t="shared" si="11"/>
        <v>0</v>
      </c>
      <c r="M223" s="323">
        <f t="shared" si="13"/>
        <v>0</v>
      </c>
      <c r="N223" s="323">
        <f t="shared" si="14"/>
        <v>0</v>
      </c>
      <c r="O223" s="323">
        <f t="shared" si="12"/>
        <v>0</v>
      </c>
    </row>
    <row r="224" spans="1:15" ht="24.75" customHeight="1">
      <c r="A224" s="279"/>
      <c r="B224" s="279"/>
      <c r="C224" s="285" t="s">
        <v>617</v>
      </c>
      <c r="D224" s="350" t="s">
        <v>618</v>
      </c>
      <c r="E224" s="337"/>
      <c r="F224" s="345" t="s">
        <v>25</v>
      </c>
      <c r="G224" s="283">
        <v>128928</v>
      </c>
      <c r="H224" s="323">
        <v>0</v>
      </c>
      <c r="I224" s="268">
        <v>128928</v>
      </c>
      <c r="J224" s="283">
        <v>-939</v>
      </c>
      <c r="K224" s="283"/>
      <c r="L224" s="283">
        <f t="shared" si="11"/>
        <v>-939</v>
      </c>
      <c r="M224" s="283">
        <f t="shared" si="13"/>
        <v>127989</v>
      </c>
      <c r="N224" s="283">
        <f t="shared" si="14"/>
        <v>0</v>
      </c>
      <c r="O224" s="283">
        <f t="shared" si="12"/>
        <v>127989</v>
      </c>
    </row>
    <row r="225" spans="1:15" ht="15" customHeight="1">
      <c r="A225" s="279"/>
      <c r="B225" s="279"/>
      <c r="C225" s="285" t="s">
        <v>619</v>
      </c>
      <c r="D225" s="354" t="s">
        <v>22</v>
      </c>
      <c r="E225" s="337"/>
      <c r="F225" s="345" t="s">
        <v>25</v>
      </c>
      <c r="G225" s="283">
        <v>13427</v>
      </c>
      <c r="H225" s="323">
        <v>0</v>
      </c>
      <c r="I225" s="268">
        <v>13427</v>
      </c>
      <c r="J225" s="323">
        <v>-5461</v>
      </c>
      <c r="K225" s="323"/>
      <c r="L225" s="323">
        <f t="shared" si="11"/>
        <v>-5461</v>
      </c>
      <c r="M225" s="323">
        <f t="shared" si="13"/>
        <v>7966</v>
      </c>
      <c r="N225" s="323">
        <f t="shared" si="14"/>
        <v>0</v>
      </c>
      <c r="O225" s="323">
        <f t="shared" si="12"/>
        <v>7966</v>
      </c>
    </row>
    <row r="226" spans="1:15" ht="15" customHeight="1">
      <c r="A226" s="279"/>
      <c r="B226" s="279"/>
      <c r="C226" s="285" t="s">
        <v>620</v>
      </c>
      <c r="D226" s="355" t="s">
        <v>967</v>
      </c>
      <c r="E226" s="337"/>
      <c r="F226" s="345"/>
      <c r="G226" s="283">
        <v>9000</v>
      </c>
      <c r="H226" s="323">
        <v>0</v>
      </c>
      <c r="I226" s="268">
        <v>9000</v>
      </c>
      <c r="J226" s="323"/>
      <c r="K226" s="323"/>
      <c r="L226" s="323">
        <f t="shared" si="11"/>
        <v>0</v>
      </c>
      <c r="M226" s="323">
        <f t="shared" si="13"/>
        <v>9000</v>
      </c>
      <c r="N226" s="323">
        <f t="shared" si="14"/>
        <v>0</v>
      </c>
      <c r="O226" s="323">
        <f t="shared" si="12"/>
        <v>9000</v>
      </c>
    </row>
    <row r="227" spans="1:15" ht="15" customHeight="1">
      <c r="A227" s="279"/>
      <c r="B227" s="279"/>
      <c r="C227" s="285" t="s">
        <v>621</v>
      </c>
      <c r="D227" s="356" t="s">
        <v>1071</v>
      </c>
      <c r="E227" s="337"/>
      <c r="F227" s="345" t="s">
        <v>25</v>
      </c>
      <c r="G227" s="283">
        <v>1366</v>
      </c>
      <c r="H227" s="323">
        <v>0</v>
      </c>
      <c r="I227" s="268">
        <v>1366</v>
      </c>
      <c r="J227" s="323">
        <v>-134</v>
      </c>
      <c r="K227" s="323"/>
      <c r="L227" s="323">
        <f t="shared" si="11"/>
        <v>-134</v>
      </c>
      <c r="M227" s="323">
        <f t="shared" si="13"/>
        <v>1232</v>
      </c>
      <c r="N227" s="323">
        <f t="shared" si="14"/>
        <v>0</v>
      </c>
      <c r="O227" s="323">
        <f t="shared" si="12"/>
        <v>1232</v>
      </c>
    </row>
    <row r="228" spans="1:15" ht="15" customHeight="1">
      <c r="A228" s="279"/>
      <c r="B228" s="279"/>
      <c r="C228" s="285" t="s">
        <v>1033</v>
      </c>
      <c r="D228" s="356" t="s">
        <v>1034</v>
      </c>
      <c r="E228" s="337"/>
      <c r="F228" s="345"/>
      <c r="G228" s="283">
        <v>2274</v>
      </c>
      <c r="H228" s="323"/>
      <c r="I228" s="268">
        <v>2274</v>
      </c>
      <c r="J228" s="323"/>
      <c r="K228" s="323"/>
      <c r="L228" s="323">
        <f t="shared" si="11"/>
        <v>0</v>
      </c>
      <c r="M228" s="323">
        <f t="shared" si="13"/>
        <v>2274</v>
      </c>
      <c r="N228" s="323"/>
      <c r="O228" s="323">
        <f t="shared" si="12"/>
        <v>2274</v>
      </c>
    </row>
    <row r="229" spans="1:15" ht="15" customHeight="1">
      <c r="A229" s="279"/>
      <c r="B229" s="279"/>
      <c r="C229" s="279" t="s">
        <v>230</v>
      </c>
      <c r="D229" s="280" t="s">
        <v>82</v>
      </c>
      <c r="E229" s="265"/>
      <c r="F229" s="582"/>
      <c r="G229" s="283">
        <v>0</v>
      </c>
      <c r="H229" s="323">
        <v>0</v>
      </c>
      <c r="I229" s="268">
        <v>0</v>
      </c>
      <c r="J229" s="323"/>
      <c r="K229" s="323"/>
      <c r="L229" s="323">
        <f aca="true" t="shared" si="15" ref="L229:L280">SUM(J229:K229)</f>
        <v>0</v>
      </c>
      <c r="M229" s="323">
        <f t="shared" si="13"/>
        <v>0</v>
      </c>
      <c r="N229" s="323">
        <f t="shared" si="14"/>
        <v>0</v>
      </c>
      <c r="O229" s="323">
        <f aca="true" t="shared" si="16" ref="O229:O284">SUM(M229:N229)</f>
        <v>0</v>
      </c>
    </row>
    <row r="230" spans="1:15" ht="15" customHeight="1">
      <c r="A230" s="279"/>
      <c r="B230" s="279"/>
      <c r="C230" s="279" t="s">
        <v>4</v>
      </c>
      <c r="D230" s="307" t="s">
        <v>622</v>
      </c>
      <c r="E230" s="265"/>
      <c r="F230" s="582"/>
      <c r="G230" s="283">
        <v>31900</v>
      </c>
      <c r="H230" s="323">
        <v>0</v>
      </c>
      <c r="I230" s="268">
        <v>31900</v>
      </c>
      <c r="J230" s="323"/>
      <c r="K230" s="323"/>
      <c r="L230" s="323">
        <f t="shared" si="15"/>
        <v>0</v>
      </c>
      <c r="M230" s="323">
        <f aca="true" t="shared" si="17" ref="M230:M284">SUM(G230+J230)</f>
        <v>31900</v>
      </c>
      <c r="N230" s="323">
        <f aca="true" t="shared" si="18" ref="N230:N284">SUM(H230+K230)</f>
        <v>0</v>
      </c>
      <c r="O230" s="323">
        <f t="shared" si="16"/>
        <v>31900</v>
      </c>
    </row>
    <row r="231" spans="1:15" ht="15" customHeight="1">
      <c r="A231" s="279"/>
      <c r="B231" s="279"/>
      <c r="C231" s="285"/>
      <c r="D231" s="272" t="s">
        <v>318</v>
      </c>
      <c r="E231" s="265"/>
      <c r="F231" s="582"/>
      <c r="G231" s="283">
        <v>0</v>
      </c>
      <c r="H231" s="323">
        <v>0</v>
      </c>
      <c r="I231" s="268">
        <v>0</v>
      </c>
      <c r="J231" s="323"/>
      <c r="K231" s="323"/>
      <c r="L231" s="323">
        <f t="shared" si="15"/>
        <v>0</v>
      </c>
      <c r="M231" s="323">
        <f t="shared" si="17"/>
        <v>0</v>
      </c>
      <c r="N231" s="323">
        <f t="shared" si="18"/>
        <v>0</v>
      </c>
      <c r="O231" s="323">
        <f t="shared" si="16"/>
        <v>0</v>
      </c>
    </row>
    <row r="232" spans="1:15" ht="24.75" customHeight="1">
      <c r="A232" s="279"/>
      <c r="B232" s="279"/>
      <c r="C232" s="285" t="s">
        <v>968</v>
      </c>
      <c r="D232" s="351" t="s">
        <v>5</v>
      </c>
      <c r="E232" s="265"/>
      <c r="F232" s="582"/>
      <c r="G232" s="283">
        <v>717610</v>
      </c>
      <c r="H232" s="323">
        <v>0</v>
      </c>
      <c r="I232" s="268">
        <v>717610</v>
      </c>
      <c r="J232" s="283"/>
      <c r="K232" s="283"/>
      <c r="L232" s="283">
        <f t="shared" si="15"/>
        <v>0</v>
      </c>
      <c r="M232" s="283">
        <f t="shared" si="17"/>
        <v>717610</v>
      </c>
      <c r="N232" s="283">
        <f t="shared" si="18"/>
        <v>0</v>
      </c>
      <c r="O232" s="283">
        <f t="shared" si="16"/>
        <v>717610</v>
      </c>
    </row>
    <row r="233" spans="1:15" ht="36" customHeight="1">
      <c r="A233" s="279"/>
      <c r="B233" s="279"/>
      <c r="C233" s="285" t="s">
        <v>623</v>
      </c>
      <c r="D233" s="352" t="s">
        <v>728</v>
      </c>
      <c r="E233" s="357"/>
      <c r="F233" s="582" t="s">
        <v>25</v>
      </c>
      <c r="G233" s="283">
        <v>316972</v>
      </c>
      <c r="H233" s="323">
        <v>0</v>
      </c>
      <c r="I233" s="268">
        <v>316972</v>
      </c>
      <c r="J233" s="283">
        <v>-6165</v>
      </c>
      <c r="K233" s="283"/>
      <c r="L233" s="283">
        <f t="shared" si="15"/>
        <v>-6165</v>
      </c>
      <c r="M233" s="283">
        <f t="shared" si="17"/>
        <v>310807</v>
      </c>
      <c r="N233" s="283">
        <f t="shared" si="18"/>
        <v>0</v>
      </c>
      <c r="O233" s="283">
        <f t="shared" si="16"/>
        <v>310807</v>
      </c>
    </row>
    <row r="234" spans="1:15" ht="15" customHeight="1">
      <c r="A234" s="279"/>
      <c r="B234" s="279"/>
      <c r="C234" s="279" t="s">
        <v>231</v>
      </c>
      <c r="D234" s="287" t="s">
        <v>232</v>
      </c>
      <c r="E234" s="265"/>
      <c r="F234" s="582"/>
      <c r="G234" s="323"/>
      <c r="H234" s="323"/>
      <c r="I234" s="268"/>
      <c r="J234" s="323"/>
      <c r="K234" s="323"/>
      <c r="L234" s="323"/>
      <c r="M234" s="323"/>
      <c r="N234" s="323"/>
      <c r="O234" s="323"/>
    </row>
    <row r="235" spans="1:15" ht="15" customHeight="1">
      <c r="A235" s="279"/>
      <c r="B235" s="279"/>
      <c r="C235" s="263"/>
      <c r="D235" s="304" t="s">
        <v>318</v>
      </c>
      <c r="E235" s="265"/>
      <c r="F235" s="582"/>
      <c r="G235" s="323"/>
      <c r="H235" s="323"/>
      <c r="I235" s="268"/>
      <c r="J235" s="323"/>
      <c r="K235" s="323"/>
      <c r="L235" s="323"/>
      <c r="M235" s="323"/>
      <c r="N235" s="323"/>
      <c r="O235" s="323"/>
    </row>
    <row r="236" spans="1:15" ht="24.75" customHeight="1">
      <c r="A236" s="279"/>
      <c r="B236" s="279"/>
      <c r="C236" s="263" t="s">
        <v>624</v>
      </c>
      <c r="D236" s="358" t="s">
        <v>1057</v>
      </c>
      <c r="E236" s="265"/>
      <c r="F236" s="582"/>
      <c r="G236" s="323">
        <v>5393</v>
      </c>
      <c r="H236" s="323">
        <v>0</v>
      </c>
      <c r="I236" s="268">
        <v>5393</v>
      </c>
      <c r="J236" s="283"/>
      <c r="K236" s="283"/>
      <c r="L236" s="283">
        <f t="shared" si="15"/>
        <v>0</v>
      </c>
      <c r="M236" s="283">
        <f t="shared" si="17"/>
        <v>5393</v>
      </c>
      <c r="N236" s="283">
        <f t="shared" si="18"/>
        <v>0</v>
      </c>
      <c r="O236" s="283">
        <f t="shared" si="16"/>
        <v>5393</v>
      </c>
    </row>
    <row r="237" spans="1:15" ht="13.5">
      <c r="A237" s="279"/>
      <c r="B237" s="279"/>
      <c r="C237" s="279" t="s">
        <v>233</v>
      </c>
      <c r="D237" s="280" t="s">
        <v>234</v>
      </c>
      <c r="E237" s="331"/>
      <c r="F237" s="579"/>
      <c r="G237" s="323">
        <v>0</v>
      </c>
      <c r="H237" s="323">
        <v>0</v>
      </c>
      <c r="I237" s="268">
        <v>0</v>
      </c>
      <c r="J237" s="323"/>
      <c r="K237" s="323"/>
      <c r="L237" s="323">
        <f t="shared" si="15"/>
        <v>0</v>
      </c>
      <c r="M237" s="323">
        <f t="shared" si="17"/>
        <v>0</v>
      </c>
      <c r="N237" s="323">
        <f t="shared" si="18"/>
        <v>0</v>
      </c>
      <c r="O237" s="323">
        <f t="shared" si="16"/>
        <v>0</v>
      </c>
    </row>
    <row r="238" spans="1:15" ht="13.5">
      <c r="A238" s="279"/>
      <c r="B238" s="279"/>
      <c r="C238" s="285" t="s">
        <v>235</v>
      </c>
      <c r="D238" s="339" t="s">
        <v>83</v>
      </c>
      <c r="E238" s="359"/>
      <c r="F238" s="579"/>
      <c r="G238" s="323">
        <v>12752</v>
      </c>
      <c r="H238" s="323">
        <v>0</v>
      </c>
      <c r="I238" s="268">
        <v>12752</v>
      </c>
      <c r="J238" s="323"/>
      <c r="K238" s="323"/>
      <c r="L238" s="323">
        <f t="shared" si="15"/>
        <v>0</v>
      </c>
      <c r="M238" s="323">
        <f t="shared" si="17"/>
        <v>12752</v>
      </c>
      <c r="N238" s="323">
        <f t="shared" si="18"/>
        <v>0</v>
      </c>
      <c r="O238" s="323">
        <f t="shared" si="16"/>
        <v>12752</v>
      </c>
    </row>
    <row r="239" spans="1:15" ht="13.5">
      <c r="A239" s="279"/>
      <c r="B239" s="279"/>
      <c r="C239" s="285" t="s">
        <v>236</v>
      </c>
      <c r="D239" s="360" t="s">
        <v>625</v>
      </c>
      <c r="E239" s="359"/>
      <c r="F239" s="579"/>
      <c r="G239" s="323">
        <v>100</v>
      </c>
      <c r="H239" s="323">
        <v>0</v>
      </c>
      <c r="I239" s="268">
        <v>100</v>
      </c>
      <c r="J239" s="323"/>
      <c r="K239" s="323"/>
      <c r="L239" s="323">
        <f t="shared" si="15"/>
        <v>0</v>
      </c>
      <c r="M239" s="323">
        <f t="shared" si="17"/>
        <v>100</v>
      </c>
      <c r="N239" s="323">
        <f t="shared" si="18"/>
        <v>0</v>
      </c>
      <c r="O239" s="323">
        <f t="shared" si="16"/>
        <v>100</v>
      </c>
    </row>
    <row r="240" spans="1:15" ht="24">
      <c r="A240" s="279"/>
      <c r="B240" s="279"/>
      <c r="C240" s="285" t="s">
        <v>237</v>
      </c>
      <c r="D240" s="314" t="s">
        <v>626</v>
      </c>
      <c r="E240" s="359"/>
      <c r="F240" s="579"/>
      <c r="G240" s="323">
        <v>1000</v>
      </c>
      <c r="H240" s="323">
        <v>0</v>
      </c>
      <c r="I240" s="268">
        <v>1000</v>
      </c>
      <c r="J240" s="323"/>
      <c r="K240" s="323"/>
      <c r="L240" s="323">
        <f t="shared" si="15"/>
        <v>0</v>
      </c>
      <c r="M240" s="323">
        <f t="shared" si="17"/>
        <v>1000</v>
      </c>
      <c r="N240" s="323">
        <f t="shared" si="18"/>
        <v>0</v>
      </c>
      <c r="O240" s="323">
        <f t="shared" si="16"/>
        <v>1000</v>
      </c>
    </row>
    <row r="241" spans="1:15" ht="13.5">
      <c r="A241" s="279"/>
      <c r="B241" s="279"/>
      <c r="C241" s="285" t="s">
        <v>238</v>
      </c>
      <c r="D241" s="314" t="s">
        <v>627</v>
      </c>
      <c r="E241" s="359"/>
      <c r="F241" s="579" t="s">
        <v>25</v>
      </c>
      <c r="G241" s="323">
        <v>66630</v>
      </c>
      <c r="H241" s="323">
        <v>0</v>
      </c>
      <c r="I241" s="268">
        <v>66630</v>
      </c>
      <c r="J241" s="323">
        <v>-91</v>
      </c>
      <c r="K241" s="323"/>
      <c r="L241" s="323">
        <f t="shared" si="15"/>
        <v>-91</v>
      </c>
      <c r="M241" s="323">
        <f t="shared" si="17"/>
        <v>66539</v>
      </c>
      <c r="N241" s="323">
        <f t="shared" si="18"/>
        <v>0</v>
      </c>
      <c r="O241" s="323">
        <f t="shared" si="16"/>
        <v>66539</v>
      </c>
    </row>
    <row r="242" spans="1:15" ht="13.5">
      <c r="A242" s="279"/>
      <c r="B242" s="279"/>
      <c r="C242" s="285" t="s">
        <v>874</v>
      </c>
      <c r="D242" s="326" t="s">
        <v>628</v>
      </c>
      <c r="E242" s="359"/>
      <c r="F242" s="579" t="s">
        <v>25</v>
      </c>
      <c r="G242" s="323">
        <v>4563</v>
      </c>
      <c r="H242" s="323">
        <v>0</v>
      </c>
      <c r="I242" s="268">
        <v>4563</v>
      </c>
      <c r="J242" s="323">
        <v>-383</v>
      </c>
      <c r="K242" s="323"/>
      <c r="L242" s="323">
        <f t="shared" si="15"/>
        <v>-383</v>
      </c>
      <c r="M242" s="323">
        <f t="shared" si="17"/>
        <v>4180</v>
      </c>
      <c r="N242" s="323">
        <f t="shared" si="18"/>
        <v>0</v>
      </c>
      <c r="O242" s="323">
        <f t="shared" si="16"/>
        <v>4180</v>
      </c>
    </row>
    <row r="243" spans="1:15" ht="13.5">
      <c r="A243" s="279"/>
      <c r="B243" s="279"/>
      <c r="C243" s="285" t="s">
        <v>875</v>
      </c>
      <c r="D243" s="243" t="s">
        <v>629</v>
      </c>
      <c r="E243" s="265"/>
      <c r="F243" s="597"/>
      <c r="G243" s="323">
        <v>1000</v>
      </c>
      <c r="H243" s="323">
        <v>0</v>
      </c>
      <c r="I243" s="268">
        <v>1000</v>
      </c>
      <c r="J243" s="323"/>
      <c r="K243" s="323"/>
      <c r="L243" s="323">
        <f t="shared" si="15"/>
        <v>0</v>
      </c>
      <c r="M243" s="323">
        <f t="shared" si="17"/>
        <v>1000</v>
      </c>
      <c r="N243" s="323">
        <f t="shared" si="18"/>
        <v>0</v>
      </c>
      <c r="O243" s="323">
        <f t="shared" si="16"/>
        <v>1000</v>
      </c>
    </row>
    <row r="244" spans="1:15" ht="13.5">
      <c r="A244" s="279"/>
      <c r="B244" s="279"/>
      <c r="C244" s="285" t="s">
        <v>1016</v>
      </c>
      <c r="D244" s="40" t="s">
        <v>1017</v>
      </c>
      <c r="E244" s="265"/>
      <c r="F244" s="597" t="s">
        <v>25</v>
      </c>
      <c r="G244" s="323">
        <v>1948</v>
      </c>
      <c r="H244" s="323">
        <v>0</v>
      </c>
      <c r="I244" s="268">
        <v>1948</v>
      </c>
      <c r="J244" s="323">
        <v>-175</v>
      </c>
      <c r="K244" s="323"/>
      <c r="L244" s="323">
        <f t="shared" si="15"/>
        <v>-175</v>
      </c>
      <c r="M244" s="323">
        <f t="shared" si="17"/>
        <v>1773</v>
      </c>
      <c r="N244" s="323">
        <f t="shared" si="18"/>
        <v>0</v>
      </c>
      <c r="O244" s="323">
        <f t="shared" si="16"/>
        <v>1773</v>
      </c>
    </row>
    <row r="245" spans="1:15" ht="24">
      <c r="A245" s="279"/>
      <c r="B245" s="279"/>
      <c r="C245" s="285" t="s">
        <v>1007</v>
      </c>
      <c r="D245" s="666" t="s">
        <v>465</v>
      </c>
      <c r="E245" s="265"/>
      <c r="F245" s="597"/>
      <c r="G245" s="323"/>
      <c r="H245" s="323">
        <v>2000</v>
      </c>
      <c r="I245" s="268">
        <v>2000</v>
      </c>
      <c r="J245" s="323"/>
      <c r="K245" s="323"/>
      <c r="L245" s="323">
        <f t="shared" si="15"/>
        <v>0</v>
      </c>
      <c r="M245" s="323"/>
      <c r="N245" s="323">
        <f t="shared" si="18"/>
        <v>2000</v>
      </c>
      <c r="O245" s="323">
        <f t="shared" si="16"/>
        <v>2000</v>
      </c>
    </row>
    <row r="246" spans="1:15" ht="13.5">
      <c r="A246" s="279"/>
      <c r="B246" s="279"/>
      <c r="C246" s="285"/>
      <c r="D246" s="272" t="s">
        <v>318</v>
      </c>
      <c r="E246" s="359"/>
      <c r="F246" s="579"/>
      <c r="G246" s="323"/>
      <c r="H246" s="323"/>
      <c r="I246" s="268"/>
      <c r="J246" s="323"/>
      <c r="K246" s="323"/>
      <c r="L246" s="323"/>
      <c r="M246" s="323"/>
      <c r="N246" s="323"/>
      <c r="O246" s="323"/>
    </row>
    <row r="247" spans="1:15" ht="13.5">
      <c r="A247" s="279"/>
      <c r="B247" s="279"/>
      <c r="C247" s="285" t="s">
        <v>84</v>
      </c>
      <c r="D247" s="319" t="s">
        <v>1083</v>
      </c>
      <c r="E247" s="359"/>
      <c r="F247" s="579"/>
      <c r="G247" s="323">
        <v>2033</v>
      </c>
      <c r="H247" s="323">
        <v>268</v>
      </c>
      <c r="I247" s="268">
        <v>2301</v>
      </c>
      <c r="J247" s="323"/>
      <c r="K247" s="323"/>
      <c r="L247" s="323">
        <f t="shared" si="15"/>
        <v>0</v>
      </c>
      <c r="M247" s="323">
        <f t="shared" si="17"/>
        <v>2033</v>
      </c>
      <c r="N247" s="323">
        <f t="shared" si="18"/>
        <v>268</v>
      </c>
      <c r="O247" s="323">
        <f t="shared" si="16"/>
        <v>2301</v>
      </c>
    </row>
    <row r="248" spans="1:15" ht="13.5">
      <c r="A248" s="361"/>
      <c r="B248" s="361"/>
      <c r="C248" s="257"/>
      <c r="D248" s="258" t="s">
        <v>1143</v>
      </c>
      <c r="E248" s="259"/>
      <c r="F248" s="581"/>
      <c r="G248" s="362">
        <f>SUM(G138:G247)</f>
        <v>5398396</v>
      </c>
      <c r="H248" s="362">
        <f>SUM(H138:H247)</f>
        <v>35911</v>
      </c>
      <c r="I248" s="362">
        <f>SUM(I138:I247)</f>
        <v>5434307</v>
      </c>
      <c r="J248" s="362">
        <f aca="true" t="shared" si="19" ref="J248:O248">SUM(J138:J247)</f>
        <v>-48386</v>
      </c>
      <c r="K248" s="362">
        <f t="shared" si="19"/>
        <v>0</v>
      </c>
      <c r="L248" s="362">
        <f t="shared" si="19"/>
        <v>-48386</v>
      </c>
      <c r="M248" s="362">
        <f t="shared" si="19"/>
        <v>5350010</v>
      </c>
      <c r="N248" s="362">
        <f t="shared" si="19"/>
        <v>35911</v>
      </c>
      <c r="O248" s="362">
        <f t="shared" si="19"/>
        <v>5385921</v>
      </c>
    </row>
    <row r="249" spans="1:15" ht="13.5">
      <c r="A249" s="363">
        <v>1</v>
      </c>
      <c r="B249" s="363">
        <v>17</v>
      </c>
      <c r="C249" s="263"/>
      <c r="D249" s="364" t="s">
        <v>630</v>
      </c>
      <c r="E249" s="365"/>
      <c r="F249" s="578"/>
      <c r="G249" s="323"/>
      <c r="H249" s="323"/>
      <c r="I249" s="313"/>
      <c r="J249" s="323"/>
      <c r="K249" s="323"/>
      <c r="L249" s="323"/>
      <c r="M249" s="323"/>
      <c r="N249" s="323"/>
      <c r="O249" s="323"/>
    </row>
    <row r="250" spans="1:15" ht="13.5">
      <c r="A250" s="363"/>
      <c r="B250" s="363"/>
      <c r="C250" s="263" t="s">
        <v>93</v>
      </c>
      <c r="D250" s="366" t="s">
        <v>631</v>
      </c>
      <c r="E250" s="365"/>
      <c r="F250" s="578"/>
      <c r="G250" s="323">
        <v>171958</v>
      </c>
      <c r="H250" s="323">
        <v>0</v>
      </c>
      <c r="I250" s="212">
        <v>171958</v>
      </c>
      <c r="J250" s="323"/>
      <c r="K250" s="323"/>
      <c r="L250" s="323">
        <f t="shared" si="15"/>
        <v>0</v>
      </c>
      <c r="M250" s="323">
        <f t="shared" si="17"/>
        <v>171958</v>
      </c>
      <c r="N250" s="323">
        <f t="shared" si="18"/>
        <v>0</v>
      </c>
      <c r="O250" s="323">
        <f t="shared" si="16"/>
        <v>171958</v>
      </c>
    </row>
    <row r="251" spans="1:15" ht="13.5">
      <c r="A251" s="363"/>
      <c r="B251" s="363"/>
      <c r="C251" s="263" t="s">
        <v>172</v>
      </c>
      <c r="D251" s="366" t="s">
        <v>992</v>
      </c>
      <c r="E251" s="365"/>
      <c r="F251" s="578"/>
      <c r="G251" s="323">
        <v>260</v>
      </c>
      <c r="H251" s="323"/>
      <c r="I251" s="212">
        <v>260</v>
      </c>
      <c r="J251" s="323"/>
      <c r="K251" s="323"/>
      <c r="L251" s="323">
        <f t="shared" si="15"/>
        <v>0</v>
      </c>
      <c r="M251" s="323">
        <f t="shared" si="17"/>
        <v>260</v>
      </c>
      <c r="N251" s="323"/>
      <c r="O251" s="323">
        <f t="shared" si="16"/>
        <v>260</v>
      </c>
    </row>
    <row r="252" spans="1:15" ht="13.5">
      <c r="A252" s="363"/>
      <c r="B252" s="363"/>
      <c r="C252" s="263" t="s">
        <v>174</v>
      </c>
      <c r="D252" s="366" t="s">
        <v>865</v>
      </c>
      <c r="E252" s="365"/>
      <c r="F252" s="578" t="s">
        <v>25</v>
      </c>
      <c r="G252" s="323">
        <v>2500</v>
      </c>
      <c r="H252" s="323"/>
      <c r="I252" s="212">
        <v>2500</v>
      </c>
      <c r="J252" s="323">
        <v>1200</v>
      </c>
      <c r="K252" s="323"/>
      <c r="L252" s="323">
        <f t="shared" si="15"/>
        <v>1200</v>
      </c>
      <c r="M252" s="323">
        <f t="shared" si="17"/>
        <v>3700</v>
      </c>
      <c r="N252" s="323"/>
      <c r="O252" s="323">
        <f t="shared" si="16"/>
        <v>3700</v>
      </c>
    </row>
    <row r="253" spans="1:15" ht="13.5">
      <c r="A253" s="363"/>
      <c r="B253" s="363"/>
      <c r="C253" s="263">
        <v>4</v>
      </c>
      <c r="D253" s="366" t="s">
        <v>678</v>
      </c>
      <c r="E253" s="365"/>
      <c r="F253" s="578"/>
      <c r="G253" s="323">
        <v>3286</v>
      </c>
      <c r="H253" s="323"/>
      <c r="I253" s="212">
        <v>3286</v>
      </c>
      <c r="J253" s="323"/>
      <c r="K253" s="323"/>
      <c r="L253" s="323">
        <f t="shared" si="15"/>
        <v>0</v>
      </c>
      <c r="M253" s="323">
        <f t="shared" si="17"/>
        <v>3286</v>
      </c>
      <c r="N253" s="323"/>
      <c r="O253" s="323">
        <f t="shared" si="16"/>
        <v>3286</v>
      </c>
    </row>
    <row r="254" spans="1:15" ht="23.25" customHeight="1">
      <c r="A254" s="363"/>
      <c r="B254" s="363"/>
      <c r="C254" s="263" t="s">
        <v>177</v>
      </c>
      <c r="D254" s="716" t="s">
        <v>679</v>
      </c>
      <c r="E254" s="717"/>
      <c r="F254" s="578"/>
      <c r="G254" s="323">
        <v>13</v>
      </c>
      <c r="H254" s="323"/>
      <c r="I254" s="212">
        <v>13</v>
      </c>
      <c r="J254" s="323"/>
      <c r="K254" s="323"/>
      <c r="L254" s="323">
        <f t="shared" si="15"/>
        <v>0</v>
      </c>
      <c r="M254" s="323">
        <f t="shared" si="17"/>
        <v>13</v>
      </c>
      <c r="N254" s="323"/>
      <c r="O254" s="323">
        <f t="shared" si="16"/>
        <v>13</v>
      </c>
    </row>
    <row r="255" spans="1:15" ht="13.5" customHeight="1">
      <c r="A255" s="269"/>
      <c r="B255" s="269"/>
      <c r="C255" s="263"/>
      <c r="D255" s="272" t="s">
        <v>318</v>
      </c>
      <c r="E255" s="359"/>
      <c r="F255" s="579"/>
      <c r="G255" s="323">
        <v>0</v>
      </c>
      <c r="H255" s="323">
        <v>0</v>
      </c>
      <c r="I255" s="212">
        <v>0</v>
      </c>
      <c r="J255" s="323"/>
      <c r="K255" s="323"/>
      <c r="L255" s="323">
        <f t="shared" si="15"/>
        <v>0</v>
      </c>
      <c r="M255" s="323">
        <f t="shared" si="17"/>
        <v>0</v>
      </c>
      <c r="N255" s="323">
        <f t="shared" si="18"/>
        <v>0</v>
      </c>
      <c r="O255" s="323">
        <f t="shared" si="16"/>
        <v>0</v>
      </c>
    </row>
    <row r="256" spans="1:15" ht="24.75" customHeight="1">
      <c r="A256" s="269"/>
      <c r="B256" s="269"/>
      <c r="C256" s="263" t="s">
        <v>1125</v>
      </c>
      <c r="D256" s="367" t="s">
        <v>24</v>
      </c>
      <c r="E256" s="359"/>
      <c r="F256" s="579"/>
      <c r="G256" s="323">
        <v>63299</v>
      </c>
      <c r="H256" s="323">
        <v>0</v>
      </c>
      <c r="I256" s="212">
        <v>63299</v>
      </c>
      <c r="J256" s="323"/>
      <c r="K256" s="323"/>
      <c r="L256" s="323">
        <f t="shared" si="15"/>
        <v>0</v>
      </c>
      <c r="M256" s="323">
        <f t="shared" si="17"/>
        <v>63299</v>
      </c>
      <c r="N256" s="323">
        <f t="shared" si="18"/>
        <v>0</v>
      </c>
      <c r="O256" s="323">
        <f t="shared" si="16"/>
        <v>63299</v>
      </c>
    </row>
    <row r="257" spans="1:15" ht="15" customHeight="1">
      <c r="A257" s="269"/>
      <c r="B257" s="269"/>
      <c r="C257" s="263" t="s">
        <v>1126</v>
      </c>
      <c r="D257" s="343" t="s">
        <v>26</v>
      </c>
      <c r="E257" s="359"/>
      <c r="F257" s="579"/>
      <c r="G257" s="323">
        <v>30000</v>
      </c>
      <c r="H257" s="323">
        <v>0</v>
      </c>
      <c r="I257" s="212">
        <v>30000</v>
      </c>
      <c r="J257" s="323"/>
      <c r="K257" s="323"/>
      <c r="L257" s="323">
        <f t="shared" si="15"/>
        <v>0</v>
      </c>
      <c r="M257" s="323">
        <f t="shared" si="17"/>
        <v>30000</v>
      </c>
      <c r="N257" s="323">
        <f t="shared" si="18"/>
        <v>0</v>
      </c>
      <c r="O257" s="323">
        <f t="shared" si="16"/>
        <v>30000</v>
      </c>
    </row>
    <row r="258" spans="1:15" ht="15" customHeight="1">
      <c r="A258" s="269"/>
      <c r="B258" s="269"/>
      <c r="C258" s="263" t="s">
        <v>1127</v>
      </c>
      <c r="D258" s="367" t="s">
        <v>1084</v>
      </c>
      <c r="E258" s="359"/>
      <c r="F258" s="579"/>
      <c r="G258" s="323">
        <v>80626</v>
      </c>
      <c r="H258" s="323">
        <v>0</v>
      </c>
      <c r="I258" s="212">
        <v>80626</v>
      </c>
      <c r="J258" s="323"/>
      <c r="K258" s="323"/>
      <c r="L258" s="323">
        <f t="shared" si="15"/>
        <v>0</v>
      </c>
      <c r="M258" s="323">
        <f t="shared" si="17"/>
        <v>80626</v>
      </c>
      <c r="N258" s="323">
        <f t="shared" si="18"/>
        <v>0</v>
      </c>
      <c r="O258" s="323">
        <f t="shared" si="16"/>
        <v>80626</v>
      </c>
    </row>
    <row r="259" spans="1:15" ht="24.75" customHeight="1">
      <c r="A259" s="269"/>
      <c r="B259" s="269"/>
      <c r="C259" s="263" t="s">
        <v>632</v>
      </c>
      <c r="D259" s="367" t="s">
        <v>633</v>
      </c>
      <c r="E259" s="359"/>
      <c r="F259" s="579"/>
      <c r="G259" s="323">
        <v>103100</v>
      </c>
      <c r="H259" s="323">
        <v>0</v>
      </c>
      <c r="I259" s="212">
        <v>103100</v>
      </c>
      <c r="J259" s="323"/>
      <c r="K259" s="323"/>
      <c r="L259" s="323">
        <f t="shared" si="15"/>
        <v>0</v>
      </c>
      <c r="M259" s="323">
        <f t="shared" si="17"/>
        <v>103100</v>
      </c>
      <c r="N259" s="323">
        <f t="shared" si="18"/>
        <v>0</v>
      </c>
      <c r="O259" s="323">
        <f t="shared" si="16"/>
        <v>103100</v>
      </c>
    </row>
    <row r="260" spans="1:15" ht="15" customHeight="1">
      <c r="A260" s="269"/>
      <c r="B260" s="269"/>
      <c r="C260" s="263" t="s">
        <v>634</v>
      </c>
      <c r="D260" s="368" t="s">
        <v>635</v>
      </c>
      <c r="E260" s="359"/>
      <c r="F260" s="579"/>
      <c r="G260" s="323">
        <v>300</v>
      </c>
      <c r="H260" s="323">
        <v>0</v>
      </c>
      <c r="I260" s="212">
        <v>300</v>
      </c>
      <c r="J260" s="323"/>
      <c r="K260" s="323"/>
      <c r="L260" s="323">
        <f t="shared" si="15"/>
        <v>0</v>
      </c>
      <c r="M260" s="323">
        <f t="shared" si="17"/>
        <v>300</v>
      </c>
      <c r="N260" s="323">
        <f t="shared" si="18"/>
        <v>0</v>
      </c>
      <c r="O260" s="323">
        <f t="shared" si="16"/>
        <v>300</v>
      </c>
    </row>
    <row r="261" spans="1:15" ht="12" customHeight="1">
      <c r="A261" s="361"/>
      <c r="B261" s="361"/>
      <c r="C261" s="257"/>
      <c r="D261" s="258" t="s">
        <v>1130</v>
      </c>
      <c r="E261" s="259"/>
      <c r="F261" s="581"/>
      <c r="G261" s="362">
        <f>SUM(G250:G260)</f>
        <v>455342</v>
      </c>
      <c r="H261" s="362">
        <f>SUM(H250:H260)</f>
        <v>0</v>
      </c>
      <c r="I261" s="362">
        <f>SUM(I250:I260)</f>
        <v>455342</v>
      </c>
      <c r="J261" s="362">
        <f aca="true" t="shared" si="20" ref="J261:O261">SUM(J250:J260)</f>
        <v>1200</v>
      </c>
      <c r="K261" s="362">
        <f t="shared" si="20"/>
        <v>0</v>
      </c>
      <c r="L261" s="362">
        <f t="shared" si="20"/>
        <v>1200</v>
      </c>
      <c r="M261" s="362">
        <f t="shared" si="20"/>
        <v>456542</v>
      </c>
      <c r="N261" s="362">
        <f t="shared" si="20"/>
        <v>0</v>
      </c>
      <c r="O261" s="362">
        <f t="shared" si="20"/>
        <v>456542</v>
      </c>
    </row>
    <row r="262" spans="1:15" ht="12" customHeight="1">
      <c r="A262" s="225">
        <v>1</v>
      </c>
      <c r="B262" s="225">
        <v>18</v>
      </c>
      <c r="C262" s="226"/>
      <c r="D262" s="369" t="s">
        <v>1085</v>
      </c>
      <c r="E262" s="370"/>
      <c r="F262" s="580"/>
      <c r="G262" s="323"/>
      <c r="H262" s="323"/>
      <c r="I262" s="312"/>
      <c r="J262" s="323"/>
      <c r="K262" s="323"/>
      <c r="L262" s="323"/>
      <c r="M262" s="323"/>
      <c r="N262" s="323"/>
      <c r="O262" s="323"/>
    </row>
    <row r="263" spans="1:15" ht="12" customHeight="1">
      <c r="A263" s="225"/>
      <c r="B263" s="225"/>
      <c r="C263" s="226" t="s">
        <v>93</v>
      </c>
      <c r="D263" s="272" t="s">
        <v>636</v>
      </c>
      <c r="E263" s="370"/>
      <c r="F263" s="580"/>
      <c r="G263" s="323">
        <v>500</v>
      </c>
      <c r="H263" s="323">
        <v>0</v>
      </c>
      <c r="I263" s="229">
        <v>500</v>
      </c>
      <c r="J263" s="323"/>
      <c r="K263" s="323"/>
      <c r="L263" s="323">
        <f t="shared" si="15"/>
        <v>0</v>
      </c>
      <c r="M263" s="323">
        <f t="shared" si="17"/>
        <v>500</v>
      </c>
      <c r="N263" s="323">
        <f t="shared" si="18"/>
        <v>0</v>
      </c>
      <c r="O263" s="323">
        <f t="shared" si="16"/>
        <v>500</v>
      </c>
    </row>
    <row r="264" spans="1:15" ht="12" customHeight="1">
      <c r="A264" s="371"/>
      <c r="B264" s="371"/>
      <c r="C264" s="257"/>
      <c r="D264" s="258" t="s">
        <v>1086</v>
      </c>
      <c r="E264" s="259"/>
      <c r="F264" s="581"/>
      <c r="G264" s="362">
        <f>SUM(G263)</f>
        <v>500</v>
      </c>
      <c r="H264" s="362"/>
      <c r="I264" s="362">
        <f>SUM(I263)</f>
        <v>500</v>
      </c>
      <c r="J264" s="362">
        <f aca="true" t="shared" si="21" ref="J264:O264">SUM(J263)</f>
        <v>0</v>
      </c>
      <c r="K264" s="362">
        <f t="shared" si="21"/>
        <v>0</v>
      </c>
      <c r="L264" s="362">
        <f t="shared" si="21"/>
        <v>0</v>
      </c>
      <c r="M264" s="362">
        <f t="shared" si="21"/>
        <v>500</v>
      </c>
      <c r="N264" s="362">
        <f t="shared" si="21"/>
        <v>0</v>
      </c>
      <c r="O264" s="362">
        <f t="shared" si="21"/>
        <v>500</v>
      </c>
    </row>
    <row r="265" spans="1:15" ht="12" customHeight="1">
      <c r="A265" s="363">
        <v>1</v>
      </c>
      <c r="B265" s="363">
        <v>19</v>
      </c>
      <c r="C265" s="263"/>
      <c r="D265" s="364" t="s">
        <v>246</v>
      </c>
      <c r="E265" s="365"/>
      <c r="F265" s="578"/>
      <c r="G265" s="323"/>
      <c r="H265" s="323"/>
      <c r="I265" s="313"/>
      <c r="J265" s="323"/>
      <c r="K265" s="323"/>
      <c r="L265" s="323"/>
      <c r="M265" s="323"/>
      <c r="N265" s="323"/>
      <c r="O265" s="323"/>
    </row>
    <row r="266" spans="1:15" ht="12" customHeight="1">
      <c r="A266" s="363"/>
      <c r="B266" s="363"/>
      <c r="C266" s="263" t="s">
        <v>93</v>
      </c>
      <c r="D266" s="706" t="s">
        <v>1009</v>
      </c>
      <c r="E266" s="707"/>
      <c r="F266" s="578"/>
      <c r="G266" s="323"/>
      <c r="H266" s="323">
        <v>7250</v>
      </c>
      <c r="I266" s="212">
        <v>7250</v>
      </c>
      <c r="J266" s="323"/>
      <c r="K266" s="323"/>
      <c r="L266" s="283">
        <f t="shared" si="15"/>
        <v>0</v>
      </c>
      <c r="M266" s="323"/>
      <c r="N266" s="323">
        <v>7250</v>
      </c>
      <c r="O266" s="323">
        <v>7250</v>
      </c>
    </row>
    <row r="267" spans="1:15" ht="12" customHeight="1">
      <c r="A267" s="363"/>
      <c r="B267" s="363"/>
      <c r="C267" s="263" t="s">
        <v>172</v>
      </c>
      <c r="D267" s="637" t="s">
        <v>408</v>
      </c>
      <c r="E267" s="635"/>
      <c r="F267" s="578"/>
      <c r="G267" s="323"/>
      <c r="H267" s="323">
        <v>1000</v>
      </c>
      <c r="I267" s="212">
        <v>1000</v>
      </c>
      <c r="J267" s="323"/>
      <c r="K267" s="323"/>
      <c r="L267" s="283">
        <f t="shared" si="15"/>
        <v>0</v>
      </c>
      <c r="M267" s="323"/>
      <c r="N267" s="323">
        <v>1000</v>
      </c>
      <c r="O267" s="323">
        <v>1000</v>
      </c>
    </row>
    <row r="268" spans="1:15" ht="12" customHeight="1">
      <c r="A268" s="363"/>
      <c r="B268" s="363"/>
      <c r="C268" s="263" t="s">
        <v>174</v>
      </c>
      <c r="D268" s="637" t="s">
        <v>451</v>
      </c>
      <c r="E268" s="635"/>
      <c r="F268" s="578"/>
      <c r="G268" s="323"/>
      <c r="H268" s="323">
        <v>254</v>
      </c>
      <c r="I268" s="212">
        <v>254</v>
      </c>
      <c r="J268" s="323"/>
      <c r="K268" s="323"/>
      <c r="L268" s="283">
        <f t="shared" si="15"/>
        <v>0</v>
      </c>
      <c r="M268" s="323"/>
      <c r="N268" s="323">
        <v>254</v>
      </c>
      <c r="O268" s="323">
        <v>254</v>
      </c>
    </row>
    <row r="269" spans="1:15" ht="12" customHeight="1">
      <c r="A269" s="363"/>
      <c r="B269" s="363"/>
      <c r="C269" s="263" t="s">
        <v>176</v>
      </c>
      <c r="D269" s="679" t="s">
        <v>986</v>
      </c>
      <c r="E269" s="250"/>
      <c r="F269" s="582"/>
      <c r="G269" s="323"/>
      <c r="H269" s="323">
        <v>800</v>
      </c>
      <c r="I269" s="268">
        <v>800</v>
      </c>
      <c r="J269" s="283"/>
      <c r="K269" s="283"/>
      <c r="L269" s="283">
        <f t="shared" si="15"/>
        <v>0</v>
      </c>
      <c r="M269" s="283"/>
      <c r="N269" s="283">
        <f>SUM(H269+K269)</f>
        <v>800</v>
      </c>
      <c r="O269" s="283">
        <f>SUM(M269:N269)</f>
        <v>800</v>
      </c>
    </row>
    <row r="270" spans="1:15" ht="12" customHeight="1">
      <c r="A270" s="363"/>
      <c r="B270" s="363"/>
      <c r="C270" s="263"/>
      <c r="D270" s="272" t="s">
        <v>318</v>
      </c>
      <c r="E270" s="365"/>
      <c r="F270" s="578"/>
      <c r="G270" s="323"/>
      <c r="H270" s="323"/>
      <c r="I270" s="212"/>
      <c r="J270" s="323"/>
      <c r="K270" s="323"/>
      <c r="L270" s="283">
        <f t="shared" si="15"/>
        <v>0</v>
      </c>
      <c r="M270" s="323"/>
      <c r="N270" s="323"/>
      <c r="O270" s="323"/>
    </row>
    <row r="271" spans="1:15" ht="15" customHeight="1">
      <c r="A271" s="363"/>
      <c r="B271" s="363"/>
      <c r="C271" s="263" t="s">
        <v>28</v>
      </c>
      <c r="D271" s="372" t="s">
        <v>637</v>
      </c>
      <c r="E271" s="365"/>
      <c r="F271" s="578"/>
      <c r="G271" s="323">
        <v>0</v>
      </c>
      <c r="H271" s="323">
        <v>1500</v>
      </c>
      <c r="I271" s="212">
        <v>1500</v>
      </c>
      <c r="J271" s="283"/>
      <c r="K271" s="283">
        <v>-1500</v>
      </c>
      <c r="L271" s="283">
        <f t="shared" si="15"/>
        <v>-1500</v>
      </c>
      <c r="M271" s="283">
        <f t="shared" si="17"/>
        <v>0</v>
      </c>
      <c r="N271" s="283">
        <f t="shared" si="18"/>
        <v>0</v>
      </c>
      <c r="O271" s="283">
        <f t="shared" si="16"/>
        <v>0</v>
      </c>
    </row>
    <row r="272" spans="1:15" ht="24.75" customHeight="1">
      <c r="A272" s="363"/>
      <c r="B272" s="363"/>
      <c r="C272" s="263" t="s">
        <v>61</v>
      </c>
      <c r="D272" s="373" t="s">
        <v>1087</v>
      </c>
      <c r="E272" s="365"/>
      <c r="F272" s="578"/>
      <c r="G272" s="323">
        <v>0</v>
      </c>
      <c r="H272" s="323">
        <v>2660</v>
      </c>
      <c r="I272" s="212">
        <v>2660</v>
      </c>
      <c r="J272" s="283"/>
      <c r="K272" s="283">
        <v>-2660</v>
      </c>
      <c r="L272" s="283">
        <f t="shared" si="15"/>
        <v>-2660</v>
      </c>
      <c r="M272" s="283">
        <f t="shared" si="17"/>
        <v>0</v>
      </c>
      <c r="N272" s="283">
        <f t="shared" si="18"/>
        <v>0</v>
      </c>
      <c r="O272" s="283">
        <f t="shared" si="16"/>
        <v>0</v>
      </c>
    </row>
    <row r="273" spans="1:15" ht="12" customHeight="1">
      <c r="A273" s="371"/>
      <c r="B273" s="371"/>
      <c r="C273" s="257"/>
      <c r="D273" s="258" t="s">
        <v>247</v>
      </c>
      <c r="E273" s="259"/>
      <c r="F273" s="581"/>
      <c r="G273" s="362">
        <f>SUM(G266:G272)</f>
        <v>0</v>
      </c>
      <c r="H273" s="362">
        <f aca="true" t="shared" si="22" ref="H273:O273">SUM(H266:H272)</f>
        <v>13464</v>
      </c>
      <c r="I273" s="362">
        <f t="shared" si="22"/>
        <v>13464</v>
      </c>
      <c r="J273" s="362">
        <f t="shared" si="22"/>
        <v>0</v>
      </c>
      <c r="K273" s="362">
        <f t="shared" si="22"/>
        <v>-4160</v>
      </c>
      <c r="L273" s="362">
        <f t="shared" si="22"/>
        <v>-4160</v>
      </c>
      <c r="M273" s="362">
        <f t="shared" si="22"/>
        <v>0</v>
      </c>
      <c r="N273" s="362">
        <f t="shared" si="22"/>
        <v>9304</v>
      </c>
      <c r="O273" s="362">
        <f t="shared" si="22"/>
        <v>9304</v>
      </c>
    </row>
    <row r="274" spans="1:15" ht="12" customHeight="1">
      <c r="A274" s="363">
        <v>1</v>
      </c>
      <c r="B274" s="363">
        <v>22</v>
      </c>
      <c r="C274" s="263"/>
      <c r="D274" s="364" t="s">
        <v>978</v>
      </c>
      <c r="E274" s="365"/>
      <c r="F274" s="578"/>
      <c r="G274" s="323"/>
      <c r="H274" s="323"/>
      <c r="I274" s="212"/>
      <c r="J274" s="323"/>
      <c r="K274" s="323"/>
      <c r="L274" s="323"/>
      <c r="M274" s="323"/>
      <c r="N274" s="323"/>
      <c r="O274" s="323"/>
    </row>
    <row r="275" spans="1:15" ht="30" customHeight="1">
      <c r="A275" s="363"/>
      <c r="B275" s="363"/>
      <c r="C275" s="263" t="s">
        <v>93</v>
      </c>
      <c r="D275" s="343" t="s">
        <v>690</v>
      </c>
      <c r="E275" s="337"/>
      <c r="F275" s="345" t="s">
        <v>25</v>
      </c>
      <c r="G275" s="657">
        <v>280</v>
      </c>
      <c r="H275" s="657">
        <v>497</v>
      </c>
      <c r="I275" s="330">
        <v>777</v>
      </c>
      <c r="J275" s="657">
        <v>288</v>
      </c>
      <c r="K275" s="657">
        <v>20</v>
      </c>
      <c r="L275" s="657">
        <f t="shared" si="15"/>
        <v>308</v>
      </c>
      <c r="M275" s="657">
        <f t="shared" si="17"/>
        <v>568</v>
      </c>
      <c r="N275" s="657">
        <f t="shared" si="18"/>
        <v>517</v>
      </c>
      <c r="O275" s="657">
        <f t="shared" si="16"/>
        <v>1085</v>
      </c>
    </row>
    <row r="276" spans="1:15" ht="15" customHeight="1">
      <c r="A276" s="363"/>
      <c r="B276" s="363"/>
      <c r="C276" s="263" t="s">
        <v>172</v>
      </c>
      <c r="D276" s="343" t="s">
        <v>452</v>
      </c>
      <c r="E276" s="337"/>
      <c r="F276" s="345"/>
      <c r="G276" s="323">
        <v>182</v>
      </c>
      <c r="H276" s="323">
        <v>0</v>
      </c>
      <c r="I276" s="330">
        <v>182</v>
      </c>
      <c r="J276" s="323"/>
      <c r="K276" s="323"/>
      <c r="L276" s="323">
        <f t="shared" si="15"/>
        <v>0</v>
      </c>
      <c r="M276" s="323">
        <f t="shared" si="17"/>
        <v>182</v>
      </c>
      <c r="N276" s="323">
        <f t="shared" si="18"/>
        <v>0</v>
      </c>
      <c r="O276" s="323">
        <f t="shared" si="16"/>
        <v>182</v>
      </c>
    </row>
    <row r="277" spans="1:15" ht="15" customHeight="1">
      <c r="A277" s="363"/>
      <c r="B277" s="363"/>
      <c r="C277" s="263" t="s">
        <v>174</v>
      </c>
      <c r="D277" s="343" t="s">
        <v>377</v>
      </c>
      <c r="E277" s="337"/>
      <c r="F277" s="345"/>
      <c r="G277" s="323">
        <v>0</v>
      </c>
      <c r="H277" s="323">
        <v>4815</v>
      </c>
      <c r="I277" s="330">
        <v>4815</v>
      </c>
      <c r="J277" s="323"/>
      <c r="K277" s="323"/>
      <c r="L277" s="323">
        <f t="shared" si="15"/>
        <v>0</v>
      </c>
      <c r="M277" s="323">
        <f t="shared" si="17"/>
        <v>0</v>
      </c>
      <c r="N277" s="323">
        <f t="shared" si="18"/>
        <v>4815</v>
      </c>
      <c r="O277" s="323">
        <f t="shared" si="16"/>
        <v>4815</v>
      </c>
    </row>
    <row r="278" spans="1:15" ht="18" customHeight="1">
      <c r="A278" s="363"/>
      <c r="B278" s="363"/>
      <c r="C278" s="263" t="s">
        <v>176</v>
      </c>
      <c r="D278" s="343" t="s">
        <v>680</v>
      </c>
      <c r="E278" s="337"/>
      <c r="F278" s="345"/>
      <c r="G278" s="323"/>
      <c r="H278" s="323">
        <v>107489</v>
      </c>
      <c r="I278" s="330">
        <v>107489</v>
      </c>
      <c r="J278" s="323"/>
      <c r="K278" s="323"/>
      <c r="L278" s="323">
        <f t="shared" si="15"/>
        <v>0</v>
      </c>
      <c r="M278" s="323"/>
      <c r="N278" s="323">
        <f t="shared" si="18"/>
        <v>107489</v>
      </c>
      <c r="O278" s="323">
        <f t="shared" si="16"/>
        <v>107489</v>
      </c>
    </row>
    <row r="279" spans="1:15" ht="12" customHeight="1">
      <c r="A279" s="371"/>
      <c r="B279" s="371"/>
      <c r="C279" s="257"/>
      <c r="D279" s="258" t="s">
        <v>979</v>
      </c>
      <c r="E279" s="259"/>
      <c r="F279" s="581"/>
      <c r="G279" s="362">
        <f>SUM(G275:G278)</f>
        <v>462</v>
      </c>
      <c r="H279" s="362">
        <f>SUM(H275:H278)</f>
        <v>112801</v>
      </c>
      <c r="I279" s="362">
        <f>SUM(I275:I278)</f>
        <v>113263</v>
      </c>
      <c r="J279" s="362">
        <f>SUM(J275:J277)</f>
        <v>288</v>
      </c>
      <c r="K279" s="362">
        <f>SUM(K275:K278)</f>
        <v>20</v>
      </c>
      <c r="L279" s="362">
        <f>SUM(L275:L278)</f>
        <v>308</v>
      </c>
      <c r="M279" s="362">
        <f>SUM(M275:M278)</f>
        <v>750</v>
      </c>
      <c r="N279" s="362">
        <f>SUM(N275:N278)</f>
        <v>112821</v>
      </c>
      <c r="O279" s="362">
        <f>SUM(O275:O278)</f>
        <v>113571</v>
      </c>
    </row>
    <row r="280" spans="1:15" ht="13.5">
      <c r="A280" s="374">
        <v>1</v>
      </c>
      <c r="B280" s="374">
        <v>3</v>
      </c>
      <c r="C280" s="248"/>
      <c r="D280" s="276" t="s">
        <v>1133</v>
      </c>
      <c r="E280" s="282"/>
      <c r="F280" s="584"/>
      <c r="G280" s="283"/>
      <c r="H280" s="283"/>
      <c r="I280" s="283"/>
      <c r="J280" s="323"/>
      <c r="K280" s="323"/>
      <c r="L280" s="323">
        <f t="shared" si="15"/>
        <v>0</v>
      </c>
      <c r="M280" s="323">
        <f t="shared" si="17"/>
        <v>0</v>
      </c>
      <c r="N280" s="323">
        <f t="shared" si="18"/>
        <v>0</v>
      </c>
      <c r="O280" s="323">
        <f t="shared" si="16"/>
        <v>0</v>
      </c>
    </row>
    <row r="281" spans="1:15" ht="13.5">
      <c r="A281" s="374"/>
      <c r="B281" s="374"/>
      <c r="C281" s="248" t="s">
        <v>93</v>
      </c>
      <c r="D281" s="682" t="s">
        <v>536</v>
      </c>
      <c r="E281" s="282"/>
      <c r="F281" s="584"/>
      <c r="G281" s="283"/>
      <c r="H281" s="283"/>
      <c r="I281" s="283"/>
      <c r="J281" s="323">
        <v>4160</v>
      </c>
      <c r="K281" s="323"/>
      <c r="L281" s="323">
        <v>4160</v>
      </c>
      <c r="M281" s="323">
        <f t="shared" si="17"/>
        <v>4160</v>
      </c>
      <c r="N281" s="323"/>
      <c r="O281" s="323">
        <f t="shared" si="16"/>
        <v>4160</v>
      </c>
    </row>
    <row r="282" spans="1:15" ht="12" customHeight="1">
      <c r="A282" s="375"/>
      <c r="B282" s="375"/>
      <c r="C282" s="371"/>
      <c r="D282" s="376" t="s">
        <v>1134</v>
      </c>
      <c r="E282" s="377"/>
      <c r="F282" s="588"/>
      <c r="G282" s="378">
        <f>SUM(G281:G281)</f>
        <v>0</v>
      </c>
      <c r="H282" s="378">
        <f>SUM(H281:H281)</f>
        <v>0</v>
      </c>
      <c r="I282" s="378">
        <f>SUM(I281:I281)</f>
        <v>0</v>
      </c>
      <c r="J282" s="378">
        <f aca="true" t="shared" si="23" ref="J282:O282">SUM(J281:J281)</f>
        <v>4160</v>
      </c>
      <c r="K282" s="378">
        <f t="shared" si="23"/>
        <v>0</v>
      </c>
      <c r="L282" s="378">
        <f t="shared" si="23"/>
        <v>4160</v>
      </c>
      <c r="M282" s="378">
        <f t="shared" si="23"/>
        <v>4160</v>
      </c>
      <c r="N282" s="378">
        <f t="shared" si="23"/>
        <v>0</v>
      </c>
      <c r="O282" s="378">
        <f t="shared" si="23"/>
        <v>4160</v>
      </c>
    </row>
    <row r="283" spans="1:15" ht="13.5">
      <c r="A283" s="379"/>
      <c r="B283" s="379"/>
      <c r="C283" s="380"/>
      <c r="D283" s="381" t="s">
        <v>1088</v>
      </c>
      <c r="E283" s="377"/>
      <c r="F283" s="588"/>
      <c r="G283" s="378">
        <f aca="true" t="shared" si="24" ref="G283:O283">SUM(G8+G38+G135+G248+G261+G264+G273+G279+G282)</f>
        <v>6392796</v>
      </c>
      <c r="H283" s="378">
        <f t="shared" si="24"/>
        <v>717361</v>
      </c>
      <c r="I283" s="378">
        <f t="shared" si="24"/>
        <v>7110157</v>
      </c>
      <c r="J283" s="378">
        <f t="shared" si="24"/>
        <v>-47116</v>
      </c>
      <c r="K283" s="378">
        <f t="shared" si="24"/>
        <v>-4040</v>
      </c>
      <c r="L283" s="378">
        <f t="shared" si="24"/>
        <v>-51156</v>
      </c>
      <c r="M283" s="378">
        <f t="shared" si="24"/>
        <v>6345680</v>
      </c>
      <c r="N283" s="378">
        <f t="shared" si="24"/>
        <v>713321</v>
      </c>
      <c r="O283" s="378">
        <f t="shared" si="24"/>
        <v>7059001</v>
      </c>
    </row>
    <row r="284" spans="1:15" ht="12.75">
      <c r="A284" s="382">
        <v>2</v>
      </c>
      <c r="B284" s="383">
        <v>2</v>
      </c>
      <c r="C284" s="384"/>
      <c r="D284" s="227" t="s">
        <v>13</v>
      </c>
      <c r="E284" s="385"/>
      <c r="F284" s="385"/>
      <c r="G284" s="323">
        <v>189547</v>
      </c>
      <c r="H284" s="323">
        <v>0</v>
      </c>
      <c r="I284" s="323">
        <v>189547</v>
      </c>
      <c r="J284" s="323">
        <v>3200</v>
      </c>
      <c r="K284" s="323"/>
      <c r="L284" s="323">
        <v>3200</v>
      </c>
      <c r="M284" s="323">
        <f t="shared" si="17"/>
        <v>192747</v>
      </c>
      <c r="N284" s="323">
        <f t="shared" si="18"/>
        <v>0</v>
      </c>
      <c r="O284" s="323">
        <f t="shared" si="16"/>
        <v>192747</v>
      </c>
    </row>
    <row r="285" spans="1:15" ht="13.5">
      <c r="A285" s="379"/>
      <c r="B285" s="379"/>
      <c r="C285" s="380"/>
      <c r="D285" s="376" t="s">
        <v>1136</v>
      </c>
      <c r="E285" s="377"/>
      <c r="F285" s="588"/>
      <c r="G285" s="378">
        <f>SUM(G283:G284)</f>
        <v>6582343</v>
      </c>
      <c r="H285" s="378">
        <f>SUM(H283:H284)</f>
        <v>717361</v>
      </c>
      <c r="I285" s="378">
        <f>SUM(I283:I284)</f>
        <v>7299704</v>
      </c>
      <c r="J285" s="378">
        <f aca="true" t="shared" si="25" ref="J285:O285">SUM(J283:J284)</f>
        <v>-43916</v>
      </c>
      <c r="K285" s="378">
        <f t="shared" si="25"/>
        <v>-4040</v>
      </c>
      <c r="L285" s="378">
        <f t="shared" si="25"/>
        <v>-47956</v>
      </c>
      <c r="M285" s="378">
        <f t="shared" si="25"/>
        <v>6538427</v>
      </c>
      <c r="N285" s="378">
        <f t="shared" si="25"/>
        <v>713321</v>
      </c>
      <c r="O285" s="378">
        <f t="shared" si="25"/>
        <v>7251748</v>
      </c>
    </row>
    <row r="286" spans="1:12" ht="15" customHeight="1">
      <c r="A286" s="386" t="s">
        <v>1089</v>
      </c>
      <c r="B286" s="387"/>
      <c r="C286" s="387"/>
      <c r="D286" s="387"/>
      <c r="E286" s="387"/>
      <c r="F286" s="387"/>
      <c r="G286" s="387"/>
      <c r="H286" s="387"/>
      <c r="I286" s="387"/>
      <c r="L286" s="392"/>
    </row>
    <row r="287" spans="1:9" ht="12.75">
      <c r="A287" s="386"/>
      <c r="B287" s="386"/>
      <c r="C287" s="386"/>
      <c r="D287" s="386"/>
      <c r="E287" s="387"/>
      <c r="F287" s="387"/>
      <c r="G287" s="387"/>
      <c r="H287" s="387"/>
      <c r="I287" s="387"/>
    </row>
    <row r="288" spans="1:9" ht="12.75">
      <c r="A288" s="387"/>
      <c r="B288" s="387"/>
      <c r="C288" s="387"/>
      <c r="D288" s="387"/>
      <c r="E288" s="387"/>
      <c r="F288" s="387"/>
      <c r="G288" s="387"/>
      <c r="H288" s="387"/>
      <c r="I288" s="387"/>
    </row>
    <row r="289" spans="1:9" ht="12.75">
      <c r="A289" s="387"/>
      <c r="B289" s="387"/>
      <c r="C289" s="387"/>
      <c r="D289" s="387"/>
      <c r="E289" s="387"/>
      <c r="F289" s="387"/>
      <c r="G289" s="387"/>
      <c r="H289" s="387"/>
      <c r="I289" s="387"/>
    </row>
    <row r="290" spans="1:9" ht="12.75">
      <c r="A290" s="387"/>
      <c r="B290" s="387"/>
      <c r="C290" s="387"/>
      <c r="D290" s="387"/>
      <c r="E290" s="387"/>
      <c r="F290" s="387"/>
      <c r="G290" s="387"/>
      <c r="H290" s="387"/>
      <c r="I290" s="387"/>
    </row>
    <row r="291" spans="1:9" ht="13.5">
      <c r="A291" s="387"/>
      <c r="B291" s="387"/>
      <c r="C291" s="387"/>
      <c r="D291" s="387"/>
      <c r="E291" s="387"/>
      <c r="F291" s="387"/>
      <c r="G291" s="387"/>
      <c r="H291" s="387"/>
      <c r="I291" s="388"/>
    </row>
    <row r="292" spans="1:9" ht="13.5">
      <c r="A292" s="387"/>
      <c r="B292" s="387"/>
      <c r="C292" s="387"/>
      <c r="D292" s="387"/>
      <c r="E292" s="387"/>
      <c r="F292" s="387"/>
      <c r="G292" s="387"/>
      <c r="H292" s="387"/>
      <c r="I292" s="388"/>
    </row>
    <row r="293" spans="1:9" ht="12.75">
      <c r="A293" s="387"/>
      <c r="B293" s="387"/>
      <c r="C293" s="387"/>
      <c r="D293" s="387"/>
      <c r="E293" s="387"/>
      <c r="F293" s="387"/>
      <c r="G293" s="387"/>
      <c r="H293" s="387"/>
      <c r="I293" s="387"/>
    </row>
    <row r="294" spans="1:9" ht="12.75">
      <c r="A294" s="387"/>
      <c r="B294" s="387"/>
      <c r="C294" s="387"/>
      <c r="D294" s="387"/>
      <c r="E294" s="387"/>
      <c r="F294" s="387"/>
      <c r="G294" s="387"/>
      <c r="H294" s="387"/>
      <c r="I294" s="387"/>
    </row>
    <row r="295" spans="1:9" ht="12.75">
      <c r="A295" s="387"/>
      <c r="B295" s="387"/>
      <c r="C295" s="387"/>
      <c r="D295" s="387"/>
      <c r="E295" s="387"/>
      <c r="F295" s="387"/>
      <c r="G295" s="387"/>
      <c r="H295" s="387"/>
      <c r="I295" s="387"/>
    </row>
    <row r="296" spans="1:9" ht="12.75">
      <c r="A296" s="387"/>
      <c r="B296" s="387"/>
      <c r="C296" s="387"/>
      <c r="D296" s="387"/>
      <c r="E296" s="387"/>
      <c r="F296" s="387"/>
      <c r="G296" s="387"/>
      <c r="H296" s="387"/>
      <c r="I296" s="387"/>
    </row>
    <row r="297" spans="1:9" ht="12.75">
      <c r="A297" s="387"/>
      <c r="B297" s="387"/>
      <c r="C297" s="387"/>
      <c r="D297" s="387"/>
      <c r="E297" s="387"/>
      <c r="F297" s="387"/>
      <c r="G297" s="387"/>
      <c r="H297" s="387"/>
      <c r="I297" s="387"/>
    </row>
    <row r="298" spans="1:9" ht="12.75">
      <c r="A298" s="387"/>
      <c r="B298" s="387"/>
      <c r="C298" s="387"/>
      <c r="D298" s="387"/>
      <c r="E298" s="387"/>
      <c r="F298" s="387"/>
      <c r="G298" s="387"/>
      <c r="H298" s="387"/>
      <c r="I298" s="387"/>
    </row>
    <row r="299" spans="1:9" ht="12.75">
      <c r="A299" s="387"/>
      <c r="B299" s="387"/>
      <c r="C299" s="387"/>
      <c r="D299" s="387"/>
      <c r="E299" s="387"/>
      <c r="F299" s="387"/>
      <c r="G299" s="387"/>
      <c r="H299" s="387"/>
      <c r="I299" s="387"/>
    </row>
    <row r="300" spans="1:9" ht="12.75">
      <c r="A300" s="387"/>
      <c r="B300" s="387"/>
      <c r="C300" s="387"/>
      <c r="D300" s="387"/>
      <c r="E300" s="387"/>
      <c r="F300" s="387"/>
      <c r="G300" s="387"/>
      <c r="H300" s="387"/>
      <c r="I300" s="387"/>
    </row>
    <row r="301" spans="1:9" ht="12.75">
      <c r="A301" s="387"/>
      <c r="B301" s="387"/>
      <c r="C301" s="387"/>
      <c r="D301" s="387"/>
      <c r="E301" s="387"/>
      <c r="F301" s="387"/>
      <c r="G301" s="387"/>
      <c r="H301" s="387"/>
      <c r="I301" s="387"/>
    </row>
    <row r="302" spans="1:9" ht="12.75">
      <c r="A302" s="387"/>
      <c r="B302" s="387"/>
      <c r="C302" s="387"/>
      <c r="D302" s="387"/>
      <c r="E302" s="387"/>
      <c r="F302" s="387"/>
      <c r="G302" s="387"/>
      <c r="H302" s="387"/>
      <c r="I302" s="387"/>
    </row>
    <row r="303" spans="1:9" ht="12.75">
      <c r="A303" s="387"/>
      <c r="B303" s="387"/>
      <c r="C303" s="387"/>
      <c r="D303" s="387"/>
      <c r="E303" s="387"/>
      <c r="F303" s="387"/>
      <c r="G303" s="387"/>
      <c r="H303" s="387"/>
      <c r="I303" s="387"/>
    </row>
    <row r="304" spans="1:9" ht="12.75">
      <c r="A304" s="387"/>
      <c r="B304" s="387"/>
      <c r="C304" s="387"/>
      <c r="D304" s="387"/>
      <c r="E304" s="387"/>
      <c r="F304" s="387"/>
      <c r="G304" s="387"/>
      <c r="H304" s="387"/>
      <c r="I304" s="387"/>
    </row>
    <row r="305" spans="1:9" ht="12.75">
      <c r="A305" s="387"/>
      <c r="B305" s="387"/>
      <c r="C305" s="387"/>
      <c r="D305" s="387"/>
      <c r="E305" s="387"/>
      <c r="F305" s="387"/>
      <c r="G305" s="387"/>
      <c r="H305" s="387"/>
      <c r="I305" s="387"/>
    </row>
    <row r="306" spans="1:9" ht="12.75">
      <c r="A306" s="387"/>
      <c r="B306" s="387"/>
      <c r="C306" s="387"/>
      <c r="D306" s="387"/>
      <c r="E306" s="387"/>
      <c r="F306" s="387"/>
      <c r="G306" s="387"/>
      <c r="H306" s="387"/>
      <c r="I306" s="387"/>
    </row>
    <row r="307" spans="1:9" ht="12.75">
      <c r="A307" s="387"/>
      <c r="B307" s="387"/>
      <c r="C307" s="387"/>
      <c r="D307" s="387"/>
      <c r="E307" s="387"/>
      <c r="F307" s="387"/>
      <c r="G307" s="387"/>
      <c r="H307" s="387"/>
      <c r="I307" s="387"/>
    </row>
    <row r="308" spans="1:9" ht="12.75">
      <c r="A308" s="387"/>
      <c r="B308" s="387"/>
      <c r="C308" s="387"/>
      <c r="D308" s="387"/>
      <c r="E308" s="387"/>
      <c r="F308" s="387"/>
      <c r="G308" s="387"/>
      <c r="H308" s="387"/>
      <c r="I308" s="387"/>
    </row>
  </sheetData>
  <sheetProtection selectLockedCells="1" selectUnlockedCells="1"/>
  <mergeCells count="11">
    <mergeCell ref="D211:E211"/>
    <mergeCell ref="M1:O1"/>
    <mergeCell ref="F1:F2"/>
    <mergeCell ref="A1:A2"/>
    <mergeCell ref="B1:B2"/>
    <mergeCell ref="C1:C2"/>
    <mergeCell ref="D266:E266"/>
    <mergeCell ref="D1:E2"/>
    <mergeCell ref="G1:I1"/>
    <mergeCell ref="J1:L1"/>
    <mergeCell ref="D254:E254"/>
  </mergeCells>
  <printOptions horizontalCentered="1" verticalCentered="1"/>
  <pageMargins left="0.19652777777777777" right="0.19652777777777777" top="0.7090277777777778" bottom="0.5902777777777778" header="0.39375" footer="0.39375"/>
  <pageSetup horizontalDpi="300" verticalDpi="300" orientation="landscape" paperSize="9" scale="79" r:id="rId1"/>
  <headerFooter alignWithMargins="0">
    <oddHeader>&amp;C&amp;"Times New Roman,Félkövér dőlt"Zalaegerszeg Megyei Jogú Város Önkormányzatának
2014. évi beruházási célú kiadásai feladatonként&amp;R&amp;"Times New Roman,Félkövér dőlt"7. melléklet
Adatok :ezer Ft-ban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27"/>
  <sheetViews>
    <sheetView zoomScalePageLayoutView="0" workbookViewId="0" topLeftCell="A1">
      <pane ySplit="3" topLeftCell="A207" activePane="bottomLeft" state="frozen"/>
      <selection pane="topLeft" activeCell="A1" sqref="A1"/>
      <selection pane="bottomLeft" activeCell="M207" sqref="M207"/>
    </sheetView>
  </sheetViews>
  <sheetFormatPr defaultColWidth="9.00390625" defaultRowHeight="12.75"/>
  <cols>
    <col min="1" max="1" width="5.875" style="407" customWidth="1"/>
    <col min="2" max="2" width="7.375" style="407" customWidth="1"/>
    <col min="3" max="3" width="7.50390625" style="407" customWidth="1"/>
    <col min="4" max="4" width="56.00390625" style="407" customWidth="1"/>
    <col min="5" max="5" width="3.125" style="407" customWidth="1"/>
    <col min="6" max="6" width="5.125" style="407" customWidth="1"/>
    <col min="7" max="7" width="11.375" style="407" customWidth="1"/>
    <col min="8" max="9" width="10.50390625" style="407" customWidth="1"/>
    <col min="10" max="10" width="9.375" style="407" customWidth="1"/>
    <col min="11" max="11" width="12.00390625" style="407" customWidth="1"/>
    <col min="12" max="12" width="10.375" style="407" customWidth="1"/>
    <col min="13" max="13" width="12.875" style="407" customWidth="1"/>
    <col min="14" max="14" width="13.00390625" style="407" customWidth="1"/>
    <col min="15" max="15" width="12.00390625" style="407" customWidth="1"/>
    <col min="16" max="16384" width="9.375" style="407" customWidth="1"/>
  </cols>
  <sheetData>
    <row r="1" spans="1:15" s="399" customFormat="1" ht="45.75" customHeight="1">
      <c r="A1" s="395"/>
      <c r="B1" s="396"/>
      <c r="C1" s="396"/>
      <c r="D1" s="397"/>
      <c r="E1" s="398"/>
      <c r="F1" s="728" t="s">
        <v>642</v>
      </c>
      <c r="G1" s="725" t="s">
        <v>559</v>
      </c>
      <c r="H1" s="726"/>
      <c r="I1" s="727"/>
      <c r="J1" s="720" t="s">
        <v>561</v>
      </c>
      <c r="K1" s="721"/>
      <c r="L1" s="722"/>
      <c r="M1" s="720" t="s">
        <v>641</v>
      </c>
      <c r="N1" s="721"/>
      <c r="O1" s="722"/>
    </row>
    <row r="2" spans="1:15" s="399" customFormat="1" ht="80.25" customHeight="1" thickBot="1">
      <c r="A2" s="400" t="s">
        <v>1144</v>
      </c>
      <c r="B2" s="401" t="s">
        <v>1145</v>
      </c>
      <c r="C2" s="401" t="s">
        <v>1146</v>
      </c>
      <c r="D2" s="402" t="s">
        <v>1147</v>
      </c>
      <c r="E2" s="403"/>
      <c r="F2" s="729"/>
      <c r="G2" s="609" t="s">
        <v>1148</v>
      </c>
      <c r="H2" s="609" t="s">
        <v>643</v>
      </c>
      <c r="I2" s="610" t="s">
        <v>1149</v>
      </c>
      <c r="J2" s="609" t="s">
        <v>1148</v>
      </c>
      <c r="K2" s="609" t="s">
        <v>643</v>
      </c>
      <c r="L2" s="610" t="s">
        <v>1149</v>
      </c>
      <c r="M2" s="609" t="s">
        <v>1148</v>
      </c>
      <c r="N2" s="609" t="s">
        <v>643</v>
      </c>
      <c r="O2" s="611" t="s">
        <v>1149</v>
      </c>
    </row>
    <row r="3" spans="1:15" ht="12.75" customHeight="1">
      <c r="A3" s="404"/>
      <c r="B3" s="404"/>
      <c r="C3" s="404"/>
      <c r="D3" s="405" t="s">
        <v>12</v>
      </c>
      <c r="E3" s="406"/>
      <c r="F3" s="613"/>
      <c r="G3" s="481"/>
      <c r="H3" s="481"/>
      <c r="I3" s="481"/>
      <c r="J3" s="212"/>
      <c r="K3" s="481"/>
      <c r="L3" s="481"/>
      <c r="M3" s="481"/>
      <c r="N3" s="481"/>
      <c r="O3" s="481"/>
    </row>
    <row r="4" spans="1:15" ht="15.75" customHeight="1">
      <c r="A4" s="408" t="s">
        <v>93</v>
      </c>
      <c r="B4" s="408">
        <v>13</v>
      </c>
      <c r="C4" s="408"/>
      <c r="D4" s="215" t="s">
        <v>971</v>
      </c>
      <c r="E4" s="318"/>
      <c r="F4" s="614"/>
      <c r="G4" s="239"/>
      <c r="H4" s="239"/>
      <c r="I4" s="239"/>
      <c r="J4" s="481"/>
      <c r="K4" s="481"/>
      <c r="L4" s="481"/>
      <c r="M4" s="481"/>
      <c r="N4" s="481"/>
      <c r="O4" s="481"/>
    </row>
    <row r="5" spans="1:15" ht="15.75" customHeight="1">
      <c r="A5" s="408"/>
      <c r="B5" s="408"/>
      <c r="C5" s="232" t="s">
        <v>93</v>
      </c>
      <c r="D5" s="409" t="s">
        <v>8</v>
      </c>
      <c r="E5" s="410"/>
      <c r="F5" s="614"/>
      <c r="G5" s="239"/>
      <c r="H5" s="239"/>
      <c r="I5" s="239"/>
      <c r="J5" s="481"/>
      <c r="K5" s="481"/>
      <c r="L5" s="481"/>
      <c r="M5" s="481"/>
      <c r="N5" s="481"/>
      <c r="O5" s="481"/>
    </row>
    <row r="6" spans="1:15" ht="15.75" customHeight="1">
      <c r="A6" s="408"/>
      <c r="B6" s="408"/>
      <c r="C6" s="236" t="s">
        <v>169</v>
      </c>
      <c r="D6" s="411" t="s">
        <v>644</v>
      </c>
      <c r="E6" s="410"/>
      <c r="F6" s="614"/>
      <c r="G6" s="239"/>
      <c r="H6" s="239"/>
      <c r="I6" s="239"/>
      <c r="J6" s="481"/>
      <c r="K6" s="481"/>
      <c r="L6" s="481"/>
      <c r="M6" s="481"/>
      <c r="N6" s="481"/>
      <c r="O6" s="481"/>
    </row>
    <row r="7" spans="1:15" ht="27.75" customHeight="1">
      <c r="A7" s="408"/>
      <c r="B7" s="408"/>
      <c r="C7" s="412" t="s">
        <v>645</v>
      </c>
      <c r="D7" s="237" t="s">
        <v>646</v>
      </c>
      <c r="E7" s="318"/>
      <c r="F7" s="614"/>
      <c r="G7" s="481">
        <v>10090</v>
      </c>
      <c r="H7" s="481">
        <v>0</v>
      </c>
      <c r="I7" s="481">
        <v>10090</v>
      </c>
      <c r="J7" s="481"/>
      <c r="K7" s="481"/>
      <c r="L7" s="481">
        <f>SUM(J7:K7)</f>
        <v>0</v>
      </c>
      <c r="M7" s="481">
        <f>SUM(G7+J7)</f>
        <v>10090</v>
      </c>
      <c r="N7" s="481">
        <f>SUM(H7+K7)</f>
        <v>0</v>
      </c>
      <c r="O7" s="481">
        <f>SUM(M7:N7)</f>
        <v>10090</v>
      </c>
    </row>
    <row r="8" spans="1:15" ht="15" customHeight="1">
      <c r="A8" s="408"/>
      <c r="B8" s="408"/>
      <c r="C8" s="236" t="s">
        <v>647</v>
      </c>
      <c r="D8" s="413" t="s">
        <v>648</v>
      </c>
      <c r="E8" s="318"/>
      <c r="F8" s="594"/>
      <c r="G8" s="481">
        <v>0</v>
      </c>
      <c r="H8" s="481">
        <v>0</v>
      </c>
      <c r="I8" s="481">
        <v>0</v>
      </c>
      <c r="J8" s="481"/>
      <c r="K8" s="481"/>
      <c r="L8" s="481">
        <f aca="true" t="shared" si="0" ref="L8:L81">SUM(J8:K8)</f>
        <v>0</v>
      </c>
      <c r="M8" s="481">
        <f aca="true" t="shared" si="1" ref="M8:M81">SUM(G8+J8)</f>
        <v>0</v>
      </c>
      <c r="N8" s="481">
        <f aca="true" t="shared" si="2" ref="N8:N81">SUM(H8+K8)</f>
        <v>0</v>
      </c>
      <c r="O8" s="481">
        <f aca="true" t="shared" si="3" ref="O8:O81">SUM(M8:N8)</f>
        <v>0</v>
      </c>
    </row>
    <row r="9" spans="1:15" ht="15" customHeight="1">
      <c r="A9" s="408"/>
      <c r="B9" s="408"/>
      <c r="C9" s="236" t="s">
        <v>649</v>
      </c>
      <c r="D9" s="414" t="s">
        <v>650</v>
      </c>
      <c r="E9" s="318"/>
      <c r="F9" s="594"/>
      <c r="G9" s="481">
        <v>2000</v>
      </c>
      <c r="H9" s="481">
        <v>0</v>
      </c>
      <c r="I9" s="481">
        <v>2000</v>
      </c>
      <c r="J9" s="481"/>
      <c r="K9" s="481"/>
      <c r="L9" s="481">
        <f t="shared" si="0"/>
        <v>0</v>
      </c>
      <c r="M9" s="481">
        <f t="shared" si="1"/>
        <v>2000</v>
      </c>
      <c r="N9" s="481">
        <f t="shared" si="2"/>
        <v>0</v>
      </c>
      <c r="O9" s="481">
        <f t="shared" si="3"/>
        <v>2000</v>
      </c>
    </row>
    <row r="10" spans="1:15" ht="15" customHeight="1">
      <c r="A10" s="408"/>
      <c r="B10" s="408"/>
      <c r="C10" s="412" t="s">
        <v>651</v>
      </c>
      <c r="D10" s="415" t="s">
        <v>652</v>
      </c>
      <c r="E10" s="318"/>
      <c r="F10" s="594"/>
      <c r="G10" s="481">
        <v>0</v>
      </c>
      <c r="H10" s="481">
        <v>0</v>
      </c>
      <c r="I10" s="481">
        <v>0</v>
      </c>
      <c r="J10" s="481"/>
      <c r="K10" s="481"/>
      <c r="L10" s="481">
        <f t="shared" si="0"/>
        <v>0</v>
      </c>
      <c r="M10" s="481">
        <f t="shared" si="1"/>
        <v>0</v>
      </c>
      <c r="N10" s="481">
        <f t="shared" si="2"/>
        <v>0</v>
      </c>
      <c r="O10" s="481">
        <f t="shared" si="3"/>
        <v>0</v>
      </c>
    </row>
    <row r="11" spans="1:15" ht="15" customHeight="1">
      <c r="A11" s="408"/>
      <c r="B11" s="408"/>
      <c r="C11" s="236" t="s">
        <v>653</v>
      </c>
      <c r="D11" s="414" t="s">
        <v>105</v>
      </c>
      <c r="E11" s="318"/>
      <c r="F11" s="594"/>
      <c r="G11" s="481">
        <v>16632</v>
      </c>
      <c r="H11" s="481">
        <v>0</v>
      </c>
      <c r="I11" s="481">
        <v>16632</v>
      </c>
      <c r="J11" s="481"/>
      <c r="K11" s="481"/>
      <c r="L11" s="481">
        <f t="shared" si="0"/>
        <v>0</v>
      </c>
      <c r="M11" s="481">
        <f t="shared" si="1"/>
        <v>16632</v>
      </c>
      <c r="N11" s="481">
        <f t="shared" si="2"/>
        <v>0</v>
      </c>
      <c r="O11" s="481">
        <f t="shared" si="3"/>
        <v>16632</v>
      </c>
    </row>
    <row r="12" spans="1:15" ht="15" customHeight="1">
      <c r="A12" s="408"/>
      <c r="B12" s="408"/>
      <c r="C12" s="236" t="s">
        <v>654</v>
      </c>
      <c r="D12" s="414" t="s">
        <v>655</v>
      </c>
      <c r="E12" s="318"/>
      <c r="F12" s="594"/>
      <c r="G12" s="481">
        <v>2000</v>
      </c>
      <c r="H12" s="481">
        <v>0</v>
      </c>
      <c r="I12" s="481">
        <v>2000</v>
      </c>
      <c r="J12" s="481"/>
      <c r="K12" s="481"/>
      <c r="L12" s="481">
        <f t="shared" si="0"/>
        <v>0</v>
      </c>
      <c r="M12" s="481">
        <f t="shared" si="1"/>
        <v>2000</v>
      </c>
      <c r="N12" s="481">
        <f t="shared" si="2"/>
        <v>0</v>
      </c>
      <c r="O12" s="481">
        <f t="shared" si="3"/>
        <v>2000</v>
      </c>
    </row>
    <row r="13" spans="1:15" ht="24.75" customHeight="1">
      <c r="A13" s="408"/>
      <c r="B13" s="408"/>
      <c r="C13" s="412" t="s">
        <v>656</v>
      </c>
      <c r="D13" s="301" t="s">
        <v>704</v>
      </c>
      <c r="E13" s="318"/>
      <c r="F13" s="594"/>
      <c r="G13" s="481">
        <v>2000</v>
      </c>
      <c r="H13" s="481">
        <v>0</v>
      </c>
      <c r="I13" s="481">
        <v>2000</v>
      </c>
      <c r="J13" s="481"/>
      <c r="K13" s="481"/>
      <c r="L13" s="481">
        <f t="shared" si="0"/>
        <v>0</v>
      </c>
      <c r="M13" s="481">
        <f t="shared" si="1"/>
        <v>2000</v>
      </c>
      <c r="N13" s="481">
        <f t="shared" si="2"/>
        <v>0</v>
      </c>
      <c r="O13" s="481">
        <f t="shared" si="3"/>
        <v>2000</v>
      </c>
    </row>
    <row r="14" spans="1:15" ht="15" customHeight="1">
      <c r="A14" s="408"/>
      <c r="B14" s="408"/>
      <c r="C14" s="236" t="s">
        <v>705</v>
      </c>
      <c r="D14" s="301" t="s">
        <v>706</v>
      </c>
      <c r="E14" s="318"/>
      <c r="F14" s="594"/>
      <c r="G14" s="481">
        <v>2000</v>
      </c>
      <c r="H14" s="481">
        <v>0</v>
      </c>
      <c r="I14" s="481">
        <v>2000</v>
      </c>
      <c r="J14" s="481"/>
      <c r="K14" s="481"/>
      <c r="L14" s="481">
        <f t="shared" si="0"/>
        <v>0</v>
      </c>
      <c r="M14" s="481">
        <f t="shared" si="1"/>
        <v>2000</v>
      </c>
      <c r="N14" s="481">
        <f t="shared" si="2"/>
        <v>0</v>
      </c>
      <c r="O14" s="481">
        <f t="shared" si="3"/>
        <v>2000</v>
      </c>
    </row>
    <row r="15" spans="1:15" ht="15" customHeight="1">
      <c r="A15" s="408"/>
      <c r="B15" s="408"/>
      <c r="C15" s="236" t="s">
        <v>707</v>
      </c>
      <c r="D15" s="215" t="s">
        <v>708</v>
      </c>
      <c r="E15" s="318"/>
      <c r="F15" s="594"/>
      <c r="G15" s="481">
        <v>1000</v>
      </c>
      <c r="H15" s="481">
        <v>0</v>
      </c>
      <c r="I15" s="481">
        <v>1000</v>
      </c>
      <c r="J15" s="481"/>
      <c r="K15" s="481"/>
      <c r="L15" s="481">
        <f t="shared" si="0"/>
        <v>0</v>
      </c>
      <c r="M15" s="481">
        <f t="shared" si="1"/>
        <v>1000</v>
      </c>
      <c r="N15" s="481">
        <f t="shared" si="2"/>
        <v>0</v>
      </c>
      <c r="O15" s="481">
        <f t="shared" si="3"/>
        <v>1000</v>
      </c>
    </row>
    <row r="16" spans="1:15" ht="15" customHeight="1">
      <c r="A16" s="408"/>
      <c r="B16" s="408"/>
      <c r="C16" s="236" t="s">
        <v>108</v>
      </c>
      <c r="D16" s="640" t="s">
        <v>103</v>
      </c>
      <c r="E16" s="641"/>
      <c r="F16" s="594"/>
      <c r="G16" s="481">
        <v>5086</v>
      </c>
      <c r="H16" s="481">
        <v>0</v>
      </c>
      <c r="I16" s="481">
        <v>5086</v>
      </c>
      <c r="J16" s="481"/>
      <c r="K16" s="481"/>
      <c r="L16" s="481">
        <f>SUM(J16:K16)</f>
        <v>0</v>
      </c>
      <c r="M16" s="481">
        <f t="shared" si="1"/>
        <v>5086</v>
      </c>
      <c r="N16" s="481">
        <f t="shared" si="2"/>
        <v>0</v>
      </c>
      <c r="O16" s="481">
        <f t="shared" si="3"/>
        <v>5086</v>
      </c>
    </row>
    <row r="17" spans="1:15" ht="15" customHeight="1">
      <c r="A17" s="408"/>
      <c r="B17" s="408"/>
      <c r="C17" s="236" t="s">
        <v>109</v>
      </c>
      <c r="D17" s="640" t="s">
        <v>104</v>
      </c>
      <c r="E17" s="642"/>
      <c r="F17" s="594"/>
      <c r="G17" s="481">
        <v>2100</v>
      </c>
      <c r="H17" s="481">
        <v>0</v>
      </c>
      <c r="I17" s="481">
        <v>2100</v>
      </c>
      <c r="J17" s="481"/>
      <c r="K17" s="481"/>
      <c r="L17" s="481">
        <f>SUM(J17:K17)</f>
        <v>0</v>
      </c>
      <c r="M17" s="481">
        <f t="shared" si="1"/>
        <v>2100</v>
      </c>
      <c r="N17" s="481">
        <f t="shared" si="2"/>
        <v>0</v>
      </c>
      <c r="O17" s="481">
        <f t="shared" si="3"/>
        <v>2100</v>
      </c>
    </row>
    <row r="18" spans="1:15" ht="23.25" customHeight="1">
      <c r="A18" s="408"/>
      <c r="B18" s="408"/>
      <c r="C18" s="236" t="s">
        <v>660</v>
      </c>
      <c r="D18" s="669" t="s">
        <v>661</v>
      </c>
      <c r="E18" s="642"/>
      <c r="F18" s="594"/>
      <c r="G18" s="481">
        <v>0</v>
      </c>
      <c r="H18" s="481">
        <v>1000</v>
      </c>
      <c r="I18" s="481">
        <v>1000</v>
      </c>
      <c r="J18" s="481"/>
      <c r="K18" s="481"/>
      <c r="L18" s="481">
        <f>SUM(J18:K18)</f>
        <v>0</v>
      </c>
      <c r="M18" s="481">
        <f t="shared" si="1"/>
        <v>0</v>
      </c>
      <c r="N18" s="481">
        <f t="shared" si="2"/>
        <v>1000</v>
      </c>
      <c r="O18" s="481">
        <f t="shared" si="3"/>
        <v>1000</v>
      </c>
    </row>
    <row r="19" spans="1:15" ht="15" customHeight="1">
      <c r="A19" s="408"/>
      <c r="B19" s="408"/>
      <c r="C19" s="234" t="s">
        <v>300</v>
      </c>
      <c r="D19" s="235" t="s">
        <v>301</v>
      </c>
      <c r="E19" s="642"/>
      <c r="F19" s="614"/>
      <c r="G19" s="481"/>
      <c r="H19" s="481"/>
      <c r="I19" s="481"/>
      <c r="J19" s="481"/>
      <c r="K19" s="481"/>
      <c r="L19" s="481"/>
      <c r="M19" s="481"/>
      <c r="N19" s="481"/>
      <c r="O19" s="481"/>
    </row>
    <row r="20" spans="1:15" ht="15" customHeight="1">
      <c r="A20" s="408"/>
      <c r="B20" s="408"/>
      <c r="C20" s="236" t="s">
        <v>709</v>
      </c>
      <c r="D20" s="418" t="s">
        <v>710</v>
      </c>
      <c r="E20" s="643"/>
      <c r="F20" s="594"/>
      <c r="G20" s="481">
        <v>0</v>
      </c>
      <c r="H20" s="481">
        <v>0</v>
      </c>
      <c r="I20" s="481">
        <v>0</v>
      </c>
      <c r="J20" s="481"/>
      <c r="K20" s="481"/>
      <c r="L20" s="481">
        <f t="shared" si="0"/>
        <v>0</v>
      </c>
      <c r="M20" s="481">
        <f t="shared" si="1"/>
        <v>0</v>
      </c>
      <c r="N20" s="481">
        <f t="shared" si="2"/>
        <v>0</v>
      </c>
      <c r="O20" s="481">
        <f t="shared" si="3"/>
        <v>0</v>
      </c>
    </row>
    <row r="21" spans="1:15" ht="15" customHeight="1">
      <c r="A21" s="408"/>
      <c r="B21" s="408"/>
      <c r="C21" s="236" t="s">
        <v>711</v>
      </c>
      <c r="D21" s="419" t="s">
        <v>712</v>
      </c>
      <c r="E21" s="445"/>
      <c r="F21" s="594"/>
      <c r="G21" s="481">
        <v>2270</v>
      </c>
      <c r="H21" s="481">
        <v>0</v>
      </c>
      <c r="I21" s="481">
        <v>2270</v>
      </c>
      <c r="J21" s="481"/>
      <c r="K21" s="481"/>
      <c r="L21" s="481">
        <f t="shared" si="0"/>
        <v>0</v>
      </c>
      <c r="M21" s="481">
        <f t="shared" si="1"/>
        <v>2270</v>
      </c>
      <c r="N21" s="481">
        <f t="shared" si="2"/>
        <v>0</v>
      </c>
      <c r="O21" s="481">
        <f t="shared" si="3"/>
        <v>2270</v>
      </c>
    </row>
    <row r="22" spans="1:15" ht="24.75" customHeight="1">
      <c r="A22" s="408"/>
      <c r="B22" s="408"/>
      <c r="C22" s="236" t="s">
        <v>713</v>
      </c>
      <c r="D22" s="420" t="s">
        <v>1003</v>
      </c>
      <c r="E22" s="445"/>
      <c r="F22" s="594"/>
      <c r="G22" s="481">
        <v>16821</v>
      </c>
      <c r="H22" s="481">
        <v>0</v>
      </c>
      <c r="I22" s="481">
        <v>16821</v>
      </c>
      <c r="J22" s="481"/>
      <c r="K22" s="481"/>
      <c r="L22" s="481">
        <f t="shared" si="0"/>
        <v>0</v>
      </c>
      <c r="M22" s="481">
        <f t="shared" si="1"/>
        <v>16821</v>
      </c>
      <c r="N22" s="481">
        <f t="shared" si="2"/>
        <v>0</v>
      </c>
      <c r="O22" s="481">
        <f t="shared" si="3"/>
        <v>16821</v>
      </c>
    </row>
    <row r="23" spans="1:15" ht="15" customHeight="1">
      <c r="A23" s="408"/>
      <c r="B23" s="408"/>
      <c r="C23" s="236" t="s">
        <v>714</v>
      </c>
      <c r="D23" s="420" t="s">
        <v>715</v>
      </c>
      <c r="E23" s="445"/>
      <c r="F23" s="594"/>
      <c r="G23" s="481">
        <v>0</v>
      </c>
      <c r="H23" s="481">
        <v>1000</v>
      </c>
      <c r="I23" s="481">
        <v>1000</v>
      </c>
      <c r="J23" s="481"/>
      <c r="K23" s="481"/>
      <c r="L23" s="481">
        <f t="shared" si="0"/>
        <v>0</v>
      </c>
      <c r="M23" s="481">
        <f t="shared" si="1"/>
        <v>0</v>
      </c>
      <c r="N23" s="481">
        <f t="shared" si="2"/>
        <v>1000</v>
      </c>
      <c r="O23" s="481">
        <f t="shared" si="3"/>
        <v>1000</v>
      </c>
    </row>
    <row r="24" spans="1:15" ht="15" customHeight="1">
      <c r="A24" s="408"/>
      <c r="B24" s="408"/>
      <c r="C24" s="236" t="s">
        <v>716</v>
      </c>
      <c r="D24" s="420" t="s">
        <v>717</v>
      </c>
      <c r="E24" s="445"/>
      <c r="F24" s="594"/>
      <c r="G24" s="481">
        <v>1064</v>
      </c>
      <c r="H24" s="481">
        <v>0</v>
      </c>
      <c r="I24" s="481">
        <v>1064</v>
      </c>
      <c r="J24" s="481"/>
      <c r="K24" s="481"/>
      <c r="L24" s="481">
        <f t="shared" si="0"/>
        <v>0</v>
      </c>
      <c r="M24" s="481">
        <f t="shared" si="1"/>
        <v>1064</v>
      </c>
      <c r="N24" s="481">
        <f t="shared" si="2"/>
        <v>0</v>
      </c>
      <c r="O24" s="481">
        <f t="shared" si="3"/>
        <v>1064</v>
      </c>
    </row>
    <row r="25" spans="1:15" ht="15" customHeight="1">
      <c r="A25" s="408"/>
      <c r="B25" s="408"/>
      <c r="C25" s="236" t="s">
        <v>718</v>
      </c>
      <c r="D25" s="420" t="s">
        <v>719</v>
      </c>
      <c r="E25" s="445"/>
      <c r="F25" s="594"/>
      <c r="G25" s="481">
        <v>0</v>
      </c>
      <c r="H25" s="481">
        <v>1000</v>
      </c>
      <c r="I25" s="481">
        <v>1000</v>
      </c>
      <c r="J25" s="481"/>
      <c r="K25" s="481"/>
      <c r="L25" s="481">
        <f t="shared" si="0"/>
        <v>0</v>
      </c>
      <c r="M25" s="481">
        <f t="shared" si="1"/>
        <v>0</v>
      </c>
      <c r="N25" s="481">
        <f t="shared" si="2"/>
        <v>1000</v>
      </c>
      <c r="O25" s="481">
        <f t="shared" si="3"/>
        <v>1000</v>
      </c>
    </row>
    <row r="26" spans="1:15" ht="15" customHeight="1">
      <c r="A26" s="408"/>
      <c r="B26" s="408"/>
      <c r="C26" s="236" t="s">
        <v>110</v>
      </c>
      <c r="D26" s="296" t="s">
        <v>720</v>
      </c>
      <c r="E26" s="582"/>
      <c r="F26" s="597"/>
      <c r="G26" s="481">
        <v>5296</v>
      </c>
      <c r="H26" s="481">
        <v>0</v>
      </c>
      <c r="I26" s="481">
        <v>5296</v>
      </c>
      <c r="J26" s="481"/>
      <c r="K26" s="481"/>
      <c r="L26" s="481">
        <f t="shared" si="0"/>
        <v>0</v>
      </c>
      <c r="M26" s="481">
        <f t="shared" si="1"/>
        <v>5296</v>
      </c>
      <c r="N26" s="481">
        <f t="shared" si="2"/>
        <v>0</v>
      </c>
      <c r="O26" s="481">
        <f t="shared" si="3"/>
        <v>5296</v>
      </c>
    </row>
    <row r="27" spans="1:15" ht="15" customHeight="1">
      <c r="A27" s="408"/>
      <c r="B27" s="408"/>
      <c r="C27" s="236" t="s">
        <v>111</v>
      </c>
      <c r="D27" s="640" t="s">
        <v>106</v>
      </c>
      <c r="E27" s="644"/>
      <c r="F27" s="597"/>
      <c r="G27" s="481">
        <v>8084</v>
      </c>
      <c r="H27" s="481">
        <v>0</v>
      </c>
      <c r="I27" s="481">
        <v>8084</v>
      </c>
      <c r="J27" s="481"/>
      <c r="K27" s="481"/>
      <c r="L27" s="481">
        <f t="shared" si="0"/>
        <v>0</v>
      </c>
      <c r="M27" s="481">
        <f t="shared" si="1"/>
        <v>8084</v>
      </c>
      <c r="N27" s="481">
        <f t="shared" si="2"/>
        <v>0</v>
      </c>
      <c r="O27" s="481">
        <f t="shared" si="3"/>
        <v>8084</v>
      </c>
    </row>
    <row r="28" spans="1:15" ht="15" customHeight="1">
      <c r="A28" s="408"/>
      <c r="B28" s="408"/>
      <c r="C28" s="236" t="s">
        <v>112</v>
      </c>
      <c r="D28" s="640" t="s">
        <v>107</v>
      </c>
      <c r="E28" s="645"/>
      <c r="F28" s="597" t="s">
        <v>257</v>
      </c>
      <c r="G28" s="481">
        <v>3595</v>
      </c>
      <c r="H28" s="481">
        <v>0</v>
      </c>
      <c r="I28" s="481">
        <v>3595</v>
      </c>
      <c r="J28" s="481">
        <v>1522</v>
      </c>
      <c r="K28" s="481"/>
      <c r="L28" s="481">
        <f t="shared" si="0"/>
        <v>1522</v>
      </c>
      <c r="M28" s="481">
        <f t="shared" si="1"/>
        <v>5117</v>
      </c>
      <c r="N28" s="481">
        <f t="shared" si="2"/>
        <v>0</v>
      </c>
      <c r="O28" s="481">
        <f t="shared" si="3"/>
        <v>5117</v>
      </c>
    </row>
    <row r="29" spans="1:15" ht="15" customHeight="1">
      <c r="A29" s="408"/>
      <c r="B29" s="408"/>
      <c r="C29" s="236" t="s">
        <v>420</v>
      </c>
      <c r="D29" s="651" t="s">
        <v>421</v>
      </c>
      <c r="E29" s="585"/>
      <c r="F29" s="597"/>
      <c r="G29" s="481">
        <v>0</v>
      </c>
      <c r="H29" s="481">
        <v>1367</v>
      </c>
      <c r="I29" s="481">
        <v>1367</v>
      </c>
      <c r="J29" s="481"/>
      <c r="K29" s="481"/>
      <c r="L29" s="481">
        <f t="shared" si="0"/>
        <v>0</v>
      </c>
      <c r="M29" s="481">
        <f t="shared" si="1"/>
        <v>0</v>
      </c>
      <c r="N29" s="481">
        <f t="shared" si="2"/>
        <v>1367</v>
      </c>
      <c r="O29" s="481">
        <f t="shared" si="3"/>
        <v>1367</v>
      </c>
    </row>
    <row r="30" spans="1:15" ht="18" customHeight="1">
      <c r="A30" s="408"/>
      <c r="B30" s="408"/>
      <c r="C30" s="234" t="s">
        <v>171</v>
      </c>
      <c r="D30" s="414" t="s">
        <v>858</v>
      </c>
      <c r="E30" s="417"/>
      <c r="F30" s="614"/>
      <c r="G30" s="481"/>
      <c r="H30" s="481"/>
      <c r="I30" s="481"/>
      <c r="J30" s="481"/>
      <c r="K30" s="481"/>
      <c r="L30" s="481"/>
      <c r="M30" s="481"/>
      <c r="N30" s="481"/>
      <c r="O30" s="481"/>
    </row>
    <row r="31" spans="1:15" ht="24.75" customHeight="1">
      <c r="A31" s="408"/>
      <c r="B31" s="408"/>
      <c r="C31" s="236" t="s">
        <v>721</v>
      </c>
      <c r="D31" s="237" t="s">
        <v>722</v>
      </c>
      <c r="E31" s="318"/>
      <c r="F31" s="594"/>
      <c r="G31" s="481">
        <v>4209</v>
      </c>
      <c r="H31" s="481">
        <v>0</v>
      </c>
      <c r="I31" s="481">
        <v>4209</v>
      </c>
      <c r="J31" s="481"/>
      <c r="K31" s="481"/>
      <c r="L31" s="481">
        <f t="shared" si="0"/>
        <v>0</v>
      </c>
      <c r="M31" s="481">
        <f t="shared" si="1"/>
        <v>4209</v>
      </c>
      <c r="N31" s="481">
        <f t="shared" si="2"/>
        <v>0</v>
      </c>
      <c r="O31" s="481">
        <f t="shared" si="3"/>
        <v>4209</v>
      </c>
    </row>
    <row r="32" spans="1:15" ht="15.75" customHeight="1">
      <c r="A32" s="408"/>
      <c r="B32" s="408"/>
      <c r="C32" s="236" t="s">
        <v>723</v>
      </c>
      <c r="D32" s="420" t="s">
        <v>724</v>
      </c>
      <c r="E32" s="318"/>
      <c r="F32" s="594"/>
      <c r="G32" s="481">
        <v>30962</v>
      </c>
      <c r="H32" s="481">
        <v>200</v>
      </c>
      <c r="I32" s="481">
        <v>31162</v>
      </c>
      <c r="J32" s="481"/>
      <c r="K32" s="481"/>
      <c r="L32" s="481">
        <f t="shared" si="0"/>
        <v>0</v>
      </c>
      <c r="M32" s="481">
        <f t="shared" si="1"/>
        <v>30962</v>
      </c>
      <c r="N32" s="481">
        <f t="shared" si="2"/>
        <v>200</v>
      </c>
      <c r="O32" s="481">
        <f t="shared" si="3"/>
        <v>31162</v>
      </c>
    </row>
    <row r="33" spans="1:15" ht="15.75" customHeight="1">
      <c r="A33" s="408"/>
      <c r="B33" s="408"/>
      <c r="C33" s="236" t="s">
        <v>662</v>
      </c>
      <c r="D33" s="670" t="s">
        <v>663</v>
      </c>
      <c r="E33" s="318"/>
      <c r="F33" s="594"/>
      <c r="G33" s="481">
        <v>456</v>
      </c>
      <c r="H33" s="481"/>
      <c r="I33" s="481">
        <v>456</v>
      </c>
      <c r="J33" s="481"/>
      <c r="K33" s="481"/>
      <c r="L33" s="481">
        <f t="shared" si="0"/>
        <v>0</v>
      </c>
      <c r="M33" s="481">
        <f t="shared" si="1"/>
        <v>456</v>
      </c>
      <c r="N33" s="481"/>
      <c r="O33" s="481">
        <f t="shared" si="3"/>
        <v>456</v>
      </c>
    </row>
    <row r="34" spans="1:15" ht="15.75" customHeight="1">
      <c r="A34" s="408"/>
      <c r="B34" s="408"/>
      <c r="C34" s="236" t="s">
        <v>304</v>
      </c>
      <c r="D34" s="422" t="s">
        <v>9</v>
      </c>
      <c r="E34" s="318"/>
      <c r="F34" s="594"/>
      <c r="G34" s="481"/>
      <c r="H34" s="481"/>
      <c r="I34" s="481"/>
      <c r="J34" s="481"/>
      <c r="K34" s="481"/>
      <c r="L34" s="481"/>
      <c r="M34" s="481"/>
      <c r="N34" s="481"/>
      <c r="O34" s="481"/>
    </row>
    <row r="35" spans="1:15" ht="24.75" customHeight="1">
      <c r="A35" s="408"/>
      <c r="B35" s="408"/>
      <c r="C35" s="412" t="s">
        <v>725</v>
      </c>
      <c r="D35" s="315" t="s">
        <v>726</v>
      </c>
      <c r="E35" s="318"/>
      <c r="F35" s="594"/>
      <c r="G35" s="481">
        <v>31436</v>
      </c>
      <c r="H35" s="481">
        <v>0</v>
      </c>
      <c r="I35" s="481">
        <v>31436</v>
      </c>
      <c r="J35" s="481"/>
      <c r="K35" s="481"/>
      <c r="L35" s="481">
        <f t="shared" si="0"/>
        <v>0</v>
      </c>
      <c r="M35" s="481">
        <f t="shared" si="1"/>
        <v>31436</v>
      </c>
      <c r="N35" s="481">
        <f t="shared" si="2"/>
        <v>0</v>
      </c>
      <c r="O35" s="481">
        <f t="shared" si="3"/>
        <v>31436</v>
      </c>
    </row>
    <row r="36" spans="1:15" ht="16.5" customHeight="1">
      <c r="A36" s="408"/>
      <c r="B36" s="408"/>
      <c r="C36" s="412" t="s">
        <v>727</v>
      </c>
      <c r="D36" s="414" t="s">
        <v>729</v>
      </c>
      <c r="E36" s="318"/>
      <c r="F36" s="594"/>
      <c r="G36" s="481">
        <v>0</v>
      </c>
      <c r="H36" s="481">
        <v>2500</v>
      </c>
      <c r="I36" s="481">
        <v>2500</v>
      </c>
      <c r="J36" s="481"/>
      <c r="K36" s="481"/>
      <c r="L36" s="481">
        <f t="shared" si="0"/>
        <v>0</v>
      </c>
      <c r="M36" s="481">
        <f t="shared" si="1"/>
        <v>0</v>
      </c>
      <c r="N36" s="481">
        <f t="shared" si="2"/>
        <v>2500</v>
      </c>
      <c r="O36" s="481">
        <f t="shared" si="3"/>
        <v>2500</v>
      </c>
    </row>
    <row r="37" spans="1:15" ht="18.75" customHeight="1">
      <c r="A37" s="408"/>
      <c r="B37" s="408"/>
      <c r="C37" s="423" t="s">
        <v>174</v>
      </c>
      <c r="D37" s="723" t="s">
        <v>7</v>
      </c>
      <c r="E37" s="724"/>
      <c r="F37" s="615"/>
      <c r="G37" s="481"/>
      <c r="H37" s="481"/>
      <c r="I37" s="481"/>
      <c r="J37" s="481"/>
      <c r="K37" s="481"/>
      <c r="L37" s="481"/>
      <c r="M37" s="481"/>
      <c r="N37" s="481"/>
      <c r="O37" s="481"/>
    </row>
    <row r="38" spans="1:15" ht="15" customHeight="1">
      <c r="A38" s="408"/>
      <c r="B38" s="408"/>
      <c r="C38" s="412" t="s">
        <v>730</v>
      </c>
      <c r="D38" s="424" t="s">
        <v>859</v>
      </c>
      <c r="E38" s="425"/>
      <c r="F38" s="615"/>
      <c r="G38" s="481"/>
      <c r="H38" s="481"/>
      <c r="I38" s="481"/>
      <c r="J38" s="481"/>
      <c r="K38" s="481"/>
      <c r="L38" s="481"/>
      <c r="M38" s="481"/>
      <c r="N38" s="481"/>
      <c r="O38" s="481"/>
    </row>
    <row r="39" spans="1:15" ht="16.5" customHeight="1">
      <c r="A39" s="408"/>
      <c r="B39" s="408"/>
      <c r="C39" s="412" t="s">
        <v>731</v>
      </c>
      <c r="D39" s="215" t="s">
        <v>732</v>
      </c>
      <c r="E39" s="318"/>
      <c r="F39" s="594"/>
      <c r="G39" s="481">
        <v>8142</v>
      </c>
      <c r="H39" s="481">
        <v>0</v>
      </c>
      <c r="I39" s="481">
        <v>8142</v>
      </c>
      <c r="J39" s="481"/>
      <c r="K39" s="481"/>
      <c r="L39" s="481">
        <f t="shared" si="0"/>
        <v>0</v>
      </c>
      <c r="M39" s="481">
        <f t="shared" si="1"/>
        <v>8142</v>
      </c>
      <c r="N39" s="481">
        <f t="shared" si="2"/>
        <v>0</v>
      </c>
      <c r="O39" s="481">
        <f t="shared" si="3"/>
        <v>8142</v>
      </c>
    </row>
    <row r="40" spans="1:15" ht="16.5" customHeight="1">
      <c r="A40" s="408"/>
      <c r="B40" s="408"/>
      <c r="C40" s="412" t="s">
        <v>422</v>
      </c>
      <c r="D40" s="652" t="s">
        <v>423</v>
      </c>
      <c r="E40" s="318"/>
      <c r="F40" s="594"/>
      <c r="G40" s="481">
        <v>2002</v>
      </c>
      <c r="H40" s="481"/>
      <c r="I40" s="481">
        <v>2002</v>
      </c>
      <c r="J40" s="481"/>
      <c r="K40" s="481"/>
      <c r="L40" s="481">
        <f t="shared" si="0"/>
        <v>0</v>
      </c>
      <c r="M40" s="481">
        <f t="shared" si="1"/>
        <v>2002</v>
      </c>
      <c r="N40" s="481"/>
      <c r="O40" s="481">
        <f t="shared" si="3"/>
        <v>2002</v>
      </c>
    </row>
    <row r="41" spans="1:15" ht="16.5" customHeight="1">
      <c r="A41" s="408"/>
      <c r="B41" s="408"/>
      <c r="C41" s="412" t="s">
        <v>733</v>
      </c>
      <c r="D41" s="426" t="s">
        <v>860</v>
      </c>
      <c r="E41" s="318"/>
      <c r="F41" s="594"/>
      <c r="G41" s="481"/>
      <c r="H41" s="481"/>
      <c r="I41" s="481"/>
      <c r="J41" s="481"/>
      <c r="K41" s="481"/>
      <c r="L41" s="481"/>
      <c r="M41" s="481"/>
      <c r="N41" s="481"/>
      <c r="O41" s="481"/>
    </row>
    <row r="42" spans="1:15" ht="15.75" customHeight="1">
      <c r="A42" s="408"/>
      <c r="B42" s="408"/>
      <c r="C42" s="412" t="s">
        <v>734</v>
      </c>
      <c r="D42" s="215" t="s">
        <v>735</v>
      </c>
      <c r="E42" s="318"/>
      <c r="F42" s="594"/>
      <c r="G42" s="481">
        <v>0</v>
      </c>
      <c r="H42" s="481">
        <v>15000</v>
      </c>
      <c r="I42" s="481">
        <v>15000</v>
      </c>
      <c r="J42" s="481"/>
      <c r="K42" s="481"/>
      <c r="L42" s="481">
        <f t="shared" si="0"/>
        <v>0</v>
      </c>
      <c r="M42" s="481">
        <f t="shared" si="1"/>
        <v>0</v>
      </c>
      <c r="N42" s="481">
        <f t="shared" si="2"/>
        <v>15000</v>
      </c>
      <c r="O42" s="481">
        <f t="shared" si="3"/>
        <v>15000</v>
      </c>
    </row>
    <row r="43" spans="1:15" ht="15.75" customHeight="1">
      <c r="A43" s="408"/>
      <c r="B43" s="408"/>
      <c r="C43" s="412" t="s">
        <v>736</v>
      </c>
      <c r="D43" s="427" t="s">
        <v>737</v>
      </c>
      <c r="E43" s="318"/>
      <c r="F43" s="594"/>
      <c r="G43" s="481">
        <v>0</v>
      </c>
      <c r="H43" s="481">
        <v>0</v>
      </c>
      <c r="I43" s="481">
        <v>0</v>
      </c>
      <c r="J43" s="481"/>
      <c r="K43" s="481"/>
      <c r="L43" s="481">
        <f t="shared" si="0"/>
        <v>0</v>
      </c>
      <c r="M43" s="481">
        <f t="shared" si="1"/>
        <v>0</v>
      </c>
      <c r="N43" s="481">
        <f t="shared" si="2"/>
        <v>0</v>
      </c>
      <c r="O43" s="481">
        <f t="shared" si="3"/>
        <v>0</v>
      </c>
    </row>
    <row r="44" spans="1:15" ht="29.25" customHeight="1">
      <c r="A44" s="408"/>
      <c r="B44" s="408"/>
      <c r="C44" s="412" t="s">
        <v>738</v>
      </c>
      <c r="D44" s="416" t="s">
        <v>739</v>
      </c>
      <c r="E44" s="318"/>
      <c r="F44" s="594"/>
      <c r="G44" s="481">
        <v>0</v>
      </c>
      <c r="H44" s="481">
        <v>0</v>
      </c>
      <c r="I44" s="481">
        <v>0</v>
      </c>
      <c r="J44" s="481"/>
      <c r="K44" s="481"/>
      <c r="L44" s="481">
        <f t="shared" si="0"/>
        <v>0</v>
      </c>
      <c r="M44" s="481">
        <f t="shared" si="1"/>
        <v>0</v>
      </c>
      <c r="N44" s="481">
        <f t="shared" si="2"/>
        <v>0</v>
      </c>
      <c r="O44" s="481">
        <f t="shared" si="3"/>
        <v>0</v>
      </c>
    </row>
    <row r="45" spans="1:15" ht="24.75" customHeight="1">
      <c r="A45" s="408"/>
      <c r="B45" s="408"/>
      <c r="C45" s="412" t="s">
        <v>740</v>
      </c>
      <c r="D45" s="416" t="s">
        <v>741</v>
      </c>
      <c r="E45" s="318"/>
      <c r="F45" s="594"/>
      <c r="G45" s="481">
        <v>0</v>
      </c>
      <c r="H45" s="481">
        <v>0</v>
      </c>
      <c r="I45" s="481">
        <v>0</v>
      </c>
      <c r="J45" s="481"/>
      <c r="K45" s="481"/>
      <c r="L45" s="481">
        <f t="shared" si="0"/>
        <v>0</v>
      </c>
      <c r="M45" s="481">
        <f t="shared" si="1"/>
        <v>0</v>
      </c>
      <c r="N45" s="481">
        <f t="shared" si="2"/>
        <v>0</v>
      </c>
      <c r="O45" s="481">
        <f t="shared" si="3"/>
        <v>0</v>
      </c>
    </row>
    <row r="46" spans="1:15" ht="14.25" customHeight="1">
      <c r="A46" s="408"/>
      <c r="B46" s="408"/>
      <c r="C46" s="423" t="s">
        <v>742</v>
      </c>
      <c r="D46" s="413" t="s">
        <v>861</v>
      </c>
      <c r="E46" s="318"/>
      <c r="F46" s="594"/>
      <c r="G46" s="481"/>
      <c r="H46" s="481"/>
      <c r="I46" s="481"/>
      <c r="J46" s="481"/>
      <c r="K46" s="481"/>
      <c r="L46" s="481"/>
      <c r="M46" s="481"/>
      <c r="N46" s="481"/>
      <c r="O46" s="481"/>
    </row>
    <row r="47" spans="1:15" ht="14.25" customHeight="1">
      <c r="A47" s="408"/>
      <c r="B47" s="408"/>
      <c r="C47" s="412" t="s">
        <v>743</v>
      </c>
      <c r="D47" s="414" t="s">
        <v>744</v>
      </c>
      <c r="E47" s="318"/>
      <c r="F47" s="594"/>
      <c r="G47" s="481">
        <v>5000</v>
      </c>
      <c r="H47" s="481">
        <v>0</v>
      </c>
      <c r="I47" s="481">
        <v>5000</v>
      </c>
      <c r="J47" s="481"/>
      <c r="K47" s="481"/>
      <c r="L47" s="481">
        <f t="shared" si="0"/>
        <v>0</v>
      </c>
      <c r="M47" s="481">
        <f t="shared" si="1"/>
        <v>5000</v>
      </c>
      <c r="N47" s="481">
        <f t="shared" si="2"/>
        <v>0</v>
      </c>
      <c r="O47" s="481">
        <f t="shared" si="3"/>
        <v>5000</v>
      </c>
    </row>
    <row r="48" spans="1:15" ht="14.25" customHeight="1">
      <c r="A48" s="408"/>
      <c r="B48" s="408"/>
      <c r="C48" s="236" t="s">
        <v>745</v>
      </c>
      <c r="D48" s="426" t="s">
        <v>318</v>
      </c>
      <c r="E48" s="417"/>
      <c r="F48" s="594"/>
      <c r="G48" s="481">
        <v>0</v>
      </c>
      <c r="H48" s="481">
        <v>0</v>
      </c>
      <c r="I48" s="481">
        <v>0</v>
      </c>
      <c r="J48" s="481"/>
      <c r="K48" s="481"/>
      <c r="L48" s="481">
        <f t="shared" si="0"/>
        <v>0</v>
      </c>
      <c r="M48" s="481">
        <f t="shared" si="1"/>
        <v>0</v>
      </c>
      <c r="N48" s="481">
        <f t="shared" si="2"/>
        <v>0</v>
      </c>
      <c r="O48" s="481">
        <f t="shared" si="3"/>
        <v>0</v>
      </c>
    </row>
    <row r="49" spans="1:15" ht="21" customHeight="1">
      <c r="A49" s="408"/>
      <c r="B49" s="408"/>
      <c r="C49" s="408" t="s">
        <v>319</v>
      </c>
      <c r="D49" s="428" t="s">
        <v>746</v>
      </c>
      <c r="E49" s="429"/>
      <c r="F49" s="616"/>
      <c r="G49" s="481">
        <v>0</v>
      </c>
      <c r="H49" s="481">
        <v>21000</v>
      </c>
      <c r="I49" s="481">
        <v>21000</v>
      </c>
      <c r="J49" s="481"/>
      <c r="K49" s="481"/>
      <c r="L49" s="481">
        <f t="shared" si="0"/>
        <v>0</v>
      </c>
      <c r="M49" s="481">
        <f t="shared" si="1"/>
        <v>0</v>
      </c>
      <c r="N49" s="481">
        <f t="shared" si="2"/>
        <v>21000</v>
      </c>
      <c r="O49" s="481">
        <f t="shared" si="3"/>
        <v>21000</v>
      </c>
    </row>
    <row r="50" spans="1:15" ht="15" customHeight="1">
      <c r="A50" s="408"/>
      <c r="B50" s="408"/>
      <c r="C50" s="408" t="s">
        <v>321</v>
      </c>
      <c r="D50" s="428" t="s">
        <v>747</v>
      </c>
      <c r="E50" s="430"/>
      <c r="F50" s="617"/>
      <c r="G50" s="481">
        <v>1072</v>
      </c>
      <c r="H50" s="481">
        <v>0</v>
      </c>
      <c r="I50" s="481">
        <v>1072</v>
      </c>
      <c r="J50" s="481"/>
      <c r="K50" s="481"/>
      <c r="L50" s="481">
        <f t="shared" si="0"/>
        <v>0</v>
      </c>
      <c r="M50" s="481">
        <f t="shared" si="1"/>
        <v>1072</v>
      </c>
      <c r="N50" s="481">
        <f t="shared" si="2"/>
        <v>0</v>
      </c>
      <c r="O50" s="481">
        <f t="shared" si="3"/>
        <v>1072</v>
      </c>
    </row>
    <row r="51" spans="1:15" ht="15" customHeight="1">
      <c r="A51" s="408"/>
      <c r="B51" s="408"/>
      <c r="C51" s="408" t="s">
        <v>322</v>
      </c>
      <c r="D51" s="431" t="s">
        <v>748</v>
      </c>
      <c r="E51" s="430"/>
      <c r="F51" s="618"/>
      <c r="G51" s="481">
        <v>38246</v>
      </c>
      <c r="H51" s="481">
        <v>0</v>
      </c>
      <c r="I51" s="481">
        <v>38246</v>
      </c>
      <c r="J51" s="481"/>
      <c r="K51" s="481"/>
      <c r="L51" s="481">
        <f t="shared" si="0"/>
        <v>0</v>
      </c>
      <c r="M51" s="481">
        <f t="shared" si="1"/>
        <v>38246</v>
      </c>
      <c r="N51" s="481">
        <f t="shared" si="2"/>
        <v>0</v>
      </c>
      <c r="O51" s="481">
        <f t="shared" si="3"/>
        <v>38246</v>
      </c>
    </row>
    <row r="52" spans="1:15" ht="13.5" customHeight="1">
      <c r="A52" s="432"/>
      <c r="B52" s="432"/>
      <c r="C52" s="432"/>
      <c r="D52" s="433" t="s">
        <v>974</v>
      </c>
      <c r="E52" s="434"/>
      <c r="F52" s="619"/>
      <c r="G52" s="435">
        <f aca="true" t="shared" si="4" ref="G52:O52">SUM(G7:G51)</f>
        <v>201563</v>
      </c>
      <c r="H52" s="435">
        <f t="shared" si="4"/>
        <v>43067</v>
      </c>
      <c r="I52" s="435">
        <f t="shared" si="4"/>
        <v>244630</v>
      </c>
      <c r="J52" s="435">
        <f t="shared" si="4"/>
        <v>1522</v>
      </c>
      <c r="K52" s="435">
        <f t="shared" si="4"/>
        <v>0</v>
      </c>
      <c r="L52" s="435">
        <f t="shared" si="4"/>
        <v>1522</v>
      </c>
      <c r="M52" s="435">
        <f t="shared" si="4"/>
        <v>203085</v>
      </c>
      <c r="N52" s="435">
        <f t="shared" si="4"/>
        <v>43067</v>
      </c>
      <c r="O52" s="435">
        <f t="shared" si="4"/>
        <v>246152</v>
      </c>
    </row>
    <row r="53" spans="1:15" ht="12.75" customHeight="1">
      <c r="A53" s="436">
        <v>1</v>
      </c>
      <c r="B53" s="436">
        <v>15</v>
      </c>
      <c r="C53" s="436"/>
      <c r="D53" s="264" t="s">
        <v>244</v>
      </c>
      <c r="E53" s="318"/>
      <c r="F53" s="594"/>
      <c r="G53" s="481"/>
      <c r="H53" s="481"/>
      <c r="I53" s="239"/>
      <c r="J53" s="481"/>
      <c r="K53" s="481"/>
      <c r="L53" s="481"/>
      <c r="M53" s="481"/>
      <c r="N53" s="481"/>
      <c r="O53" s="481"/>
    </row>
    <row r="54" spans="1:15" ht="12.75" customHeight="1">
      <c r="A54" s="436"/>
      <c r="B54" s="436"/>
      <c r="C54" s="437">
        <v>1</v>
      </c>
      <c r="D54" s="405" t="s">
        <v>36</v>
      </c>
      <c r="E54" s="318"/>
      <c r="F54" s="594"/>
      <c r="G54" s="481"/>
      <c r="H54" s="481"/>
      <c r="I54" s="239"/>
      <c r="J54" s="481"/>
      <c r="K54" s="481"/>
      <c r="L54" s="481"/>
      <c r="M54" s="481"/>
      <c r="N54" s="481"/>
      <c r="O54" s="481"/>
    </row>
    <row r="55" spans="1:15" ht="12.75" customHeight="1">
      <c r="A55" s="436"/>
      <c r="B55" s="436"/>
      <c r="C55" s="437" t="s">
        <v>169</v>
      </c>
      <c r="D55" s="317" t="s">
        <v>749</v>
      </c>
      <c r="E55" s="318"/>
      <c r="F55" s="594"/>
      <c r="G55" s="481">
        <v>3370</v>
      </c>
      <c r="H55" s="481">
        <v>0</v>
      </c>
      <c r="I55" s="481">
        <v>3370</v>
      </c>
      <c r="J55" s="481"/>
      <c r="K55" s="481"/>
      <c r="L55" s="481">
        <f t="shared" si="0"/>
        <v>0</v>
      </c>
      <c r="M55" s="481">
        <f t="shared" si="1"/>
        <v>3370</v>
      </c>
      <c r="N55" s="481">
        <f t="shared" si="2"/>
        <v>0</v>
      </c>
      <c r="O55" s="481">
        <f t="shared" si="3"/>
        <v>3370</v>
      </c>
    </row>
    <row r="56" spans="1:15" ht="12.75" customHeight="1">
      <c r="A56" s="436"/>
      <c r="B56" s="436"/>
      <c r="C56" s="437" t="s">
        <v>170</v>
      </c>
      <c r="D56" s="438" t="s">
        <v>750</v>
      </c>
      <c r="E56" s="318"/>
      <c r="F56" s="594"/>
      <c r="G56" s="481">
        <v>0</v>
      </c>
      <c r="H56" s="481">
        <v>0</v>
      </c>
      <c r="I56" s="481">
        <v>0</v>
      </c>
      <c r="J56" s="481"/>
      <c r="K56" s="481"/>
      <c r="L56" s="481">
        <f t="shared" si="0"/>
        <v>0</v>
      </c>
      <c r="M56" s="481">
        <f t="shared" si="1"/>
        <v>0</v>
      </c>
      <c r="N56" s="481">
        <f t="shared" si="2"/>
        <v>0</v>
      </c>
      <c r="O56" s="481">
        <f t="shared" si="3"/>
        <v>0</v>
      </c>
    </row>
    <row r="57" spans="1:15" ht="12.75" customHeight="1">
      <c r="A57" s="436"/>
      <c r="B57" s="436"/>
      <c r="C57" s="437" t="s">
        <v>171</v>
      </c>
      <c r="D57" s="317" t="s">
        <v>751</v>
      </c>
      <c r="E57" s="318"/>
      <c r="F57" s="594"/>
      <c r="G57" s="481">
        <v>0</v>
      </c>
      <c r="H57" s="481">
        <v>0</v>
      </c>
      <c r="I57" s="481">
        <v>0</v>
      </c>
      <c r="J57" s="481"/>
      <c r="K57" s="481"/>
      <c r="L57" s="481">
        <f t="shared" si="0"/>
        <v>0</v>
      </c>
      <c r="M57" s="481">
        <f t="shared" si="1"/>
        <v>0</v>
      </c>
      <c r="N57" s="481">
        <f t="shared" si="2"/>
        <v>0</v>
      </c>
      <c r="O57" s="481">
        <f t="shared" si="3"/>
        <v>0</v>
      </c>
    </row>
    <row r="58" spans="1:15" ht="37.5" customHeight="1">
      <c r="A58" s="436"/>
      <c r="B58" s="436"/>
      <c r="C58" s="436" t="s">
        <v>664</v>
      </c>
      <c r="D58" s="316" t="s">
        <v>1019</v>
      </c>
      <c r="E58" s="318"/>
      <c r="F58" s="594"/>
      <c r="G58" s="481">
        <v>262273</v>
      </c>
      <c r="H58" s="481">
        <v>0</v>
      </c>
      <c r="I58" s="481">
        <v>262273</v>
      </c>
      <c r="J58" s="481"/>
      <c r="K58" s="481"/>
      <c r="L58" s="481">
        <f t="shared" si="0"/>
        <v>0</v>
      </c>
      <c r="M58" s="481">
        <f t="shared" si="1"/>
        <v>262273</v>
      </c>
      <c r="N58" s="481">
        <f t="shared" si="2"/>
        <v>0</v>
      </c>
      <c r="O58" s="481">
        <f t="shared" si="3"/>
        <v>262273</v>
      </c>
    </row>
    <row r="59" spans="1:15" ht="25.5" customHeight="1">
      <c r="A59" s="436"/>
      <c r="B59" s="436"/>
      <c r="C59" s="436" t="s">
        <v>329</v>
      </c>
      <c r="D59" s="316" t="s">
        <v>330</v>
      </c>
      <c r="E59" s="318"/>
      <c r="F59" s="594"/>
      <c r="G59" s="481"/>
      <c r="H59" s="481">
        <v>206514</v>
      </c>
      <c r="I59" s="481">
        <v>206514</v>
      </c>
      <c r="J59" s="481"/>
      <c r="K59" s="481"/>
      <c r="L59" s="481"/>
      <c r="M59" s="481"/>
      <c r="N59" s="481">
        <f t="shared" si="2"/>
        <v>206514</v>
      </c>
      <c r="O59" s="481">
        <f t="shared" si="3"/>
        <v>206514</v>
      </c>
    </row>
    <row r="60" spans="1:15" ht="12.75" customHeight="1">
      <c r="A60" s="436"/>
      <c r="B60" s="436"/>
      <c r="C60" s="437"/>
      <c r="D60" s="439" t="s">
        <v>318</v>
      </c>
      <c r="E60" s="318"/>
      <c r="F60" s="594"/>
      <c r="G60" s="481">
        <v>0</v>
      </c>
      <c r="H60" s="481">
        <v>0</v>
      </c>
      <c r="I60" s="481">
        <v>0</v>
      </c>
      <c r="J60" s="481"/>
      <c r="K60" s="481"/>
      <c r="L60" s="481">
        <f t="shared" si="0"/>
        <v>0</v>
      </c>
      <c r="M60" s="481">
        <f t="shared" si="1"/>
        <v>0</v>
      </c>
      <c r="N60" s="481">
        <f t="shared" si="2"/>
        <v>0</v>
      </c>
      <c r="O60" s="481">
        <f t="shared" si="3"/>
        <v>0</v>
      </c>
    </row>
    <row r="61" spans="1:15" ht="12.75" customHeight="1">
      <c r="A61" s="436"/>
      <c r="B61" s="436"/>
      <c r="C61" s="440" t="s">
        <v>29</v>
      </c>
      <c r="D61" s="441" t="s">
        <v>752</v>
      </c>
      <c r="E61" s="318"/>
      <c r="F61" s="594"/>
      <c r="G61" s="481">
        <v>8219</v>
      </c>
      <c r="H61" s="481">
        <v>0</v>
      </c>
      <c r="I61" s="481">
        <v>8219</v>
      </c>
      <c r="J61" s="481"/>
      <c r="K61" s="481"/>
      <c r="L61" s="481">
        <f t="shared" si="0"/>
        <v>0</v>
      </c>
      <c r="M61" s="481">
        <f t="shared" si="1"/>
        <v>8219</v>
      </c>
      <c r="N61" s="481">
        <f t="shared" si="2"/>
        <v>0</v>
      </c>
      <c r="O61" s="481">
        <f t="shared" si="3"/>
        <v>8219</v>
      </c>
    </row>
    <row r="62" spans="1:15" ht="12.75" customHeight="1">
      <c r="A62" s="436"/>
      <c r="B62" s="436"/>
      <c r="C62" s="440" t="s">
        <v>61</v>
      </c>
      <c r="D62" s="271" t="s">
        <v>1091</v>
      </c>
      <c r="E62" s="265"/>
      <c r="F62" s="620"/>
      <c r="G62" s="481">
        <v>1300</v>
      </c>
      <c r="H62" s="481">
        <v>0</v>
      </c>
      <c r="I62" s="481">
        <v>1300</v>
      </c>
      <c r="J62" s="481"/>
      <c r="K62" s="481"/>
      <c r="L62" s="481">
        <f t="shared" si="0"/>
        <v>0</v>
      </c>
      <c r="M62" s="481">
        <f t="shared" si="1"/>
        <v>1300</v>
      </c>
      <c r="N62" s="481">
        <f t="shared" si="2"/>
        <v>0</v>
      </c>
      <c r="O62" s="481">
        <f t="shared" si="3"/>
        <v>1300</v>
      </c>
    </row>
    <row r="63" spans="1:15" ht="12.75" customHeight="1">
      <c r="A63" s="436"/>
      <c r="B63" s="436"/>
      <c r="C63" s="440" t="s">
        <v>62</v>
      </c>
      <c r="D63" s="271" t="s">
        <v>1090</v>
      </c>
      <c r="E63" s="265"/>
      <c r="F63" s="620"/>
      <c r="G63" s="481">
        <v>1800</v>
      </c>
      <c r="H63" s="481">
        <v>0</v>
      </c>
      <c r="I63" s="481">
        <v>1800</v>
      </c>
      <c r="J63" s="481"/>
      <c r="K63" s="481"/>
      <c r="L63" s="481">
        <f t="shared" si="0"/>
        <v>0</v>
      </c>
      <c r="M63" s="481">
        <f t="shared" si="1"/>
        <v>1800</v>
      </c>
      <c r="N63" s="481">
        <f t="shared" si="2"/>
        <v>0</v>
      </c>
      <c r="O63" s="481">
        <f t="shared" si="3"/>
        <v>1800</v>
      </c>
    </row>
    <row r="64" spans="1:15" ht="24.75" customHeight="1">
      <c r="A64" s="436"/>
      <c r="B64" s="436"/>
      <c r="C64" s="440" t="s">
        <v>63</v>
      </c>
      <c r="D64" s="442" t="s">
        <v>1092</v>
      </c>
      <c r="E64" s="318"/>
      <c r="F64" s="594"/>
      <c r="G64" s="481">
        <v>0</v>
      </c>
      <c r="H64" s="481">
        <v>0</v>
      </c>
      <c r="I64" s="481">
        <v>0</v>
      </c>
      <c r="J64" s="481"/>
      <c r="K64" s="481"/>
      <c r="L64" s="481">
        <f t="shared" si="0"/>
        <v>0</v>
      </c>
      <c r="M64" s="481">
        <f t="shared" si="1"/>
        <v>0</v>
      </c>
      <c r="N64" s="481">
        <f t="shared" si="2"/>
        <v>0</v>
      </c>
      <c r="O64" s="481">
        <f t="shared" si="3"/>
        <v>0</v>
      </c>
    </row>
    <row r="65" spans="1:15" ht="12.75" customHeight="1">
      <c r="A65" s="436"/>
      <c r="B65" s="436"/>
      <c r="C65" s="443" t="s">
        <v>176</v>
      </c>
      <c r="D65" s="444" t="s">
        <v>1138</v>
      </c>
      <c r="E65" s="318"/>
      <c r="F65" s="594"/>
      <c r="G65" s="481"/>
      <c r="H65" s="481"/>
      <c r="I65" s="481"/>
      <c r="J65" s="481"/>
      <c r="K65" s="481"/>
      <c r="L65" s="481"/>
      <c r="M65" s="481"/>
      <c r="N65" s="481"/>
      <c r="O65" s="481"/>
    </row>
    <row r="66" spans="1:15" ht="12.75" customHeight="1">
      <c r="A66" s="436"/>
      <c r="B66" s="436"/>
      <c r="C66" s="408" t="s">
        <v>182</v>
      </c>
      <c r="D66" s="277" t="s">
        <v>98</v>
      </c>
      <c r="E66" s="445"/>
      <c r="F66" s="594"/>
      <c r="G66" s="481">
        <v>0</v>
      </c>
      <c r="H66" s="481">
        <v>0</v>
      </c>
      <c r="I66" s="481">
        <v>0</v>
      </c>
      <c r="J66" s="481"/>
      <c r="K66" s="481"/>
      <c r="L66" s="481">
        <f t="shared" si="0"/>
        <v>0</v>
      </c>
      <c r="M66" s="481">
        <f t="shared" si="1"/>
        <v>0</v>
      </c>
      <c r="N66" s="481">
        <f t="shared" si="2"/>
        <v>0</v>
      </c>
      <c r="O66" s="481">
        <f t="shared" si="3"/>
        <v>0</v>
      </c>
    </row>
    <row r="67" spans="1:15" ht="12.75" customHeight="1">
      <c r="A67" s="436"/>
      <c r="B67" s="436"/>
      <c r="C67" s="408" t="s">
        <v>183</v>
      </c>
      <c r="D67" s="446" t="s">
        <v>753</v>
      </c>
      <c r="E67" s="445"/>
      <c r="F67" s="594"/>
      <c r="G67" s="481">
        <v>37514</v>
      </c>
      <c r="H67" s="481">
        <v>0</v>
      </c>
      <c r="I67" s="481">
        <v>37514</v>
      </c>
      <c r="J67" s="481"/>
      <c r="K67" s="481"/>
      <c r="L67" s="481">
        <f t="shared" si="0"/>
        <v>0</v>
      </c>
      <c r="M67" s="481">
        <f t="shared" si="1"/>
        <v>37514</v>
      </c>
      <c r="N67" s="481">
        <f t="shared" si="2"/>
        <v>0</v>
      </c>
      <c r="O67" s="481">
        <f t="shared" si="3"/>
        <v>37514</v>
      </c>
    </row>
    <row r="68" spans="1:15" ht="12.75" customHeight="1">
      <c r="A68" s="436"/>
      <c r="B68" s="436"/>
      <c r="C68" s="408" t="s">
        <v>184</v>
      </c>
      <c r="D68" s="288" t="s">
        <v>862</v>
      </c>
      <c r="E68" s="445"/>
      <c r="F68" s="594"/>
      <c r="G68" s="481">
        <v>10000</v>
      </c>
      <c r="H68" s="481">
        <v>0</v>
      </c>
      <c r="I68" s="481">
        <v>10000</v>
      </c>
      <c r="J68" s="481"/>
      <c r="K68" s="481"/>
      <c r="L68" s="481">
        <f t="shared" si="0"/>
        <v>0</v>
      </c>
      <c r="M68" s="481">
        <f t="shared" si="1"/>
        <v>10000</v>
      </c>
      <c r="N68" s="481">
        <f t="shared" si="2"/>
        <v>0</v>
      </c>
      <c r="O68" s="481">
        <f t="shared" si="3"/>
        <v>10000</v>
      </c>
    </row>
    <row r="69" spans="1:15" ht="12.75" customHeight="1">
      <c r="A69" s="436"/>
      <c r="B69" s="436"/>
      <c r="C69" s="408" t="s">
        <v>185</v>
      </c>
      <c r="D69" s="288" t="s">
        <v>754</v>
      </c>
      <c r="E69" s="445"/>
      <c r="F69" s="594"/>
      <c r="G69" s="481">
        <v>13341</v>
      </c>
      <c r="H69" s="481">
        <v>0</v>
      </c>
      <c r="I69" s="481">
        <v>13341</v>
      </c>
      <c r="J69" s="481"/>
      <c r="K69" s="481"/>
      <c r="L69" s="481">
        <f t="shared" si="0"/>
        <v>0</v>
      </c>
      <c r="M69" s="481">
        <f t="shared" si="1"/>
        <v>13341</v>
      </c>
      <c r="N69" s="481">
        <f t="shared" si="2"/>
        <v>0</v>
      </c>
      <c r="O69" s="481">
        <f t="shared" si="3"/>
        <v>13341</v>
      </c>
    </row>
    <row r="70" spans="1:15" ht="12.75" customHeight="1">
      <c r="A70" s="436"/>
      <c r="B70" s="436"/>
      <c r="C70" s="408" t="s">
        <v>186</v>
      </c>
      <c r="D70" s="288" t="s">
        <v>755</v>
      </c>
      <c r="E70" s="445"/>
      <c r="F70" s="594"/>
      <c r="G70" s="481">
        <v>18967</v>
      </c>
      <c r="H70" s="481">
        <v>0</v>
      </c>
      <c r="I70" s="481">
        <v>18967</v>
      </c>
      <c r="J70" s="481"/>
      <c r="K70" s="481"/>
      <c r="L70" s="481">
        <f t="shared" si="0"/>
        <v>0</v>
      </c>
      <c r="M70" s="481">
        <f t="shared" si="1"/>
        <v>18967</v>
      </c>
      <c r="N70" s="481">
        <f t="shared" si="2"/>
        <v>0</v>
      </c>
      <c r="O70" s="481">
        <f t="shared" si="3"/>
        <v>18967</v>
      </c>
    </row>
    <row r="71" spans="1:15" ht="12.75" customHeight="1">
      <c r="A71" s="436"/>
      <c r="B71" s="436"/>
      <c r="C71" s="408" t="s">
        <v>187</v>
      </c>
      <c r="D71" s="446" t="s">
        <v>756</v>
      </c>
      <c r="E71" s="445"/>
      <c r="F71" s="594"/>
      <c r="G71" s="481">
        <v>14869</v>
      </c>
      <c r="H71" s="481">
        <v>0</v>
      </c>
      <c r="I71" s="481">
        <v>14869</v>
      </c>
      <c r="J71" s="481"/>
      <c r="K71" s="481"/>
      <c r="L71" s="481">
        <f t="shared" si="0"/>
        <v>0</v>
      </c>
      <c r="M71" s="481">
        <f t="shared" si="1"/>
        <v>14869</v>
      </c>
      <c r="N71" s="481">
        <f t="shared" si="2"/>
        <v>0</v>
      </c>
      <c r="O71" s="481">
        <f t="shared" si="3"/>
        <v>14869</v>
      </c>
    </row>
    <row r="72" spans="1:15" ht="12.75" customHeight="1">
      <c r="A72" s="436"/>
      <c r="B72" s="436"/>
      <c r="C72" s="408" t="s">
        <v>188</v>
      </c>
      <c r="D72" s="288" t="s">
        <v>757</v>
      </c>
      <c r="E72" s="445"/>
      <c r="F72" s="594"/>
      <c r="G72" s="481">
        <v>3000</v>
      </c>
      <c r="H72" s="481">
        <v>0</v>
      </c>
      <c r="I72" s="481">
        <v>3000</v>
      </c>
      <c r="J72" s="481"/>
      <c r="K72" s="481"/>
      <c r="L72" s="481">
        <f t="shared" si="0"/>
        <v>0</v>
      </c>
      <c r="M72" s="481">
        <f t="shared" si="1"/>
        <v>3000</v>
      </c>
      <c r="N72" s="481">
        <f t="shared" si="2"/>
        <v>0</v>
      </c>
      <c r="O72" s="481">
        <f t="shared" si="3"/>
        <v>3000</v>
      </c>
    </row>
    <row r="73" spans="1:15" ht="12.75" customHeight="1">
      <c r="A73" s="436"/>
      <c r="B73" s="436"/>
      <c r="C73" s="408" t="s">
        <v>212</v>
      </c>
      <c r="D73" s="288" t="s">
        <v>91</v>
      </c>
      <c r="E73" s="445"/>
      <c r="F73" s="594"/>
      <c r="G73" s="481">
        <v>0</v>
      </c>
      <c r="H73" s="481">
        <v>0</v>
      </c>
      <c r="I73" s="481">
        <v>0</v>
      </c>
      <c r="J73" s="481"/>
      <c r="K73" s="481"/>
      <c r="L73" s="481">
        <f t="shared" si="0"/>
        <v>0</v>
      </c>
      <c r="M73" s="481">
        <f t="shared" si="1"/>
        <v>0</v>
      </c>
      <c r="N73" s="481">
        <f t="shared" si="2"/>
        <v>0</v>
      </c>
      <c r="O73" s="481">
        <f t="shared" si="3"/>
        <v>0</v>
      </c>
    </row>
    <row r="74" spans="1:15" ht="12.75" customHeight="1">
      <c r="A74" s="436"/>
      <c r="B74" s="436"/>
      <c r="C74" s="408" t="s">
        <v>213</v>
      </c>
      <c r="D74" s="288" t="s">
        <v>758</v>
      </c>
      <c r="E74" s="445"/>
      <c r="F74" s="594"/>
      <c r="G74" s="481">
        <v>9564</v>
      </c>
      <c r="H74" s="481">
        <v>0</v>
      </c>
      <c r="I74" s="481">
        <v>9564</v>
      </c>
      <c r="J74" s="481"/>
      <c r="K74" s="481"/>
      <c r="L74" s="481">
        <f t="shared" si="0"/>
        <v>0</v>
      </c>
      <c r="M74" s="481">
        <f t="shared" si="1"/>
        <v>9564</v>
      </c>
      <c r="N74" s="481">
        <f t="shared" si="2"/>
        <v>0</v>
      </c>
      <c r="O74" s="481">
        <f t="shared" si="3"/>
        <v>9564</v>
      </c>
    </row>
    <row r="75" spans="1:15" ht="12.75" customHeight="1">
      <c r="A75" s="436"/>
      <c r="B75" s="436"/>
      <c r="C75" s="408" t="s">
        <v>214</v>
      </c>
      <c r="D75" s="288" t="s">
        <v>759</v>
      </c>
      <c r="E75" s="445"/>
      <c r="F75" s="594"/>
      <c r="G75" s="481">
        <v>2647</v>
      </c>
      <c r="H75" s="481">
        <v>0</v>
      </c>
      <c r="I75" s="481">
        <v>2647</v>
      </c>
      <c r="J75" s="481"/>
      <c r="K75" s="481"/>
      <c r="L75" s="481">
        <f t="shared" si="0"/>
        <v>0</v>
      </c>
      <c r="M75" s="481">
        <f t="shared" si="1"/>
        <v>2647</v>
      </c>
      <c r="N75" s="481">
        <f t="shared" si="2"/>
        <v>0</v>
      </c>
      <c r="O75" s="481">
        <f t="shared" si="3"/>
        <v>2647</v>
      </c>
    </row>
    <row r="76" spans="1:15" ht="12.75" customHeight="1">
      <c r="A76" s="436"/>
      <c r="B76" s="436"/>
      <c r="C76" s="408" t="s">
        <v>215</v>
      </c>
      <c r="D76" s="288" t="s">
        <v>760</v>
      </c>
      <c r="E76" s="445"/>
      <c r="F76" s="594"/>
      <c r="G76" s="481">
        <v>0</v>
      </c>
      <c r="H76" s="481">
        <v>0</v>
      </c>
      <c r="I76" s="481">
        <v>0</v>
      </c>
      <c r="J76" s="481"/>
      <c r="K76" s="481"/>
      <c r="L76" s="481">
        <f t="shared" si="0"/>
        <v>0</v>
      </c>
      <c r="M76" s="481">
        <f t="shared" si="1"/>
        <v>0</v>
      </c>
      <c r="N76" s="481">
        <f t="shared" si="2"/>
        <v>0</v>
      </c>
      <c r="O76" s="481">
        <f t="shared" si="3"/>
        <v>0</v>
      </c>
    </row>
    <row r="77" spans="1:15" ht="12.75" customHeight="1">
      <c r="A77" s="436"/>
      <c r="B77" s="436"/>
      <c r="C77" s="408" t="s">
        <v>216</v>
      </c>
      <c r="D77" s="277" t="s">
        <v>761</v>
      </c>
      <c r="E77" s="445"/>
      <c r="F77" s="594"/>
      <c r="G77" s="481">
        <v>5078</v>
      </c>
      <c r="H77" s="481">
        <v>0</v>
      </c>
      <c r="I77" s="481">
        <v>5078</v>
      </c>
      <c r="J77" s="481"/>
      <c r="K77" s="481"/>
      <c r="L77" s="481">
        <f t="shared" si="0"/>
        <v>0</v>
      </c>
      <c r="M77" s="481">
        <f t="shared" si="1"/>
        <v>5078</v>
      </c>
      <c r="N77" s="481">
        <f t="shared" si="2"/>
        <v>0</v>
      </c>
      <c r="O77" s="481">
        <f t="shared" si="3"/>
        <v>5078</v>
      </c>
    </row>
    <row r="78" spans="1:15" ht="12.75" customHeight="1">
      <c r="A78" s="436"/>
      <c r="B78" s="436"/>
      <c r="C78" s="408" t="s">
        <v>217</v>
      </c>
      <c r="D78" s="446" t="s">
        <v>762</v>
      </c>
      <c r="E78" s="445"/>
      <c r="F78" s="594"/>
      <c r="G78" s="481">
        <v>3430</v>
      </c>
      <c r="H78" s="481">
        <v>0</v>
      </c>
      <c r="I78" s="481">
        <v>3430</v>
      </c>
      <c r="J78" s="481"/>
      <c r="K78" s="481"/>
      <c r="L78" s="481">
        <f t="shared" si="0"/>
        <v>0</v>
      </c>
      <c r="M78" s="481">
        <f t="shared" si="1"/>
        <v>3430</v>
      </c>
      <c r="N78" s="481">
        <f t="shared" si="2"/>
        <v>0</v>
      </c>
      <c r="O78" s="481">
        <f t="shared" si="3"/>
        <v>3430</v>
      </c>
    </row>
    <row r="79" spans="1:15" ht="12.75" customHeight="1">
      <c r="A79" s="436"/>
      <c r="B79" s="436"/>
      <c r="C79" s="408" t="s">
        <v>218</v>
      </c>
      <c r="D79" s="277" t="s">
        <v>763</v>
      </c>
      <c r="E79" s="445"/>
      <c r="F79" s="594"/>
      <c r="G79" s="481">
        <v>4864</v>
      </c>
      <c r="H79" s="481">
        <v>0</v>
      </c>
      <c r="I79" s="481">
        <v>4864</v>
      </c>
      <c r="J79" s="481"/>
      <c r="K79" s="481"/>
      <c r="L79" s="481">
        <f t="shared" si="0"/>
        <v>0</v>
      </c>
      <c r="M79" s="481">
        <f t="shared" si="1"/>
        <v>4864</v>
      </c>
      <c r="N79" s="481">
        <f t="shared" si="2"/>
        <v>0</v>
      </c>
      <c r="O79" s="481">
        <f t="shared" si="3"/>
        <v>4864</v>
      </c>
    </row>
    <row r="80" spans="1:15" ht="12.75" customHeight="1">
      <c r="A80" s="436"/>
      <c r="B80" s="436"/>
      <c r="C80" s="408" t="s">
        <v>219</v>
      </c>
      <c r="D80" s="288" t="s">
        <v>764</v>
      </c>
      <c r="E80" s="445"/>
      <c r="F80" s="594"/>
      <c r="G80" s="481">
        <v>0</v>
      </c>
      <c r="H80" s="481">
        <v>0</v>
      </c>
      <c r="I80" s="481">
        <v>0</v>
      </c>
      <c r="J80" s="481"/>
      <c r="K80" s="481"/>
      <c r="L80" s="481">
        <f t="shared" si="0"/>
        <v>0</v>
      </c>
      <c r="M80" s="481">
        <f t="shared" si="1"/>
        <v>0</v>
      </c>
      <c r="N80" s="481">
        <f t="shared" si="2"/>
        <v>0</v>
      </c>
      <c r="O80" s="481">
        <f t="shared" si="3"/>
        <v>0</v>
      </c>
    </row>
    <row r="81" spans="1:15" ht="12.75" customHeight="1">
      <c r="A81" s="436"/>
      <c r="B81" s="436"/>
      <c r="C81" s="408" t="s">
        <v>160</v>
      </c>
      <c r="D81" s="288" t="s">
        <v>765</v>
      </c>
      <c r="E81" s="445"/>
      <c r="F81" s="594"/>
      <c r="G81" s="481">
        <v>5000</v>
      </c>
      <c r="H81" s="481">
        <v>0</v>
      </c>
      <c r="I81" s="481">
        <v>5000</v>
      </c>
      <c r="J81" s="481"/>
      <c r="K81" s="481"/>
      <c r="L81" s="481">
        <f t="shared" si="0"/>
        <v>0</v>
      </c>
      <c r="M81" s="481">
        <f t="shared" si="1"/>
        <v>5000</v>
      </c>
      <c r="N81" s="481">
        <f t="shared" si="2"/>
        <v>0</v>
      </c>
      <c r="O81" s="481">
        <f t="shared" si="3"/>
        <v>5000</v>
      </c>
    </row>
    <row r="82" spans="1:15" ht="12.75" customHeight="1">
      <c r="A82" s="436"/>
      <c r="B82" s="436"/>
      <c r="C82" s="408" t="s">
        <v>161</v>
      </c>
      <c r="D82" s="288" t="s">
        <v>766</v>
      </c>
      <c r="E82" s="445"/>
      <c r="F82" s="594"/>
      <c r="G82" s="481">
        <v>4211</v>
      </c>
      <c r="H82" s="481">
        <v>0</v>
      </c>
      <c r="I82" s="481">
        <v>4211</v>
      </c>
      <c r="J82" s="481"/>
      <c r="K82" s="481"/>
      <c r="L82" s="481">
        <f aca="true" t="shared" si="5" ref="L82:L154">SUM(J82:K82)</f>
        <v>0</v>
      </c>
      <c r="M82" s="481">
        <f aca="true" t="shared" si="6" ref="M82:M154">SUM(G82+J82)</f>
        <v>4211</v>
      </c>
      <c r="N82" s="481">
        <f aca="true" t="shared" si="7" ref="N82:N154">SUM(H82+K82)</f>
        <v>0</v>
      </c>
      <c r="O82" s="481">
        <f aca="true" t="shared" si="8" ref="O82:O154">SUM(M82:N82)</f>
        <v>4211</v>
      </c>
    </row>
    <row r="83" spans="1:15" ht="12.75" customHeight="1">
      <c r="A83" s="436"/>
      <c r="B83" s="436"/>
      <c r="C83" s="408" t="s">
        <v>162</v>
      </c>
      <c r="D83" s="288" t="s">
        <v>767</v>
      </c>
      <c r="E83" s="445"/>
      <c r="F83" s="594"/>
      <c r="G83" s="481">
        <v>8500</v>
      </c>
      <c r="H83" s="481">
        <v>0</v>
      </c>
      <c r="I83" s="481">
        <v>8500</v>
      </c>
      <c r="J83" s="481"/>
      <c r="K83" s="481"/>
      <c r="L83" s="481">
        <f t="shared" si="5"/>
        <v>0</v>
      </c>
      <c r="M83" s="481">
        <f t="shared" si="6"/>
        <v>8500</v>
      </c>
      <c r="N83" s="481">
        <f t="shared" si="7"/>
        <v>0</v>
      </c>
      <c r="O83" s="481">
        <f t="shared" si="8"/>
        <v>8500</v>
      </c>
    </row>
    <row r="84" spans="1:15" ht="12.75" customHeight="1">
      <c r="A84" s="436"/>
      <c r="B84" s="436"/>
      <c r="C84" s="408" t="s">
        <v>163</v>
      </c>
      <c r="D84" s="288" t="s">
        <v>768</v>
      </c>
      <c r="E84" s="445"/>
      <c r="F84" s="594"/>
      <c r="G84" s="481">
        <v>3000</v>
      </c>
      <c r="H84" s="481">
        <v>0</v>
      </c>
      <c r="I84" s="481">
        <v>3000</v>
      </c>
      <c r="J84" s="481"/>
      <c r="K84" s="481"/>
      <c r="L84" s="481">
        <f t="shared" si="5"/>
        <v>0</v>
      </c>
      <c r="M84" s="481">
        <f t="shared" si="6"/>
        <v>3000</v>
      </c>
      <c r="N84" s="481">
        <f t="shared" si="7"/>
        <v>0</v>
      </c>
      <c r="O84" s="481">
        <f t="shared" si="8"/>
        <v>3000</v>
      </c>
    </row>
    <row r="85" spans="1:15" ht="12.75" customHeight="1">
      <c r="A85" s="436"/>
      <c r="B85" s="436"/>
      <c r="C85" s="408" t="s">
        <v>164</v>
      </c>
      <c r="D85" s="446" t="s">
        <v>769</v>
      </c>
      <c r="E85" s="445"/>
      <c r="F85" s="594"/>
      <c r="G85" s="481">
        <v>3000</v>
      </c>
      <c r="H85" s="481">
        <v>0</v>
      </c>
      <c r="I85" s="481">
        <v>3000</v>
      </c>
      <c r="J85" s="481"/>
      <c r="K85" s="481"/>
      <c r="L85" s="481">
        <f t="shared" si="5"/>
        <v>0</v>
      </c>
      <c r="M85" s="481">
        <f t="shared" si="6"/>
        <v>3000</v>
      </c>
      <c r="N85" s="481">
        <f t="shared" si="7"/>
        <v>0</v>
      </c>
      <c r="O85" s="481">
        <f t="shared" si="8"/>
        <v>3000</v>
      </c>
    </row>
    <row r="86" spans="1:15" ht="12.75" customHeight="1">
      <c r="A86" s="436"/>
      <c r="B86" s="436"/>
      <c r="C86" s="408" t="s">
        <v>165</v>
      </c>
      <c r="D86" s="277" t="s">
        <v>770</v>
      </c>
      <c r="E86" s="445"/>
      <c r="F86" s="594"/>
      <c r="G86" s="481">
        <v>1856</v>
      </c>
      <c r="H86" s="481">
        <v>0</v>
      </c>
      <c r="I86" s="481">
        <v>1856</v>
      </c>
      <c r="J86" s="481"/>
      <c r="K86" s="481"/>
      <c r="L86" s="481">
        <f t="shared" si="5"/>
        <v>0</v>
      </c>
      <c r="M86" s="481">
        <f t="shared" si="6"/>
        <v>1856</v>
      </c>
      <c r="N86" s="481">
        <f t="shared" si="7"/>
        <v>0</v>
      </c>
      <c r="O86" s="481">
        <f t="shared" si="8"/>
        <v>1856</v>
      </c>
    </row>
    <row r="87" spans="1:15" ht="15" customHeight="1">
      <c r="A87" s="436"/>
      <c r="B87" s="436"/>
      <c r="C87" s="408" t="s">
        <v>166</v>
      </c>
      <c r="D87" s="277" t="s">
        <v>771</v>
      </c>
      <c r="E87" s="445"/>
      <c r="F87" s="594"/>
      <c r="G87" s="481">
        <v>0</v>
      </c>
      <c r="H87" s="481">
        <v>0</v>
      </c>
      <c r="I87" s="481">
        <v>0</v>
      </c>
      <c r="J87" s="481"/>
      <c r="K87" s="481"/>
      <c r="L87" s="481">
        <f t="shared" si="5"/>
        <v>0</v>
      </c>
      <c r="M87" s="481">
        <f t="shared" si="6"/>
        <v>0</v>
      </c>
      <c r="N87" s="481">
        <f t="shared" si="7"/>
        <v>0</v>
      </c>
      <c r="O87" s="481">
        <f t="shared" si="8"/>
        <v>0</v>
      </c>
    </row>
    <row r="88" spans="1:15" ht="15" customHeight="1">
      <c r="A88" s="436"/>
      <c r="B88" s="436"/>
      <c r="C88" s="408" t="s">
        <v>167</v>
      </c>
      <c r="D88" s="277" t="s">
        <v>772</v>
      </c>
      <c r="E88" s="445"/>
      <c r="F88" s="594"/>
      <c r="G88" s="481">
        <v>6300</v>
      </c>
      <c r="H88" s="481">
        <v>0</v>
      </c>
      <c r="I88" s="481">
        <v>6300</v>
      </c>
      <c r="J88" s="481"/>
      <c r="K88" s="481"/>
      <c r="L88" s="481">
        <f t="shared" si="5"/>
        <v>0</v>
      </c>
      <c r="M88" s="481">
        <f t="shared" si="6"/>
        <v>6300</v>
      </c>
      <c r="N88" s="481">
        <f t="shared" si="7"/>
        <v>0</v>
      </c>
      <c r="O88" s="481">
        <f t="shared" si="8"/>
        <v>6300</v>
      </c>
    </row>
    <row r="89" spans="1:15" ht="15" customHeight="1">
      <c r="A89" s="436"/>
      <c r="B89" s="436"/>
      <c r="C89" s="408" t="s">
        <v>168</v>
      </c>
      <c r="D89" s="277" t="s">
        <v>773</v>
      </c>
      <c r="E89" s="445"/>
      <c r="F89" s="594"/>
      <c r="G89" s="481">
        <v>3629</v>
      </c>
      <c r="H89" s="481">
        <v>0</v>
      </c>
      <c r="I89" s="481">
        <v>3629</v>
      </c>
      <c r="J89" s="481"/>
      <c r="K89" s="481"/>
      <c r="L89" s="481">
        <f t="shared" si="5"/>
        <v>0</v>
      </c>
      <c r="M89" s="481">
        <f t="shared" si="6"/>
        <v>3629</v>
      </c>
      <c r="N89" s="481">
        <f t="shared" si="7"/>
        <v>0</v>
      </c>
      <c r="O89" s="481">
        <f t="shared" si="8"/>
        <v>3629</v>
      </c>
    </row>
    <row r="90" spans="1:15" ht="15" customHeight="1">
      <c r="A90" s="436"/>
      <c r="B90" s="436"/>
      <c r="C90" s="408" t="s">
        <v>102</v>
      </c>
      <c r="D90" s="277" t="s">
        <v>774</v>
      </c>
      <c r="E90" s="445"/>
      <c r="F90" s="594"/>
      <c r="G90" s="481">
        <v>1000</v>
      </c>
      <c r="H90" s="481">
        <v>0</v>
      </c>
      <c r="I90" s="481">
        <v>1000</v>
      </c>
      <c r="J90" s="481"/>
      <c r="K90" s="481"/>
      <c r="L90" s="481">
        <f t="shared" si="5"/>
        <v>0</v>
      </c>
      <c r="M90" s="481">
        <f t="shared" si="6"/>
        <v>1000</v>
      </c>
      <c r="N90" s="481">
        <f t="shared" si="7"/>
        <v>0</v>
      </c>
      <c r="O90" s="481">
        <f t="shared" si="8"/>
        <v>1000</v>
      </c>
    </row>
    <row r="91" spans="1:15" ht="15" customHeight="1">
      <c r="A91" s="436"/>
      <c r="B91" s="436"/>
      <c r="C91" s="408" t="s">
        <v>114</v>
      </c>
      <c r="D91" s="277" t="s">
        <v>775</v>
      </c>
      <c r="E91" s="445"/>
      <c r="F91" s="594"/>
      <c r="G91" s="481">
        <v>300</v>
      </c>
      <c r="H91" s="481">
        <v>0</v>
      </c>
      <c r="I91" s="481">
        <v>300</v>
      </c>
      <c r="J91" s="481"/>
      <c r="K91" s="481"/>
      <c r="L91" s="481">
        <f t="shared" si="5"/>
        <v>0</v>
      </c>
      <c r="M91" s="481">
        <f t="shared" si="6"/>
        <v>300</v>
      </c>
      <c r="N91" s="481">
        <f t="shared" si="7"/>
        <v>0</v>
      </c>
      <c r="O91" s="481">
        <f t="shared" si="8"/>
        <v>300</v>
      </c>
    </row>
    <row r="92" spans="1:15" ht="15" customHeight="1">
      <c r="A92" s="436"/>
      <c r="B92" s="436"/>
      <c r="C92" s="408" t="s">
        <v>115</v>
      </c>
      <c r="D92" s="277" t="s">
        <v>776</v>
      </c>
      <c r="E92" s="445"/>
      <c r="F92" s="594"/>
      <c r="G92" s="481">
        <v>772</v>
      </c>
      <c r="H92" s="481">
        <v>0</v>
      </c>
      <c r="I92" s="481">
        <v>772</v>
      </c>
      <c r="J92" s="481"/>
      <c r="K92" s="481"/>
      <c r="L92" s="481">
        <f t="shared" si="5"/>
        <v>0</v>
      </c>
      <c r="M92" s="481">
        <f t="shared" si="6"/>
        <v>772</v>
      </c>
      <c r="N92" s="481">
        <f t="shared" si="7"/>
        <v>0</v>
      </c>
      <c r="O92" s="481">
        <f t="shared" si="8"/>
        <v>772</v>
      </c>
    </row>
    <row r="93" spans="1:15" ht="15" customHeight="1">
      <c r="A93" s="436"/>
      <c r="B93" s="436"/>
      <c r="C93" s="408" t="s">
        <v>116</v>
      </c>
      <c r="D93" s="277" t="s">
        <v>777</v>
      </c>
      <c r="E93" s="445"/>
      <c r="F93" s="594"/>
      <c r="G93" s="481">
        <v>3176</v>
      </c>
      <c r="H93" s="481">
        <v>0</v>
      </c>
      <c r="I93" s="481">
        <v>3176</v>
      </c>
      <c r="J93" s="481"/>
      <c r="K93" s="481"/>
      <c r="L93" s="481">
        <f t="shared" si="5"/>
        <v>0</v>
      </c>
      <c r="M93" s="481">
        <f t="shared" si="6"/>
        <v>3176</v>
      </c>
      <c r="N93" s="481">
        <f t="shared" si="7"/>
        <v>0</v>
      </c>
      <c r="O93" s="481">
        <f t="shared" si="8"/>
        <v>3176</v>
      </c>
    </row>
    <row r="94" spans="1:15" ht="15" customHeight="1">
      <c r="A94" s="436"/>
      <c r="B94" s="436"/>
      <c r="C94" s="408" t="s">
        <v>117</v>
      </c>
      <c r="D94" s="277" t="s">
        <v>778</v>
      </c>
      <c r="E94" s="445"/>
      <c r="F94" s="594"/>
      <c r="G94" s="481">
        <v>2481</v>
      </c>
      <c r="H94" s="481">
        <v>0</v>
      </c>
      <c r="I94" s="481">
        <v>2481</v>
      </c>
      <c r="J94" s="481"/>
      <c r="K94" s="481"/>
      <c r="L94" s="481">
        <f t="shared" si="5"/>
        <v>0</v>
      </c>
      <c r="M94" s="481">
        <f t="shared" si="6"/>
        <v>2481</v>
      </c>
      <c r="N94" s="481">
        <f t="shared" si="7"/>
        <v>0</v>
      </c>
      <c r="O94" s="481">
        <f t="shared" si="8"/>
        <v>2481</v>
      </c>
    </row>
    <row r="95" spans="1:15" ht="15" customHeight="1">
      <c r="A95" s="436"/>
      <c r="B95" s="436"/>
      <c r="C95" s="408" t="s">
        <v>118</v>
      </c>
      <c r="D95" s="277" t="s">
        <v>779</v>
      </c>
      <c r="E95" s="445"/>
      <c r="F95" s="594"/>
      <c r="G95" s="481">
        <v>1257</v>
      </c>
      <c r="H95" s="481">
        <v>0</v>
      </c>
      <c r="I95" s="481">
        <v>1257</v>
      </c>
      <c r="J95" s="481"/>
      <c r="K95" s="481"/>
      <c r="L95" s="481">
        <f t="shared" si="5"/>
        <v>0</v>
      </c>
      <c r="M95" s="481">
        <f t="shared" si="6"/>
        <v>1257</v>
      </c>
      <c r="N95" s="481">
        <f t="shared" si="7"/>
        <v>0</v>
      </c>
      <c r="O95" s="481">
        <f t="shared" si="8"/>
        <v>1257</v>
      </c>
    </row>
    <row r="96" spans="1:15" ht="15" customHeight="1">
      <c r="A96" s="436"/>
      <c r="B96" s="436"/>
      <c r="C96" s="408" t="s">
        <v>119</v>
      </c>
      <c r="D96" s="277" t="s">
        <v>780</v>
      </c>
      <c r="E96" s="445"/>
      <c r="F96" s="594"/>
      <c r="G96" s="481">
        <v>6415</v>
      </c>
      <c r="H96" s="481">
        <v>0</v>
      </c>
      <c r="I96" s="481">
        <v>6415</v>
      </c>
      <c r="J96" s="481"/>
      <c r="K96" s="481"/>
      <c r="L96" s="481">
        <f t="shared" si="5"/>
        <v>0</v>
      </c>
      <c r="M96" s="481">
        <f t="shared" si="6"/>
        <v>6415</v>
      </c>
      <c r="N96" s="481">
        <f t="shared" si="7"/>
        <v>0</v>
      </c>
      <c r="O96" s="481">
        <f t="shared" si="8"/>
        <v>6415</v>
      </c>
    </row>
    <row r="97" spans="1:15" ht="15" customHeight="1">
      <c r="A97" s="436"/>
      <c r="B97" s="436"/>
      <c r="C97" s="408" t="s">
        <v>120</v>
      </c>
      <c r="D97" s="277" t="s">
        <v>1094</v>
      </c>
      <c r="E97" s="445"/>
      <c r="F97" s="594"/>
      <c r="G97" s="481">
        <v>8323</v>
      </c>
      <c r="H97" s="481">
        <v>0</v>
      </c>
      <c r="I97" s="481">
        <v>8323</v>
      </c>
      <c r="J97" s="481"/>
      <c r="K97" s="481"/>
      <c r="L97" s="481">
        <f t="shared" si="5"/>
        <v>0</v>
      </c>
      <c r="M97" s="481">
        <f t="shared" si="6"/>
        <v>8323</v>
      </c>
      <c r="N97" s="481">
        <f t="shared" si="7"/>
        <v>0</v>
      </c>
      <c r="O97" s="481">
        <f t="shared" si="8"/>
        <v>8323</v>
      </c>
    </row>
    <row r="98" spans="1:15" ht="15" customHeight="1">
      <c r="A98" s="436"/>
      <c r="B98" s="436"/>
      <c r="C98" s="408" t="s">
        <v>121</v>
      </c>
      <c r="D98" s="277" t="s">
        <v>781</v>
      </c>
      <c r="E98" s="445"/>
      <c r="F98" s="594"/>
      <c r="G98" s="481">
        <v>2500</v>
      </c>
      <c r="H98" s="481">
        <v>0</v>
      </c>
      <c r="I98" s="481">
        <v>2500</v>
      </c>
      <c r="J98" s="481"/>
      <c r="K98" s="481"/>
      <c r="L98" s="481">
        <f t="shared" si="5"/>
        <v>0</v>
      </c>
      <c r="M98" s="481">
        <f t="shared" si="6"/>
        <v>2500</v>
      </c>
      <c r="N98" s="481">
        <f t="shared" si="7"/>
        <v>0</v>
      </c>
      <c r="O98" s="481">
        <f t="shared" si="8"/>
        <v>2500</v>
      </c>
    </row>
    <row r="99" spans="1:15" ht="15" customHeight="1">
      <c r="A99" s="436"/>
      <c r="B99" s="436"/>
      <c r="C99" s="408" t="s">
        <v>122</v>
      </c>
      <c r="D99" s="277" t="s">
        <v>782</v>
      </c>
      <c r="E99" s="445"/>
      <c r="F99" s="594"/>
      <c r="G99" s="481">
        <v>700</v>
      </c>
      <c r="H99" s="481">
        <v>0</v>
      </c>
      <c r="I99" s="481">
        <v>700</v>
      </c>
      <c r="J99" s="481"/>
      <c r="K99" s="481"/>
      <c r="L99" s="481">
        <f t="shared" si="5"/>
        <v>0</v>
      </c>
      <c r="M99" s="481">
        <f t="shared" si="6"/>
        <v>700</v>
      </c>
      <c r="N99" s="481">
        <f t="shared" si="7"/>
        <v>0</v>
      </c>
      <c r="O99" s="481">
        <f t="shared" si="8"/>
        <v>700</v>
      </c>
    </row>
    <row r="100" spans="1:15" ht="15" customHeight="1">
      <c r="A100" s="436"/>
      <c r="B100" s="436"/>
      <c r="C100" s="408" t="s">
        <v>123</v>
      </c>
      <c r="D100" s="277" t="s">
        <v>783</v>
      </c>
      <c r="E100" s="445"/>
      <c r="F100" s="594"/>
      <c r="G100" s="481">
        <v>0</v>
      </c>
      <c r="H100" s="481">
        <v>0</v>
      </c>
      <c r="I100" s="481">
        <v>0</v>
      </c>
      <c r="J100" s="481"/>
      <c r="K100" s="481"/>
      <c r="L100" s="481">
        <f t="shared" si="5"/>
        <v>0</v>
      </c>
      <c r="M100" s="481">
        <f t="shared" si="6"/>
        <v>0</v>
      </c>
      <c r="N100" s="481">
        <f t="shared" si="7"/>
        <v>0</v>
      </c>
      <c r="O100" s="481">
        <f t="shared" si="8"/>
        <v>0</v>
      </c>
    </row>
    <row r="101" spans="1:15" ht="15" customHeight="1">
      <c r="A101" s="436"/>
      <c r="B101" s="436"/>
      <c r="C101" s="408" t="s">
        <v>124</v>
      </c>
      <c r="D101" s="277" t="s">
        <v>784</v>
      </c>
      <c r="E101" s="445"/>
      <c r="F101" s="594"/>
      <c r="G101" s="481">
        <v>0</v>
      </c>
      <c r="H101" s="481">
        <v>0</v>
      </c>
      <c r="I101" s="481">
        <v>0</v>
      </c>
      <c r="J101" s="481"/>
      <c r="K101" s="481"/>
      <c r="L101" s="481">
        <f t="shared" si="5"/>
        <v>0</v>
      </c>
      <c r="M101" s="481">
        <f t="shared" si="6"/>
        <v>0</v>
      </c>
      <c r="N101" s="481">
        <f t="shared" si="7"/>
        <v>0</v>
      </c>
      <c r="O101" s="481">
        <f t="shared" si="8"/>
        <v>0</v>
      </c>
    </row>
    <row r="102" spans="1:15" ht="15" customHeight="1">
      <c r="A102" s="436"/>
      <c r="B102" s="436"/>
      <c r="C102" s="408" t="s">
        <v>125</v>
      </c>
      <c r="D102" s="277" t="s">
        <v>785</v>
      </c>
      <c r="E102" s="445"/>
      <c r="F102" s="594"/>
      <c r="G102" s="481">
        <v>3000</v>
      </c>
      <c r="H102" s="481">
        <v>0</v>
      </c>
      <c r="I102" s="481">
        <v>3000</v>
      </c>
      <c r="J102" s="481"/>
      <c r="K102" s="481"/>
      <c r="L102" s="481">
        <f t="shared" si="5"/>
        <v>0</v>
      </c>
      <c r="M102" s="481">
        <f t="shared" si="6"/>
        <v>3000</v>
      </c>
      <c r="N102" s="481">
        <f t="shared" si="7"/>
        <v>0</v>
      </c>
      <c r="O102" s="481">
        <f t="shared" si="8"/>
        <v>3000</v>
      </c>
    </row>
    <row r="103" spans="1:15" ht="15" customHeight="1">
      <c r="A103" s="436"/>
      <c r="B103" s="436"/>
      <c r="C103" s="408" t="s">
        <v>126</v>
      </c>
      <c r="D103" s="277" t="s">
        <v>786</v>
      </c>
      <c r="E103" s="445"/>
      <c r="F103" s="594"/>
      <c r="G103" s="481">
        <v>2000</v>
      </c>
      <c r="H103" s="481">
        <v>0</v>
      </c>
      <c r="I103" s="481">
        <v>2000</v>
      </c>
      <c r="J103" s="481"/>
      <c r="K103" s="481"/>
      <c r="L103" s="481">
        <f t="shared" si="5"/>
        <v>0</v>
      </c>
      <c r="M103" s="481">
        <f t="shared" si="6"/>
        <v>2000</v>
      </c>
      <c r="N103" s="481">
        <f t="shared" si="7"/>
        <v>0</v>
      </c>
      <c r="O103" s="481">
        <f t="shared" si="8"/>
        <v>2000</v>
      </c>
    </row>
    <row r="104" spans="1:15" ht="15" customHeight="1">
      <c r="A104" s="436"/>
      <c r="B104" s="436"/>
      <c r="C104" s="408" t="s">
        <v>127</v>
      </c>
      <c r="D104" s="277" t="s">
        <v>787</v>
      </c>
      <c r="E104" s="445"/>
      <c r="F104" s="594"/>
      <c r="G104" s="481">
        <v>1500</v>
      </c>
      <c r="H104" s="481">
        <v>0</v>
      </c>
      <c r="I104" s="481">
        <v>1500</v>
      </c>
      <c r="J104" s="481"/>
      <c r="K104" s="481"/>
      <c r="L104" s="481">
        <f t="shared" si="5"/>
        <v>0</v>
      </c>
      <c r="M104" s="481">
        <f t="shared" si="6"/>
        <v>1500</v>
      </c>
      <c r="N104" s="481">
        <f t="shared" si="7"/>
        <v>0</v>
      </c>
      <c r="O104" s="481">
        <f t="shared" si="8"/>
        <v>1500</v>
      </c>
    </row>
    <row r="105" spans="1:15" ht="24.75" customHeight="1">
      <c r="A105" s="436"/>
      <c r="B105" s="436"/>
      <c r="C105" s="408" t="s">
        <v>128</v>
      </c>
      <c r="D105" s="277" t="s">
        <v>788</v>
      </c>
      <c r="E105" s="445"/>
      <c r="F105" s="594"/>
      <c r="G105" s="481">
        <v>0</v>
      </c>
      <c r="H105" s="481">
        <v>0</v>
      </c>
      <c r="I105" s="481">
        <v>0</v>
      </c>
      <c r="J105" s="481"/>
      <c r="K105" s="481"/>
      <c r="L105" s="481">
        <f t="shared" si="5"/>
        <v>0</v>
      </c>
      <c r="M105" s="481">
        <f t="shared" si="6"/>
        <v>0</v>
      </c>
      <c r="N105" s="481">
        <f t="shared" si="7"/>
        <v>0</v>
      </c>
      <c r="O105" s="481">
        <f t="shared" si="8"/>
        <v>0</v>
      </c>
    </row>
    <row r="106" spans="1:15" ht="15" customHeight="1">
      <c r="A106" s="436"/>
      <c r="B106" s="436"/>
      <c r="C106" s="408" t="s">
        <v>789</v>
      </c>
      <c r="D106" s="288" t="s">
        <v>790</v>
      </c>
      <c r="E106" s="445"/>
      <c r="F106" s="594"/>
      <c r="G106" s="481">
        <v>1000</v>
      </c>
      <c r="H106" s="481">
        <v>0</v>
      </c>
      <c r="I106" s="481">
        <v>1000</v>
      </c>
      <c r="J106" s="481"/>
      <c r="K106" s="481"/>
      <c r="L106" s="481">
        <f t="shared" si="5"/>
        <v>0</v>
      </c>
      <c r="M106" s="481">
        <f t="shared" si="6"/>
        <v>1000</v>
      </c>
      <c r="N106" s="481">
        <f t="shared" si="7"/>
        <v>0</v>
      </c>
      <c r="O106" s="481">
        <f t="shared" si="8"/>
        <v>1000</v>
      </c>
    </row>
    <row r="107" spans="1:15" ht="15" customHeight="1">
      <c r="A107" s="436"/>
      <c r="B107" s="436"/>
      <c r="C107" s="408" t="s">
        <v>791</v>
      </c>
      <c r="D107" s="288" t="s">
        <v>252</v>
      </c>
      <c r="E107" s="445"/>
      <c r="F107" s="594"/>
      <c r="G107" s="481">
        <v>11692</v>
      </c>
      <c r="H107" s="481">
        <v>0</v>
      </c>
      <c r="I107" s="481">
        <v>11692</v>
      </c>
      <c r="J107" s="481"/>
      <c r="K107" s="481"/>
      <c r="L107" s="481">
        <f t="shared" si="5"/>
        <v>0</v>
      </c>
      <c r="M107" s="481">
        <f t="shared" si="6"/>
        <v>11692</v>
      </c>
      <c r="N107" s="481">
        <f t="shared" si="7"/>
        <v>0</v>
      </c>
      <c r="O107" s="481">
        <f t="shared" si="8"/>
        <v>11692</v>
      </c>
    </row>
    <row r="108" spans="1:15" ht="23.25" customHeight="1">
      <c r="A108" s="436"/>
      <c r="B108" s="436"/>
      <c r="C108" s="408" t="s">
        <v>792</v>
      </c>
      <c r="D108" s="447" t="s">
        <v>793</v>
      </c>
      <c r="E108" s="445"/>
      <c r="F108" s="594"/>
      <c r="G108" s="481">
        <v>13640</v>
      </c>
      <c r="H108" s="481">
        <v>0</v>
      </c>
      <c r="I108" s="481">
        <v>13640</v>
      </c>
      <c r="J108" s="481"/>
      <c r="K108" s="481"/>
      <c r="L108" s="481">
        <f t="shared" si="5"/>
        <v>0</v>
      </c>
      <c r="M108" s="481">
        <f t="shared" si="6"/>
        <v>13640</v>
      </c>
      <c r="N108" s="481">
        <f t="shared" si="7"/>
        <v>0</v>
      </c>
      <c r="O108" s="481">
        <f t="shared" si="8"/>
        <v>13640</v>
      </c>
    </row>
    <row r="109" spans="1:15" ht="15" customHeight="1">
      <c r="A109" s="436"/>
      <c r="B109" s="436"/>
      <c r="C109" s="408" t="s">
        <v>794</v>
      </c>
      <c r="D109" s="288" t="s">
        <v>795</v>
      </c>
      <c r="E109" s="445"/>
      <c r="F109" s="594"/>
      <c r="G109" s="481">
        <v>3000</v>
      </c>
      <c r="H109" s="481">
        <v>0</v>
      </c>
      <c r="I109" s="481">
        <v>3000</v>
      </c>
      <c r="J109" s="481"/>
      <c r="K109" s="481"/>
      <c r="L109" s="481">
        <f t="shared" si="5"/>
        <v>0</v>
      </c>
      <c r="M109" s="481">
        <f t="shared" si="6"/>
        <v>3000</v>
      </c>
      <c r="N109" s="481">
        <f t="shared" si="7"/>
        <v>0</v>
      </c>
      <c r="O109" s="481">
        <f t="shared" si="8"/>
        <v>3000</v>
      </c>
    </row>
    <row r="110" spans="1:15" ht="15" customHeight="1">
      <c r="A110" s="436"/>
      <c r="B110" s="436"/>
      <c r="C110" s="408" t="s">
        <v>796</v>
      </c>
      <c r="D110" s="288" t="s">
        <v>797</v>
      </c>
      <c r="E110" s="445"/>
      <c r="F110" s="594"/>
      <c r="G110" s="481">
        <v>6702</v>
      </c>
      <c r="H110" s="481">
        <v>0</v>
      </c>
      <c r="I110" s="481">
        <v>6702</v>
      </c>
      <c r="J110" s="481"/>
      <c r="K110" s="481"/>
      <c r="L110" s="481">
        <f t="shared" si="5"/>
        <v>0</v>
      </c>
      <c r="M110" s="481">
        <f t="shared" si="6"/>
        <v>6702</v>
      </c>
      <c r="N110" s="481">
        <f t="shared" si="7"/>
        <v>0</v>
      </c>
      <c r="O110" s="481">
        <f t="shared" si="8"/>
        <v>6702</v>
      </c>
    </row>
    <row r="111" spans="1:15" ht="15" customHeight="1">
      <c r="A111" s="436"/>
      <c r="B111" s="436"/>
      <c r="C111" s="408" t="s">
        <v>798</v>
      </c>
      <c r="D111" s="288" t="s">
        <v>799</v>
      </c>
      <c r="E111" s="445"/>
      <c r="F111" s="594"/>
      <c r="G111" s="481">
        <v>997</v>
      </c>
      <c r="H111" s="481">
        <v>0</v>
      </c>
      <c r="I111" s="481">
        <v>997</v>
      </c>
      <c r="J111" s="481"/>
      <c r="K111" s="481"/>
      <c r="L111" s="481">
        <f t="shared" si="5"/>
        <v>0</v>
      </c>
      <c r="M111" s="481">
        <f t="shared" si="6"/>
        <v>997</v>
      </c>
      <c r="N111" s="481">
        <f t="shared" si="7"/>
        <v>0</v>
      </c>
      <c r="O111" s="481">
        <f t="shared" si="8"/>
        <v>997</v>
      </c>
    </row>
    <row r="112" spans="1:15" ht="15" customHeight="1">
      <c r="A112" s="436"/>
      <c r="B112" s="436"/>
      <c r="C112" s="408" t="s">
        <v>800</v>
      </c>
      <c r="D112" s="288" t="s">
        <v>801</v>
      </c>
      <c r="E112" s="445"/>
      <c r="F112" s="594"/>
      <c r="G112" s="481">
        <v>3114</v>
      </c>
      <c r="H112" s="481">
        <v>0</v>
      </c>
      <c r="I112" s="481">
        <v>3114</v>
      </c>
      <c r="J112" s="481"/>
      <c r="K112" s="481"/>
      <c r="L112" s="481">
        <f t="shared" si="5"/>
        <v>0</v>
      </c>
      <c r="M112" s="481">
        <f t="shared" si="6"/>
        <v>3114</v>
      </c>
      <c r="N112" s="481">
        <f t="shared" si="7"/>
        <v>0</v>
      </c>
      <c r="O112" s="481">
        <f t="shared" si="8"/>
        <v>3114</v>
      </c>
    </row>
    <row r="113" spans="1:15" ht="12.75" customHeight="1">
      <c r="A113" s="436"/>
      <c r="B113" s="436"/>
      <c r="C113" s="408" t="s">
        <v>802</v>
      </c>
      <c r="D113" s="288" t="s">
        <v>803</v>
      </c>
      <c r="E113" s="445"/>
      <c r="F113" s="594"/>
      <c r="G113" s="481">
        <v>3086</v>
      </c>
      <c r="H113" s="481">
        <v>0</v>
      </c>
      <c r="I113" s="481">
        <v>3086</v>
      </c>
      <c r="J113" s="481"/>
      <c r="K113" s="481"/>
      <c r="L113" s="481">
        <f t="shared" si="5"/>
        <v>0</v>
      </c>
      <c r="M113" s="481">
        <f t="shared" si="6"/>
        <v>3086</v>
      </c>
      <c r="N113" s="481">
        <f t="shared" si="7"/>
        <v>0</v>
      </c>
      <c r="O113" s="481">
        <f t="shared" si="8"/>
        <v>3086</v>
      </c>
    </row>
    <row r="114" spans="1:15" ht="24.75" customHeight="1">
      <c r="A114" s="436"/>
      <c r="B114" s="436"/>
      <c r="C114" s="408" t="s">
        <v>804</v>
      </c>
      <c r="D114" s="288" t="s">
        <v>805</v>
      </c>
      <c r="E114" s="445"/>
      <c r="F114" s="594"/>
      <c r="G114" s="481">
        <v>6605</v>
      </c>
      <c r="H114" s="481">
        <v>0</v>
      </c>
      <c r="I114" s="481">
        <v>6605</v>
      </c>
      <c r="J114" s="481"/>
      <c r="K114" s="481"/>
      <c r="L114" s="481">
        <f t="shared" si="5"/>
        <v>0</v>
      </c>
      <c r="M114" s="481">
        <f t="shared" si="6"/>
        <v>6605</v>
      </c>
      <c r="N114" s="481">
        <f t="shared" si="7"/>
        <v>0</v>
      </c>
      <c r="O114" s="481">
        <f t="shared" si="8"/>
        <v>6605</v>
      </c>
    </row>
    <row r="115" spans="1:15" ht="15" customHeight="1">
      <c r="A115" s="436"/>
      <c r="B115" s="436"/>
      <c r="C115" s="408" t="s">
        <v>806</v>
      </c>
      <c r="D115" s="288" t="s">
        <v>101</v>
      </c>
      <c r="E115" s="445"/>
      <c r="F115" s="594"/>
      <c r="G115" s="481">
        <v>2540</v>
      </c>
      <c r="H115" s="481">
        <v>0</v>
      </c>
      <c r="I115" s="481">
        <v>2540</v>
      </c>
      <c r="J115" s="481"/>
      <c r="K115" s="481"/>
      <c r="L115" s="481">
        <f t="shared" si="5"/>
        <v>0</v>
      </c>
      <c r="M115" s="481">
        <f t="shared" si="6"/>
        <v>2540</v>
      </c>
      <c r="N115" s="481">
        <f t="shared" si="7"/>
        <v>0</v>
      </c>
      <c r="O115" s="481">
        <f t="shared" si="8"/>
        <v>2540</v>
      </c>
    </row>
    <row r="116" spans="1:15" ht="12.75" customHeight="1">
      <c r="A116" s="436"/>
      <c r="B116" s="436"/>
      <c r="C116" s="408" t="s">
        <v>807</v>
      </c>
      <c r="D116" s="448" t="s">
        <v>258</v>
      </c>
      <c r="E116" s="445"/>
      <c r="F116" s="594"/>
      <c r="G116" s="481">
        <v>0</v>
      </c>
      <c r="H116" s="481">
        <v>0</v>
      </c>
      <c r="I116" s="481">
        <v>0</v>
      </c>
      <c r="J116" s="481"/>
      <c r="K116" s="481"/>
      <c r="L116" s="481">
        <f t="shared" si="5"/>
        <v>0</v>
      </c>
      <c r="M116" s="481">
        <f t="shared" si="6"/>
        <v>0</v>
      </c>
      <c r="N116" s="481">
        <f t="shared" si="7"/>
        <v>0</v>
      </c>
      <c r="O116" s="481">
        <f t="shared" si="8"/>
        <v>0</v>
      </c>
    </row>
    <row r="117" spans="1:15" ht="12.75" customHeight="1">
      <c r="A117" s="436"/>
      <c r="B117" s="436"/>
      <c r="C117" s="408" t="s">
        <v>808</v>
      </c>
      <c r="D117" s="448" t="s">
        <v>809</v>
      </c>
      <c r="E117" s="445"/>
      <c r="F117" s="594"/>
      <c r="G117" s="481">
        <v>1746</v>
      </c>
      <c r="H117" s="481">
        <v>0</v>
      </c>
      <c r="I117" s="481">
        <v>1746</v>
      </c>
      <c r="J117" s="481"/>
      <c r="K117" s="481"/>
      <c r="L117" s="481">
        <f t="shared" si="5"/>
        <v>0</v>
      </c>
      <c r="M117" s="481">
        <f t="shared" si="6"/>
        <v>1746</v>
      </c>
      <c r="N117" s="481">
        <f t="shared" si="7"/>
        <v>0</v>
      </c>
      <c r="O117" s="481">
        <f t="shared" si="8"/>
        <v>1746</v>
      </c>
    </row>
    <row r="118" spans="1:15" ht="15" customHeight="1">
      <c r="A118" s="436"/>
      <c r="B118" s="436"/>
      <c r="C118" s="408" t="s">
        <v>810</v>
      </c>
      <c r="D118" s="447" t="s">
        <v>811</v>
      </c>
      <c r="E118" s="318"/>
      <c r="F118" s="594"/>
      <c r="G118" s="481">
        <v>11426</v>
      </c>
      <c r="H118" s="481">
        <v>0</v>
      </c>
      <c r="I118" s="481">
        <v>11426</v>
      </c>
      <c r="J118" s="481"/>
      <c r="K118" s="481"/>
      <c r="L118" s="481">
        <f t="shared" si="5"/>
        <v>0</v>
      </c>
      <c r="M118" s="481">
        <f t="shared" si="6"/>
        <v>11426</v>
      </c>
      <c r="N118" s="481">
        <f t="shared" si="7"/>
        <v>0</v>
      </c>
      <c r="O118" s="481">
        <f t="shared" si="8"/>
        <v>11426</v>
      </c>
    </row>
    <row r="119" spans="1:15" ht="24.75" customHeight="1">
      <c r="A119" s="436"/>
      <c r="B119" s="436"/>
      <c r="C119" s="408" t="s">
        <v>812</v>
      </c>
      <c r="D119" s="288" t="s">
        <v>813</v>
      </c>
      <c r="E119" s="318"/>
      <c r="F119" s="594"/>
      <c r="G119" s="481">
        <v>2000</v>
      </c>
      <c r="H119" s="481">
        <v>0</v>
      </c>
      <c r="I119" s="481">
        <v>2000</v>
      </c>
      <c r="J119" s="481"/>
      <c r="K119" s="481"/>
      <c r="L119" s="481">
        <f t="shared" si="5"/>
        <v>0</v>
      </c>
      <c r="M119" s="481">
        <f t="shared" si="6"/>
        <v>2000</v>
      </c>
      <c r="N119" s="481">
        <f t="shared" si="7"/>
        <v>0</v>
      </c>
      <c r="O119" s="481">
        <f t="shared" si="8"/>
        <v>2000</v>
      </c>
    </row>
    <row r="120" spans="1:15" ht="15" customHeight="1">
      <c r="A120" s="436"/>
      <c r="B120" s="436"/>
      <c r="C120" s="408" t="s">
        <v>814</v>
      </c>
      <c r="D120" s="288" t="s">
        <v>815</v>
      </c>
      <c r="E120" s="318"/>
      <c r="F120" s="594"/>
      <c r="G120" s="481">
        <v>5726</v>
      </c>
      <c r="H120" s="481">
        <v>0</v>
      </c>
      <c r="I120" s="481">
        <v>5726</v>
      </c>
      <c r="J120" s="481"/>
      <c r="K120" s="481"/>
      <c r="L120" s="481">
        <f t="shared" si="5"/>
        <v>0</v>
      </c>
      <c r="M120" s="481">
        <f t="shared" si="6"/>
        <v>5726</v>
      </c>
      <c r="N120" s="481">
        <f t="shared" si="7"/>
        <v>0</v>
      </c>
      <c r="O120" s="481">
        <f t="shared" si="8"/>
        <v>5726</v>
      </c>
    </row>
    <row r="121" spans="1:15" ht="15" customHeight="1">
      <c r="A121" s="436"/>
      <c r="B121" s="436"/>
      <c r="C121" s="408" t="s">
        <v>816</v>
      </c>
      <c r="D121" s="288" t="s">
        <v>817</v>
      </c>
      <c r="E121" s="318"/>
      <c r="F121" s="594"/>
      <c r="G121" s="481">
        <v>0</v>
      </c>
      <c r="H121" s="481">
        <v>0</v>
      </c>
      <c r="I121" s="481">
        <v>0</v>
      </c>
      <c r="J121" s="481"/>
      <c r="K121" s="481"/>
      <c r="L121" s="481">
        <f t="shared" si="5"/>
        <v>0</v>
      </c>
      <c r="M121" s="481">
        <f t="shared" si="6"/>
        <v>0</v>
      </c>
      <c r="N121" s="481">
        <f t="shared" si="7"/>
        <v>0</v>
      </c>
      <c r="O121" s="481">
        <f t="shared" si="8"/>
        <v>0</v>
      </c>
    </row>
    <row r="122" spans="1:15" ht="15" customHeight="1">
      <c r="A122" s="436"/>
      <c r="B122" s="436"/>
      <c r="C122" s="408" t="s">
        <v>818</v>
      </c>
      <c r="D122" s="288" t="s">
        <v>819</v>
      </c>
      <c r="E122" s="318"/>
      <c r="F122" s="594"/>
      <c r="G122" s="481">
        <v>18</v>
      </c>
      <c r="H122" s="481">
        <v>0</v>
      </c>
      <c r="I122" s="481">
        <v>18</v>
      </c>
      <c r="J122" s="481"/>
      <c r="K122" s="481"/>
      <c r="L122" s="481">
        <f t="shared" si="5"/>
        <v>0</v>
      </c>
      <c r="M122" s="481">
        <f t="shared" si="6"/>
        <v>18</v>
      </c>
      <c r="N122" s="481">
        <f t="shared" si="7"/>
        <v>0</v>
      </c>
      <c r="O122" s="481">
        <f t="shared" si="8"/>
        <v>18</v>
      </c>
    </row>
    <row r="123" spans="1:15" ht="15" customHeight="1">
      <c r="A123" s="436"/>
      <c r="B123" s="436"/>
      <c r="C123" s="408" t="s">
        <v>820</v>
      </c>
      <c r="D123" s="288" t="s">
        <v>821</v>
      </c>
      <c r="E123" s="318"/>
      <c r="F123" s="594"/>
      <c r="G123" s="481">
        <v>3000</v>
      </c>
      <c r="H123" s="481">
        <v>0</v>
      </c>
      <c r="I123" s="481">
        <v>3000</v>
      </c>
      <c r="J123" s="481"/>
      <c r="K123" s="481"/>
      <c r="L123" s="481">
        <f t="shared" si="5"/>
        <v>0</v>
      </c>
      <c r="M123" s="481">
        <f t="shared" si="6"/>
        <v>3000</v>
      </c>
      <c r="N123" s="481">
        <f t="shared" si="7"/>
        <v>0</v>
      </c>
      <c r="O123" s="481">
        <f t="shared" si="8"/>
        <v>3000</v>
      </c>
    </row>
    <row r="124" spans="1:15" ht="15" customHeight="1">
      <c r="A124" s="436"/>
      <c r="B124" s="436"/>
      <c r="C124" s="408" t="s">
        <v>822</v>
      </c>
      <c r="D124" s="288" t="s">
        <v>823</v>
      </c>
      <c r="E124" s="318"/>
      <c r="F124" s="594"/>
      <c r="G124" s="481">
        <v>2369</v>
      </c>
      <c r="H124" s="481">
        <v>0</v>
      </c>
      <c r="I124" s="481">
        <v>2369</v>
      </c>
      <c r="J124" s="481"/>
      <c r="K124" s="481"/>
      <c r="L124" s="481">
        <f t="shared" si="5"/>
        <v>0</v>
      </c>
      <c r="M124" s="481">
        <f t="shared" si="6"/>
        <v>2369</v>
      </c>
      <c r="N124" s="481">
        <f t="shared" si="7"/>
        <v>0</v>
      </c>
      <c r="O124" s="481">
        <f t="shared" si="8"/>
        <v>2369</v>
      </c>
    </row>
    <row r="125" spans="1:15" ht="15" customHeight="1">
      <c r="A125" s="436"/>
      <c r="B125" s="436"/>
      <c r="C125" s="408" t="s">
        <v>824</v>
      </c>
      <c r="D125" s="449" t="s">
        <v>825</v>
      </c>
      <c r="E125" s="318"/>
      <c r="F125" s="594"/>
      <c r="G125" s="481">
        <v>1052</v>
      </c>
      <c r="H125" s="481">
        <v>0</v>
      </c>
      <c r="I125" s="481">
        <v>1052</v>
      </c>
      <c r="J125" s="481"/>
      <c r="K125" s="481"/>
      <c r="L125" s="481">
        <f t="shared" si="5"/>
        <v>0</v>
      </c>
      <c r="M125" s="481">
        <f t="shared" si="6"/>
        <v>1052</v>
      </c>
      <c r="N125" s="481">
        <f t="shared" si="7"/>
        <v>0</v>
      </c>
      <c r="O125" s="481">
        <f t="shared" si="8"/>
        <v>1052</v>
      </c>
    </row>
    <row r="126" spans="1:15" ht="15" customHeight="1">
      <c r="A126" s="436"/>
      <c r="B126" s="436"/>
      <c r="C126" s="408" t="s">
        <v>263</v>
      </c>
      <c r="D126" s="449" t="s">
        <v>993</v>
      </c>
      <c r="E126" s="318"/>
      <c r="F126" s="594"/>
      <c r="G126" s="481">
        <v>12346</v>
      </c>
      <c r="H126" s="481"/>
      <c r="I126" s="481">
        <v>12346</v>
      </c>
      <c r="J126" s="481"/>
      <c r="K126" s="481"/>
      <c r="L126" s="481">
        <f>SUM(J126:K126)</f>
        <v>0</v>
      </c>
      <c r="M126" s="481">
        <f>SUM(G126+J126)</f>
        <v>12346</v>
      </c>
      <c r="N126" s="481"/>
      <c r="O126" s="481">
        <f>SUM(M126:N126)</f>
        <v>12346</v>
      </c>
    </row>
    <row r="127" spans="1:15" ht="15" customHeight="1">
      <c r="A127" s="436"/>
      <c r="B127" s="436"/>
      <c r="C127" s="408" t="s">
        <v>424</v>
      </c>
      <c r="D127" s="653" t="s">
        <v>429</v>
      </c>
      <c r="E127" s="318"/>
      <c r="F127" s="594"/>
      <c r="G127" s="481">
        <v>1408</v>
      </c>
      <c r="H127" s="481"/>
      <c r="I127" s="481">
        <v>1408</v>
      </c>
      <c r="J127" s="481"/>
      <c r="K127" s="481"/>
      <c r="L127" s="481">
        <f aca="true" t="shared" si="9" ref="L127:L134">SUM(J127:K127)</f>
        <v>0</v>
      </c>
      <c r="M127" s="481">
        <f aca="true" t="shared" si="10" ref="M127:M134">SUM(G127+J127)</f>
        <v>1408</v>
      </c>
      <c r="N127" s="481"/>
      <c r="O127" s="481">
        <f aca="true" t="shared" si="11" ref="O127:O134">SUM(M127:N127)</f>
        <v>1408</v>
      </c>
    </row>
    <row r="128" spans="1:15" ht="15" customHeight="1">
      <c r="A128" s="436"/>
      <c r="B128" s="436"/>
      <c r="C128" s="408" t="s">
        <v>425</v>
      </c>
      <c r="D128" s="653" t="s">
        <v>430</v>
      </c>
      <c r="E128" s="318"/>
      <c r="F128" s="594"/>
      <c r="G128" s="481">
        <v>0</v>
      </c>
      <c r="H128" s="481"/>
      <c r="I128" s="481">
        <v>0</v>
      </c>
      <c r="J128" s="481"/>
      <c r="K128" s="481"/>
      <c r="L128" s="481">
        <f t="shared" si="9"/>
        <v>0</v>
      </c>
      <c r="M128" s="481">
        <f t="shared" si="10"/>
        <v>0</v>
      </c>
      <c r="N128" s="481"/>
      <c r="O128" s="481">
        <f t="shared" si="11"/>
        <v>0</v>
      </c>
    </row>
    <row r="129" spans="1:15" ht="15" customHeight="1">
      <c r="A129" s="436"/>
      <c r="B129" s="436"/>
      <c r="C129" s="408" t="s">
        <v>426</v>
      </c>
      <c r="D129" s="653" t="s">
        <v>431</v>
      </c>
      <c r="E129" s="318"/>
      <c r="F129" s="594"/>
      <c r="G129" s="481">
        <v>1500</v>
      </c>
      <c r="H129" s="481"/>
      <c r="I129" s="481">
        <v>1500</v>
      </c>
      <c r="J129" s="481"/>
      <c r="K129" s="481"/>
      <c r="L129" s="481">
        <f t="shared" si="9"/>
        <v>0</v>
      </c>
      <c r="M129" s="481">
        <f t="shared" si="10"/>
        <v>1500</v>
      </c>
      <c r="N129" s="481"/>
      <c r="O129" s="481">
        <f t="shared" si="11"/>
        <v>1500</v>
      </c>
    </row>
    <row r="130" spans="1:15" ht="15" customHeight="1">
      <c r="A130" s="436"/>
      <c r="B130" s="436"/>
      <c r="C130" s="408" t="s">
        <v>427</v>
      </c>
      <c r="D130" s="653" t="s">
        <v>432</v>
      </c>
      <c r="E130" s="318"/>
      <c r="F130" s="594"/>
      <c r="G130" s="481">
        <v>1645</v>
      </c>
      <c r="H130" s="481"/>
      <c r="I130" s="481">
        <v>1645</v>
      </c>
      <c r="J130" s="481"/>
      <c r="K130" s="481"/>
      <c r="L130" s="481">
        <f t="shared" si="9"/>
        <v>0</v>
      </c>
      <c r="M130" s="481">
        <f t="shared" si="10"/>
        <v>1645</v>
      </c>
      <c r="N130" s="481"/>
      <c r="O130" s="481">
        <f t="shared" si="11"/>
        <v>1645</v>
      </c>
    </row>
    <row r="131" spans="1:15" ht="15" customHeight="1">
      <c r="A131" s="436"/>
      <c r="B131" s="436"/>
      <c r="C131" s="408" t="s">
        <v>428</v>
      </c>
      <c r="D131" s="653" t="s">
        <v>433</v>
      </c>
      <c r="E131" s="318"/>
      <c r="F131" s="594"/>
      <c r="G131" s="481">
        <v>4831</v>
      </c>
      <c r="H131" s="481"/>
      <c r="I131" s="481">
        <v>4831</v>
      </c>
      <c r="J131" s="481"/>
      <c r="K131" s="481"/>
      <c r="L131" s="481">
        <f t="shared" si="9"/>
        <v>0</v>
      </c>
      <c r="M131" s="481">
        <f t="shared" si="10"/>
        <v>4831</v>
      </c>
      <c r="N131" s="481"/>
      <c r="O131" s="481">
        <f t="shared" si="11"/>
        <v>4831</v>
      </c>
    </row>
    <row r="132" spans="1:15" ht="15" customHeight="1">
      <c r="A132" s="436"/>
      <c r="B132" s="436"/>
      <c r="C132" s="408" t="s">
        <v>435</v>
      </c>
      <c r="D132" s="653" t="s">
        <v>434</v>
      </c>
      <c r="E132" s="318"/>
      <c r="F132" s="594"/>
      <c r="G132" s="481">
        <v>13081</v>
      </c>
      <c r="H132" s="481"/>
      <c r="I132" s="481">
        <v>13081</v>
      </c>
      <c r="J132" s="481"/>
      <c r="K132" s="481"/>
      <c r="L132" s="481">
        <f t="shared" si="9"/>
        <v>0</v>
      </c>
      <c r="M132" s="481">
        <f t="shared" si="10"/>
        <v>13081</v>
      </c>
      <c r="N132" s="481"/>
      <c r="O132" s="481">
        <f t="shared" si="11"/>
        <v>13081</v>
      </c>
    </row>
    <row r="133" spans="1:15" ht="15" customHeight="1">
      <c r="A133" s="436"/>
      <c r="B133" s="436"/>
      <c r="C133" s="408" t="s">
        <v>665</v>
      </c>
      <c r="D133" s="653" t="s">
        <v>666</v>
      </c>
      <c r="E133" s="318"/>
      <c r="F133" s="594"/>
      <c r="G133" s="481">
        <v>2000</v>
      </c>
      <c r="H133" s="481"/>
      <c r="I133" s="481">
        <v>2000</v>
      </c>
      <c r="J133" s="481"/>
      <c r="K133" s="481"/>
      <c r="L133" s="481">
        <f t="shared" si="9"/>
        <v>0</v>
      </c>
      <c r="M133" s="481">
        <f t="shared" si="10"/>
        <v>2000</v>
      </c>
      <c r="N133" s="481"/>
      <c r="O133" s="481">
        <f t="shared" si="11"/>
        <v>2000</v>
      </c>
    </row>
    <row r="134" spans="1:15" ht="15" customHeight="1">
      <c r="A134" s="436"/>
      <c r="B134" s="436"/>
      <c r="C134" s="408" t="s">
        <v>658</v>
      </c>
      <c r="D134" s="288" t="s">
        <v>358</v>
      </c>
      <c r="E134" s="318"/>
      <c r="F134" s="594"/>
      <c r="G134" s="481">
        <v>3023</v>
      </c>
      <c r="H134" s="481"/>
      <c r="I134" s="481">
        <v>3023</v>
      </c>
      <c r="J134" s="481"/>
      <c r="K134" s="481"/>
      <c r="L134" s="481">
        <f t="shared" si="9"/>
        <v>0</v>
      </c>
      <c r="M134" s="481">
        <f t="shared" si="10"/>
        <v>3023</v>
      </c>
      <c r="N134" s="481"/>
      <c r="O134" s="481">
        <f t="shared" si="11"/>
        <v>3023</v>
      </c>
    </row>
    <row r="135" spans="1:15" ht="12.75" customHeight="1">
      <c r="A135" s="436"/>
      <c r="B135" s="436"/>
      <c r="C135" s="436"/>
      <c r="D135" s="450" t="s">
        <v>318</v>
      </c>
      <c r="E135" s="318"/>
      <c r="F135" s="594"/>
      <c r="G135" s="481">
        <v>0</v>
      </c>
      <c r="H135" s="481">
        <v>0</v>
      </c>
      <c r="I135" s="481">
        <v>0</v>
      </c>
      <c r="J135" s="481"/>
      <c r="K135" s="481"/>
      <c r="L135" s="481">
        <f t="shared" si="5"/>
        <v>0</v>
      </c>
      <c r="M135" s="481">
        <f t="shared" si="6"/>
        <v>0</v>
      </c>
      <c r="N135" s="481">
        <f t="shared" si="7"/>
        <v>0</v>
      </c>
      <c r="O135" s="481">
        <f t="shared" si="8"/>
        <v>0</v>
      </c>
    </row>
    <row r="136" spans="1:15" ht="12.75" customHeight="1">
      <c r="A136" s="436"/>
      <c r="B136" s="436"/>
      <c r="C136" s="408" t="s">
        <v>129</v>
      </c>
      <c r="D136" s="447" t="s">
        <v>1093</v>
      </c>
      <c r="E136" s="318"/>
      <c r="F136" s="594"/>
      <c r="G136" s="481">
        <v>0</v>
      </c>
      <c r="H136" s="481">
        <v>0</v>
      </c>
      <c r="I136" s="481">
        <v>0</v>
      </c>
      <c r="J136" s="481"/>
      <c r="K136" s="481"/>
      <c r="L136" s="481">
        <f t="shared" si="5"/>
        <v>0</v>
      </c>
      <c r="M136" s="481">
        <f t="shared" si="6"/>
        <v>0</v>
      </c>
      <c r="N136" s="481">
        <f t="shared" si="7"/>
        <v>0</v>
      </c>
      <c r="O136" s="481">
        <f t="shared" si="8"/>
        <v>0</v>
      </c>
    </row>
    <row r="137" spans="1:15" ht="12.75" customHeight="1">
      <c r="A137" s="436"/>
      <c r="B137" s="436"/>
      <c r="C137" s="408" t="s">
        <v>130</v>
      </c>
      <c r="D137" s="447" t="s">
        <v>826</v>
      </c>
      <c r="E137" s="318"/>
      <c r="F137" s="594"/>
      <c r="G137" s="481">
        <v>0</v>
      </c>
      <c r="H137" s="481">
        <v>0</v>
      </c>
      <c r="I137" s="481">
        <v>0</v>
      </c>
      <c r="J137" s="481"/>
      <c r="K137" s="481"/>
      <c r="L137" s="481">
        <f t="shared" si="5"/>
        <v>0</v>
      </c>
      <c r="M137" s="481">
        <f t="shared" si="6"/>
        <v>0</v>
      </c>
      <c r="N137" s="481">
        <f t="shared" si="7"/>
        <v>0</v>
      </c>
      <c r="O137" s="481">
        <f t="shared" si="8"/>
        <v>0</v>
      </c>
    </row>
    <row r="138" spans="1:15" ht="15" customHeight="1">
      <c r="A138" s="436"/>
      <c r="B138" s="436"/>
      <c r="C138" s="408" t="s">
        <v>131</v>
      </c>
      <c r="D138" s="447" t="s">
        <v>1095</v>
      </c>
      <c r="E138" s="318"/>
      <c r="F138" s="594"/>
      <c r="G138" s="481">
        <v>3925</v>
      </c>
      <c r="H138" s="481">
        <v>0</v>
      </c>
      <c r="I138" s="481">
        <v>3925</v>
      </c>
      <c r="J138" s="481"/>
      <c r="K138" s="481"/>
      <c r="L138" s="481">
        <f t="shared" si="5"/>
        <v>0</v>
      </c>
      <c r="M138" s="481">
        <f t="shared" si="6"/>
        <v>3925</v>
      </c>
      <c r="N138" s="481">
        <f t="shared" si="7"/>
        <v>0</v>
      </c>
      <c r="O138" s="481">
        <f t="shared" si="8"/>
        <v>3925</v>
      </c>
    </row>
    <row r="139" spans="1:15" ht="12.75" customHeight="1">
      <c r="A139" s="436"/>
      <c r="B139" s="436"/>
      <c r="C139" s="408" t="s">
        <v>132</v>
      </c>
      <c r="D139" s="451" t="s">
        <v>1096</v>
      </c>
      <c r="E139" s="318"/>
      <c r="F139" s="594"/>
      <c r="G139" s="481">
        <v>19228</v>
      </c>
      <c r="H139" s="481">
        <v>0</v>
      </c>
      <c r="I139" s="481">
        <v>19228</v>
      </c>
      <c r="J139" s="481"/>
      <c r="K139" s="481"/>
      <c r="L139" s="481">
        <f t="shared" si="5"/>
        <v>0</v>
      </c>
      <c r="M139" s="481">
        <f t="shared" si="6"/>
        <v>19228</v>
      </c>
      <c r="N139" s="481">
        <f t="shared" si="7"/>
        <v>0</v>
      </c>
      <c r="O139" s="481">
        <f t="shared" si="8"/>
        <v>19228</v>
      </c>
    </row>
    <row r="140" spans="1:15" ht="24.75" customHeight="1">
      <c r="A140" s="436"/>
      <c r="B140" s="436"/>
      <c r="C140" s="408" t="s">
        <v>133</v>
      </c>
      <c r="D140" s="452" t="s">
        <v>97</v>
      </c>
      <c r="E140" s="318"/>
      <c r="F140" s="594"/>
      <c r="G140" s="481">
        <v>629</v>
      </c>
      <c r="H140" s="481">
        <v>0</v>
      </c>
      <c r="I140" s="481">
        <v>629</v>
      </c>
      <c r="J140" s="481"/>
      <c r="K140" s="481"/>
      <c r="L140" s="481">
        <f t="shared" si="5"/>
        <v>0</v>
      </c>
      <c r="M140" s="481">
        <f t="shared" si="6"/>
        <v>629</v>
      </c>
      <c r="N140" s="481">
        <f t="shared" si="7"/>
        <v>0</v>
      </c>
      <c r="O140" s="481">
        <f t="shared" si="8"/>
        <v>629</v>
      </c>
    </row>
    <row r="141" spans="1:15" ht="12.75" customHeight="1">
      <c r="A141" s="436"/>
      <c r="B141" s="436"/>
      <c r="C141" s="408" t="s">
        <v>134</v>
      </c>
      <c r="D141" s="453" t="s">
        <v>1097</v>
      </c>
      <c r="E141" s="318"/>
      <c r="F141" s="594"/>
      <c r="G141" s="481">
        <v>11281</v>
      </c>
      <c r="H141" s="481">
        <v>0</v>
      </c>
      <c r="I141" s="481">
        <v>11281</v>
      </c>
      <c r="J141" s="481"/>
      <c r="K141" s="481"/>
      <c r="L141" s="481">
        <f t="shared" si="5"/>
        <v>0</v>
      </c>
      <c r="M141" s="481">
        <f t="shared" si="6"/>
        <v>11281</v>
      </c>
      <c r="N141" s="481">
        <f t="shared" si="7"/>
        <v>0</v>
      </c>
      <c r="O141" s="481">
        <f t="shared" si="8"/>
        <v>11281</v>
      </c>
    </row>
    <row r="142" spans="1:15" ht="12.75" customHeight="1">
      <c r="A142" s="436"/>
      <c r="B142" s="436"/>
      <c r="C142" s="408" t="s">
        <v>135</v>
      </c>
      <c r="D142" s="447" t="s">
        <v>827</v>
      </c>
      <c r="E142" s="318"/>
      <c r="F142" s="594"/>
      <c r="G142" s="481">
        <v>387</v>
      </c>
      <c r="H142" s="481">
        <v>0</v>
      </c>
      <c r="I142" s="481">
        <v>387</v>
      </c>
      <c r="J142" s="481"/>
      <c r="K142" s="481"/>
      <c r="L142" s="481">
        <f t="shared" si="5"/>
        <v>0</v>
      </c>
      <c r="M142" s="481">
        <f t="shared" si="6"/>
        <v>387</v>
      </c>
      <c r="N142" s="481">
        <f t="shared" si="7"/>
        <v>0</v>
      </c>
      <c r="O142" s="481">
        <f t="shared" si="8"/>
        <v>387</v>
      </c>
    </row>
    <row r="143" spans="1:15" ht="12.75" customHeight="1">
      <c r="A143" s="436"/>
      <c r="B143" s="436"/>
      <c r="C143" s="408" t="s">
        <v>136</v>
      </c>
      <c r="D143" s="447" t="s">
        <v>1098</v>
      </c>
      <c r="E143" s="318"/>
      <c r="F143" s="594"/>
      <c r="G143" s="481">
        <v>2000</v>
      </c>
      <c r="H143" s="481">
        <v>0</v>
      </c>
      <c r="I143" s="481">
        <v>2000</v>
      </c>
      <c r="J143" s="481"/>
      <c r="K143" s="481"/>
      <c r="L143" s="481">
        <f t="shared" si="5"/>
        <v>0</v>
      </c>
      <c r="M143" s="481">
        <f t="shared" si="6"/>
        <v>2000</v>
      </c>
      <c r="N143" s="481">
        <f t="shared" si="7"/>
        <v>0</v>
      </c>
      <c r="O143" s="481">
        <f t="shared" si="8"/>
        <v>2000</v>
      </c>
    </row>
    <row r="144" spans="1:15" ht="12.75" customHeight="1">
      <c r="A144" s="436"/>
      <c r="B144" s="436"/>
      <c r="C144" s="408" t="s">
        <v>137</v>
      </c>
      <c r="D144" s="447" t="s">
        <v>1099</v>
      </c>
      <c r="E144" s="318"/>
      <c r="F144" s="594"/>
      <c r="G144" s="481">
        <v>1317</v>
      </c>
      <c r="H144" s="481">
        <v>0</v>
      </c>
      <c r="I144" s="481">
        <v>1317</v>
      </c>
      <c r="J144" s="481"/>
      <c r="K144" s="481"/>
      <c r="L144" s="481">
        <f t="shared" si="5"/>
        <v>0</v>
      </c>
      <c r="M144" s="481">
        <f t="shared" si="6"/>
        <v>1317</v>
      </c>
      <c r="N144" s="481">
        <f t="shared" si="7"/>
        <v>0</v>
      </c>
      <c r="O144" s="481">
        <f t="shared" si="8"/>
        <v>1317</v>
      </c>
    </row>
    <row r="145" spans="1:15" ht="15" customHeight="1">
      <c r="A145" s="436"/>
      <c r="B145" s="436"/>
      <c r="C145" s="408" t="s">
        <v>138</v>
      </c>
      <c r="D145" s="454" t="s">
        <v>100</v>
      </c>
      <c r="E145" s="318"/>
      <c r="F145" s="594"/>
      <c r="G145" s="481">
        <v>0</v>
      </c>
      <c r="H145" s="481">
        <v>0</v>
      </c>
      <c r="I145" s="481">
        <v>0</v>
      </c>
      <c r="J145" s="481"/>
      <c r="K145" s="481"/>
      <c r="L145" s="481">
        <f t="shared" si="5"/>
        <v>0</v>
      </c>
      <c r="M145" s="481">
        <f t="shared" si="6"/>
        <v>0</v>
      </c>
      <c r="N145" s="481">
        <f t="shared" si="7"/>
        <v>0</v>
      </c>
      <c r="O145" s="481">
        <f t="shared" si="8"/>
        <v>0</v>
      </c>
    </row>
    <row r="146" spans="1:15" ht="24.75" customHeight="1">
      <c r="A146" s="436"/>
      <c r="B146" s="436"/>
      <c r="C146" s="408" t="s">
        <v>139</v>
      </c>
      <c r="D146" s="455" t="s">
        <v>828</v>
      </c>
      <c r="E146" s="318"/>
      <c r="F146" s="594"/>
      <c r="G146" s="481">
        <v>0</v>
      </c>
      <c r="H146" s="481">
        <v>0</v>
      </c>
      <c r="I146" s="481">
        <v>0</v>
      </c>
      <c r="J146" s="481"/>
      <c r="K146" s="481"/>
      <c r="L146" s="481">
        <f t="shared" si="5"/>
        <v>0</v>
      </c>
      <c r="M146" s="481">
        <f t="shared" si="6"/>
        <v>0</v>
      </c>
      <c r="N146" s="481">
        <f t="shared" si="7"/>
        <v>0</v>
      </c>
      <c r="O146" s="481">
        <f t="shared" si="8"/>
        <v>0</v>
      </c>
    </row>
    <row r="147" spans="1:15" ht="12.75" customHeight="1">
      <c r="A147" s="436"/>
      <c r="B147" s="436"/>
      <c r="C147" s="408" t="s">
        <v>140</v>
      </c>
      <c r="D147" s="455" t="s">
        <v>253</v>
      </c>
      <c r="E147" s="318"/>
      <c r="F147" s="594"/>
      <c r="G147" s="481">
        <v>0</v>
      </c>
      <c r="H147" s="481">
        <v>0</v>
      </c>
      <c r="I147" s="481">
        <v>0</v>
      </c>
      <c r="J147" s="481"/>
      <c r="K147" s="481"/>
      <c r="L147" s="481">
        <f t="shared" si="5"/>
        <v>0</v>
      </c>
      <c r="M147" s="481">
        <f t="shared" si="6"/>
        <v>0</v>
      </c>
      <c r="N147" s="481">
        <f t="shared" si="7"/>
        <v>0</v>
      </c>
      <c r="O147" s="481">
        <f t="shared" si="8"/>
        <v>0</v>
      </c>
    </row>
    <row r="148" spans="1:15" ht="12.75" customHeight="1">
      <c r="A148" s="436"/>
      <c r="B148" s="436"/>
      <c r="C148" s="279" t="s">
        <v>177</v>
      </c>
      <c r="D148" s="280" t="s">
        <v>95</v>
      </c>
      <c r="E148" s="421"/>
      <c r="F148" s="597"/>
      <c r="G148" s="481"/>
      <c r="H148" s="481"/>
      <c r="I148" s="481"/>
      <c r="J148" s="481"/>
      <c r="K148" s="481"/>
      <c r="L148" s="481"/>
      <c r="M148" s="481"/>
      <c r="N148" s="481"/>
      <c r="O148" s="481"/>
    </row>
    <row r="149" spans="1:15" ht="12.75" customHeight="1">
      <c r="A149" s="436"/>
      <c r="B149" s="436"/>
      <c r="C149" s="285" t="s">
        <v>220</v>
      </c>
      <c r="D149" s="317" t="s">
        <v>829</v>
      </c>
      <c r="E149" s="421"/>
      <c r="F149" s="597"/>
      <c r="G149" s="481">
        <v>0</v>
      </c>
      <c r="H149" s="481">
        <v>0</v>
      </c>
      <c r="I149" s="481">
        <v>0</v>
      </c>
      <c r="J149" s="481"/>
      <c r="K149" s="481"/>
      <c r="L149" s="481">
        <f t="shared" si="5"/>
        <v>0</v>
      </c>
      <c r="M149" s="481">
        <f t="shared" si="6"/>
        <v>0</v>
      </c>
      <c r="N149" s="481">
        <f t="shared" si="7"/>
        <v>0</v>
      </c>
      <c r="O149" s="481">
        <f t="shared" si="8"/>
        <v>0</v>
      </c>
    </row>
    <row r="150" spans="1:15" ht="12.75" customHeight="1">
      <c r="A150" s="436"/>
      <c r="B150" s="436"/>
      <c r="C150" s="285" t="s">
        <v>221</v>
      </c>
      <c r="D150" s="317" t="s">
        <v>830</v>
      </c>
      <c r="E150" s="421"/>
      <c r="F150" s="597"/>
      <c r="G150" s="481">
        <v>0</v>
      </c>
      <c r="H150" s="481">
        <v>0</v>
      </c>
      <c r="I150" s="481">
        <v>0</v>
      </c>
      <c r="J150" s="481"/>
      <c r="K150" s="481"/>
      <c r="L150" s="481">
        <f t="shared" si="5"/>
        <v>0</v>
      </c>
      <c r="M150" s="481">
        <f t="shared" si="6"/>
        <v>0</v>
      </c>
      <c r="N150" s="481">
        <f t="shared" si="7"/>
        <v>0</v>
      </c>
      <c r="O150" s="481">
        <f t="shared" si="8"/>
        <v>0</v>
      </c>
    </row>
    <row r="151" spans="1:15" ht="12.75" customHeight="1">
      <c r="A151" s="436"/>
      <c r="B151" s="436"/>
      <c r="C151" s="285" t="s">
        <v>222</v>
      </c>
      <c r="D151" s="317" t="s">
        <v>831</v>
      </c>
      <c r="E151" s="421"/>
      <c r="F151" s="597" t="s">
        <v>25</v>
      </c>
      <c r="G151" s="481">
        <v>455</v>
      </c>
      <c r="H151" s="481">
        <v>0</v>
      </c>
      <c r="I151" s="481">
        <v>455</v>
      </c>
      <c r="J151" s="481">
        <v>-95</v>
      </c>
      <c r="K151" s="481"/>
      <c r="L151" s="481">
        <f t="shared" si="5"/>
        <v>-95</v>
      </c>
      <c r="M151" s="481">
        <f t="shared" si="6"/>
        <v>360</v>
      </c>
      <c r="N151" s="481">
        <f t="shared" si="7"/>
        <v>0</v>
      </c>
      <c r="O151" s="481">
        <f t="shared" si="8"/>
        <v>360</v>
      </c>
    </row>
    <row r="152" spans="1:15" ht="12.75" customHeight="1">
      <c r="A152" s="436"/>
      <c r="B152" s="436"/>
      <c r="C152" s="285" t="s">
        <v>223</v>
      </c>
      <c r="D152" s="271" t="s">
        <v>832</v>
      </c>
      <c r="E152" s="421"/>
      <c r="F152" s="597"/>
      <c r="G152" s="481">
        <v>0</v>
      </c>
      <c r="H152" s="481">
        <v>0</v>
      </c>
      <c r="I152" s="481">
        <v>0</v>
      </c>
      <c r="J152" s="481"/>
      <c r="K152" s="481"/>
      <c r="L152" s="481">
        <f t="shared" si="5"/>
        <v>0</v>
      </c>
      <c r="M152" s="481">
        <f t="shared" si="6"/>
        <v>0</v>
      </c>
      <c r="N152" s="481">
        <f t="shared" si="7"/>
        <v>0</v>
      </c>
      <c r="O152" s="481">
        <f t="shared" si="8"/>
        <v>0</v>
      </c>
    </row>
    <row r="153" spans="1:15" ht="12.75" customHeight="1">
      <c r="A153" s="436"/>
      <c r="B153" s="436"/>
      <c r="C153" s="285" t="s">
        <v>365</v>
      </c>
      <c r="D153" s="271" t="s">
        <v>833</v>
      </c>
      <c r="E153" s="421"/>
      <c r="F153" s="597" t="s">
        <v>25</v>
      </c>
      <c r="G153" s="481">
        <v>500</v>
      </c>
      <c r="H153" s="481">
        <v>0</v>
      </c>
      <c r="I153" s="481">
        <v>500</v>
      </c>
      <c r="J153" s="481">
        <v>-250</v>
      </c>
      <c r="K153" s="481"/>
      <c r="L153" s="481">
        <f t="shared" si="5"/>
        <v>-250</v>
      </c>
      <c r="M153" s="481">
        <f t="shared" si="6"/>
        <v>250</v>
      </c>
      <c r="N153" s="481">
        <f t="shared" si="7"/>
        <v>0</v>
      </c>
      <c r="O153" s="481">
        <f t="shared" si="8"/>
        <v>250</v>
      </c>
    </row>
    <row r="154" spans="1:15" ht="12.75" customHeight="1">
      <c r="A154" s="436"/>
      <c r="B154" s="436"/>
      <c r="C154" s="285" t="s">
        <v>367</v>
      </c>
      <c r="D154" s="294" t="s">
        <v>834</v>
      </c>
      <c r="E154" s="421"/>
      <c r="F154" s="597"/>
      <c r="G154" s="481">
        <v>985</v>
      </c>
      <c r="H154" s="481">
        <v>0</v>
      </c>
      <c r="I154" s="481">
        <v>985</v>
      </c>
      <c r="J154" s="481"/>
      <c r="K154" s="481"/>
      <c r="L154" s="481">
        <f t="shared" si="5"/>
        <v>0</v>
      </c>
      <c r="M154" s="481">
        <f t="shared" si="6"/>
        <v>985</v>
      </c>
      <c r="N154" s="481">
        <f t="shared" si="7"/>
        <v>0</v>
      </c>
      <c r="O154" s="481">
        <f t="shared" si="8"/>
        <v>985</v>
      </c>
    </row>
    <row r="155" spans="1:15" ht="12.75" customHeight="1">
      <c r="A155" s="436"/>
      <c r="B155" s="436"/>
      <c r="C155" s="285" t="s">
        <v>369</v>
      </c>
      <c r="D155" s="294" t="s">
        <v>835</v>
      </c>
      <c r="E155" s="421"/>
      <c r="F155" s="597"/>
      <c r="G155" s="481">
        <v>600</v>
      </c>
      <c r="H155" s="481">
        <v>0</v>
      </c>
      <c r="I155" s="481">
        <v>600</v>
      </c>
      <c r="J155" s="481"/>
      <c r="K155" s="481"/>
      <c r="L155" s="481">
        <f aca="true" t="shared" si="12" ref="L155:L222">SUM(J155:K155)</f>
        <v>0</v>
      </c>
      <c r="M155" s="481">
        <f aca="true" t="shared" si="13" ref="M155:M221">SUM(G155+J155)</f>
        <v>600</v>
      </c>
      <c r="N155" s="481">
        <f aca="true" t="shared" si="14" ref="N155:N221">SUM(H155+K155)</f>
        <v>0</v>
      </c>
      <c r="O155" s="481">
        <f aca="true" t="shared" si="15" ref="O155:O222">SUM(M155:N155)</f>
        <v>600</v>
      </c>
    </row>
    <row r="156" spans="1:15" ht="12.75" customHeight="1">
      <c r="A156" s="436"/>
      <c r="B156" s="436"/>
      <c r="C156" s="285" t="s">
        <v>373</v>
      </c>
      <c r="D156" s="456" t="s">
        <v>836</v>
      </c>
      <c r="E156" s="421"/>
      <c r="F156" s="597" t="s">
        <v>25</v>
      </c>
      <c r="G156" s="481">
        <v>7531</v>
      </c>
      <c r="H156" s="481">
        <v>0</v>
      </c>
      <c r="I156" s="481">
        <v>7531</v>
      </c>
      <c r="J156" s="481">
        <v>-355</v>
      </c>
      <c r="K156" s="481"/>
      <c r="L156" s="481">
        <f t="shared" si="12"/>
        <v>-355</v>
      </c>
      <c r="M156" s="481">
        <f t="shared" si="13"/>
        <v>7176</v>
      </c>
      <c r="N156" s="481">
        <f t="shared" si="14"/>
        <v>0</v>
      </c>
      <c r="O156" s="481">
        <f t="shared" si="15"/>
        <v>7176</v>
      </c>
    </row>
    <row r="157" spans="1:15" ht="12.75" customHeight="1">
      <c r="A157" s="436"/>
      <c r="B157" s="436"/>
      <c r="C157" s="285"/>
      <c r="D157" s="450" t="s">
        <v>318</v>
      </c>
      <c r="E157" s="421"/>
      <c r="F157" s="597"/>
      <c r="G157" s="481">
        <v>0</v>
      </c>
      <c r="H157" s="481">
        <v>0</v>
      </c>
      <c r="I157" s="481">
        <v>0</v>
      </c>
      <c r="J157" s="481"/>
      <c r="K157" s="481"/>
      <c r="L157" s="481">
        <f t="shared" si="12"/>
        <v>0</v>
      </c>
      <c r="M157" s="481">
        <f t="shared" si="13"/>
        <v>0</v>
      </c>
      <c r="N157" s="481">
        <f t="shared" si="14"/>
        <v>0</v>
      </c>
      <c r="O157" s="481">
        <f t="shared" si="15"/>
        <v>0</v>
      </c>
    </row>
    <row r="158" spans="1:15" ht="15" customHeight="1">
      <c r="A158" s="436"/>
      <c r="B158" s="436"/>
      <c r="C158" s="285" t="s">
        <v>319</v>
      </c>
      <c r="D158" s="457" t="s">
        <v>141</v>
      </c>
      <c r="E158" s="421"/>
      <c r="F158" s="597"/>
      <c r="G158" s="481">
        <v>750</v>
      </c>
      <c r="H158" s="481">
        <v>1000</v>
      </c>
      <c r="I158" s="481">
        <v>1750</v>
      </c>
      <c r="J158" s="481"/>
      <c r="K158" s="481"/>
      <c r="L158" s="481">
        <f t="shared" si="12"/>
        <v>0</v>
      </c>
      <c r="M158" s="481">
        <f t="shared" si="13"/>
        <v>750</v>
      </c>
      <c r="N158" s="481">
        <f t="shared" si="14"/>
        <v>1000</v>
      </c>
      <c r="O158" s="481">
        <f t="shared" si="15"/>
        <v>1750</v>
      </c>
    </row>
    <row r="159" spans="1:15" ht="12.75" customHeight="1">
      <c r="A159" s="436"/>
      <c r="B159" s="436"/>
      <c r="C159" s="440" t="s">
        <v>231</v>
      </c>
      <c r="D159" s="458" t="s">
        <v>232</v>
      </c>
      <c r="E159" s="318"/>
      <c r="F159" s="594"/>
      <c r="G159" s="481"/>
      <c r="H159" s="481"/>
      <c r="I159" s="481"/>
      <c r="J159" s="481"/>
      <c r="K159" s="481"/>
      <c r="L159" s="481"/>
      <c r="M159" s="481"/>
      <c r="N159" s="481"/>
      <c r="O159" s="481"/>
    </row>
    <row r="160" spans="1:15" ht="12.75" customHeight="1">
      <c r="A160" s="436"/>
      <c r="B160" s="436"/>
      <c r="C160" s="440" t="s">
        <v>871</v>
      </c>
      <c r="D160" s="243" t="s">
        <v>837</v>
      </c>
      <c r="E160" s="318"/>
      <c r="F160" s="594"/>
      <c r="G160" s="481">
        <v>1000</v>
      </c>
      <c r="H160" s="481">
        <v>0</v>
      </c>
      <c r="I160" s="481">
        <v>1000</v>
      </c>
      <c r="J160" s="481"/>
      <c r="K160" s="481"/>
      <c r="L160" s="481">
        <f t="shared" si="12"/>
        <v>0</v>
      </c>
      <c r="M160" s="481">
        <f t="shared" si="13"/>
        <v>1000</v>
      </c>
      <c r="N160" s="481">
        <f t="shared" si="14"/>
        <v>0</v>
      </c>
      <c r="O160" s="481">
        <f t="shared" si="15"/>
        <v>1000</v>
      </c>
    </row>
    <row r="161" spans="1:15" ht="12.75" customHeight="1">
      <c r="A161" s="436"/>
      <c r="B161" s="436"/>
      <c r="C161" s="440" t="s">
        <v>872</v>
      </c>
      <c r="D161" s="459" t="s">
        <v>838</v>
      </c>
      <c r="E161" s="318"/>
      <c r="F161" s="594"/>
      <c r="G161" s="481">
        <v>3000</v>
      </c>
      <c r="H161" s="481">
        <v>0</v>
      </c>
      <c r="I161" s="481">
        <v>3000</v>
      </c>
      <c r="J161" s="481"/>
      <c r="K161" s="481"/>
      <c r="L161" s="481">
        <f t="shared" si="12"/>
        <v>0</v>
      </c>
      <c r="M161" s="481">
        <f t="shared" si="13"/>
        <v>3000</v>
      </c>
      <c r="N161" s="481">
        <f t="shared" si="14"/>
        <v>0</v>
      </c>
      <c r="O161" s="481">
        <f t="shared" si="15"/>
        <v>3000</v>
      </c>
    </row>
    <row r="162" spans="1:15" ht="12.75" customHeight="1">
      <c r="A162" s="436"/>
      <c r="B162" s="436"/>
      <c r="C162" s="440" t="s">
        <v>1058</v>
      </c>
      <c r="D162" s="317" t="s">
        <v>839</v>
      </c>
      <c r="E162" s="318"/>
      <c r="F162" s="594"/>
      <c r="G162" s="481">
        <v>1500</v>
      </c>
      <c r="H162" s="481">
        <v>0</v>
      </c>
      <c r="I162" s="481">
        <v>1500</v>
      </c>
      <c r="J162" s="481"/>
      <c r="K162" s="481"/>
      <c r="L162" s="481">
        <f t="shared" si="12"/>
        <v>0</v>
      </c>
      <c r="M162" s="481">
        <f t="shared" si="13"/>
        <v>1500</v>
      </c>
      <c r="N162" s="481">
        <f t="shared" si="14"/>
        <v>0</v>
      </c>
      <c r="O162" s="481">
        <f t="shared" si="15"/>
        <v>1500</v>
      </c>
    </row>
    <row r="163" spans="1:15" ht="12.75" customHeight="1">
      <c r="A163" s="436"/>
      <c r="B163" s="436"/>
      <c r="C163" s="440" t="s">
        <v>1059</v>
      </c>
      <c r="D163" s="317" t="s">
        <v>840</v>
      </c>
      <c r="E163" s="318"/>
      <c r="F163" s="594"/>
      <c r="G163" s="481">
        <v>0</v>
      </c>
      <c r="H163" s="481">
        <v>0</v>
      </c>
      <c r="I163" s="481">
        <v>0</v>
      </c>
      <c r="J163" s="481"/>
      <c r="K163" s="481"/>
      <c r="L163" s="481">
        <f t="shared" si="12"/>
        <v>0</v>
      </c>
      <c r="M163" s="481">
        <f t="shared" si="13"/>
        <v>0</v>
      </c>
      <c r="N163" s="481">
        <f t="shared" si="14"/>
        <v>0</v>
      </c>
      <c r="O163" s="481">
        <f t="shared" si="15"/>
        <v>0</v>
      </c>
    </row>
    <row r="164" spans="1:15" ht="12.75" customHeight="1">
      <c r="A164" s="436"/>
      <c r="B164" s="436"/>
      <c r="C164" s="440" t="s">
        <v>841</v>
      </c>
      <c r="D164" s="317" t="s">
        <v>842</v>
      </c>
      <c r="E164" s="318"/>
      <c r="F164" s="594"/>
      <c r="G164" s="481">
        <v>1557</v>
      </c>
      <c r="H164" s="481">
        <v>0</v>
      </c>
      <c r="I164" s="481">
        <v>1557</v>
      </c>
      <c r="J164" s="481"/>
      <c r="K164" s="481"/>
      <c r="L164" s="481">
        <f t="shared" si="12"/>
        <v>0</v>
      </c>
      <c r="M164" s="481">
        <f t="shared" si="13"/>
        <v>1557</v>
      </c>
      <c r="N164" s="481">
        <f t="shared" si="14"/>
        <v>0</v>
      </c>
      <c r="O164" s="481">
        <f t="shared" si="15"/>
        <v>1557</v>
      </c>
    </row>
    <row r="165" spans="1:15" ht="12.75" customHeight="1">
      <c r="A165" s="436"/>
      <c r="B165" s="436"/>
      <c r="C165" s="440" t="s">
        <v>843</v>
      </c>
      <c r="D165" s="294" t="s">
        <v>844</v>
      </c>
      <c r="E165" s="318"/>
      <c r="F165" s="594"/>
      <c r="G165" s="481">
        <v>0</v>
      </c>
      <c r="H165" s="481">
        <v>0</v>
      </c>
      <c r="I165" s="481">
        <v>0</v>
      </c>
      <c r="J165" s="481"/>
      <c r="K165" s="481"/>
      <c r="L165" s="481">
        <f t="shared" si="12"/>
        <v>0</v>
      </c>
      <c r="M165" s="481">
        <f t="shared" si="13"/>
        <v>0</v>
      </c>
      <c r="N165" s="481">
        <f t="shared" si="14"/>
        <v>0</v>
      </c>
      <c r="O165" s="481">
        <f t="shared" si="15"/>
        <v>0</v>
      </c>
    </row>
    <row r="166" spans="1:15" ht="12.75" customHeight="1">
      <c r="A166" s="436"/>
      <c r="B166" s="436"/>
      <c r="C166" s="285" t="s">
        <v>233</v>
      </c>
      <c r="D166" s="287" t="s">
        <v>234</v>
      </c>
      <c r="E166" s="318"/>
      <c r="F166" s="594"/>
      <c r="G166" s="481"/>
      <c r="H166" s="481"/>
      <c r="I166" s="481"/>
      <c r="J166" s="481"/>
      <c r="K166" s="481"/>
      <c r="L166" s="481"/>
      <c r="M166" s="481"/>
      <c r="N166" s="481"/>
      <c r="O166" s="481"/>
    </row>
    <row r="167" spans="1:15" ht="12.75" customHeight="1">
      <c r="A167" s="436"/>
      <c r="B167" s="436"/>
      <c r="C167" s="408" t="s">
        <v>235</v>
      </c>
      <c r="D167" s="414" t="s">
        <v>845</v>
      </c>
      <c r="E167" s="318"/>
      <c r="F167" s="594"/>
      <c r="G167" s="481">
        <v>3850</v>
      </c>
      <c r="H167" s="481">
        <v>0</v>
      </c>
      <c r="I167" s="481">
        <v>3850</v>
      </c>
      <c r="J167" s="481"/>
      <c r="K167" s="481"/>
      <c r="L167" s="481">
        <f t="shared" si="12"/>
        <v>0</v>
      </c>
      <c r="M167" s="481">
        <f t="shared" si="13"/>
        <v>3850</v>
      </c>
      <c r="N167" s="481">
        <f t="shared" si="14"/>
        <v>0</v>
      </c>
      <c r="O167" s="481">
        <f t="shared" si="15"/>
        <v>3850</v>
      </c>
    </row>
    <row r="168" spans="1:15" ht="12.75" customHeight="1">
      <c r="A168" s="436"/>
      <c r="B168" s="436"/>
      <c r="C168" s="408" t="s">
        <v>236</v>
      </c>
      <c r="D168" s="414" t="s">
        <v>847</v>
      </c>
      <c r="E168" s="318"/>
      <c r="F168" s="594"/>
      <c r="G168" s="481">
        <v>0</v>
      </c>
      <c r="H168" s="481">
        <v>500</v>
      </c>
      <c r="I168" s="481">
        <v>500</v>
      </c>
      <c r="J168" s="481"/>
      <c r="K168" s="481"/>
      <c r="L168" s="481">
        <f t="shared" si="12"/>
        <v>0</v>
      </c>
      <c r="M168" s="481">
        <f t="shared" si="13"/>
        <v>0</v>
      </c>
      <c r="N168" s="481">
        <f t="shared" si="14"/>
        <v>500</v>
      </c>
      <c r="O168" s="481">
        <f t="shared" si="15"/>
        <v>500</v>
      </c>
    </row>
    <row r="169" spans="1:15" ht="12.75" customHeight="1">
      <c r="A169" s="436"/>
      <c r="B169" s="436"/>
      <c r="C169" s="408" t="s">
        <v>237</v>
      </c>
      <c r="D169" s="415" t="s">
        <v>848</v>
      </c>
      <c r="E169" s="318"/>
      <c r="F169" s="594"/>
      <c r="G169" s="481">
        <v>0</v>
      </c>
      <c r="H169" s="481">
        <v>3800</v>
      </c>
      <c r="I169" s="481">
        <v>3800</v>
      </c>
      <c r="J169" s="481"/>
      <c r="K169" s="481"/>
      <c r="L169" s="481">
        <f t="shared" si="12"/>
        <v>0</v>
      </c>
      <c r="M169" s="481">
        <f t="shared" si="13"/>
        <v>0</v>
      </c>
      <c r="N169" s="481">
        <f t="shared" si="14"/>
        <v>3800</v>
      </c>
      <c r="O169" s="481">
        <f t="shared" si="15"/>
        <v>3800</v>
      </c>
    </row>
    <row r="170" spans="1:15" ht="12.75" customHeight="1">
      <c r="A170" s="436"/>
      <c r="B170" s="436"/>
      <c r="C170" s="408" t="s">
        <v>238</v>
      </c>
      <c r="D170" s="460" t="s">
        <v>849</v>
      </c>
      <c r="E170" s="318"/>
      <c r="F170" s="594"/>
      <c r="G170" s="481">
        <v>0</v>
      </c>
      <c r="H170" s="481">
        <v>1000</v>
      </c>
      <c r="I170" s="481">
        <v>1000</v>
      </c>
      <c r="J170" s="481"/>
      <c r="K170" s="481"/>
      <c r="L170" s="481">
        <f t="shared" si="12"/>
        <v>0</v>
      </c>
      <c r="M170" s="481">
        <f t="shared" si="13"/>
        <v>0</v>
      </c>
      <c r="N170" s="481">
        <f t="shared" si="14"/>
        <v>1000</v>
      </c>
      <c r="O170" s="481">
        <f t="shared" si="15"/>
        <v>1000</v>
      </c>
    </row>
    <row r="171" spans="1:15" ht="24.75" customHeight="1">
      <c r="A171" s="436"/>
      <c r="B171" s="436"/>
      <c r="C171" s="408" t="s">
        <v>874</v>
      </c>
      <c r="D171" s="654" t="s">
        <v>436</v>
      </c>
      <c r="E171" s="318"/>
      <c r="F171" s="594"/>
      <c r="G171" s="481">
        <v>994</v>
      </c>
      <c r="H171" s="481"/>
      <c r="I171" s="481">
        <v>994</v>
      </c>
      <c r="J171" s="481"/>
      <c r="K171" s="481"/>
      <c r="L171" s="481">
        <f t="shared" si="12"/>
        <v>0</v>
      </c>
      <c r="M171" s="481">
        <f t="shared" si="13"/>
        <v>994</v>
      </c>
      <c r="N171" s="481"/>
      <c r="O171" s="481">
        <f t="shared" si="15"/>
        <v>994</v>
      </c>
    </row>
    <row r="172" spans="1:15" ht="12.75" customHeight="1">
      <c r="A172" s="436"/>
      <c r="B172" s="436"/>
      <c r="C172" s="408" t="s">
        <v>875</v>
      </c>
      <c r="D172" s="654" t="s">
        <v>437</v>
      </c>
      <c r="E172" s="318"/>
      <c r="F172" s="594"/>
      <c r="G172" s="481">
        <v>800</v>
      </c>
      <c r="H172" s="481"/>
      <c r="I172" s="481">
        <v>800</v>
      </c>
      <c r="J172" s="481"/>
      <c r="K172" s="481"/>
      <c r="L172" s="481">
        <f t="shared" si="12"/>
        <v>0</v>
      </c>
      <c r="M172" s="481">
        <f t="shared" si="13"/>
        <v>800</v>
      </c>
      <c r="N172" s="481"/>
      <c r="O172" s="481">
        <f t="shared" si="15"/>
        <v>800</v>
      </c>
    </row>
    <row r="173" spans="1:15" ht="24.75" customHeight="1">
      <c r="A173" s="436"/>
      <c r="B173" s="436"/>
      <c r="C173" s="408" t="s">
        <v>1016</v>
      </c>
      <c r="D173" s="278" t="s">
        <v>88</v>
      </c>
      <c r="E173" s="318"/>
      <c r="F173" s="594"/>
      <c r="G173" s="481"/>
      <c r="H173" s="481">
        <v>4000</v>
      </c>
      <c r="I173" s="481">
        <v>4000</v>
      </c>
      <c r="J173" s="481"/>
      <c r="K173" s="481"/>
      <c r="L173" s="481">
        <f t="shared" si="12"/>
        <v>0</v>
      </c>
      <c r="M173" s="481">
        <f t="shared" si="13"/>
        <v>0</v>
      </c>
      <c r="N173" s="481">
        <f t="shared" si="14"/>
        <v>4000</v>
      </c>
      <c r="O173" s="481">
        <v>4000</v>
      </c>
    </row>
    <row r="174" spans="1:15" ht="15" customHeight="1">
      <c r="A174" s="436"/>
      <c r="B174" s="436"/>
      <c r="C174" s="408" t="s">
        <v>1007</v>
      </c>
      <c r="D174" s="278" t="s">
        <v>376</v>
      </c>
      <c r="E174" s="318"/>
      <c r="F174" s="594"/>
      <c r="G174" s="481"/>
      <c r="H174" s="481">
        <v>1400</v>
      </c>
      <c r="I174" s="481">
        <v>1400</v>
      </c>
      <c r="J174" s="481"/>
      <c r="K174" s="481"/>
      <c r="L174" s="481">
        <f t="shared" si="12"/>
        <v>0</v>
      </c>
      <c r="M174" s="481"/>
      <c r="N174" s="481">
        <v>1400</v>
      </c>
      <c r="O174" s="481">
        <v>1400</v>
      </c>
    </row>
    <row r="175" spans="1:15" ht="27" customHeight="1">
      <c r="A175" s="436"/>
      <c r="B175" s="436"/>
      <c r="C175" s="408" t="s">
        <v>1008</v>
      </c>
      <c r="D175" s="303" t="s">
        <v>1035</v>
      </c>
      <c r="E175" s="318"/>
      <c r="F175" s="594" t="s">
        <v>25</v>
      </c>
      <c r="G175" s="481"/>
      <c r="H175" s="481"/>
      <c r="I175" s="481"/>
      <c r="J175" s="481">
        <v>2921</v>
      </c>
      <c r="K175" s="481"/>
      <c r="L175" s="481">
        <f t="shared" si="12"/>
        <v>2921</v>
      </c>
      <c r="M175" s="481">
        <f t="shared" si="13"/>
        <v>2921</v>
      </c>
      <c r="N175" s="481"/>
      <c r="O175" s="481">
        <f>SUM(M175:N175)</f>
        <v>2921</v>
      </c>
    </row>
    <row r="176" spans="1:15" ht="12.75" customHeight="1">
      <c r="A176" s="436"/>
      <c r="B176" s="436"/>
      <c r="C176" s="408"/>
      <c r="D176" s="426" t="s">
        <v>318</v>
      </c>
      <c r="E176" s="318"/>
      <c r="F176" s="594"/>
      <c r="G176" s="481"/>
      <c r="H176" s="481"/>
      <c r="I176" s="481"/>
      <c r="J176" s="481"/>
      <c r="K176" s="481"/>
      <c r="L176" s="481">
        <f t="shared" si="12"/>
        <v>0</v>
      </c>
      <c r="M176" s="481"/>
      <c r="N176" s="481"/>
      <c r="O176" s="481"/>
    </row>
    <row r="177" spans="1:15" ht="12.75" customHeight="1">
      <c r="A177" s="436"/>
      <c r="B177" s="436"/>
      <c r="C177" s="408" t="s">
        <v>84</v>
      </c>
      <c r="D177" s="461" t="s">
        <v>850</v>
      </c>
      <c r="E177" s="318"/>
      <c r="F177" s="594"/>
      <c r="G177" s="481">
        <v>5167</v>
      </c>
      <c r="H177" s="481">
        <v>0</v>
      </c>
      <c r="I177" s="481">
        <v>5167</v>
      </c>
      <c r="J177" s="481"/>
      <c r="K177" s="481"/>
      <c r="L177" s="481">
        <f t="shared" si="12"/>
        <v>0</v>
      </c>
      <c r="M177" s="481">
        <f t="shared" si="13"/>
        <v>5167</v>
      </c>
      <c r="N177" s="481">
        <f t="shared" si="14"/>
        <v>0</v>
      </c>
      <c r="O177" s="481">
        <f t="shared" si="15"/>
        <v>5167</v>
      </c>
    </row>
    <row r="178" spans="1:15" ht="12.75" customHeight="1">
      <c r="A178" s="462"/>
      <c r="B178" s="462"/>
      <c r="C178" s="462"/>
      <c r="D178" s="308" t="s">
        <v>154</v>
      </c>
      <c r="E178" s="434"/>
      <c r="F178" s="619"/>
      <c r="G178" s="435">
        <f>SUM(G54:G177)</f>
        <v>656159</v>
      </c>
      <c r="H178" s="435">
        <f aca="true" t="shared" si="16" ref="H178:O178">SUM(H54:H177)</f>
        <v>218214</v>
      </c>
      <c r="I178" s="435">
        <f t="shared" si="16"/>
        <v>874373</v>
      </c>
      <c r="J178" s="435">
        <f t="shared" si="16"/>
        <v>2221</v>
      </c>
      <c r="K178" s="435">
        <f t="shared" si="16"/>
        <v>0</v>
      </c>
      <c r="L178" s="435">
        <f t="shared" si="16"/>
        <v>2221</v>
      </c>
      <c r="M178" s="435">
        <f t="shared" si="16"/>
        <v>658380</v>
      </c>
      <c r="N178" s="435">
        <f t="shared" si="16"/>
        <v>218214</v>
      </c>
      <c r="O178" s="435">
        <f t="shared" si="16"/>
        <v>876594</v>
      </c>
    </row>
    <row r="179" spans="1:15" ht="12.75" customHeight="1">
      <c r="A179" s="443">
        <v>1</v>
      </c>
      <c r="B179" s="443">
        <v>16</v>
      </c>
      <c r="C179" s="443"/>
      <c r="D179" s="463" t="s">
        <v>1120</v>
      </c>
      <c r="E179" s="464"/>
      <c r="F179" s="621"/>
      <c r="G179" s="481"/>
      <c r="H179" s="481"/>
      <c r="I179" s="465"/>
      <c r="J179" s="481"/>
      <c r="K179" s="481"/>
      <c r="L179" s="481"/>
      <c r="M179" s="481"/>
      <c r="N179" s="481"/>
      <c r="O179" s="481"/>
    </row>
    <row r="180" spans="1:15" ht="12.75" customHeight="1">
      <c r="A180" s="443"/>
      <c r="B180" s="443"/>
      <c r="C180" s="279" t="s">
        <v>176</v>
      </c>
      <c r="D180" s="280" t="s">
        <v>851</v>
      </c>
      <c r="E180" s="464"/>
      <c r="F180" s="621"/>
      <c r="G180" s="481"/>
      <c r="H180" s="481"/>
      <c r="I180" s="465"/>
      <c r="J180" s="481"/>
      <c r="K180" s="481"/>
      <c r="L180" s="481"/>
      <c r="M180" s="481"/>
      <c r="N180" s="481"/>
      <c r="O180" s="481"/>
    </row>
    <row r="181" spans="1:15" ht="12.75" customHeight="1">
      <c r="A181" s="443"/>
      <c r="B181" s="443"/>
      <c r="C181" s="443" t="s">
        <v>182</v>
      </c>
      <c r="D181" s="277" t="s">
        <v>852</v>
      </c>
      <c r="E181" s="445"/>
      <c r="F181" s="594"/>
      <c r="G181" s="481">
        <v>0</v>
      </c>
      <c r="H181" s="481">
        <v>0</v>
      </c>
      <c r="I181" s="481">
        <v>0</v>
      </c>
      <c r="J181" s="481"/>
      <c r="K181" s="481"/>
      <c r="L181" s="481">
        <f t="shared" si="12"/>
        <v>0</v>
      </c>
      <c r="M181" s="481">
        <f t="shared" si="13"/>
        <v>0</v>
      </c>
      <c r="N181" s="481">
        <f t="shared" si="14"/>
        <v>0</v>
      </c>
      <c r="O181" s="481">
        <f t="shared" si="15"/>
        <v>0</v>
      </c>
    </row>
    <row r="182" spans="1:15" ht="12.75" customHeight="1">
      <c r="A182" s="443"/>
      <c r="B182" s="443"/>
      <c r="C182" s="443" t="s">
        <v>183</v>
      </c>
      <c r="D182" s="288" t="s">
        <v>853</v>
      </c>
      <c r="E182" s="445"/>
      <c r="F182" s="594"/>
      <c r="G182" s="481">
        <v>1500</v>
      </c>
      <c r="H182" s="481">
        <v>0</v>
      </c>
      <c r="I182" s="481">
        <v>1500</v>
      </c>
      <c r="J182" s="481"/>
      <c r="K182" s="481"/>
      <c r="L182" s="481">
        <f t="shared" si="12"/>
        <v>0</v>
      </c>
      <c r="M182" s="481">
        <f t="shared" si="13"/>
        <v>1500</v>
      </c>
      <c r="N182" s="481">
        <f t="shared" si="14"/>
        <v>0</v>
      </c>
      <c r="O182" s="481">
        <f t="shared" si="15"/>
        <v>1500</v>
      </c>
    </row>
    <row r="183" spans="1:15" ht="12.75" customHeight="1">
      <c r="A183" s="443"/>
      <c r="B183" s="443"/>
      <c r="C183" s="443" t="s">
        <v>184</v>
      </c>
      <c r="D183" s="288" t="s">
        <v>854</v>
      </c>
      <c r="E183" s="445"/>
      <c r="F183" s="594"/>
      <c r="G183" s="481">
        <v>2000</v>
      </c>
      <c r="H183" s="481">
        <v>0</v>
      </c>
      <c r="I183" s="481">
        <v>2000</v>
      </c>
      <c r="J183" s="481"/>
      <c r="K183" s="481"/>
      <c r="L183" s="481">
        <f t="shared" si="12"/>
        <v>0</v>
      </c>
      <c r="M183" s="481">
        <f t="shared" si="13"/>
        <v>2000</v>
      </c>
      <c r="N183" s="481">
        <f t="shared" si="14"/>
        <v>0</v>
      </c>
      <c r="O183" s="481">
        <f t="shared" si="15"/>
        <v>2000</v>
      </c>
    </row>
    <row r="184" spans="1:15" ht="12.75" customHeight="1">
      <c r="A184" s="443"/>
      <c r="B184" s="443"/>
      <c r="C184" s="443"/>
      <c r="D184" s="450" t="s">
        <v>318</v>
      </c>
      <c r="E184" s="445"/>
      <c r="F184" s="594"/>
      <c r="G184" s="481"/>
      <c r="H184" s="481"/>
      <c r="I184" s="481"/>
      <c r="J184" s="481"/>
      <c r="K184" s="481"/>
      <c r="L184" s="481"/>
      <c r="M184" s="481"/>
      <c r="N184" s="481"/>
      <c r="O184" s="481"/>
    </row>
    <row r="185" spans="1:15" ht="12.75" customHeight="1">
      <c r="A185" s="443"/>
      <c r="B185" s="443"/>
      <c r="C185" s="443" t="s">
        <v>1012</v>
      </c>
      <c r="D185" s="563" t="s">
        <v>1011</v>
      </c>
      <c r="E185" s="445"/>
      <c r="F185" s="594"/>
      <c r="G185" s="481">
        <v>292</v>
      </c>
      <c r="H185" s="481"/>
      <c r="I185" s="481">
        <v>292</v>
      </c>
      <c r="J185" s="481"/>
      <c r="K185" s="481"/>
      <c r="L185" s="481">
        <f t="shared" si="12"/>
        <v>0</v>
      </c>
      <c r="M185" s="481">
        <f t="shared" si="13"/>
        <v>292</v>
      </c>
      <c r="N185" s="481"/>
      <c r="O185" s="481">
        <f t="shared" si="15"/>
        <v>292</v>
      </c>
    </row>
    <row r="186" spans="1:15" ht="12.75" customHeight="1">
      <c r="A186" s="443"/>
      <c r="B186" s="443"/>
      <c r="C186" s="279" t="s">
        <v>177</v>
      </c>
      <c r="D186" s="287" t="s">
        <v>95</v>
      </c>
      <c r="E186" s="464"/>
      <c r="F186" s="621"/>
      <c r="G186" s="481"/>
      <c r="H186" s="481"/>
      <c r="I186" s="481"/>
      <c r="J186" s="481"/>
      <c r="K186" s="481"/>
      <c r="L186" s="481"/>
      <c r="M186" s="481"/>
      <c r="N186" s="481"/>
      <c r="O186" s="481"/>
    </row>
    <row r="187" spans="1:15" ht="24.75" customHeight="1">
      <c r="A187" s="443"/>
      <c r="B187" s="443"/>
      <c r="C187" s="443" t="s">
        <v>1121</v>
      </c>
      <c r="D187" s="271" t="s">
        <v>855</v>
      </c>
      <c r="E187" s="421"/>
      <c r="F187" s="597"/>
      <c r="G187" s="481">
        <v>3000</v>
      </c>
      <c r="H187" s="481">
        <v>0</v>
      </c>
      <c r="I187" s="481">
        <v>3000</v>
      </c>
      <c r="J187" s="481"/>
      <c r="K187" s="481"/>
      <c r="L187" s="481">
        <f t="shared" si="12"/>
        <v>0</v>
      </c>
      <c r="M187" s="481">
        <f t="shared" si="13"/>
        <v>3000</v>
      </c>
      <c r="N187" s="481">
        <f t="shared" si="14"/>
        <v>0</v>
      </c>
      <c r="O187" s="481">
        <f t="shared" si="15"/>
        <v>3000</v>
      </c>
    </row>
    <row r="188" spans="1:15" ht="12.75" customHeight="1">
      <c r="A188" s="443"/>
      <c r="B188" s="443"/>
      <c r="C188" s="443"/>
      <c r="D188" s="426" t="s">
        <v>318</v>
      </c>
      <c r="E188" s="421"/>
      <c r="F188" s="597"/>
      <c r="G188" s="481">
        <v>0</v>
      </c>
      <c r="H188" s="481">
        <v>0</v>
      </c>
      <c r="I188" s="481">
        <v>0</v>
      </c>
      <c r="J188" s="481"/>
      <c r="K188" s="481"/>
      <c r="L188" s="481">
        <f t="shared" si="12"/>
        <v>0</v>
      </c>
      <c r="M188" s="481">
        <f t="shared" si="13"/>
        <v>0</v>
      </c>
      <c r="N188" s="481">
        <f t="shared" si="14"/>
        <v>0</v>
      </c>
      <c r="O188" s="481">
        <f t="shared" si="15"/>
        <v>0</v>
      </c>
    </row>
    <row r="189" spans="1:15" ht="12.75" customHeight="1">
      <c r="A189" s="443"/>
      <c r="B189" s="443"/>
      <c r="C189" s="443" t="s">
        <v>319</v>
      </c>
      <c r="D189" s="461" t="s">
        <v>1122</v>
      </c>
      <c r="E189" s="421"/>
      <c r="F189" s="597"/>
      <c r="G189" s="481">
        <v>0</v>
      </c>
      <c r="H189" s="481">
        <v>0</v>
      </c>
      <c r="I189" s="481">
        <v>0</v>
      </c>
      <c r="J189" s="481"/>
      <c r="K189" s="481"/>
      <c r="L189" s="481">
        <f t="shared" si="12"/>
        <v>0</v>
      </c>
      <c r="M189" s="481">
        <f t="shared" si="13"/>
        <v>0</v>
      </c>
      <c r="N189" s="481">
        <f t="shared" si="14"/>
        <v>0</v>
      </c>
      <c r="O189" s="481">
        <f t="shared" si="15"/>
        <v>0</v>
      </c>
    </row>
    <row r="190" spans="1:15" ht="12.75" customHeight="1">
      <c r="A190" s="443"/>
      <c r="B190" s="443"/>
      <c r="C190" s="279" t="s">
        <v>178</v>
      </c>
      <c r="D190" s="280" t="s">
        <v>96</v>
      </c>
      <c r="E190" s="464"/>
      <c r="F190" s="621"/>
      <c r="G190" s="481"/>
      <c r="H190" s="481">
        <v>0</v>
      </c>
      <c r="I190" s="481"/>
      <c r="J190" s="481"/>
      <c r="K190" s="481"/>
      <c r="L190" s="481"/>
      <c r="M190" s="481"/>
      <c r="N190" s="481">
        <f t="shared" si="14"/>
        <v>0</v>
      </c>
      <c r="O190" s="481"/>
    </row>
    <row r="191" spans="1:15" ht="12.75" customHeight="1">
      <c r="A191" s="443"/>
      <c r="B191" s="443"/>
      <c r="C191" s="285" t="s">
        <v>998</v>
      </c>
      <c r="D191" s="356" t="s">
        <v>1013</v>
      </c>
      <c r="E191" s="464"/>
      <c r="F191" s="621"/>
      <c r="G191" s="481">
        <v>11813</v>
      </c>
      <c r="H191" s="481">
        <v>0</v>
      </c>
      <c r="I191" s="481">
        <v>11813</v>
      </c>
      <c r="J191" s="481"/>
      <c r="K191" s="481"/>
      <c r="L191" s="481">
        <f t="shared" si="12"/>
        <v>0</v>
      </c>
      <c r="M191" s="481">
        <f t="shared" si="13"/>
        <v>11813</v>
      </c>
      <c r="N191" s="481">
        <f t="shared" si="14"/>
        <v>0</v>
      </c>
      <c r="O191" s="481">
        <f t="shared" si="15"/>
        <v>11813</v>
      </c>
    </row>
    <row r="192" spans="1:15" ht="12.75" customHeight="1">
      <c r="A192" s="443"/>
      <c r="B192" s="443"/>
      <c r="C192" s="209" t="s">
        <v>438</v>
      </c>
      <c r="D192" s="356" t="s">
        <v>439</v>
      </c>
      <c r="E192" s="464"/>
      <c r="F192" s="621"/>
      <c r="G192" s="481">
        <v>4479</v>
      </c>
      <c r="H192" s="481">
        <v>0</v>
      </c>
      <c r="I192" s="481">
        <v>4479</v>
      </c>
      <c r="J192" s="481"/>
      <c r="K192" s="481"/>
      <c r="L192" s="481">
        <f t="shared" si="12"/>
        <v>0</v>
      </c>
      <c r="M192" s="481">
        <f t="shared" si="13"/>
        <v>4479</v>
      </c>
      <c r="N192" s="481">
        <f t="shared" si="14"/>
        <v>0</v>
      </c>
      <c r="O192" s="481">
        <f t="shared" si="15"/>
        <v>4479</v>
      </c>
    </row>
    <row r="193" spans="1:15" ht="24.75" customHeight="1">
      <c r="A193" s="443"/>
      <c r="B193" s="443"/>
      <c r="C193" s="209" t="s">
        <v>440</v>
      </c>
      <c r="D193" s="353" t="s">
        <v>612</v>
      </c>
      <c r="E193" s="464"/>
      <c r="F193" s="621"/>
      <c r="G193" s="481">
        <v>75700</v>
      </c>
      <c r="H193" s="481">
        <v>0</v>
      </c>
      <c r="I193" s="481">
        <v>75700</v>
      </c>
      <c r="J193" s="481"/>
      <c r="K193" s="481"/>
      <c r="L193" s="481">
        <f t="shared" si="12"/>
        <v>0</v>
      </c>
      <c r="M193" s="481">
        <f t="shared" si="13"/>
        <v>75700</v>
      </c>
      <c r="N193" s="481">
        <f t="shared" si="14"/>
        <v>0</v>
      </c>
      <c r="O193" s="481">
        <f t="shared" si="15"/>
        <v>75700</v>
      </c>
    </row>
    <row r="194" spans="1:15" ht="15" customHeight="1">
      <c r="A194" s="443"/>
      <c r="B194" s="443"/>
      <c r="C194" s="209" t="s">
        <v>378</v>
      </c>
      <c r="D194" s="353" t="s">
        <v>379</v>
      </c>
      <c r="E194" s="464"/>
      <c r="F194" s="621"/>
      <c r="G194" s="481">
        <v>0</v>
      </c>
      <c r="H194" s="481">
        <v>3000</v>
      </c>
      <c r="I194" s="481">
        <v>3000</v>
      </c>
      <c r="J194" s="481"/>
      <c r="K194" s="481"/>
      <c r="L194" s="481">
        <f t="shared" si="12"/>
        <v>0</v>
      </c>
      <c r="M194" s="481">
        <f t="shared" si="13"/>
        <v>0</v>
      </c>
      <c r="N194" s="481">
        <f t="shared" si="14"/>
        <v>3000</v>
      </c>
      <c r="O194" s="481">
        <f t="shared" si="15"/>
        <v>3000</v>
      </c>
    </row>
    <row r="195" spans="1:15" ht="15" customHeight="1">
      <c r="A195" s="443"/>
      <c r="B195" s="443"/>
      <c r="C195" s="209" t="s">
        <v>667</v>
      </c>
      <c r="D195" s="350" t="s">
        <v>618</v>
      </c>
      <c r="E195" s="464"/>
      <c r="F195" s="621"/>
      <c r="G195" s="481">
        <v>222192</v>
      </c>
      <c r="H195" s="481"/>
      <c r="I195" s="481">
        <v>222192</v>
      </c>
      <c r="J195" s="481"/>
      <c r="K195" s="481"/>
      <c r="L195" s="481">
        <f t="shared" si="12"/>
        <v>0</v>
      </c>
      <c r="M195" s="481">
        <f t="shared" si="13"/>
        <v>222192</v>
      </c>
      <c r="N195" s="481"/>
      <c r="O195" s="481">
        <f t="shared" si="15"/>
        <v>222192</v>
      </c>
    </row>
    <row r="196" spans="1:15" ht="12.75" customHeight="1">
      <c r="A196" s="443"/>
      <c r="B196" s="443"/>
      <c r="C196" s="279" t="s">
        <v>233</v>
      </c>
      <c r="D196" s="280" t="s">
        <v>234</v>
      </c>
      <c r="E196" s="464"/>
      <c r="F196" s="621"/>
      <c r="G196" s="481"/>
      <c r="H196" s="481"/>
      <c r="I196" s="481"/>
      <c r="J196" s="481"/>
      <c r="K196" s="481"/>
      <c r="L196" s="481"/>
      <c r="M196" s="481"/>
      <c r="N196" s="481"/>
      <c r="O196" s="481"/>
    </row>
    <row r="197" spans="1:15" ht="12.75" customHeight="1">
      <c r="A197" s="443"/>
      <c r="B197" s="443"/>
      <c r="C197" s="285" t="s">
        <v>235</v>
      </c>
      <c r="D197" s="339" t="s">
        <v>856</v>
      </c>
      <c r="E197" s="464"/>
      <c r="F197" s="621"/>
      <c r="G197" s="481">
        <v>0</v>
      </c>
      <c r="H197" s="481">
        <v>8000</v>
      </c>
      <c r="I197" s="481">
        <v>8000</v>
      </c>
      <c r="J197" s="481"/>
      <c r="K197" s="481"/>
      <c r="L197" s="481">
        <f t="shared" si="12"/>
        <v>0</v>
      </c>
      <c r="M197" s="481">
        <f t="shared" si="13"/>
        <v>0</v>
      </c>
      <c r="N197" s="481">
        <f t="shared" si="14"/>
        <v>8000</v>
      </c>
      <c r="O197" s="481">
        <f t="shared" si="15"/>
        <v>8000</v>
      </c>
    </row>
    <row r="198" spans="1:15" ht="12.75" customHeight="1">
      <c r="A198" s="443"/>
      <c r="B198" s="443"/>
      <c r="C198" s="285" t="s">
        <v>236</v>
      </c>
      <c r="D198" s="466" t="s">
        <v>1119</v>
      </c>
      <c r="E198" s="318"/>
      <c r="F198" s="594"/>
      <c r="G198" s="481">
        <v>2000</v>
      </c>
      <c r="H198" s="481">
        <v>0</v>
      </c>
      <c r="I198" s="481">
        <v>2000</v>
      </c>
      <c r="J198" s="481"/>
      <c r="K198" s="481"/>
      <c r="L198" s="481">
        <f t="shared" si="12"/>
        <v>0</v>
      </c>
      <c r="M198" s="481">
        <f t="shared" si="13"/>
        <v>2000</v>
      </c>
      <c r="N198" s="481">
        <f t="shared" si="14"/>
        <v>0</v>
      </c>
      <c r="O198" s="481">
        <f t="shared" si="15"/>
        <v>2000</v>
      </c>
    </row>
    <row r="199" spans="1:15" ht="12.75" customHeight="1">
      <c r="A199" s="443"/>
      <c r="B199" s="443"/>
      <c r="C199" s="285" t="s">
        <v>237</v>
      </c>
      <c r="D199" s="461" t="s">
        <v>1100</v>
      </c>
      <c r="E199" s="359"/>
      <c r="F199" s="655" t="s">
        <v>25</v>
      </c>
      <c r="G199" s="481">
        <v>3287</v>
      </c>
      <c r="H199" s="481">
        <v>0</v>
      </c>
      <c r="I199" s="481">
        <v>3287</v>
      </c>
      <c r="J199" s="481">
        <v>-221</v>
      </c>
      <c r="K199" s="481"/>
      <c r="L199" s="481">
        <f t="shared" si="12"/>
        <v>-221</v>
      </c>
      <c r="M199" s="481">
        <f t="shared" si="13"/>
        <v>3066</v>
      </c>
      <c r="N199" s="481">
        <f t="shared" si="14"/>
        <v>0</v>
      </c>
      <c r="O199" s="481">
        <f t="shared" si="15"/>
        <v>3066</v>
      </c>
    </row>
    <row r="200" spans="1:15" ht="12.75" customHeight="1">
      <c r="A200" s="443"/>
      <c r="B200" s="443"/>
      <c r="C200" s="209" t="s">
        <v>668</v>
      </c>
      <c r="D200" s="461" t="s">
        <v>669</v>
      </c>
      <c r="E200" s="359"/>
      <c r="F200" s="655"/>
      <c r="G200" s="481">
        <v>7535</v>
      </c>
      <c r="H200" s="481"/>
      <c r="I200" s="481">
        <v>7535</v>
      </c>
      <c r="J200" s="481"/>
      <c r="K200" s="481"/>
      <c r="L200" s="481">
        <f t="shared" si="12"/>
        <v>0</v>
      </c>
      <c r="M200" s="481">
        <f t="shared" si="13"/>
        <v>7535</v>
      </c>
      <c r="N200" s="481"/>
      <c r="O200" s="481">
        <f t="shared" si="15"/>
        <v>7535</v>
      </c>
    </row>
    <row r="201" spans="1:15" ht="12.75" customHeight="1">
      <c r="A201" s="443"/>
      <c r="B201" s="443"/>
      <c r="C201" s="279"/>
      <c r="D201" s="450" t="s">
        <v>318</v>
      </c>
      <c r="E201" s="464"/>
      <c r="F201" s="621"/>
      <c r="G201" s="481"/>
      <c r="H201" s="481"/>
      <c r="I201" s="481"/>
      <c r="J201" s="481"/>
      <c r="K201" s="481"/>
      <c r="L201" s="481"/>
      <c r="M201" s="481"/>
      <c r="N201" s="481"/>
      <c r="O201" s="481"/>
    </row>
    <row r="202" spans="1:15" ht="12.75" customHeight="1">
      <c r="A202" s="443"/>
      <c r="B202" s="443"/>
      <c r="C202" s="285" t="s">
        <v>84</v>
      </c>
      <c r="D202" s="467" t="s">
        <v>259</v>
      </c>
      <c r="E202" s="464"/>
      <c r="F202" s="621"/>
      <c r="G202" s="481">
        <v>162</v>
      </c>
      <c r="H202" s="481">
        <v>412</v>
      </c>
      <c r="I202" s="481">
        <v>574</v>
      </c>
      <c r="J202" s="481"/>
      <c r="K202" s="481"/>
      <c r="L202" s="481">
        <f t="shared" si="12"/>
        <v>0</v>
      </c>
      <c r="M202" s="481">
        <f t="shared" si="13"/>
        <v>162</v>
      </c>
      <c r="N202" s="481">
        <f t="shared" si="14"/>
        <v>412</v>
      </c>
      <c r="O202" s="481">
        <f t="shared" si="15"/>
        <v>574</v>
      </c>
    </row>
    <row r="203" spans="1:15" ht="12.75" customHeight="1">
      <c r="A203" s="462"/>
      <c r="B203" s="462"/>
      <c r="C203" s="468"/>
      <c r="D203" s="469" t="s">
        <v>1143</v>
      </c>
      <c r="E203" s="470"/>
      <c r="F203" s="622"/>
      <c r="G203" s="471">
        <f>SUM(G180:G202)</f>
        <v>333960</v>
      </c>
      <c r="H203" s="471">
        <f aca="true" t="shared" si="17" ref="H203:O203">SUM(H180:H202)</f>
        <v>11412</v>
      </c>
      <c r="I203" s="471">
        <f t="shared" si="17"/>
        <v>345372</v>
      </c>
      <c r="J203" s="471">
        <f t="shared" si="17"/>
        <v>-221</v>
      </c>
      <c r="K203" s="471">
        <f t="shared" si="17"/>
        <v>0</v>
      </c>
      <c r="L203" s="471">
        <f t="shared" si="17"/>
        <v>-221</v>
      </c>
      <c r="M203" s="471">
        <f t="shared" si="17"/>
        <v>333739</v>
      </c>
      <c r="N203" s="471">
        <f t="shared" si="17"/>
        <v>11412</v>
      </c>
      <c r="O203" s="471">
        <f t="shared" si="17"/>
        <v>345151</v>
      </c>
    </row>
    <row r="204" spans="1:15" ht="12.75" customHeight="1">
      <c r="A204" s="436">
        <v>1</v>
      </c>
      <c r="B204" s="436">
        <v>17</v>
      </c>
      <c r="C204" s="472"/>
      <c r="D204" s="458" t="s">
        <v>245</v>
      </c>
      <c r="E204" s="473"/>
      <c r="F204" s="623"/>
      <c r="G204" s="481"/>
      <c r="H204" s="481"/>
      <c r="I204" s="474"/>
      <c r="J204" s="481"/>
      <c r="K204" s="481"/>
      <c r="L204" s="481"/>
      <c r="M204" s="481"/>
      <c r="N204" s="481"/>
      <c r="O204" s="481"/>
    </row>
    <row r="205" spans="1:15" ht="12.75" customHeight="1">
      <c r="A205" s="436"/>
      <c r="B205" s="436"/>
      <c r="C205" s="472"/>
      <c r="D205" s="458" t="s">
        <v>857</v>
      </c>
      <c r="E205" s="473"/>
      <c r="F205" s="623"/>
      <c r="G205" s="481"/>
      <c r="H205" s="481"/>
      <c r="I205" s="474"/>
      <c r="J205" s="481"/>
      <c r="K205" s="481"/>
      <c r="L205" s="481"/>
      <c r="M205" s="481"/>
      <c r="N205" s="481"/>
      <c r="O205" s="481"/>
    </row>
    <row r="206" spans="1:15" ht="24.75" customHeight="1">
      <c r="A206" s="436"/>
      <c r="B206" s="436"/>
      <c r="C206" s="475" t="s">
        <v>93</v>
      </c>
      <c r="D206" s="476" t="s">
        <v>85</v>
      </c>
      <c r="E206" s="477"/>
      <c r="F206" s="623"/>
      <c r="G206" s="481">
        <v>31564</v>
      </c>
      <c r="H206" s="481">
        <v>0</v>
      </c>
      <c r="I206" s="481">
        <v>31564</v>
      </c>
      <c r="J206" s="481"/>
      <c r="K206" s="481"/>
      <c r="L206" s="481">
        <f t="shared" si="12"/>
        <v>0</v>
      </c>
      <c r="M206" s="481">
        <f t="shared" si="13"/>
        <v>31564</v>
      </c>
      <c r="N206" s="481">
        <f t="shared" si="14"/>
        <v>0</v>
      </c>
      <c r="O206" s="481">
        <f t="shared" si="15"/>
        <v>31564</v>
      </c>
    </row>
    <row r="207" spans="1:15" ht="36" customHeight="1">
      <c r="A207" s="436"/>
      <c r="B207" s="436"/>
      <c r="C207" s="475" t="s">
        <v>172</v>
      </c>
      <c r="D207" s="476" t="s">
        <v>89</v>
      </c>
      <c r="E207" s="477"/>
      <c r="F207" s="623"/>
      <c r="G207" s="481">
        <v>0</v>
      </c>
      <c r="H207" s="481">
        <v>11131</v>
      </c>
      <c r="I207" s="481">
        <v>11131</v>
      </c>
      <c r="J207" s="481"/>
      <c r="K207" s="481"/>
      <c r="L207" s="481">
        <f t="shared" si="12"/>
        <v>0</v>
      </c>
      <c r="M207" s="481">
        <f t="shared" si="13"/>
        <v>0</v>
      </c>
      <c r="N207" s="481">
        <f t="shared" si="14"/>
        <v>11131</v>
      </c>
      <c r="O207" s="481">
        <f t="shared" si="15"/>
        <v>11131</v>
      </c>
    </row>
    <row r="208" spans="1:15" ht="15" customHeight="1">
      <c r="A208" s="436"/>
      <c r="B208" s="436"/>
      <c r="C208" s="475" t="s">
        <v>174</v>
      </c>
      <c r="D208" s="476" t="s">
        <v>6</v>
      </c>
      <c r="E208" s="477"/>
      <c r="F208" s="623"/>
      <c r="G208" s="481">
        <v>0</v>
      </c>
      <c r="H208" s="481">
        <v>11723</v>
      </c>
      <c r="I208" s="481">
        <v>11723</v>
      </c>
      <c r="J208" s="481"/>
      <c r="K208" s="481"/>
      <c r="L208" s="481">
        <f t="shared" si="12"/>
        <v>0</v>
      </c>
      <c r="M208" s="481">
        <f t="shared" si="13"/>
        <v>0</v>
      </c>
      <c r="N208" s="481">
        <f t="shared" si="14"/>
        <v>11723</v>
      </c>
      <c r="O208" s="481">
        <f t="shared" si="15"/>
        <v>11723</v>
      </c>
    </row>
    <row r="209" spans="1:15" ht="25.5" customHeight="1">
      <c r="A209" s="436"/>
      <c r="B209" s="436"/>
      <c r="C209" s="475" t="s">
        <v>176</v>
      </c>
      <c r="D209" s="667" t="s">
        <v>670</v>
      </c>
      <c r="E209" s="477"/>
      <c r="F209" s="623"/>
      <c r="G209" s="481">
        <v>0</v>
      </c>
      <c r="H209" s="481">
        <v>5595</v>
      </c>
      <c r="I209" s="481">
        <v>5595</v>
      </c>
      <c r="J209" s="481"/>
      <c r="K209" s="481"/>
      <c r="L209" s="481">
        <f t="shared" si="12"/>
        <v>0</v>
      </c>
      <c r="M209" s="481">
        <f t="shared" si="13"/>
        <v>0</v>
      </c>
      <c r="N209" s="481">
        <f t="shared" si="14"/>
        <v>5595</v>
      </c>
      <c r="O209" s="481">
        <f t="shared" si="15"/>
        <v>5595</v>
      </c>
    </row>
    <row r="210" spans="1:15" ht="15" customHeight="1">
      <c r="A210" s="436"/>
      <c r="B210" s="436"/>
      <c r="C210" s="475" t="s">
        <v>177</v>
      </c>
      <c r="D210" s="675" t="s">
        <v>335</v>
      </c>
      <c r="E210" s="477"/>
      <c r="F210" s="623"/>
      <c r="G210" s="481">
        <v>373</v>
      </c>
      <c r="H210" s="481"/>
      <c r="I210" s="481">
        <v>373</v>
      </c>
      <c r="J210" s="481"/>
      <c r="K210" s="481"/>
      <c r="L210" s="481">
        <v>373</v>
      </c>
      <c r="M210" s="481">
        <f t="shared" si="13"/>
        <v>373</v>
      </c>
      <c r="N210" s="481"/>
      <c r="O210" s="481">
        <v>373</v>
      </c>
    </row>
    <row r="211" spans="1:15" ht="15.75" customHeight="1">
      <c r="A211" s="436"/>
      <c r="B211" s="436"/>
      <c r="C211" s="475" t="s">
        <v>178</v>
      </c>
      <c r="D211" s="676" t="s">
        <v>332</v>
      </c>
      <c r="E211" s="477"/>
      <c r="F211" s="623"/>
      <c r="G211" s="481"/>
      <c r="H211" s="481">
        <v>520</v>
      </c>
      <c r="I211" s="481">
        <v>520</v>
      </c>
      <c r="J211" s="481"/>
      <c r="K211" s="481"/>
      <c r="L211" s="481">
        <v>520</v>
      </c>
      <c r="M211" s="481"/>
      <c r="N211" s="481">
        <f t="shared" si="14"/>
        <v>520</v>
      </c>
      <c r="O211" s="481">
        <f t="shared" si="15"/>
        <v>520</v>
      </c>
    </row>
    <row r="212" spans="1:15" ht="12.75" customHeight="1">
      <c r="A212" s="462"/>
      <c r="B212" s="462"/>
      <c r="C212" s="468"/>
      <c r="D212" s="469" t="s">
        <v>1130</v>
      </c>
      <c r="E212" s="470"/>
      <c r="F212" s="622"/>
      <c r="G212" s="471">
        <f>SUM(G206:G211)</f>
        <v>31937</v>
      </c>
      <c r="H212" s="471">
        <f aca="true" t="shared" si="18" ref="H212:O212">SUM(H206:H211)</f>
        <v>28969</v>
      </c>
      <c r="I212" s="471">
        <f t="shared" si="18"/>
        <v>60906</v>
      </c>
      <c r="J212" s="471">
        <f t="shared" si="18"/>
        <v>0</v>
      </c>
      <c r="K212" s="471">
        <f t="shared" si="18"/>
        <v>0</v>
      </c>
      <c r="L212" s="471">
        <f t="shared" si="18"/>
        <v>893</v>
      </c>
      <c r="M212" s="471">
        <f t="shared" si="18"/>
        <v>31937</v>
      </c>
      <c r="N212" s="471">
        <f t="shared" si="18"/>
        <v>28969</v>
      </c>
      <c r="O212" s="471">
        <f t="shared" si="18"/>
        <v>60906</v>
      </c>
    </row>
    <row r="213" spans="1:15" ht="12.75" customHeight="1">
      <c r="A213" s="436">
        <v>1</v>
      </c>
      <c r="B213" s="436">
        <v>19</v>
      </c>
      <c r="C213" s="472"/>
      <c r="D213" s="478" t="s">
        <v>246</v>
      </c>
      <c r="E213" s="473"/>
      <c r="F213" s="623"/>
      <c r="G213" s="481"/>
      <c r="H213" s="481"/>
      <c r="I213" s="481"/>
      <c r="J213" s="481"/>
      <c r="K213" s="481"/>
      <c r="L213" s="481"/>
      <c r="M213" s="481"/>
      <c r="N213" s="481"/>
      <c r="O213" s="481"/>
    </row>
    <row r="214" spans="1:15" ht="12.75" customHeight="1">
      <c r="A214" s="436"/>
      <c r="B214" s="436"/>
      <c r="C214" s="472"/>
      <c r="D214" s="450" t="s">
        <v>318</v>
      </c>
      <c r="E214" s="473"/>
      <c r="F214" s="623"/>
      <c r="G214" s="481"/>
      <c r="H214" s="481"/>
      <c r="I214" s="481"/>
      <c r="J214" s="481"/>
      <c r="K214" s="481"/>
      <c r="L214" s="481"/>
      <c r="M214" s="481"/>
      <c r="N214" s="481"/>
      <c r="O214" s="481"/>
    </row>
    <row r="215" spans="1:15" ht="12.75" customHeight="1">
      <c r="A215" s="436"/>
      <c r="B215" s="436"/>
      <c r="C215" s="475" t="s">
        <v>29</v>
      </c>
      <c r="D215" s="479" t="s">
        <v>1123</v>
      </c>
      <c r="E215" s="473"/>
      <c r="F215" s="623"/>
      <c r="G215" s="481">
        <v>0</v>
      </c>
      <c r="H215" s="481">
        <v>2000</v>
      </c>
      <c r="I215" s="481">
        <f>SUM(G215:H215)</f>
        <v>2000</v>
      </c>
      <c r="J215" s="481"/>
      <c r="K215" s="481"/>
      <c r="L215" s="481">
        <f t="shared" si="12"/>
        <v>0</v>
      </c>
      <c r="M215" s="481">
        <f t="shared" si="13"/>
        <v>0</v>
      </c>
      <c r="N215" s="481">
        <f t="shared" si="14"/>
        <v>2000</v>
      </c>
      <c r="O215" s="481">
        <f t="shared" si="15"/>
        <v>2000</v>
      </c>
    </row>
    <row r="216" spans="1:15" ht="12.75" customHeight="1">
      <c r="A216" s="462"/>
      <c r="B216" s="462"/>
      <c r="C216" s="468"/>
      <c r="D216" s="469" t="s">
        <v>247</v>
      </c>
      <c r="E216" s="470"/>
      <c r="F216" s="622"/>
      <c r="G216" s="471">
        <f>SUM(G214:G215)</f>
        <v>0</v>
      </c>
      <c r="H216" s="471">
        <f aca="true" t="shared" si="19" ref="H216:O216">SUM(H214:H215)</f>
        <v>2000</v>
      </c>
      <c r="I216" s="471">
        <f t="shared" si="19"/>
        <v>2000</v>
      </c>
      <c r="J216" s="471">
        <f t="shared" si="19"/>
        <v>0</v>
      </c>
      <c r="K216" s="471">
        <f t="shared" si="19"/>
        <v>0</v>
      </c>
      <c r="L216" s="471">
        <f t="shared" si="19"/>
        <v>0</v>
      </c>
      <c r="M216" s="471">
        <f t="shared" si="19"/>
        <v>0</v>
      </c>
      <c r="N216" s="471">
        <f t="shared" si="19"/>
        <v>2000</v>
      </c>
      <c r="O216" s="471">
        <f t="shared" si="19"/>
        <v>2000</v>
      </c>
    </row>
    <row r="217" spans="1:15" ht="12.75" customHeight="1">
      <c r="A217" s="404">
        <v>1</v>
      </c>
      <c r="B217" s="404">
        <v>30</v>
      </c>
      <c r="C217" s="404"/>
      <c r="D217" s="405" t="s">
        <v>1133</v>
      </c>
      <c r="E217" s="480"/>
      <c r="F217" s="624"/>
      <c r="G217" s="481"/>
      <c r="H217" s="481"/>
      <c r="I217" s="481"/>
      <c r="J217" s="481"/>
      <c r="K217" s="481"/>
      <c r="L217" s="481"/>
      <c r="M217" s="481"/>
      <c r="N217" s="481"/>
      <c r="O217" s="481"/>
    </row>
    <row r="218" spans="1:15" ht="12.75" customHeight="1">
      <c r="A218" s="404"/>
      <c r="B218" s="404"/>
      <c r="C218" s="404" t="s">
        <v>93</v>
      </c>
      <c r="D218" s="482" t="s">
        <v>142</v>
      </c>
      <c r="E218" s="483"/>
      <c r="F218" s="624" t="s">
        <v>257</v>
      </c>
      <c r="G218" s="481">
        <v>7751</v>
      </c>
      <c r="H218" s="481">
        <v>0</v>
      </c>
      <c r="I218" s="481">
        <f>SUM(G218:H218)</f>
        <v>7751</v>
      </c>
      <c r="J218" s="481">
        <v>-1522</v>
      </c>
      <c r="K218" s="481"/>
      <c r="L218" s="481">
        <f t="shared" si="12"/>
        <v>-1522</v>
      </c>
      <c r="M218" s="481">
        <f t="shared" si="13"/>
        <v>6229</v>
      </c>
      <c r="N218" s="481">
        <f t="shared" si="14"/>
        <v>0</v>
      </c>
      <c r="O218" s="481">
        <f t="shared" si="15"/>
        <v>6229</v>
      </c>
    </row>
    <row r="219" spans="1:15" ht="12.75" customHeight="1">
      <c r="A219" s="484"/>
      <c r="B219" s="484"/>
      <c r="C219" s="484"/>
      <c r="D219" s="485" t="s">
        <v>1134</v>
      </c>
      <c r="E219" s="486"/>
      <c r="F219" s="625"/>
      <c r="G219" s="487">
        <f>SUM(G218:G218)</f>
        <v>7751</v>
      </c>
      <c r="H219" s="487">
        <f>SUM(H218:H218)</f>
        <v>0</v>
      </c>
      <c r="I219" s="487">
        <f>SUM(I218:I218)</f>
        <v>7751</v>
      </c>
      <c r="J219" s="626">
        <f>SUM(J218)</f>
        <v>-1522</v>
      </c>
      <c r="K219" s="626"/>
      <c r="L219" s="626">
        <f t="shared" si="12"/>
        <v>-1522</v>
      </c>
      <c r="M219" s="626">
        <f t="shared" si="13"/>
        <v>6229</v>
      </c>
      <c r="N219" s="626">
        <f t="shared" si="14"/>
        <v>0</v>
      </c>
      <c r="O219" s="626">
        <f t="shared" si="15"/>
        <v>6229</v>
      </c>
    </row>
    <row r="220" spans="1:15" ht="12.75" customHeight="1">
      <c r="A220" s="484"/>
      <c r="B220" s="484"/>
      <c r="C220" s="484"/>
      <c r="D220" s="381" t="s">
        <v>1088</v>
      </c>
      <c r="E220" s="486"/>
      <c r="F220" s="625"/>
      <c r="G220" s="487">
        <f>SUM(G52+G178+G203+G212+G216+G219)</f>
        <v>1231370</v>
      </c>
      <c r="H220" s="487">
        <f>SUM(H52+H178+H203+H212+H216+H219)</f>
        <v>303662</v>
      </c>
      <c r="I220" s="487">
        <f>SUM(G220:H220)</f>
        <v>1535032</v>
      </c>
      <c r="J220" s="487">
        <f>SUM(J52+J178+J203+J212+J216+J219)</f>
        <v>2000</v>
      </c>
      <c r="K220" s="487">
        <f>SUM(K52+K178+K203+K212+K216+K219)</f>
        <v>0</v>
      </c>
      <c r="L220" s="487">
        <f>SUM(J220:K220)</f>
        <v>2000</v>
      </c>
      <c r="M220" s="487">
        <f>SUM(M52+M178+M203+M212+M216+M219)</f>
        <v>1233370</v>
      </c>
      <c r="N220" s="487">
        <f>SUM(N52+N178+N203+N212+N216+N219)</f>
        <v>303662</v>
      </c>
      <c r="O220" s="487">
        <f>SUM(M220:N220)</f>
        <v>1537032</v>
      </c>
    </row>
    <row r="221" spans="1:15" ht="12.75" customHeight="1">
      <c r="A221" s="488">
        <v>2</v>
      </c>
      <c r="B221" s="489"/>
      <c r="C221" s="489"/>
      <c r="D221" s="215" t="s">
        <v>13</v>
      </c>
      <c r="E221" s="490"/>
      <c r="F221" s="627"/>
      <c r="G221" s="481">
        <v>125808</v>
      </c>
      <c r="H221" s="481">
        <v>0</v>
      </c>
      <c r="I221" s="659">
        <v>125808</v>
      </c>
      <c r="J221" s="481"/>
      <c r="K221" s="481"/>
      <c r="L221" s="481">
        <f t="shared" si="12"/>
        <v>0</v>
      </c>
      <c r="M221" s="481">
        <f t="shared" si="13"/>
        <v>125808</v>
      </c>
      <c r="N221" s="481">
        <f t="shared" si="14"/>
        <v>0</v>
      </c>
      <c r="O221" s="481">
        <f t="shared" si="15"/>
        <v>125808</v>
      </c>
    </row>
    <row r="222" spans="1:15" ht="12.75" customHeight="1">
      <c r="A222" s="491"/>
      <c r="B222" s="491"/>
      <c r="C222" s="491"/>
      <c r="D222" s="485" t="s">
        <v>1136</v>
      </c>
      <c r="E222" s="486"/>
      <c r="F222" s="625"/>
      <c r="G222" s="487">
        <f>SUM(G220+G221)</f>
        <v>1357178</v>
      </c>
      <c r="H222" s="487">
        <f>SUM(H220+H221)</f>
        <v>303662</v>
      </c>
      <c r="I222" s="487">
        <f>SUM(G222:H222)</f>
        <v>1660840</v>
      </c>
      <c r="J222" s="487">
        <f>SUM(J220:J221)</f>
        <v>2000</v>
      </c>
      <c r="K222" s="487">
        <f>SUM(K220:K221)</f>
        <v>0</v>
      </c>
      <c r="L222" s="487">
        <f t="shared" si="12"/>
        <v>2000</v>
      </c>
      <c r="M222" s="487">
        <f>SUM(G222+J222)</f>
        <v>1359178</v>
      </c>
      <c r="N222" s="487">
        <f>SUM(H222+K222)</f>
        <v>303662</v>
      </c>
      <c r="O222" s="487">
        <f t="shared" si="15"/>
        <v>1662840</v>
      </c>
    </row>
    <row r="223" spans="1:12" ht="13.5" customHeight="1">
      <c r="A223" s="387" t="s">
        <v>1124</v>
      </c>
      <c r="B223" s="387"/>
      <c r="C223" s="387"/>
      <c r="D223" s="387"/>
      <c r="E223" s="387"/>
      <c r="F223" s="387"/>
      <c r="G223" s="387"/>
      <c r="H223" s="387"/>
      <c r="I223" s="387"/>
      <c r="L223" s="612"/>
    </row>
    <row r="224" spans="1:9" ht="13.5" customHeight="1">
      <c r="A224" s="492"/>
      <c r="B224" s="492"/>
      <c r="C224" s="492"/>
      <c r="D224" s="493"/>
      <c r="E224" s="493"/>
      <c r="F224" s="493"/>
      <c r="G224" s="494"/>
      <c r="H224" s="495"/>
      <c r="I224" s="495"/>
    </row>
    <row r="225" spans="1:3" ht="12">
      <c r="A225" s="496"/>
      <c r="B225" s="497"/>
      <c r="C225" s="497"/>
    </row>
    <row r="226" spans="1:3" ht="12">
      <c r="A226" s="497"/>
      <c r="B226" s="497"/>
      <c r="C226" s="497"/>
    </row>
    <row r="227" spans="1:3" ht="12">
      <c r="A227" s="497"/>
      <c r="B227" s="497"/>
      <c r="C227" s="497"/>
    </row>
  </sheetData>
  <sheetProtection selectLockedCells="1" selectUnlockedCells="1"/>
  <mergeCells count="5">
    <mergeCell ref="M1:O1"/>
    <mergeCell ref="D37:E37"/>
    <mergeCell ref="G1:I1"/>
    <mergeCell ref="J1:L1"/>
    <mergeCell ref="F1:F2"/>
  </mergeCells>
  <printOptions horizontalCentered="1" verticalCentered="1"/>
  <pageMargins left="0.03958333333333333" right="0.03958333333333333" top="0.8270833333333333" bottom="0.39375" header="0.31527777777777777" footer="0.2361111111111111"/>
  <pageSetup horizontalDpi="300" verticalDpi="300" orientation="landscape" paperSize="9" scale="86" r:id="rId1"/>
  <headerFooter alignWithMargins="0">
    <oddHeader>&amp;C&amp;"Times New Roman,Félkövér dőlt"Zalaegerszeg Megyei Jogú Város Önkormányzatának
2014. évi  felújítási kiadásai célonként&amp;R&amp;"Times New Roman,Félkövér dőlt"8.  melléklet
Adatok  ezer Ft-ban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7">
      <selection activeCell="E20" sqref="E20:J20"/>
    </sheetView>
  </sheetViews>
  <sheetFormatPr defaultColWidth="9.00390625" defaultRowHeight="12.75"/>
  <cols>
    <col min="1" max="1" width="3.00390625" style="56" customWidth="1"/>
    <col min="2" max="2" width="35.00390625" style="53" customWidth="1"/>
    <col min="3" max="4" width="11.375" style="53" customWidth="1"/>
    <col min="5" max="6" width="11.875" style="53" customWidth="1"/>
    <col min="7" max="7" width="10.50390625" style="53" customWidth="1"/>
    <col min="8" max="8" width="12.00390625" style="53" customWidth="1"/>
    <col min="9" max="9" width="11.50390625" style="53" customWidth="1"/>
    <col min="10" max="10" width="11.625" style="53" customWidth="1"/>
    <col min="11" max="11" width="11.375" style="53" customWidth="1"/>
    <col min="12" max="12" width="12.875" style="53" customWidth="1"/>
    <col min="13" max="13" width="13.125" style="53" customWidth="1"/>
    <col min="14" max="14" width="9.50390625" style="53" customWidth="1"/>
    <col min="15" max="15" width="13.125" style="53" customWidth="1"/>
    <col min="16" max="16384" width="9.375" style="53" customWidth="1"/>
  </cols>
  <sheetData>
    <row r="1" spans="1:15" ht="14.25" customHeight="1">
      <c r="A1" s="730" t="s">
        <v>279</v>
      </c>
      <c r="B1" s="730" t="s">
        <v>17</v>
      </c>
      <c r="C1" s="734" t="s">
        <v>285</v>
      </c>
      <c r="D1" s="734" t="s">
        <v>951</v>
      </c>
      <c r="E1" s="730" t="s">
        <v>286</v>
      </c>
      <c r="F1" s="732"/>
      <c r="G1" s="732"/>
      <c r="H1" s="732"/>
      <c r="I1" s="732"/>
      <c r="J1" s="732"/>
      <c r="K1" s="732"/>
      <c r="L1" s="733" t="s">
        <v>287</v>
      </c>
      <c r="M1" s="732"/>
      <c r="N1" s="732"/>
      <c r="O1" s="730" t="s">
        <v>288</v>
      </c>
    </row>
    <row r="2" spans="1:15" ht="81.75" customHeight="1">
      <c r="A2" s="731"/>
      <c r="B2" s="731"/>
      <c r="C2" s="735"/>
      <c r="D2" s="735"/>
      <c r="E2" s="205" t="s">
        <v>289</v>
      </c>
      <c r="F2" s="205" t="s">
        <v>290</v>
      </c>
      <c r="G2" s="205" t="s">
        <v>969</v>
      </c>
      <c r="H2" s="205" t="s">
        <v>291</v>
      </c>
      <c r="I2" s="205" t="s">
        <v>14</v>
      </c>
      <c r="J2" s="205" t="s">
        <v>292</v>
      </c>
      <c r="K2" s="205" t="s">
        <v>293</v>
      </c>
      <c r="L2" s="205" t="s">
        <v>294</v>
      </c>
      <c r="M2" s="205" t="s">
        <v>295</v>
      </c>
      <c r="N2" s="205" t="s">
        <v>296</v>
      </c>
      <c r="O2" s="730"/>
    </row>
    <row r="3" spans="1:15" ht="15" customHeight="1">
      <c r="A3" s="204">
        <v>2</v>
      </c>
      <c r="B3" s="150" t="s">
        <v>243</v>
      </c>
      <c r="C3" s="151">
        <v>1237075</v>
      </c>
      <c r="D3" s="151">
        <f>80429+'táj.1.'!M3</f>
        <v>80429</v>
      </c>
      <c r="E3" s="206">
        <f>30832+'táj.1.'!C3</f>
        <v>30832</v>
      </c>
      <c r="F3" s="206">
        <f>0+'táj.1.'!D3</f>
        <v>0</v>
      </c>
      <c r="G3" s="206">
        <f>0+'táj.1.'!E3</f>
        <v>0</v>
      </c>
      <c r="H3" s="575">
        <f>15400+'táj.1.'!F3</f>
        <v>15400</v>
      </c>
      <c r="I3" s="575">
        <f>264+'táj.1.'!G3</f>
        <v>264</v>
      </c>
      <c r="J3" s="575">
        <f>0+'táj.1.'!H3</f>
        <v>0</v>
      </c>
      <c r="K3" s="575">
        <f>0+'táj.1.'!I3</f>
        <v>0</v>
      </c>
      <c r="L3" s="575">
        <f>151729+'táj.1.'!J3</f>
        <v>151729</v>
      </c>
      <c r="M3" s="575">
        <f>1119279+'táj.1.'!K3</f>
        <v>1119279</v>
      </c>
      <c r="N3" s="575">
        <f>0+'táj.1.'!L3</f>
        <v>0</v>
      </c>
      <c r="O3" s="575">
        <f aca="true" t="shared" si="0" ref="O3:O19">SUM(E3:N3)</f>
        <v>1317504</v>
      </c>
    </row>
    <row r="4" spans="1:15" s="54" customFormat="1" ht="28.5" customHeight="1">
      <c r="A4" s="204">
        <v>3</v>
      </c>
      <c r="B4" s="150" t="s">
        <v>269</v>
      </c>
      <c r="C4" s="151">
        <v>1361767</v>
      </c>
      <c r="D4" s="151">
        <f>49624+'táj.1.'!M4</f>
        <v>49624</v>
      </c>
      <c r="E4" s="206">
        <f>8004+'táj.1.'!C4</f>
        <v>8004</v>
      </c>
      <c r="F4" s="206">
        <f>11100+'táj.1.'!D4</f>
        <v>11100</v>
      </c>
      <c r="G4" s="206">
        <f>0+'táj.1.'!E4</f>
        <v>0</v>
      </c>
      <c r="H4" s="575">
        <f>411358+'táj.1.'!F4</f>
        <v>411358</v>
      </c>
      <c r="I4" s="575">
        <f>0+'táj.1.'!G4</f>
        <v>0</v>
      </c>
      <c r="J4" s="575">
        <f>0+'táj.1.'!H4</f>
        <v>0</v>
      </c>
      <c r="K4" s="575">
        <f>0+'táj.1.'!I4</f>
        <v>0</v>
      </c>
      <c r="L4" s="575">
        <f>41560+'táj.1.'!J4</f>
        <v>41560</v>
      </c>
      <c r="M4" s="575">
        <f>939369+'táj.1.'!K4</f>
        <v>939369</v>
      </c>
      <c r="N4" s="575">
        <f>0+'táj.1.'!L4</f>
        <v>0</v>
      </c>
      <c r="O4" s="575">
        <f t="shared" si="0"/>
        <v>1411391</v>
      </c>
    </row>
    <row r="5" spans="1:15" s="54" customFormat="1" ht="19.5" customHeight="1">
      <c r="A5" s="204">
        <v>4</v>
      </c>
      <c r="B5" s="150" t="s">
        <v>270</v>
      </c>
      <c r="C5" s="151">
        <v>362804</v>
      </c>
      <c r="D5" s="151">
        <f>50305+'táj.1.'!M5</f>
        <v>52805</v>
      </c>
      <c r="E5" s="206">
        <f>9857+'táj.1.'!C5</f>
        <v>9857</v>
      </c>
      <c r="F5" s="206">
        <f>15682+'táj.1.'!D5</f>
        <v>15773</v>
      </c>
      <c r="G5" s="206">
        <f>0+'táj.1.'!E5</f>
        <v>0</v>
      </c>
      <c r="H5" s="575">
        <f>107376+'táj.1.'!F5</f>
        <v>109785</v>
      </c>
      <c r="I5" s="575">
        <f>0+'táj.1.'!G5</f>
        <v>0</v>
      </c>
      <c r="J5" s="575">
        <f>0+'táj.1.'!H5</f>
        <v>0</v>
      </c>
      <c r="K5" s="575">
        <f>0+'táj.1.'!I5</f>
        <v>0</v>
      </c>
      <c r="L5" s="575">
        <f>859+'táj.1.'!J5</f>
        <v>859</v>
      </c>
      <c r="M5" s="575">
        <f>279335+'táj.1.'!K5</f>
        <v>279335</v>
      </c>
      <c r="N5" s="575">
        <f>0+'táj.1.'!L5</f>
        <v>0</v>
      </c>
      <c r="O5" s="575">
        <f t="shared" si="0"/>
        <v>415609</v>
      </c>
    </row>
    <row r="6" spans="1:15" s="54" customFormat="1" ht="32.25" customHeight="1">
      <c r="A6" s="204">
        <v>5</v>
      </c>
      <c r="B6" s="196" t="s">
        <v>271</v>
      </c>
      <c r="C6" s="127">
        <v>316218</v>
      </c>
      <c r="D6" s="151">
        <f>99013+'táj.1.'!M6</f>
        <v>99013</v>
      </c>
      <c r="E6" s="206">
        <f>289942+'táj.1.'!C6</f>
        <v>289942</v>
      </c>
      <c r="F6" s="206">
        <f>1000+'táj.1.'!D6</f>
        <v>1000</v>
      </c>
      <c r="G6" s="206">
        <f>0+'táj.1.'!E6</f>
        <v>0</v>
      </c>
      <c r="H6" s="575">
        <f>3000+'táj.1.'!F6</f>
        <v>3000</v>
      </c>
      <c r="I6" s="575">
        <f>0+'táj.1.'!G6</f>
        <v>0</v>
      </c>
      <c r="J6" s="575">
        <f>0+'táj.1.'!H6</f>
        <v>0</v>
      </c>
      <c r="K6" s="575">
        <f>0+'táj.1.'!I6</f>
        <v>0</v>
      </c>
      <c r="L6" s="575">
        <f>57550+'táj.1.'!J6</f>
        <v>57550</v>
      </c>
      <c r="M6" s="575">
        <f>63739+'táj.1.'!K6</f>
        <v>63739</v>
      </c>
      <c r="N6" s="575">
        <f>0+'táj.1.'!L6</f>
        <v>0</v>
      </c>
      <c r="O6" s="575">
        <f t="shared" si="0"/>
        <v>415231</v>
      </c>
    </row>
    <row r="7" spans="1:15" s="54" customFormat="1" ht="25.5">
      <c r="A7" s="204">
        <v>6</v>
      </c>
      <c r="B7" s="196" t="s">
        <v>272</v>
      </c>
      <c r="C7" s="127">
        <v>310239</v>
      </c>
      <c r="D7" s="151">
        <f>12203+'táj.1.'!M7</f>
        <v>12203</v>
      </c>
      <c r="E7" s="206">
        <f>1517+'táj.1.'!C7</f>
        <v>1517</v>
      </c>
      <c r="F7" s="206">
        <f>600+'táj.1.'!D7</f>
        <v>600</v>
      </c>
      <c r="G7" s="206">
        <f>0+'táj.1.'!E7</f>
        <v>0</v>
      </c>
      <c r="H7" s="575">
        <f>36430+'táj.1.'!F7</f>
        <v>36430</v>
      </c>
      <c r="I7" s="575">
        <f>0+'táj.1.'!G7</f>
        <v>0</v>
      </c>
      <c r="J7" s="575">
        <f>0+'táj.1.'!H7</f>
        <v>0</v>
      </c>
      <c r="K7" s="575">
        <f>0+'táj.1.'!I7</f>
        <v>0</v>
      </c>
      <c r="L7" s="575">
        <f>870+'táj.1.'!J7</f>
        <v>870</v>
      </c>
      <c r="M7" s="575">
        <f>283025+'táj.1.'!K7</f>
        <v>283025</v>
      </c>
      <c r="N7" s="575">
        <f>0+'táj.1.'!L7</f>
        <v>0</v>
      </c>
      <c r="O7" s="575">
        <f t="shared" si="0"/>
        <v>322442</v>
      </c>
    </row>
    <row r="8" spans="1:15" s="54" customFormat="1" ht="26.25" customHeight="1">
      <c r="A8" s="204">
        <v>7</v>
      </c>
      <c r="B8" s="196" t="s">
        <v>273</v>
      </c>
      <c r="C8" s="127">
        <v>288134</v>
      </c>
      <c r="D8" s="151">
        <f>-2006+'táj.1.'!M8</f>
        <v>-2006</v>
      </c>
      <c r="E8" s="206">
        <f>2028+'táj.1.'!C8</f>
        <v>2028</v>
      </c>
      <c r="F8" s="206">
        <f>0+'táj.1.'!D8</f>
        <v>0</v>
      </c>
      <c r="G8" s="206">
        <f>0+'táj.1.'!E8</f>
        <v>0</v>
      </c>
      <c r="H8" s="575">
        <f>32119+'táj.1.'!F8</f>
        <v>32119</v>
      </c>
      <c r="I8" s="575">
        <f>0+'táj.1.'!G8</f>
        <v>0</v>
      </c>
      <c r="J8" s="575">
        <f>0+'táj.1.'!H8</f>
        <v>0</v>
      </c>
      <c r="K8" s="575">
        <f>0+'táj.1.'!I8</f>
        <v>0</v>
      </c>
      <c r="L8" s="575">
        <f>1584+'táj.1.'!J8</f>
        <v>1584</v>
      </c>
      <c r="M8" s="575">
        <f>250397+'táj.1.'!K8</f>
        <v>250397</v>
      </c>
      <c r="N8" s="575">
        <f>0+'táj.1.'!L8</f>
        <v>0</v>
      </c>
      <c r="O8" s="575">
        <f t="shared" si="0"/>
        <v>286128</v>
      </c>
    </row>
    <row r="9" spans="1:15" s="54" customFormat="1" ht="15" customHeight="1">
      <c r="A9" s="204">
        <v>8</v>
      </c>
      <c r="B9" s="196" t="s">
        <v>274</v>
      </c>
      <c r="C9" s="127">
        <v>283986</v>
      </c>
      <c r="D9" s="151">
        <f>10396+'táj.1.'!M9</f>
        <v>10396</v>
      </c>
      <c r="E9" s="206">
        <f>700+'táj.1.'!C9</f>
        <v>700</v>
      </c>
      <c r="F9" s="206">
        <f>0+'táj.1.'!D9</f>
        <v>0</v>
      </c>
      <c r="G9" s="206">
        <f>0+'táj.1.'!E9</f>
        <v>0</v>
      </c>
      <c r="H9" s="575">
        <f>27798+'táj.1.'!F9</f>
        <v>27798</v>
      </c>
      <c r="I9" s="575">
        <f>0+'táj.1.'!G9</f>
        <v>0</v>
      </c>
      <c r="J9" s="575">
        <f>0+'táj.1.'!H9</f>
        <v>0</v>
      </c>
      <c r="K9" s="575">
        <f>0+'táj.1.'!I9</f>
        <v>0</v>
      </c>
      <c r="L9" s="575">
        <f>757+'táj.1.'!J9</f>
        <v>757</v>
      </c>
      <c r="M9" s="575">
        <f>265127+'táj.1.'!K9</f>
        <v>265127</v>
      </c>
      <c r="N9" s="575">
        <f>0+'táj.1.'!L9</f>
        <v>0</v>
      </c>
      <c r="O9" s="575">
        <f t="shared" si="0"/>
        <v>294382</v>
      </c>
    </row>
    <row r="10" spans="1:15" s="54" customFormat="1" ht="19.5" customHeight="1">
      <c r="A10" s="204">
        <v>9</v>
      </c>
      <c r="B10" s="196" t="s">
        <v>275</v>
      </c>
      <c r="C10" s="127">
        <v>287762</v>
      </c>
      <c r="D10" s="151">
        <f>-780+'táj.1.'!M10</f>
        <v>-780</v>
      </c>
      <c r="E10" s="206">
        <f>2369+'táj.1.'!C10</f>
        <v>2369</v>
      </c>
      <c r="F10" s="206">
        <f>0+'táj.1.'!D10</f>
        <v>0</v>
      </c>
      <c r="G10" s="206">
        <f>0+'táj.1.'!E10</f>
        <v>0</v>
      </c>
      <c r="H10" s="575">
        <f>25240+'táj.1.'!F10</f>
        <v>25240</v>
      </c>
      <c r="I10" s="575">
        <f>0+'táj.1.'!G10</f>
        <v>0</v>
      </c>
      <c r="J10" s="575">
        <f>0+'táj.1.'!H10</f>
        <v>0</v>
      </c>
      <c r="K10" s="575">
        <f>0+'táj.1.'!I10</f>
        <v>0</v>
      </c>
      <c r="L10" s="575">
        <f>519+'táj.1.'!J10</f>
        <v>519</v>
      </c>
      <c r="M10" s="575">
        <f>258854+'táj.1.'!K10</f>
        <v>258854</v>
      </c>
      <c r="N10" s="575">
        <f>0+'táj.1.'!L10</f>
        <v>0</v>
      </c>
      <c r="O10" s="575">
        <f t="shared" si="0"/>
        <v>286982</v>
      </c>
    </row>
    <row r="11" spans="1:15" s="54" customFormat="1" ht="27" customHeight="1">
      <c r="A11" s="204">
        <v>10</v>
      </c>
      <c r="B11" s="196" t="s">
        <v>276</v>
      </c>
      <c r="C11" s="125">
        <v>112025</v>
      </c>
      <c r="D11" s="151">
        <f>48048+'táj.1.'!M11</f>
        <v>48048</v>
      </c>
      <c r="E11" s="206">
        <f>33881+'táj.1.'!C11</f>
        <v>33881</v>
      </c>
      <c r="F11" s="206">
        <f>7400+'táj.1.'!D11</f>
        <v>7400</v>
      </c>
      <c r="G11" s="206">
        <f>0+'táj.1.'!E11</f>
        <v>0</v>
      </c>
      <c r="H11" s="575">
        <f>22560+'táj.1.'!F11</f>
        <v>22560</v>
      </c>
      <c r="I11" s="575">
        <f>0+'táj.1.'!G11</f>
        <v>0</v>
      </c>
      <c r="J11" s="575">
        <f>130+'táj.1.'!H11</f>
        <v>130</v>
      </c>
      <c r="K11" s="575">
        <f>0+'táj.1.'!I11</f>
        <v>0</v>
      </c>
      <c r="L11" s="575">
        <f>5278+'táj.1.'!J11</f>
        <v>5278</v>
      </c>
      <c r="M11" s="575">
        <f>90824+'táj.1.'!K11</f>
        <v>90824</v>
      </c>
      <c r="N11" s="575">
        <f>0+'táj.1.'!L11</f>
        <v>0</v>
      </c>
      <c r="O11" s="575">
        <f t="shared" si="0"/>
        <v>160073</v>
      </c>
    </row>
    <row r="12" spans="1:15" s="54" customFormat="1" ht="20.25" customHeight="1">
      <c r="A12" s="204">
        <v>11</v>
      </c>
      <c r="B12" s="196" t="s">
        <v>277</v>
      </c>
      <c r="C12" s="127">
        <v>188141</v>
      </c>
      <c r="D12" s="151">
        <f>69071+'táj.1.'!M12</f>
        <v>69071</v>
      </c>
      <c r="E12" s="206">
        <f>45548+'táj.1.'!C12</f>
        <v>45548</v>
      </c>
      <c r="F12" s="206">
        <f>14614+'táj.1.'!D12</f>
        <v>14614</v>
      </c>
      <c r="G12" s="206">
        <f>0+'táj.1.'!E12</f>
        <v>0</v>
      </c>
      <c r="H12" s="575">
        <f>45000+'táj.1.'!F12</f>
        <v>45000</v>
      </c>
      <c r="I12" s="575">
        <f>0+'táj.1.'!G12</f>
        <v>0</v>
      </c>
      <c r="J12" s="575">
        <f>3174+'táj.1.'!H12</f>
        <v>3174</v>
      </c>
      <c r="K12" s="575">
        <f>0+'táj.1.'!I12</f>
        <v>0</v>
      </c>
      <c r="L12" s="575">
        <f>2440+'táj.1.'!J12</f>
        <v>2440</v>
      </c>
      <c r="M12" s="575">
        <f>146436+'táj.1.'!K12</f>
        <v>146436</v>
      </c>
      <c r="N12" s="575">
        <f>0+'táj.1.'!L12</f>
        <v>0</v>
      </c>
      <c r="O12" s="575">
        <f t="shared" si="0"/>
        <v>257212</v>
      </c>
    </row>
    <row r="13" spans="1:15" s="54" customFormat="1" ht="30" customHeight="1">
      <c r="A13" s="204">
        <v>12</v>
      </c>
      <c r="B13" s="196" t="s">
        <v>278</v>
      </c>
      <c r="C13" s="125">
        <v>15555</v>
      </c>
      <c r="D13" s="151">
        <f>2698+'táj.1.'!M13</f>
        <v>2698</v>
      </c>
      <c r="E13" s="206">
        <f>1591+'táj.1.'!C13</f>
        <v>1591</v>
      </c>
      <c r="F13" s="206">
        <f>0+'táj.1.'!D13</f>
        <v>0</v>
      </c>
      <c r="G13" s="206">
        <f>0+'táj.1.'!E13</f>
        <v>0</v>
      </c>
      <c r="H13" s="575">
        <f>1286+'táj.1.'!F13</f>
        <v>1286</v>
      </c>
      <c r="I13" s="575">
        <f>0+'táj.1.'!G13</f>
        <v>0</v>
      </c>
      <c r="J13" s="575">
        <f>0+'táj.1.'!H13</f>
        <v>0</v>
      </c>
      <c r="K13" s="575">
        <f>0+'táj.1.'!I13</f>
        <v>0</v>
      </c>
      <c r="L13" s="575">
        <f>1600+'táj.1.'!J13</f>
        <v>1600</v>
      </c>
      <c r="M13" s="575">
        <f>13776+'táj.1.'!K13</f>
        <v>13776</v>
      </c>
      <c r="N13" s="575">
        <f>0+'táj.1.'!L13</f>
        <v>0</v>
      </c>
      <c r="O13" s="575">
        <f t="shared" si="0"/>
        <v>18253</v>
      </c>
    </row>
    <row r="14" spans="1:15" s="54" customFormat="1" ht="26.25" customHeight="1">
      <c r="A14" s="204">
        <v>13</v>
      </c>
      <c r="B14" s="196" t="s">
        <v>30</v>
      </c>
      <c r="C14" s="127">
        <v>353704</v>
      </c>
      <c r="D14" s="151">
        <f>52260+'táj.1.'!M14</f>
        <v>52260</v>
      </c>
      <c r="E14" s="206">
        <f>44490+'táj.1.'!C14</f>
        <v>44490</v>
      </c>
      <c r="F14" s="206">
        <f>0+'táj.1.'!D14</f>
        <v>0</v>
      </c>
      <c r="G14" s="206">
        <f>0+'táj.1.'!E14</f>
        <v>0</v>
      </c>
      <c r="H14" s="575">
        <f>34200+'táj.1.'!F14</f>
        <v>34200</v>
      </c>
      <c r="I14" s="575">
        <f>0+'táj.1.'!G14</f>
        <v>0</v>
      </c>
      <c r="J14" s="575">
        <f>0+'táj.1.'!H14</f>
        <v>0</v>
      </c>
      <c r="K14" s="575">
        <f>0+'táj.1.'!I14</f>
        <v>0</v>
      </c>
      <c r="L14" s="575">
        <f>9540+'táj.1.'!J14</f>
        <v>9540</v>
      </c>
      <c r="M14" s="575">
        <f>317734+'táj.1.'!K14</f>
        <v>317734</v>
      </c>
      <c r="N14" s="575">
        <f>0+'táj.1.'!L14</f>
        <v>0</v>
      </c>
      <c r="O14" s="575">
        <f t="shared" si="0"/>
        <v>405964</v>
      </c>
    </row>
    <row r="15" spans="1:15" s="54" customFormat="1" ht="16.5" customHeight="1">
      <c r="A15" s="204">
        <v>14</v>
      </c>
      <c r="B15" s="196" t="s">
        <v>31</v>
      </c>
      <c r="C15" s="127">
        <v>271692</v>
      </c>
      <c r="D15" s="151">
        <f>84569+'táj.1.'!M15</f>
        <v>90157</v>
      </c>
      <c r="E15" s="206">
        <f>37492+'táj.1.'!C15</f>
        <v>37492</v>
      </c>
      <c r="F15" s="206">
        <f>31380+'táj.1.'!D15</f>
        <v>31380</v>
      </c>
      <c r="G15" s="206">
        <f>0+'táj.1.'!E15</f>
        <v>0</v>
      </c>
      <c r="H15" s="575">
        <f>138142+'táj.1.'!F15</f>
        <v>143730</v>
      </c>
      <c r="I15" s="575">
        <f>400+'táj.1.'!G15</f>
        <v>400</v>
      </c>
      <c r="J15" s="575">
        <f>1224+'táj.1.'!H15</f>
        <v>1224</v>
      </c>
      <c r="K15" s="575">
        <f>0+'táj.1.'!I15</f>
        <v>0</v>
      </c>
      <c r="L15" s="575">
        <f>39956+'táj.1.'!J15</f>
        <v>39956</v>
      </c>
      <c r="M15" s="575">
        <f>107667+'táj.1.'!K15</f>
        <v>107667</v>
      </c>
      <c r="N15" s="575">
        <f>0+'táj.1.'!L15</f>
        <v>0</v>
      </c>
      <c r="O15" s="575">
        <f t="shared" si="0"/>
        <v>361849</v>
      </c>
    </row>
    <row r="16" spans="1:15" s="54" customFormat="1" ht="18" customHeight="1">
      <c r="A16" s="204">
        <v>15</v>
      </c>
      <c r="B16" s="196" t="s">
        <v>55</v>
      </c>
      <c r="C16" s="127">
        <v>573476</v>
      </c>
      <c r="D16" s="151">
        <f>40297+'táj.1.'!M16</f>
        <v>40297</v>
      </c>
      <c r="E16" s="206">
        <f>1980+'táj.1.'!C16</f>
        <v>1980</v>
      </c>
      <c r="F16" s="206">
        <f>11300+'táj.1.'!D16</f>
        <v>11300</v>
      </c>
      <c r="G16" s="206">
        <f>0+'táj.1.'!E16</f>
        <v>0</v>
      </c>
      <c r="H16" s="575">
        <f>165680+'táj.1.'!F16</f>
        <v>165680</v>
      </c>
      <c r="I16" s="575">
        <f>0+'táj.1.'!G16</f>
        <v>0</v>
      </c>
      <c r="J16" s="575">
        <f>58367+'táj.1.'!H16</f>
        <v>58367</v>
      </c>
      <c r="K16" s="575">
        <f>0+'táj.1.'!I16</f>
        <v>0</v>
      </c>
      <c r="L16" s="575">
        <f>1843+'táj.1.'!J16</f>
        <v>1843</v>
      </c>
      <c r="M16" s="575">
        <f>374603+'táj.1.'!K16</f>
        <v>374603</v>
      </c>
      <c r="N16" s="575">
        <f>0+'táj.1.'!L16</f>
        <v>0</v>
      </c>
      <c r="O16" s="575">
        <f t="shared" si="0"/>
        <v>613773</v>
      </c>
    </row>
    <row r="17" spans="1:15" s="54" customFormat="1" ht="18.75" customHeight="1">
      <c r="A17" s="204">
        <v>16</v>
      </c>
      <c r="B17" s="196" t="s">
        <v>33</v>
      </c>
      <c r="C17" s="127">
        <v>102360</v>
      </c>
      <c r="D17" s="151">
        <f>6400+'táj.1.'!M17</f>
        <v>6400</v>
      </c>
      <c r="E17" s="206">
        <f>1500+'táj.1.'!C17</f>
        <v>1500</v>
      </c>
      <c r="F17" s="206">
        <f>0+'táj.1.'!D17</f>
        <v>0</v>
      </c>
      <c r="G17" s="206">
        <f>0+'táj.1.'!E17</f>
        <v>0</v>
      </c>
      <c r="H17" s="575">
        <f>16805+'táj.1.'!F17</f>
        <v>16805</v>
      </c>
      <c r="I17" s="575">
        <f>0+'táj.1.'!G17</f>
        <v>0</v>
      </c>
      <c r="J17" s="575">
        <f>6670+'táj.1.'!H17</f>
        <v>6670</v>
      </c>
      <c r="K17" s="575">
        <f>0+'táj.1.'!I17</f>
        <v>0</v>
      </c>
      <c r="L17" s="575">
        <f>5039+'táj.1.'!J17</f>
        <v>5039</v>
      </c>
      <c r="M17" s="575">
        <f>78746+'táj.1.'!K17</f>
        <v>78746</v>
      </c>
      <c r="N17" s="575">
        <f>0+'táj.1.'!L17</f>
        <v>0</v>
      </c>
      <c r="O17" s="575">
        <f t="shared" si="0"/>
        <v>108760</v>
      </c>
    </row>
    <row r="18" spans="1:15" s="54" customFormat="1" ht="31.5" customHeight="1">
      <c r="A18" s="204">
        <v>17</v>
      </c>
      <c r="B18" s="196" t="s">
        <v>32</v>
      </c>
      <c r="C18" s="127">
        <v>110370</v>
      </c>
      <c r="D18" s="151">
        <f>9748+'táj.1.'!M18</f>
        <v>10068</v>
      </c>
      <c r="E18" s="206">
        <f>0+'táj.1.'!C18</f>
        <v>0</v>
      </c>
      <c r="F18" s="206">
        <f>0+'táj.1.'!D18</f>
        <v>0</v>
      </c>
      <c r="G18" s="206">
        <f>0+'táj.1.'!E18</f>
        <v>0</v>
      </c>
      <c r="H18" s="575">
        <f>11731+'táj.1.'!F18</f>
        <v>12051</v>
      </c>
      <c r="I18" s="575">
        <f>0+'táj.1.'!G18</f>
        <v>0</v>
      </c>
      <c r="J18" s="575">
        <f>0+'táj.1.'!H18</f>
        <v>0</v>
      </c>
      <c r="K18" s="575">
        <f>0+'táj.1.'!I18</f>
        <v>0</v>
      </c>
      <c r="L18" s="575">
        <f>22611+'táj.1.'!J18</f>
        <v>22611</v>
      </c>
      <c r="M18" s="575">
        <f>85776+'táj.1.'!K18</f>
        <v>85776</v>
      </c>
      <c r="N18" s="575">
        <f>0+'táj.1.'!L18</f>
        <v>0</v>
      </c>
      <c r="O18" s="575">
        <f t="shared" si="0"/>
        <v>120438</v>
      </c>
    </row>
    <row r="19" spans="1:15" s="54" customFormat="1" ht="18.75" customHeight="1">
      <c r="A19" s="204">
        <v>18</v>
      </c>
      <c r="B19" s="195" t="s">
        <v>0</v>
      </c>
      <c r="C19" s="152">
        <v>90900</v>
      </c>
      <c r="D19" s="151">
        <f>29338+'táj.1.'!M19</f>
        <v>29338</v>
      </c>
      <c r="E19" s="206">
        <f>435+'táj.1.'!C19</f>
        <v>435</v>
      </c>
      <c r="F19" s="206">
        <f>2815+'táj.1.'!D19</f>
        <v>2815</v>
      </c>
      <c r="G19" s="206">
        <f>0+'táj.1.'!E19</f>
        <v>0</v>
      </c>
      <c r="H19" s="575">
        <f>104600+'táj.1.'!F19</f>
        <v>104600</v>
      </c>
      <c r="I19" s="575">
        <f>0+'táj.1.'!G19</f>
        <v>0</v>
      </c>
      <c r="J19" s="575">
        <f>0+'táj.1.'!H19</f>
        <v>0</v>
      </c>
      <c r="K19" s="575">
        <f>0+'táj.1.'!I19</f>
        <v>0</v>
      </c>
      <c r="L19" s="575">
        <f>12028+'táj.1.'!J19</f>
        <v>12028</v>
      </c>
      <c r="M19" s="575">
        <f>360+'táj.1.'!K19</f>
        <v>360</v>
      </c>
      <c r="N19" s="575">
        <f>0+'táj.1.'!L19</f>
        <v>0</v>
      </c>
      <c r="O19" s="575">
        <f t="shared" si="0"/>
        <v>120238</v>
      </c>
    </row>
    <row r="20" spans="1:15" s="54" customFormat="1" ht="24" customHeight="1">
      <c r="A20" s="63"/>
      <c r="B20" s="64" t="s">
        <v>18</v>
      </c>
      <c r="C20" s="65">
        <f>SUM(C3:C19)</f>
        <v>6266208</v>
      </c>
      <c r="D20" s="65">
        <f>SUM(D3:D19)</f>
        <v>650021</v>
      </c>
      <c r="E20" s="65">
        <f aca="true" t="shared" si="1" ref="E20:O20">SUM(E3:E19)</f>
        <v>512166</v>
      </c>
      <c r="F20" s="65">
        <f t="shared" si="1"/>
        <v>95982</v>
      </c>
      <c r="G20" s="65">
        <f t="shared" si="1"/>
        <v>0</v>
      </c>
      <c r="H20" s="65">
        <f t="shared" si="1"/>
        <v>1207042</v>
      </c>
      <c r="I20" s="65">
        <f t="shared" si="1"/>
        <v>664</v>
      </c>
      <c r="J20" s="65">
        <f t="shared" si="1"/>
        <v>69565</v>
      </c>
      <c r="K20" s="65">
        <f t="shared" si="1"/>
        <v>0</v>
      </c>
      <c r="L20" s="65">
        <f t="shared" si="1"/>
        <v>355763</v>
      </c>
      <c r="M20" s="65">
        <f t="shared" si="1"/>
        <v>4675047</v>
      </c>
      <c r="N20" s="65">
        <f t="shared" si="1"/>
        <v>0</v>
      </c>
      <c r="O20" s="65">
        <f t="shared" si="1"/>
        <v>6916229</v>
      </c>
    </row>
    <row r="21" s="54" customFormat="1" ht="12.75">
      <c r="A21" s="55"/>
    </row>
    <row r="22" s="54" customFormat="1" ht="12.75">
      <c r="A22" s="55"/>
    </row>
    <row r="23" s="54" customFormat="1" ht="12.75">
      <c r="A23" s="55"/>
    </row>
    <row r="24" s="54" customFormat="1" ht="12.75">
      <c r="A24" s="55"/>
    </row>
    <row r="25" s="54" customFormat="1" ht="12.75">
      <c r="A25" s="55"/>
    </row>
    <row r="26" s="54" customFormat="1" ht="12.75">
      <c r="A26" s="55"/>
    </row>
    <row r="27" s="54" customFormat="1" ht="12.75">
      <c r="A27" s="55"/>
    </row>
    <row r="28" s="54" customFormat="1" ht="12.75">
      <c r="A28" s="55"/>
    </row>
    <row r="29" s="54" customFormat="1" ht="12.75">
      <c r="A29" s="55"/>
    </row>
    <row r="30" s="54" customFormat="1" ht="12.75">
      <c r="A30" s="55"/>
    </row>
    <row r="31" s="54" customFormat="1" ht="12.75">
      <c r="A31" s="55"/>
    </row>
    <row r="32" s="54" customFormat="1" ht="12.75">
      <c r="A32" s="55"/>
    </row>
    <row r="33" s="54" customFormat="1" ht="12.75">
      <c r="A33" s="55"/>
    </row>
    <row r="34" s="54" customFormat="1" ht="12.75">
      <c r="A34" s="55"/>
    </row>
    <row r="35" s="54" customFormat="1" ht="12.75">
      <c r="A35" s="55"/>
    </row>
    <row r="36" s="54" customFormat="1" ht="12.75">
      <c r="A36" s="55"/>
    </row>
    <row r="37" s="54" customFormat="1" ht="12.75">
      <c r="A37" s="55"/>
    </row>
    <row r="38" s="54" customFormat="1" ht="12.75">
      <c r="A38" s="55"/>
    </row>
    <row r="39" s="54" customFormat="1" ht="12.75">
      <c r="A39" s="55"/>
    </row>
    <row r="40" s="54" customFormat="1" ht="12.75">
      <c r="A40" s="55"/>
    </row>
    <row r="41" s="54" customFormat="1" ht="12.75">
      <c r="A41" s="55"/>
    </row>
    <row r="42" s="54" customFormat="1" ht="12.75">
      <c r="A42" s="55"/>
    </row>
    <row r="43" s="54" customFormat="1" ht="12.75">
      <c r="A43" s="55"/>
    </row>
    <row r="44" s="54" customFormat="1" ht="12.75">
      <c r="A44" s="55"/>
    </row>
    <row r="45" s="54" customFormat="1" ht="12.75">
      <c r="A45" s="55"/>
    </row>
    <row r="46" s="54" customFormat="1" ht="12.75">
      <c r="A46" s="55"/>
    </row>
    <row r="47" s="54" customFormat="1" ht="12.75">
      <c r="A47" s="55"/>
    </row>
    <row r="48" s="54" customFormat="1" ht="12.75">
      <c r="A48" s="55"/>
    </row>
    <row r="49" s="54" customFormat="1" ht="12.75">
      <c r="A49" s="55"/>
    </row>
    <row r="50" s="54" customFormat="1" ht="12.75">
      <c r="A50" s="55"/>
    </row>
    <row r="51" s="54" customFormat="1" ht="12.75">
      <c r="A51" s="55"/>
    </row>
    <row r="52" s="54" customFormat="1" ht="12.75">
      <c r="A52" s="55"/>
    </row>
    <row r="53" s="54" customFormat="1" ht="12.75">
      <c r="A53" s="55"/>
    </row>
    <row r="54" s="54" customFormat="1" ht="12.75">
      <c r="A54" s="55"/>
    </row>
    <row r="55" s="54" customFormat="1" ht="12.75">
      <c r="A55" s="55"/>
    </row>
    <row r="56" s="54" customFormat="1" ht="12.75">
      <c r="A56" s="55"/>
    </row>
    <row r="57" s="54" customFormat="1" ht="12.75">
      <c r="A57" s="55"/>
    </row>
    <row r="58" s="54" customFormat="1" ht="12.75">
      <c r="A58" s="55"/>
    </row>
    <row r="59" s="54" customFormat="1" ht="12.75">
      <c r="A59" s="55"/>
    </row>
    <row r="60" s="54" customFormat="1" ht="12.75">
      <c r="A60" s="55"/>
    </row>
    <row r="61" s="54" customFormat="1" ht="12.75">
      <c r="A61" s="55"/>
    </row>
    <row r="62" s="54" customFormat="1" ht="12.75">
      <c r="A62" s="55"/>
    </row>
    <row r="63" s="54" customFormat="1" ht="12.75">
      <c r="A63" s="55"/>
    </row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2014. ÉVI  BEVÉTELI ELŐIRÁNYZATAI&amp;R&amp;"Times New Roman,Dőlt"&amp;9
 9.  melléklet
Adatok eFt-ban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Marti</cp:lastModifiedBy>
  <cp:lastPrinted>2015-01-29T09:27:47Z</cp:lastPrinted>
  <dcterms:created xsi:type="dcterms:W3CDTF">2002-12-30T13:12:46Z</dcterms:created>
  <dcterms:modified xsi:type="dcterms:W3CDTF">2015-02-05T14:37:44Z</dcterms:modified>
  <cp:category/>
  <cp:version/>
  <cp:contentType/>
  <cp:contentStatus/>
</cp:coreProperties>
</file>