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903" activeTab="0"/>
  </bookViews>
  <sheets>
    <sheet name="Címrend" sheetId="1" r:id="rId1"/>
    <sheet name="1. melléklet" sheetId="2" r:id="rId2"/>
    <sheet name="2. melléklet" sheetId="3" r:id="rId3"/>
    <sheet name="3. melléklet " sheetId="4" r:id="rId4"/>
    <sheet name="4. melléklet" sheetId="5" r:id="rId5"/>
    <sheet name="5.melléklet" sheetId="6" r:id="rId6"/>
    <sheet name="6. melléklet " sheetId="7" r:id="rId7"/>
    <sheet name="7. melléklet" sheetId="8" r:id="rId8"/>
    <sheet name="8. melléklet" sheetId="9" r:id="rId9"/>
  </sheets>
  <definedNames>
    <definedName name="_xlnm.Print_Titles" localSheetId="2">'2. melléklet'!$1:$4</definedName>
    <definedName name="_xlnm.Print_Titles" localSheetId="3">'3. melléklet '!$A:$A</definedName>
    <definedName name="_xlnm.Print_Area" localSheetId="3">'3. melléklet '!$A$1:$W$57</definedName>
    <definedName name="_xlnm.Print_Area" localSheetId="4">'4. melléklet'!$A$1:$E$83</definedName>
    <definedName name="_xlnm.Print_Area" localSheetId="5">'5.melléklet'!$A$1:$E$137</definedName>
  </definedNames>
  <calcPr fullCalcOnLoad="1"/>
</workbook>
</file>

<file path=xl/sharedStrings.xml><?xml version="1.0" encoding="utf-8"?>
<sst xmlns="http://schemas.openxmlformats.org/spreadsheetml/2006/main" count="511" uniqueCount="364">
  <si>
    <t>Jogcím</t>
  </si>
  <si>
    <t>I.</t>
  </si>
  <si>
    <t>II.</t>
  </si>
  <si>
    <t>Összesen:</t>
  </si>
  <si>
    <t>1.</t>
  </si>
  <si>
    <t>2.</t>
  </si>
  <si>
    <t>3.</t>
  </si>
  <si>
    <t>4.</t>
  </si>
  <si>
    <t>5.</t>
  </si>
  <si>
    <t xml:space="preserve">II. </t>
  </si>
  <si>
    <t>III.</t>
  </si>
  <si>
    <t>Rehabilitációs kölcsön visszatérülése</t>
  </si>
  <si>
    <t>Munkáltatói támogatás</t>
  </si>
  <si>
    <t>IV.</t>
  </si>
  <si>
    <t>MINDÖSSZESEN:</t>
  </si>
  <si>
    <t>Dologi kiadások</t>
  </si>
  <si>
    <t>Intézmények összesen:</t>
  </si>
  <si>
    <t>Felújítás</t>
  </si>
  <si>
    <t>6.</t>
  </si>
  <si>
    <t>7.</t>
  </si>
  <si>
    <t>Közvilágítás fejlesztési keretösszeg</t>
  </si>
  <si>
    <t>8.</t>
  </si>
  <si>
    <t>Tervezési keretösszeg</t>
  </si>
  <si>
    <t xml:space="preserve">Kőszeg Város Önkormányzatának bevételei és kiadásai </t>
  </si>
  <si>
    <t>Kiemelt előirányzatok</t>
  </si>
  <si>
    <t>BEVÉTELI ELŐIRÁNYZAT MINDÖSSZESEN:</t>
  </si>
  <si>
    <t>Személyi juttatások</t>
  </si>
  <si>
    <t>Munkaadókat terhelő járulékok</t>
  </si>
  <si>
    <t>Ellátottak pénzbeli juttatásai</t>
  </si>
  <si>
    <t>KIADÁSI ELŐIRÁNYZAT MINDÖSSZESEN:</t>
  </si>
  <si>
    <t>Saját bevétel</t>
  </si>
  <si>
    <t>Kőszeg Város Önkormányzatának címrendje</t>
  </si>
  <si>
    <t>Cím</t>
  </si>
  <si>
    <t>Alcím</t>
  </si>
  <si>
    <t>Jurisics-vár Művelődési Központ és Várszínház</t>
  </si>
  <si>
    <t>Kőszeg Város Önkormányzata</t>
  </si>
  <si>
    <t>Önkormányzat és intézményei összesen</t>
  </si>
  <si>
    <t>1. a) Önkormányzati hivatal működésének támogatása</t>
  </si>
  <si>
    <t>1. b) Település-üzemeltetéshez kapcsolódó feladatellátás támogatása</t>
  </si>
  <si>
    <t>A helyi önkormányzatok általános müködésének és ágazati feladatainak támogatása összesen:</t>
  </si>
  <si>
    <t xml:space="preserve">Kőszegi Közös Önkormányzati Hivatal </t>
  </si>
  <si>
    <t>II.) Települési önkormányzatok egyes köznevelési feladatainak támogatása</t>
  </si>
  <si>
    <t>III.) Települési önkormányzatok szociális és gyermekjóléti feladatainak támogatása</t>
  </si>
  <si>
    <t>1. e) Települési önkormányzatok muzeális intézményi feladatainak támogatása</t>
  </si>
  <si>
    <t>Városrehabilitációs kölcsön</t>
  </si>
  <si>
    <t>Fejlesztési tartalék</t>
  </si>
  <si>
    <t>Önként vállalt feladatok összesen:</t>
  </si>
  <si>
    <t>ebből:</t>
  </si>
  <si>
    <t>Kötelező feladatok összesen:</t>
  </si>
  <si>
    <t>2. Óvodaműködtetési támogatás</t>
  </si>
  <si>
    <t xml:space="preserve">Helyi önkormányzatok által felhasználható központosított előirányzatok összesen: </t>
  </si>
  <si>
    <t>V.) Beszámítás összege (levonva előző jogcímeken)</t>
  </si>
  <si>
    <t>2. Nem közművel gyűjtött háztartási szennyvíz ártalmatlanítása</t>
  </si>
  <si>
    <t>5. b) Gyermekétkeztetés támogatása: üzemeltetési támogatás</t>
  </si>
  <si>
    <t>5. a) Gyermekétkeztetés támogatása: elismerhető dolgozók bértámogatása</t>
  </si>
  <si>
    <t>IV.) Települési önkormányzatok kulturális feledatainak támogatása</t>
  </si>
  <si>
    <t>Chernel Kálmán Városi Könyvtár</t>
  </si>
  <si>
    <t xml:space="preserve">         bc) Köztemető fenntartásának támogatása</t>
  </si>
  <si>
    <t xml:space="preserve">         bb) Közvilágítás fenntartásának támogatása</t>
  </si>
  <si>
    <t xml:space="preserve">         ba) Zöldterület gazdálkodással kapcsolatos feladatok</t>
  </si>
  <si>
    <t>1. d) Nyilvános könyvtári ellátási és közművelődési feladatok támogatása</t>
  </si>
  <si>
    <t>Beruházás</t>
  </si>
  <si>
    <t>Felhalmozási célú átvett pénzeszközök</t>
  </si>
  <si>
    <t>Bérlakás törlesztések</t>
  </si>
  <si>
    <t>Vasivíz Zrt-től átvett vagyon értékeltetése</t>
  </si>
  <si>
    <t>Vonal alatti tételek (nem kerültek beépítésre)</t>
  </si>
  <si>
    <t>Fejlesztési kiadások-fejlesztési bevételek egyenlege:</t>
  </si>
  <si>
    <t>Kőszegi Városi Múzeum</t>
  </si>
  <si>
    <t>Előző évi maradvány</t>
  </si>
  <si>
    <t>Közhatalmi bevételek</t>
  </si>
  <si>
    <t>Működési bevételek</t>
  </si>
  <si>
    <t>Felhalmozási bevételek</t>
  </si>
  <si>
    <t>Működési célú átvett pénzeszközök</t>
  </si>
  <si>
    <t>Beruházások</t>
  </si>
  <si>
    <t>Felújítások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</si>
  <si>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</si>
  <si>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</si>
  <si>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</si>
  <si>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</si>
  <si>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 xml:space="preserve">             1. Óvodapedagógusok, és az óvodapedagógusok nevelő munkáját közvetlenül segítők bértámogatása</t>
  </si>
  <si>
    <t>1. Pénzbeli szociális ellátások kiegészítése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</si>
  <si>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</si>
  <si>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</si>
  <si>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</si>
  <si>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>Felhalmozási bevételek (saját bevételek)</t>
  </si>
  <si>
    <t>Felhalmozási célú támogatások államháztartáson belülről</t>
  </si>
  <si>
    <t>Egyéb felhalmozási célú átvett pénzeszközök</t>
  </si>
  <si>
    <t>Egyéb felhalmozási c visszatérítendő támogatások, kölcsönök</t>
  </si>
  <si>
    <t>FELHALMOZÁSI C. KÖLTSÉGVETÉSI BEVÉTELEK ÖSSZESEN:</t>
  </si>
  <si>
    <t>Előző évi maradvány felhalmozási c felhasználása</t>
  </si>
  <si>
    <t>FINANSZÍROZÁSI BEVÉTELEK ÖSSZESEN:</t>
  </si>
  <si>
    <t>Egyéb felhalmozási célú kiadások</t>
  </si>
  <si>
    <t>Felhalmozási célú visszatérítendő támogatások, kölcsönök nyújtása</t>
  </si>
  <si>
    <t>Egyéb felhalmozási célú támogatások államháztartáson belülre</t>
  </si>
  <si>
    <t>Egyéb felhalmozási célú támogatások államháztartáson kívülre</t>
  </si>
  <si>
    <t>Tartalékok</t>
  </si>
  <si>
    <t>FELHALMOZÁSI C. KÖLTSÉGVETÉSI KIADÁSOK ÖSSZESEN:</t>
  </si>
  <si>
    <t>FINANSZÍROZÁSI KIADÁSOK ÖSSZESEN:</t>
  </si>
  <si>
    <t>Hiteltörlesztések</t>
  </si>
  <si>
    <t>Finanszírozási kiadások:</t>
  </si>
  <si>
    <t>Fizetési kötelezettségek</t>
  </si>
  <si>
    <t>Kötvény törlesztések</t>
  </si>
  <si>
    <t>Adósságot keletkeztető ügyletek értéke (Stabilitási tv. 3.§)</t>
  </si>
  <si>
    <t xml:space="preserve">                - ebből felhalmozási célú állami támogatás </t>
  </si>
  <si>
    <t xml:space="preserve">     -  ebből egyéb felhalmozási c visszatérítendő támogatások, kölcsönök</t>
  </si>
  <si>
    <t xml:space="preserve">KÖLTSÉGVETÉSI BEVÉTELEK ÖSSZESEN: </t>
  </si>
  <si>
    <t>Működési célú költségvetési bevételek összesen:</t>
  </si>
  <si>
    <t>Felhalmozási célú költségvetési bevételek összesen: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</si>
  <si>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</si>
  <si>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</si>
  <si>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</si>
  <si>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               -ebből elvonások, befizetések</t>
  </si>
  <si>
    <t xml:space="preserve">               -ebből működési célú támogatások államháztartáson kívülre</t>
  </si>
  <si>
    <t xml:space="preserve">               -ebből működési célú támogatások államháztartáson belülre</t>
  </si>
  <si>
    <t xml:space="preserve">               -ebből felhalmozási célú visszatérítendő támogatások, kölcsönök nyújtása</t>
  </si>
  <si>
    <t xml:space="preserve">               -ebből egyéb felhalmozási célú támogatások államháztartáson belülre</t>
  </si>
  <si>
    <t xml:space="preserve">               -ebből egyéb felhalmozási célú támogatások államháztartáson kívülre</t>
  </si>
  <si>
    <t>Működési célú költségvetési kiadások összesen: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</si>
  <si>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</si>
  <si>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</si>
  <si>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</si>
  <si>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- ebből állami támogatás önkormányzati feladatokhoz</t>
  </si>
  <si>
    <t xml:space="preserve"> - ebből egyéb működési célú támogatás államháztartáson belülről</t>
  </si>
  <si>
    <t xml:space="preserve">     -  ebből egyéb felhalmozási célú átvett pénzeszközök</t>
  </si>
  <si>
    <t>Működési célú támogatások álamháztartáson belülről</t>
  </si>
  <si>
    <t xml:space="preserve">Egyéb működési célú kiadások </t>
  </si>
  <si>
    <t xml:space="preserve">               -ebből tartalékok</t>
  </si>
  <si>
    <t>Helyi adóból származó bevétel</t>
  </si>
  <si>
    <t>tárgyi eszköz és imm j, részvény, részesedés értékesítés bevétele</t>
  </si>
  <si>
    <t>Önk-i vagyon, vagyoni ért jog értékesítése, hasznosítása</t>
  </si>
  <si>
    <t>osztalék, koncessziós díj és hozambevétel</t>
  </si>
  <si>
    <t>bírság, pótlék és díjbevétel</t>
  </si>
  <si>
    <t>kezességvállalás megtérülése</t>
  </si>
  <si>
    <t>Saját bevétel 50%-a</t>
  </si>
  <si>
    <t>KIMUTATÁS</t>
  </si>
  <si>
    <t xml:space="preserve">I. </t>
  </si>
  <si>
    <t>Bevételek (források)</t>
  </si>
  <si>
    <t>Európai Unios forrás</t>
  </si>
  <si>
    <t>Kormányzati támogatás</t>
  </si>
  <si>
    <t>Egyéb támogatás</t>
  </si>
  <si>
    <t>Önkormányzat saját forrásaiból</t>
  </si>
  <si>
    <t>Kiadások:</t>
  </si>
  <si>
    <t>Egyéb kiadás</t>
  </si>
  <si>
    <t>*</t>
  </si>
  <si>
    <t>Jurisics-vár Műv. Központ és Várszínház</t>
  </si>
  <si>
    <t xml:space="preserve"> - ebből egyéb működési célú támogatás áht-n belülről</t>
  </si>
  <si>
    <t xml:space="preserve">               -ebből működési célú támogatások áht-n belülre</t>
  </si>
  <si>
    <t xml:space="preserve">               -ebből működési célú támogatások áht-n kívülre</t>
  </si>
  <si>
    <t>Rendezési terv módosításának tervezése</t>
  </si>
  <si>
    <t>Központi irányítószervi támogatás</t>
  </si>
  <si>
    <t xml:space="preserve">Kőszeg Város Önkormányzata és intézményei </t>
  </si>
  <si>
    <t xml:space="preserve">     -  ebből egyéb felh c visszat. támogatások, kölcsönök</t>
  </si>
  <si>
    <t xml:space="preserve">     -  ebből egyéb felh. célú átvett pénzeszközök</t>
  </si>
  <si>
    <t xml:space="preserve">               -ebből felh. C. visszat. támogatások, kölcsönök nyújtása</t>
  </si>
  <si>
    <t xml:space="preserve">               -ebből egyéb felh. célú támogatások áht-n blülre</t>
  </si>
  <si>
    <t xml:space="preserve">               -ebből egyéb felh. célú támogatások áht-n kívülre</t>
  </si>
  <si>
    <t xml:space="preserve">  -ebből  szakmai létszám</t>
  </si>
  <si>
    <t xml:space="preserve">  - ebből  technikai létszám</t>
  </si>
  <si>
    <t>Kőszeg Város Önkormányzata és intézményei központi írányítószervi támogatást nettósítva</t>
  </si>
  <si>
    <t>feladatjelleg szerint: - kötelező feladatok</t>
  </si>
  <si>
    <t>LÉTSZÁM (engedélyezett létszámkeret közfogalkoztatottak nélkül)</t>
  </si>
  <si>
    <t>feladatjelleg szerint: - önként vállalt feladatok</t>
  </si>
  <si>
    <t>feladatjelleg szerint: - államigazgatási feladatok</t>
  </si>
  <si>
    <t>Kőszegi Szociális Gondozási Központ</t>
  </si>
  <si>
    <t>4.  Pedagógus II. kategóriába sorolt óvodapedagógusok kiegészítő támogatása</t>
  </si>
  <si>
    <t>Középtávú terv 2020.</t>
  </si>
  <si>
    <t>Jurisics-vár Művelődési Központ és Várszínház érdekeltségnövelő pályázat saját erő</t>
  </si>
  <si>
    <t>Kőszegi Közös Önkormányzati Hivatal kisértékű tárgyi eszköz beszerzés</t>
  </si>
  <si>
    <t>MEGNEVEZÉS</t>
  </si>
  <si>
    <t xml:space="preserve">Költségvetési engedélyezett létszámkeret (álláshely) </t>
  </si>
  <si>
    <t>MINDÖSSZESEN</t>
  </si>
  <si>
    <t>KÖZTISZTVISELŐK, KORMÁNYTISZTVISELŐK ÖSSZESEN</t>
  </si>
  <si>
    <t xml:space="preserve">KÖZALKALMAZOTTAK ÖSSZESEN 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</si>
  <si>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</si>
  <si>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</si>
  <si>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</si>
  <si>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</si>
  <si>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</si>
  <si>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</si>
  <si>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>Alpannónia pályázat keretén belül- Koronaőrző emlékhely fejlesztése</t>
  </si>
  <si>
    <t>Alpannónia pályázat keretén belül- Szulejmán-kilátó környékének (Királyvölgy) és az óriás gesztenyefa bemutatóhely fejlesztése</t>
  </si>
  <si>
    <t>Alpannónia pályázat keretén belül- Fejlesztés a Csónakázó-tónál: aqua-alpannonia® bemutatóhely és szabadtéri sportcentrum kialakítása</t>
  </si>
  <si>
    <t>Alpannónia pályázat keretén belül-   Ördögárok - geológiai tanösvény kialakítása</t>
  </si>
  <si>
    <t>Bérlakás értékesítési bevétele</t>
  </si>
  <si>
    <t>Alpannónai pályázat</t>
  </si>
  <si>
    <t>TOP-5.2..1 Helyi foglalkoztatási együttműködés pályázat (Foglalkoztatási paktum)</t>
  </si>
  <si>
    <t xml:space="preserve">Egyéb kiadás/ tartalék </t>
  </si>
  <si>
    <t>Kőszeg Város Önkor-mányzata</t>
  </si>
  <si>
    <t>foglalkoztatottak létszáma (fő)</t>
  </si>
  <si>
    <t>6. Polgármesteri illetmény támogatása</t>
  </si>
  <si>
    <t>7.a.(1) Kiegészító támogatás a bölcsődében folgalkoztatott, felsőfokú végzettségű kisgyermeknevelők béréhez</t>
  </si>
  <si>
    <t xml:space="preserve">7.a.(2) Finanszírozás szempontjából elismert szakmai dolgozók bértámogatása </t>
  </si>
  <si>
    <t>7.b. Bölcsődei üzemeltetés támogatása</t>
  </si>
  <si>
    <t>Központi Óvoda és Bölcsőde Többcélú Közös Igazgatású Köznevelési Intézmény</t>
  </si>
  <si>
    <t>Újvárosi Óvoda</t>
  </si>
  <si>
    <t>Kőszegi Közös Önkormányzati Hivatal</t>
  </si>
  <si>
    <t>Bevételi előirányzatok (Ft-ban)</t>
  </si>
  <si>
    <t>Kiadási előirányzatok (Ft-ban)</t>
  </si>
  <si>
    <t>Központi Óvoda-Bölcsőde</t>
  </si>
  <si>
    <t>Központi Óvoda-Felsővárosi Tagóvoda</t>
  </si>
  <si>
    <t>Központi Óvoda-Horvátzsidányi tagóvoda</t>
  </si>
  <si>
    <t>Központi Óvoda-Peresznyei Tagóvoda</t>
  </si>
  <si>
    <t>Központi Óvoda Összesen</t>
  </si>
  <si>
    <t>Újvárosi Óvoda Székhely Kőszeg</t>
  </si>
  <si>
    <t>Újvárosi Óvoda-Kőszegfalvi Tagóvodája</t>
  </si>
  <si>
    <t>Újvárosi Óvoda-Velemi Tagóvodája</t>
  </si>
  <si>
    <t>Újvárosi Óvoda Összesen</t>
  </si>
  <si>
    <t>Központi Óvoda Székhely Kőszeg</t>
  </si>
  <si>
    <t>Bevételi előirányzatok ( Ft-ban)</t>
  </si>
  <si>
    <t>Kiadási előirányzatok ( Ft-ban)</t>
  </si>
  <si>
    <t xml:space="preserve">          ( Ft)</t>
  </si>
  <si>
    <t>Központi Óvoda székhely intézménye</t>
  </si>
  <si>
    <t>Központi Óvoda Bölcsőde</t>
  </si>
  <si>
    <t>Központi Óvoda Felsővárosi tagóvodája</t>
  </si>
  <si>
    <t>Központi Óvoda Horvátzsidányi tagóvodája</t>
  </si>
  <si>
    <t>Központi Óvoda Peresznyei tagóvodája</t>
  </si>
  <si>
    <t>Központi Óvoda összesen</t>
  </si>
  <si>
    <t>Újvárosi Óvoda székhely intézménye</t>
  </si>
  <si>
    <t>Újvárosi Óvoda Kőszegfalvi tagóvodája</t>
  </si>
  <si>
    <t>Újvárosi Óvoda Velemi tagóvodája</t>
  </si>
  <si>
    <t>Újvárosi Óvoda összesen</t>
  </si>
  <si>
    <t>ÖBB vasútpálya megvásárlásával együtt (26000EUR)</t>
  </si>
  <si>
    <t>Egészségház klímaberendezés várótermekben</t>
  </si>
  <si>
    <t xml:space="preserve">               -ebből állami támogatás</t>
  </si>
  <si>
    <t>TOP-2.1.2-15 Városmajor</t>
  </si>
  <si>
    <t>TOP-2.1.3-15 Csapadékvíz</t>
  </si>
  <si>
    <t>TOP-3.1.1-15 Déli Városrész</t>
  </si>
  <si>
    <t>TOP-3.2.1-16 Önkormányzati épület energetikai</t>
  </si>
  <si>
    <t>TOP-3.1.1-15 Kőszegfalvi  Kerékpárút</t>
  </si>
  <si>
    <t xml:space="preserve">TOP-1.4.1-15 Újvárosi Óvoda </t>
  </si>
  <si>
    <t>TOP-1.4.1-15 Központi Óvoda</t>
  </si>
  <si>
    <t>TOP-1.2.1-16 Turisztika</t>
  </si>
  <si>
    <t>Lakástámogatás visszatérítés</t>
  </si>
  <si>
    <t>Hulladékgazdálkodási társulási beruházásokhoz átadás (2017.évi hátralék)</t>
  </si>
  <si>
    <t>VASIVÍZ Zrt. Kompenzációs számlák</t>
  </si>
  <si>
    <t>Kőszegi Szociális Gondozási Központ kisértékű tárgyi eszköz beszerzés</t>
  </si>
  <si>
    <t>Központi Óvoda Székhely Intézmény kisértékű tárgyi eszköz beszerzés</t>
  </si>
  <si>
    <t>Központi Óvoda Bölcsőde Intézményegysége kisértékű tárgyi eszköz beszerzés</t>
  </si>
  <si>
    <t>Újvárosi Óvoda Székhely Intézmény kisértékű tárgyi eszköz beszerzés</t>
  </si>
  <si>
    <t>Újvárosi Óvoda Kőszegfalvi tagóvodája kisértékű tárgyi eszköz beszerzés</t>
  </si>
  <si>
    <t>Velem községi Önkormányzat Közös Hivatalhoz</t>
  </si>
  <si>
    <t>Bozsok községi Önkormányzat Közös Hivatalhoz</t>
  </si>
  <si>
    <t xml:space="preserve">                - ebből felhalmozási célú önkormányzati támogatás </t>
  </si>
  <si>
    <t>KÖZFOGLALKOZTATOTTAK létszáma (tájékoztató jellegű)</t>
  </si>
  <si>
    <t>Jurisics Vár TOP projekt keretében beszerzendő eszközök</t>
  </si>
  <si>
    <t xml:space="preserve">               -ebből államin felüli  működési támogatás</t>
  </si>
  <si>
    <t xml:space="preserve">               -ebből államin felüli felhalmozási támogatás</t>
  </si>
  <si>
    <t>Középtávú terv 2021.</t>
  </si>
  <si>
    <t>Vízmű utcai ívóvízhálózat kiépítése + műszaki ellenőr</t>
  </si>
  <si>
    <t>I.) Települési önkrományzatok működésének támogatása</t>
  </si>
  <si>
    <t xml:space="preserve">          2019. évi felhalmozási célú bevételek </t>
  </si>
  <si>
    <t>Birkózó terem pályázat támogatása (fejlesztési rész)</t>
  </si>
  <si>
    <t>2019. évi felhalmozási  kiadások ( Ft)</t>
  </si>
  <si>
    <t>Bölcsőde pályázat (95 %-os) támogatás</t>
  </si>
  <si>
    <t xml:space="preserve">Bölcsőde pályázat (12 fő * 8 000 000 + 5% önerő) </t>
  </si>
  <si>
    <t>TOP előkészítő keret terhére 2018-ban szerződőtt</t>
  </si>
  <si>
    <t xml:space="preserve">TOP projektek 2019.évi előkészítési költségei </t>
  </si>
  <si>
    <t>Űrhajósok utca (Bercsényi-Sigray u. közti szakasz) felújítása</t>
  </si>
  <si>
    <t>Meskó utca Bajcsy-Zs.E. utcáig tartó szakasz felújítása</t>
  </si>
  <si>
    <t xml:space="preserve">TOP-2.1.2-15 Városmajor (47/2018.(III.14.) projekthez ingatlanvásárláshoz  </t>
  </si>
  <si>
    <t>TOP-3.1.1-15 Déli Városrész (147/2018.(IX.20.) projekthez közvilágítás hálózat</t>
  </si>
  <si>
    <t xml:space="preserve">Kárpáti Sándor utca 54 méterének járhatóvá tétele </t>
  </si>
  <si>
    <t>Jurisics-vár Művelődési Központ és Várszínház kisértékű tárgyi eszközök</t>
  </si>
  <si>
    <t>Zártkerti mintaprogram pályázati maradványa</t>
  </si>
  <si>
    <t>Laptop képviselőknek (12db)</t>
  </si>
  <si>
    <t>Központi Óvoda Felsővárosi Óvoda kisértékű tárgyi eszköz beszerzés</t>
  </si>
  <si>
    <t>Központi Óvoda Peresznyei Tagóvodája kisértékű tárgyi eszköz beszerzés</t>
  </si>
  <si>
    <t>Központi Óvoda Horvátzsidányi Tagóvodája kisértékű tárgyi eszköz beszerzés</t>
  </si>
  <si>
    <t>Hulladékgazdálkodási társulási beruházásokhoz átadás (2018.évi hátralék)</t>
  </si>
  <si>
    <t>Peresznye községi Önkormányzat Óvodához</t>
  </si>
  <si>
    <t>Horvátzsidány községi Önkormányzat Óvodához</t>
  </si>
  <si>
    <t>Újvárosi Óvoda Velemi tagóvodája kisértékű tárgyi eszköz beszerzés</t>
  </si>
  <si>
    <t>Velem községi Önkormányzat Óvodához</t>
  </si>
  <si>
    <t>Jurisics-vár Művelődési Központ és Várszínház (kisebb javítások)</t>
  </si>
  <si>
    <t>Kőszegi Szociális Gondozási Központ (kisebb javítások)</t>
  </si>
  <si>
    <t>Központi Óvoda Székhely Intézmény  (kisebb javítások)</t>
  </si>
  <si>
    <t>Központi Óvoda Bölcsőde Intézményegysége  (kisebb javítások)</t>
  </si>
  <si>
    <t>Központi Óvoda Felsővárosi Óvoda (kisebb javítások)</t>
  </si>
  <si>
    <t>Központi Óvoda Peresznyei Tagóvodája (kisebb javítások)</t>
  </si>
  <si>
    <t>Központi Óvoda Horvátzsidányi Tagóvodája (kisebb javítások)</t>
  </si>
  <si>
    <t>Újvárosi Óvoda Székhely Intézmény (kisebb javítások)</t>
  </si>
  <si>
    <t>Újvárosi Óvoda Kőszegfalvi tagóvodája  (kisebb javítások)</t>
  </si>
  <si>
    <t>Újvárosi Óvoda Velemi tagóvodája (kisebb javítások)</t>
  </si>
  <si>
    <t>Kőszegi Közös Önkormányzati Hivatal (kisebb javítások)</t>
  </si>
  <si>
    <t>Chernel Kálmán Városi Könyvtár kisértékű tárgyi eszközök</t>
  </si>
  <si>
    <t>Chernel Kálmán Városi Könyvtár (kisebb javítások)</t>
  </si>
  <si>
    <t>Kőszegi Városi Múzeum (kisebb javítások)</t>
  </si>
  <si>
    <t>Missziós ház kerítésének áthelyezése</t>
  </si>
  <si>
    <t>2019. évben</t>
  </si>
  <si>
    <t>2019. évi eredeti előirányzat</t>
  </si>
  <si>
    <t>Kőszeg Város Önkormányzatának központilag szabályozott bevételei 2019. évben</t>
  </si>
  <si>
    <t>Támogatás összege 2019. 01. 01.             ( Ft)</t>
  </si>
  <si>
    <t>Kőszeg Város Ökormányzata saját bevételeinek összege és adósságot keletkeztető ügyleteinek értéke 2019-2022. években ( Ft)</t>
  </si>
  <si>
    <t>5. Nemzetiségi pótlék</t>
  </si>
  <si>
    <t xml:space="preserve">A helyi önkormányzatok általános müködésének és ágazati feladatainak támogatása (2018. évi L. törvény 2. melléklete szerint)  </t>
  </si>
  <si>
    <t xml:space="preserve">Helyi önkormányzatok által felhasználható központosított előirányzatok (2018. évi L. törvény 3. melléklete szerint) </t>
  </si>
  <si>
    <t>Központi támogatások összesen (2018. évi L. törvény 2. és 3. melléklete szerint):</t>
  </si>
  <si>
    <t>Kőszeg Város Önkormányzata és intézményei 2019. évi költségvetésében szereplő</t>
  </si>
  <si>
    <t>Az európai uniós támogatással megvalósuló programok, projektek bevételeiről és kiadásairól, valamint az önkormányzaton kívüli ilyen projektekhez való hozzájárulásról 2019. évben (adatok Ft-ban)</t>
  </si>
  <si>
    <t>Kőszeg Város Önkormányzata 2019. évi költségvetésében európai uniós forrásból megvalósítandó projektek, fejlesztések:</t>
  </si>
  <si>
    <t>2019.</t>
  </si>
  <si>
    <t>Alpannónia maradvány</t>
  </si>
  <si>
    <t>Alpannónia pályázat keretén belül-  alpannonia turista- és szabadidőpark fejlesztése</t>
  </si>
  <si>
    <t>Bírkózó terem kialakítása (pályázatból 50 000 000 + pályázati bíztosíték 3 500 000)</t>
  </si>
  <si>
    <t>Intézmények</t>
  </si>
  <si>
    <t>Önkormányzat</t>
  </si>
  <si>
    <t>Összesen</t>
  </si>
  <si>
    <t>Vagyonhasznosító bevétele (ÁFA nélküli összeg) (napelem, Rohonci 40.)</t>
  </si>
  <si>
    <t>Horvátzsidány községi Önkormányzat Szocihoz</t>
  </si>
  <si>
    <t xml:space="preserve">Jurisics Vár TOP projekt </t>
  </si>
  <si>
    <t xml:space="preserve">Kiss János lakótelep parkoló kialakítása </t>
  </si>
  <si>
    <t>Városkörnyéki közösségi közlekedés fejlesztése (SUMP)</t>
  </si>
  <si>
    <t>TOP előkészítő keret 2018. évi maradványa (Kraft megelőlegezés visszautalása)</t>
  </si>
  <si>
    <t>TOP-3.1.1-15 Déli Városrész (183/2018.(X.18.) projekthez kivitelezéshez</t>
  </si>
  <si>
    <t>VELOREGIO</t>
  </si>
  <si>
    <t>Kőszegi Városi Múzeum Járásszékhelyi pályázatból</t>
  </si>
  <si>
    <t>Könyvtár EFOP pályázatból</t>
  </si>
  <si>
    <t>VÁR  EFOP pályázatból</t>
  </si>
  <si>
    <t xml:space="preserve">Kőszegi Szociális Gondozási Központ hajléktalan ellátás  </t>
  </si>
  <si>
    <t>Egészségház klímaberendezés várótermekben (1790065+119380 többlet)</t>
  </si>
  <si>
    <t>Kiss János lakótelep parkoló kialakítása (I. ütem 19 db parkoló)</t>
  </si>
  <si>
    <t>Kiss János lakótelep parkoló kialakítása (II. ütem 26 db parkoló)</t>
  </si>
  <si>
    <t>Zártkerti mintaprogram pályázati pénzből</t>
  </si>
  <si>
    <t>Zártkerti mintaprogram többlet kiadásokra</t>
  </si>
  <si>
    <t xml:space="preserve">TOP-1.4.1-15 Újvárosi Óvoda (129/2018.(VIII.23.) </t>
  </si>
  <si>
    <t>Jurisics Vár EFOP projekt keretében beszerzendő eszközök</t>
  </si>
  <si>
    <t>Chernel Kálmán Városi Könyvtár tárgyi eszközök EFOP pályázatból</t>
  </si>
  <si>
    <t>Kőszegi Városi Múzeum Járásszékhelyi pályázatból kisértékű tárgyi eszközök</t>
  </si>
  <si>
    <t>Kőszegi Szociális Gondozási Központ Horvátzsidányi IK kisértékű tárgyi eszköz beszerzés</t>
  </si>
  <si>
    <t xml:space="preserve">Kőszegi Szociális Gondozási Központ kisértékű tárgyi eszköz beszerzés hajléktalan ellátásra </t>
  </si>
  <si>
    <t>Chernel Kálmán Városi Könyvtár EFOP pályázatból</t>
  </si>
  <si>
    <t>KSE-síugrók-konténerek</t>
  </si>
  <si>
    <t>Kőszegfalvi SE raktárépítéshez</t>
  </si>
  <si>
    <t>KFC önerő</t>
  </si>
  <si>
    <t>Új köztemető kialakításához terület vásárlás</t>
  </si>
  <si>
    <t xml:space="preserve">Egészségház riasztó </t>
  </si>
  <si>
    <t>Városüzemeltető költségvetésének növelése: városban kb. 40 db nagyméretű tuskó marása (600.000,- Ft), Zártkerti pályázat gesztenyés liget kaszálása évi 3-4X (200.000,- Ft), Szt. Imre 3. támfal javítás (50 % 203.000,- Ft)</t>
  </si>
  <si>
    <t>Mélyút utca folyóka építés/talpfa elhelyezése</t>
  </si>
  <si>
    <t>csatlakozási pont kialakítása díszvilágítás Kb. 60 db)</t>
  </si>
  <si>
    <t>szippantó traktor</t>
  </si>
  <si>
    <t>Sószóró berendezés + nedvesanyag szórás</t>
  </si>
  <si>
    <t>Csótó lépcső helyreállítás</t>
  </si>
  <si>
    <t>Egészségházhoz helyközi busz megállás biztosítása</t>
  </si>
  <si>
    <t>Fejlesztési hitelből</t>
  </si>
  <si>
    <t>Felhalmozási célú átvett pénzeszközök áht-n kívülről</t>
  </si>
  <si>
    <t>V.</t>
  </si>
  <si>
    <t>Hitel-, kölcsönfelvétel pénzügyi vállalkozástól</t>
  </si>
  <si>
    <t>Hosszú lejáratú hitel (4-6 év futamidőre)</t>
  </si>
  <si>
    <t>Fejlesztési hitel</t>
  </si>
  <si>
    <t xml:space="preserve">                - ebből egyéb felhalmozási célú támogatás </t>
  </si>
  <si>
    <t>Egészségháztól D-re lévő fejlesztési terület közművesítése (2975/103 hrsz)</t>
  </si>
  <si>
    <t>Kőszeg Város Önkormányzata és intézményei bevételei és kiadásai 2019. évben</t>
  </si>
  <si>
    <t>Jurisics tér 8. csapadékvízelvezetés megoldása</t>
  </si>
  <si>
    <t>Középtávú terv 2019. (2018-ban prognosztizált adatok)</t>
  </si>
  <si>
    <t>2019. évi költségvetési rendelet</t>
  </si>
  <si>
    <t>Középtávú terv 2022.</t>
  </si>
  <si>
    <t xml:space="preserve"> 2. melléklet a    2/2019. (II. 15.) önkormányzati rendelethez</t>
  </si>
  <si>
    <t xml:space="preserve"> 3. melléklet a 2/2019. (II. 15.) önkormányzati rendelethez</t>
  </si>
  <si>
    <t>4. melléklet a  2 /2019. (II. 15.) önkormányzati rendelethez</t>
  </si>
  <si>
    <t>5. melléklet a   2/2019. (II. 15.) önkormányzati rendelethez</t>
  </si>
  <si>
    <t>6. melléklet a 2/2019. (II.15.) önkormányzati rendelethez</t>
  </si>
  <si>
    <t>7. melléklet a  2/2019. (II. 15.) önkormányzati rendelethez</t>
  </si>
  <si>
    <t>8. melléklet a  2/2019. (II. 15.) önkormányzati rendelethez</t>
  </si>
  <si>
    <t xml:space="preserve"> 1. melléklet a 2/2019. (II. 15.) önkormányzati rendelethez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</si>
</sst>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0"/>
    <numFmt numFmtId="166" formatCode="#,##0.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00000"/>
    <numFmt numFmtId="172" formatCode="#,##0.0000000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  <numFmt numFmtId="195" formatCode="#,##0\ &quot;Ft&quot;"/>
    <numFmt numFmtId="196" formatCode="[$€-2]\ #\ ##,000_);[Red]\([$€-2]\ #\ ##,000\)"/>
    <numFmt numFmtId="197" formatCode="[$¥€-2]\ #\ ##,000_);[Red]\([$€-2]\ #\ ##,0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i/>
      <sz val="10"/>
      <name val="Times New Roman CE"/>
      <family val="0"/>
    </font>
    <font>
      <b/>
      <i/>
      <sz val="10"/>
      <name val="Arial CE"/>
      <family val="0"/>
    </font>
    <font>
      <b/>
      <i/>
      <sz val="12"/>
      <name val="Times New Roman CE"/>
      <family val="0"/>
    </font>
    <font>
      <sz val="10"/>
      <name val="MS Sans 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name val="Times New Roman CE"/>
      <family val="0"/>
    </font>
    <font>
      <sz val="8"/>
      <name val="Times New Roman CE"/>
      <family val="0"/>
    </font>
    <font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1" fillId="3" borderId="0" applyNumberFormat="0" applyBorder="0" applyAlignment="0" applyProtection="0"/>
    <xf numFmtId="0" fontId="19" fillId="7" borderId="1" applyNumberFormat="0" applyAlignment="0" applyProtection="0"/>
    <xf numFmtId="0" fontId="33" fillId="20" borderId="1" applyNumberFormat="0" applyAlignment="0" applyProtection="0"/>
    <xf numFmtId="0" fontId="24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2" applyNumberFormat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9" fillId="7" borderId="1" applyNumberFormat="0" applyAlignment="0" applyProtection="0"/>
    <xf numFmtId="0" fontId="0" fillId="22" borderId="7" applyNumberFormat="0" applyFont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7" fillId="4" borderId="0" applyNumberFormat="0" applyBorder="0" applyAlignment="0" applyProtection="0"/>
    <xf numFmtId="0" fontId="28" fillId="20" borderId="8" applyNumberFormat="0" applyAlignment="0" applyProtection="0"/>
    <xf numFmtId="0" fontId="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2" borderId="7" applyNumberFormat="0" applyFont="0" applyAlignment="0" applyProtection="0"/>
    <xf numFmtId="0" fontId="28" fillId="20" borderId="8" applyNumberFormat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3" fontId="14" fillId="0" borderId="10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3" fontId="14" fillId="0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0" fontId="4" fillId="4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4" fillId="0" borderId="0" xfId="101" applyFont="1" applyFill="1" applyAlignment="1">
      <alignment horizontal="left" vertical="top"/>
      <protection/>
    </xf>
    <xf numFmtId="3" fontId="5" fillId="4" borderId="0" xfId="0" applyNumberFormat="1" applyFont="1" applyFill="1" applyAlignment="1">
      <alignment/>
    </xf>
    <xf numFmtId="3" fontId="4" fillId="0" borderId="0" xfId="99" applyNumberFormat="1" applyFont="1" applyFill="1" applyAlignment="1">
      <alignment vertical="top"/>
      <protection/>
    </xf>
    <xf numFmtId="0" fontId="4" fillId="0" borderId="0" xfId="99" applyFont="1" applyFill="1" applyAlignment="1">
      <alignment vertical="top"/>
      <protection/>
    </xf>
    <xf numFmtId="0" fontId="3" fillId="0" borderId="0" xfId="102" applyFont="1" applyFill="1" applyBorder="1">
      <alignment/>
      <protection/>
    </xf>
    <xf numFmtId="3" fontId="4" fillId="0" borderId="0" xfId="99" applyNumberFormat="1" applyFont="1" applyFill="1">
      <alignment/>
      <protection/>
    </xf>
    <xf numFmtId="0" fontId="4" fillId="0" borderId="0" xfId="99" applyFont="1" applyFill="1">
      <alignment/>
      <protection/>
    </xf>
    <xf numFmtId="0" fontId="3" fillId="0" borderId="0" xfId="99" applyFont="1" applyFill="1">
      <alignment/>
      <protection/>
    </xf>
    <xf numFmtId="3" fontId="16" fillId="0" borderId="0" xfId="99" applyNumberFormat="1" applyFont="1" applyFill="1" applyAlignment="1">
      <alignment horizontal="center" wrapText="1"/>
      <protection/>
    </xf>
    <xf numFmtId="0" fontId="11" fillId="0" borderId="0" xfId="99" applyFont="1" applyFill="1">
      <alignment/>
      <protection/>
    </xf>
    <xf numFmtId="0" fontId="5" fillId="0" borderId="0" xfId="99" applyFont="1" applyFill="1">
      <alignment/>
      <protection/>
    </xf>
    <xf numFmtId="3" fontId="5" fillId="0" borderId="0" xfId="99" applyNumberFormat="1" applyFont="1" applyFill="1">
      <alignment/>
      <protection/>
    </xf>
    <xf numFmtId="0" fontId="6" fillId="0" borderId="0" xfId="99" applyFont="1" applyFill="1">
      <alignment/>
      <protection/>
    </xf>
    <xf numFmtId="0" fontId="7" fillId="20" borderId="0" xfId="99" applyFont="1" applyFill="1" applyBorder="1" applyAlignment="1">
      <alignment horizontal="left"/>
      <protection/>
    </xf>
    <xf numFmtId="3" fontId="4" fillId="20" borderId="0" xfId="99" applyNumberFormat="1" applyFont="1" applyFill="1" applyBorder="1">
      <alignment/>
      <protection/>
    </xf>
    <xf numFmtId="0" fontId="6" fillId="0" borderId="0" xfId="99" applyFont="1" applyFill="1" applyBorder="1" applyAlignment="1">
      <alignment horizontal="left" wrapText="1" indent="3"/>
      <protection/>
    </xf>
    <xf numFmtId="0" fontId="6" fillId="0" borderId="0" xfId="99" applyFont="1" applyFill="1" applyBorder="1" applyAlignment="1">
      <alignment horizontal="left" indent="3"/>
      <protection/>
    </xf>
    <xf numFmtId="0" fontId="4" fillId="0" borderId="0" xfId="99" applyFont="1" applyFill="1" applyBorder="1" applyAlignment="1">
      <alignment horizontal="left" wrapText="1" indent="3"/>
      <protection/>
    </xf>
    <xf numFmtId="0" fontId="4" fillId="0" borderId="0" xfId="99" applyFont="1" applyFill="1" applyBorder="1" applyAlignment="1">
      <alignment horizontal="left" indent="3"/>
      <protection/>
    </xf>
    <xf numFmtId="0" fontId="5" fillId="20" borderId="0" xfId="99" applyFont="1" applyFill="1" applyBorder="1" applyAlignment="1">
      <alignment wrapText="1"/>
      <protection/>
    </xf>
    <xf numFmtId="3" fontId="4" fillId="20" borderId="0" xfId="99" applyNumberFormat="1" applyFont="1" applyFill="1">
      <alignment/>
      <protection/>
    </xf>
    <xf numFmtId="0" fontId="6" fillId="0" borderId="0" xfId="99" applyFont="1" applyFill="1" applyBorder="1" applyAlignment="1">
      <alignment wrapText="1"/>
      <protection/>
    </xf>
    <xf numFmtId="2" fontId="6" fillId="0" borderId="0" xfId="99" applyNumberFormat="1" applyFont="1" applyFill="1" applyBorder="1" applyAlignment="1">
      <alignment horizontal="left" wrapText="1" indent="3"/>
      <protection/>
    </xf>
    <xf numFmtId="0" fontId="12" fillId="0" borderId="0" xfId="99" applyFont="1" applyFill="1" applyBorder="1" applyAlignment="1">
      <alignment wrapText="1"/>
      <protection/>
    </xf>
    <xf numFmtId="0" fontId="8" fillId="0" borderId="0" xfId="99" applyFont="1" applyFill="1">
      <alignment/>
      <protection/>
    </xf>
    <xf numFmtId="0" fontId="7" fillId="0" borderId="0" xfId="99" applyFont="1" applyFill="1" applyAlignment="1">
      <alignment horizontal="right"/>
      <protection/>
    </xf>
    <xf numFmtId="0" fontId="8" fillId="0" borderId="0" xfId="99" applyFont="1" applyFill="1" applyAlignment="1">
      <alignment horizontal="right"/>
      <protection/>
    </xf>
    <xf numFmtId="0" fontId="12" fillId="0" borderId="0" xfId="99" applyFont="1" applyFill="1">
      <alignment/>
      <protection/>
    </xf>
    <xf numFmtId="0" fontId="34" fillId="0" borderId="0" xfId="99" applyFont="1" applyFill="1">
      <alignment/>
      <protection/>
    </xf>
    <xf numFmtId="0" fontId="5" fillId="0" borderId="0" xfId="99" applyFont="1" applyFill="1" applyAlignment="1">
      <alignment/>
      <protection/>
    </xf>
    <xf numFmtId="0" fontId="12" fillId="23" borderId="0" xfId="99" applyFont="1" applyFill="1" applyBorder="1">
      <alignment/>
      <protection/>
    </xf>
    <xf numFmtId="3" fontId="12" fillId="23" borderId="0" xfId="99" applyNumberFormat="1" applyFont="1" applyFill="1">
      <alignment/>
      <protection/>
    </xf>
    <xf numFmtId="0" fontId="12" fillId="23" borderId="0" xfId="99" applyFont="1" applyFill="1" applyBorder="1" applyAlignment="1">
      <alignment wrapText="1"/>
      <protection/>
    </xf>
    <xf numFmtId="3" fontId="12" fillId="23" borderId="0" xfId="99" applyNumberFormat="1" applyFont="1" applyFill="1" applyBorder="1" applyAlignment="1">
      <alignment wrapText="1"/>
      <protection/>
    </xf>
    <xf numFmtId="0" fontId="11" fillId="4" borderId="0" xfId="99" applyFont="1" applyFill="1">
      <alignment/>
      <protection/>
    </xf>
    <xf numFmtId="3" fontId="11" fillId="4" borderId="0" xfId="99" applyNumberFormat="1" applyFont="1" applyFill="1">
      <alignment/>
      <protection/>
    </xf>
    <xf numFmtId="0" fontId="15" fillId="0" borderId="15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/>
    </xf>
    <xf numFmtId="0" fontId="5" fillId="0" borderId="0" xfId="99" applyFont="1" applyFill="1" applyBorder="1" applyAlignment="1">
      <alignment horizontal="left" wrapText="1"/>
      <protection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wrapText="1"/>
    </xf>
    <xf numFmtId="3" fontId="14" fillId="0" borderId="19" xfId="0" applyNumberFormat="1" applyFont="1" applyFill="1" applyBorder="1" applyAlignment="1">
      <alignment/>
    </xf>
    <xf numFmtId="3" fontId="14" fillId="0" borderId="20" xfId="0" applyNumberFormat="1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15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0" fontId="14" fillId="0" borderId="25" xfId="0" applyFont="1" applyFill="1" applyBorder="1" applyAlignment="1">
      <alignment/>
    </xf>
    <xf numFmtId="3" fontId="14" fillId="0" borderId="26" xfId="0" applyNumberFormat="1" applyFont="1" applyFill="1" applyBorder="1" applyAlignment="1">
      <alignment/>
    </xf>
    <xf numFmtId="0" fontId="15" fillId="0" borderId="27" xfId="0" applyFont="1" applyFill="1" applyBorder="1" applyAlignment="1">
      <alignment/>
    </xf>
    <xf numFmtId="3" fontId="15" fillId="0" borderId="28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4" fillId="0" borderId="16" xfId="0" applyFont="1" applyFill="1" applyBorder="1" applyAlignment="1">
      <alignment wrapText="1"/>
    </xf>
    <xf numFmtId="0" fontId="14" fillId="0" borderId="29" xfId="0" applyFont="1" applyFill="1" applyBorder="1" applyAlignment="1">
      <alignment/>
    </xf>
    <xf numFmtId="0" fontId="35" fillId="0" borderId="23" xfId="0" applyFont="1" applyFill="1" applyBorder="1" applyAlignment="1">
      <alignment/>
    </xf>
    <xf numFmtId="3" fontId="35" fillId="0" borderId="11" xfId="0" applyNumberFormat="1" applyFont="1" applyFill="1" applyBorder="1" applyAlignment="1">
      <alignment/>
    </xf>
    <xf numFmtId="3" fontId="35" fillId="0" borderId="12" xfId="0" applyNumberFormat="1" applyFont="1" applyFill="1" applyBorder="1" applyAlignment="1">
      <alignment/>
    </xf>
    <xf numFmtId="3" fontId="35" fillId="0" borderId="19" xfId="0" applyNumberFormat="1" applyFont="1" applyFill="1" applyBorder="1" applyAlignment="1">
      <alignment/>
    </xf>
    <xf numFmtId="3" fontId="35" fillId="0" borderId="30" xfId="0" applyNumberFormat="1" applyFont="1" applyFill="1" applyBorder="1" applyAlignment="1">
      <alignment/>
    </xf>
    <xf numFmtId="3" fontId="35" fillId="0" borderId="24" xfId="0" applyNumberFormat="1" applyFont="1" applyFill="1" applyBorder="1" applyAlignment="1">
      <alignment/>
    </xf>
    <xf numFmtId="3" fontId="35" fillId="0" borderId="10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15" fillId="0" borderId="31" xfId="0" applyNumberFormat="1" applyFont="1" applyFill="1" applyBorder="1" applyAlignment="1">
      <alignment/>
    </xf>
    <xf numFmtId="0" fontId="15" fillId="0" borderId="27" xfId="0" applyFont="1" applyFill="1" applyBorder="1" applyAlignment="1">
      <alignment wrapText="1"/>
    </xf>
    <xf numFmtId="0" fontId="35" fillId="0" borderId="23" xfId="0" applyFont="1" applyFill="1" applyBorder="1" applyAlignment="1">
      <alignment horizontal="left" wrapText="1" indent="2"/>
    </xf>
    <xf numFmtId="0" fontId="35" fillId="0" borderId="23" xfId="0" applyFont="1" applyFill="1" applyBorder="1" applyAlignment="1">
      <alignment horizontal="left" indent="2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 wrapText="1"/>
    </xf>
    <xf numFmtId="0" fontId="5" fillId="7" borderId="0" xfId="0" applyFont="1" applyFill="1" applyAlignment="1">
      <alignment horizontal="center" wrapText="1"/>
    </xf>
    <xf numFmtId="0" fontId="5" fillId="23" borderId="0" xfId="0" applyFont="1" applyFill="1" applyAlignment="1">
      <alignment horizontal="center" wrapText="1"/>
    </xf>
    <xf numFmtId="0" fontId="4" fillId="23" borderId="0" xfId="0" applyFont="1" applyFill="1" applyAlignment="1">
      <alignment horizontal="center"/>
    </xf>
    <xf numFmtId="0" fontId="4" fillId="7" borderId="0" xfId="0" applyFont="1" applyFill="1" applyAlignment="1">
      <alignment/>
    </xf>
    <xf numFmtId="0" fontId="4" fillId="23" borderId="0" xfId="0" applyFont="1" applyFill="1" applyAlignment="1">
      <alignment/>
    </xf>
    <xf numFmtId="3" fontId="4" fillId="4" borderId="0" xfId="0" applyNumberFormat="1" applyFont="1" applyFill="1" applyAlignment="1">
      <alignment/>
    </xf>
    <xf numFmtId="3" fontId="4" fillId="7" borderId="0" xfId="0" applyNumberFormat="1" applyFont="1" applyFill="1" applyAlignment="1">
      <alignment/>
    </xf>
    <xf numFmtId="3" fontId="4" fillId="23" borderId="0" xfId="0" applyNumberFormat="1" applyFont="1" applyFill="1" applyAlignment="1">
      <alignment/>
    </xf>
    <xf numFmtId="3" fontId="5" fillId="23" borderId="0" xfId="0" applyNumberFormat="1" applyFont="1" applyFill="1" applyAlignment="1">
      <alignment/>
    </xf>
    <xf numFmtId="3" fontId="5" fillId="7" borderId="0" xfId="0" applyNumberFormat="1" applyFont="1" applyFill="1" applyAlignment="1">
      <alignment/>
    </xf>
    <xf numFmtId="3" fontId="1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3" fontId="15" fillId="0" borderId="0" xfId="0" applyNumberFormat="1" applyFont="1" applyAlignment="1">
      <alignment horizontal="center"/>
    </xf>
    <xf numFmtId="0" fontId="3" fillId="0" borderId="0" xfId="0" applyFont="1" applyAlignment="1">
      <alignment horizontal="right" vertical="top"/>
    </xf>
    <xf numFmtId="0" fontId="13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3" fillId="0" borderId="0" xfId="102" applyFont="1" applyFill="1" applyBorder="1" applyAlignment="1">
      <alignment horizontal="left"/>
      <protection/>
    </xf>
    <xf numFmtId="0" fontId="5" fillId="0" borderId="31" xfId="0" applyFont="1" applyBorder="1" applyAlignment="1">
      <alignment wrapText="1"/>
    </xf>
    <xf numFmtId="0" fontId="15" fillId="0" borderId="3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4" fillId="0" borderId="0" xfId="0" applyFont="1" applyFill="1" applyAlignment="1">
      <alignment wrapText="1"/>
    </xf>
    <xf numFmtId="0" fontId="15" fillId="0" borderId="27" xfId="0" applyFont="1" applyBorder="1" applyAlignment="1">
      <alignment horizontal="left" wrapText="1"/>
    </xf>
    <xf numFmtId="0" fontId="10" fillId="0" borderId="0" xfId="0" applyFont="1" applyFill="1" applyAlignment="1">
      <alignment/>
    </xf>
    <xf numFmtId="0" fontId="35" fillId="0" borderId="25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3" fontId="6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3" fontId="5" fillId="0" borderId="0" xfId="0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top"/>
    </xf>
    <xf numFmtId="0" fontId="15" fillId="0" borderId="34" xfId="0" applyFont="1" applyBorder="1" applyAlignment="1">
      <alignment horizontal="left" wrapText="1"/>
    </xf>
    <xf numFmtId="0" fontId="14" fillId="0" borderId="32" xfId="0" applyFont="1" applyFill="1" applyBorder="1" applyAlignment="1">
      <alignment wrapText="1"/>
    </xf>
    <xf numFmtId="0" fontId="14" fillId="0" borderId="31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35" xfId="0" applyNumberFormat="1" applyFont="1" applyFill="1" applyBorder="1" applyAlignment="1">
      <alignment/>
    </xf>
    <xf numFmtId="3" fontId="35" fillId="0" borderId="36" xfId="0" applyNumberFormat="1" applyFont="1" applyFill="1" applyBorder="1" applyAlignment="1">
      <alignment/>
    </xf>
    <xf numFmtId="3" fontId="14" fillId="0" borderId="36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3" fontId="15" fillId="0" borderId="32" xfId="0" applyNumberFormat="1" applyFont="1" applyFill="1" applyBorder="1" applyAlignment="1">
      <alignment/>
    </xf>
    <xf numFmtId="3" fontId="15" fillId="0" borderId="31" xfId="0" applyNumberFormat="1" applyFont="1" applyFill="1" applyBorder="1" applyAlignment="1">
      <alignment/>
    </xf>
    <xf numFmtId="3" fontId="14" fillId="0" borderId="38" xfId="0" applyNumberFormat="1" applyFont="1" applyFill="1" applyBorder="1" applyAlignment="1">
      <alignment/>
    </xf>
    <xf numFmtId="3" fontId="14" fillId="0" borderId="39" xfId="0" applyNumberFormat="1" applyFont="1" applyFill="1" applyBorder="1" applyAlignment="1">
      <alignment/>
    </xf>
    <xf numFmtId="3" fontId="35" fillId="0" borderId="38" xfId="0" applyNumberFormat="1" applyFont="1" applyFill="1" applyBorder="1" applyAlignment="1">
      <alignment/>
    </xf>
    <xf numFmtId="3" fontId="35" fillId="0" borderId="39" xfId="0" applyNumberFormat="1" applyFont="1" applyFill="1" applyBorder="1" applyAlignment="1">
      <alignment/>
    </xf>
    <xf numFmtId="3" fontId="35" fillId="0" borderId="37" xfId="0" applyNumberFormat="1" applyFont="1" applyFill="1" applyBorder="1" applyAlignment="1">
      <alignment/>
    </xf>
    <xf numFmtId="3" fontId="35" fillId="0" borderId="26" xfId="0" applyNumberFormat="1" applyFont="1" applyFill="1" applyBorder="1" applyAlignment="1">
      <alignment/>
    </xf>
    <xf numFmtId="3" fontId="15" fillId="0" borderId="40" xfId="0" applyNumberFormat="1" applyFont="1" applyFill="1" applyBorder="1" applyAlignment="1">
      <alignment/>
    </xf>
    <xf numFmtId="3" fontId="15" fillId="0" borderId="41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30" xfId="0" applyNumberFormat="1" applyFont="1" applyFill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15" fillId="0" borderId="44" xfId="0" applyNumberFormat="1" applyFont="1" applyFill="1" applyBorder="1" applyAlignment="1">
      <alignment/>
    </xf>
    <xf numFmtId="3" fontId="35" fillId="0" borderId="42" xfId="0" applyNumberFormat="1" applyFont="1" applyFill="1" applyBorder="1" applyAlignment="1">
      <alignment/>
    </xf>
    <xf numFmtId="3" fontId="15" fillId="0" borderId="32" xfId="0" applyNumberFormat="1" applyFont="1" applyFill="1" applyBorder="1" applyAlignment="1">
      <alignment/>
    </xf>
    <xf numFmtId="0" fontId="15" fillId="0" borderId="45" xfId="0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14" fillId="0" borderId="46" xfId="0" applyNumberFormat="1" applyFont="1" applyFill="1" applyBorder="1" applyAlignment="1">
      <alignment horizontal="center"/>
    </xf>
    <xf numFmtId="3" fontId="15" fillId="0" borderId="47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24" borderId="31" xfId="0" applyFont="1" applyFill="1" applyBorder="1" applyAlignment="1">
      <alignment wrapText="1"/>
    </xf>
    <xf numFmtId="3" fontId="13" fillId="24" borderId="21" xfId="0" applyNumberFormat="1" applyFont="1" applyFill="1" applyBorder="1" applyAlignment="1">
      <alignment/>
    </xf>
    <xf numFmtId="3" fontId="13" fillId="24" borderId="11" xfId="0" applyNumberFormat="1" applyFont="1" applyFill="1" applyBorder="1" applyAlignment="1">
      <alignment/>
    </xf>
    <xf numFmtId="3" fontId="13" fillId="24" borderId="13" xfId="0" applyNumberFormat="1" applyFont="1" applyFill="1" applyBorder="1" applyAlignment="1">
      <alignment/>
    </xf>
    <xf numFmtId="3" fontId="13" fillId="24" borderId="10" xfId="0" applyNumberFormat="1" applyFont="1" applyFill="1" applyBorder="1" applyAlignment="1">
      <alignment/>
    </xf>
    <xf numFmtId="3" fontId="13" fillId="24" borderId="28" xfId="0" applyNumberFormat="1" applyFont="1" applyFill="1" applyBorder="1" applyAlignment="1">
      <alignment/>
    </xf>
    <xf numFmtId="3" fontId="13" fillId="24" borderId="24" xfId="0" applyNumberFormat="1" applyFont="1" applyFill="1" applyBorder="1" applyAlignment="1">
      <alignment/>
    </xf>
    <xf numFmtId="3" fontId="13" fillId="24" borderId="12" xfId="0" applyNumberFormat="1" applyFont="1" applyFill="1" applyBorder="1" applyAlignment="1">
      <alignment/>
    </xf>
    <xf numFmtId="3" fontId="13" fillId="24" borderId="14" xfId="0" applyNumberFormat="1" applyFont="1" applyFill="1" applyBorder="1" applyAlignment="1">
      <alignment/>
    </xf>
    <xf numFmtId="0" fontId="37" fillId="24" borderId="0" xfId="0" applyFont="1" applyFill="1" applyAlignment="1">
      <alignment/>
    </xf>
    <xf numFmtId="0" fontId="15" fillId="24" borderId="13" xfId="0" applyFont="1" applyFill="1" applyBorder="1" applyAlignment="1">
      <alignment horizontal="left" wrapText="1"/>
    </xf>
    <xf numFmtId="3" fontId="15" fillId="24" borderId="21" xfId="0" applyNumberFormat="1" applyFont="1" applyFill="1" applyBorder="1" applyAlignment="1">
      <alignment/>
    </xf>
    <xf numFmtId="3" fontId="15" fillId="24" borderId="11" xfId="0" applyNumberFormat="1" applyFont="1" applyFill="1" applyBorder="1" applyAlignment="1">
      <alignment/>
    </xf>
    <xf numFmtId="3" fontId="15" fillId="24" borderId="24" xfId="0" applyNumberFormat="1" applyFont="1" applyFill="1" applyBorder="1" applyAlignment="1">
      <alignment/>
    </xf>
    <xf numFmtId="3" fontId="15" fillId="24" borderId="13" xfId="0" applyNumberFormat="1" applyFont="1" applyFill="1" applyBorder="1" applyAlignment="1">
      <alignment/>
    </xf>
    <xf numFmtId="3" fontId="15" fillId="24" borderId="10" xfId="0" applyNumberFormat="1" applyFont="1" applyFill="1" applyBorder="1" applyAlignment="1">
      <alignment/>
    </xf>
    <xf numFmtId="3" fontId="15" fillId="24" borderId="28" xfId="0" applyNumberFormat="1" applyFont="1" applyFill="1" applyBorder="1" applyAlignment="1">
      <alignment/>
    </xf>
    <xf numFmtId="3" fontId="15" fillId="24" borderId="12" xfId="0" applyNumberFormat="1" applyFont="1" applyFill="1" applyBorder="1" applyAlignment="1">
      <alignment/>
    </xf>
    <xf numFmtId="3" fontId="15" fillId="24" borderId="14" xfId="0" applyNumberFormat="1" applyFont="1" applyFill="1" applyBorder="1" applyAlignment="1">
      <alignment/>
    </xf>
    <xf numFmtId="0" fontId="15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4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3" fontId="0" fillId="0" borderId="0" xfId="0" applyNumberFormat="1" applyAlignment="1">
      <alignment/>
    </xf>
    <xf numFmtId="0" fontId="15" fillId="0" borderId="27" xfId="0" applyFont="1" applyFill="1" applyBorder="1" applyAlignment="1">
      <alignment horizontal="left" wrapText="1"/>
    </xf>
    <xf numFmtId="0" fontId="15" fillId="0" borderId="32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wrapText="1"/>
    </xf>
    <xf numFmtId="0" fontId="15" fillId="0" borderId="31" xfId="0" applyFont="1" applyFill="1" applyBorder="1" applyAlignment="1">
      <alignment horizontal="left" wrapText="1"/>
    </xf>
    <xf numFmtId="3" fontId="4" fillId="9" borderId="0" xfId="0" applyNumberFormat="1" applyFont="1" applyFill="1" applyAlignment="1">
      <alignment vertical="top"/>
    </xf>
    <xf numFmtId="0" fontId="4" fillId="9" borderId="0" xfId="0" applyFont="1" applyFill="1" applyAlignment="1">
      <alignment vertical="top"/>
    </xf>
    <xf numFmtId="3" fontId="4" fillId="9" borderId="0" xfId="0" applyNumberFormat="1" applyFont="1" applyFill="1" applyAlignment="1">
      <alignment horizontal="right" vertical="top"/>
    </xf>
    <xf numFmtId="0" fontId="5" fillId="9" borderId="0" xfId="0" applyFont="1" applyFill="1" applyAlignment="1">
      <alignment vertical="top"/>
    </xf>
    <xf numFmtId="4" fontId="15" fillId="24" borderId="16" xfId="0" applyNumberFormat="1" applyFont="1" applyFill="1" applyBorder="1" applyAlignment="1">
      <alignment/>
    </xf>
    <xf numFmtId="4" fontId="14" fillId="24" borderId="23" xfId="0" applyNumberFormat="1" applyFont="1" applyFill="1" applyBorder="1" applyAlignment="1">
      <alignment/>
    </xf>
    <xf numFmtId="4" fontId="15" fillId="24" borderId="33" xfId="0" applyNumberFormat="1" applyFont="1" applyFill="1" applyBorder="1" applyAlignment="1">
      <alignment/>
    </xf>
    <xf numFmtId="0" fontId="5" fillId="0" borderId="23" xfId="100" applyFont="1" applyFill="1" applyBorder="1" applyAlignment="1">
      <alignment horizontal="left" vertical="center" wrapText="1"/>
      <protection/>
    </xf>
    <xf numFmtId="0" fontId="4" fillId="0" borderId="23" xfId="100" applyFont="1" applyFill="1" applyBorder="1" applyAlignment="1">
      <alignment horizontal="left" vertical="center" wrapText="1"/>
      <protection/>
    </xf>
    <xf numFmtId="0" fontId="5" fillId="0" borderId="33" xfId="100" applyFont="1" applyFill="1" applyBorder="1" applyAlignment="1">
      <alignment horizontal="left" vertical="center" wrapText="1"/>
      <protection/>
    </xf>
    <xf numFmtId="0" fontId="5" fillId="0" borderId="29" xfId="100" applyFont="1" applyFill="1" applyBorder="1" applyAlignment="1">
      <alignment horizontal="left" vertical="center" wrapText="1"/>
      <protection/>
    </xf>
    <xf numFmtId="0" fontId="5" fillId="0" borderId="25" xfId="100" applyFont="1" applyFill="1" applyBorder="1" applyAlignment="1">
      <alignment horizontal="left" vertical="center" wrapText="1"/>
      <protection/>
    </xf>
    <xf numFmtId="0" fontId="5" fillId="0" borderId="27" xfId="100" applyFont="1" applyFill="1" applyBorder="1" applyAlignment="1">
      <alignment horizontal="left" vertical="center" wrapText="1"/>
      <protection/>
    </xf>
    <xf numFmtId="0" fontId="4" fillId="0" borderId="16" xfId="100" applyFont="1" applyFill="1" applyBorder="1" applyAlignment="1">
      <alignment horizontal="left" vertical="center" wrapText="1"/>
      <protection/>
    </xf>
    <xf numFmtId="0" fontId="15" fillId="0" borderId="0" xfId="0" applyFont="1" applyAlignment="1">
      <alignment/>
    </xf>
    <xf numFmtId="0" fontId="41" fillId="0" borderId="23" xfId="0" applyFont="1" applyFill="1" applyBorder="1" applyAlignment="1">
      <alignment/>
    </xf>
    <xf numFmtId="0" fontId="41" fillId="0" borderId="23" xfId="0" applyFont="1" applyFill="1" applyBorder="1" applyAlignment="1">
      <alignment horizontal="left" wrapText="1" indent="2"/>
    </xf>
    <xf numFmtId="0" fontId="41" fillId="0" borderId="23" xfId="0" applyFont="1" applyFill="1" applyBorder="1" applyAlignment="1">
      <alignment horizontal="left" indent="2"/>
    </xf>
    <xf numFmtId="0" fontId="15" fillId="11" borderId="31" xfId="0" applyFont="1" applyFill="1" applyBorder="1" applyAlignment="1">
      <alignment horizontal="left" wrapText="1"/>
    </xf>
    <xf numFmtId="0" fontId="15" fillId="25" borderId="31" xfId="0" applyFont="1" applyFill="1" applyBorder="1" applyAlignment="1">
      <alignment horizontal="left" wrapText="1"/>
    </xf>
    <xf numFmtId="4" fontId="15" fillId="0" borderId="45" xfId="0" applyNumberFormat="1" applyFont="1" applyFill="1" applyBorder="1" applyAlignment="1">
      <alignment/>
    </xf>
    <xf numFmtId="4" fontId="14" fillId="0" borderId="46" xfId="0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4" fontId="14" fillId="0" borderId="23" xfId="0" applyNumberFormat="1" applyFont="1" applyFill="1" applyBorder="1" applyAlignment="1">
      <alignment/>
    </xf>
    <xf numFmtId="4" fontId="15" fillId="0" borderId="33" xfId="0" applyNumberFormat="1" applyFont="1" applyFill="1" applyBorder="1" applyAlignment="1">
      <alignment/>
    </xf>
    <xf numFmtId="4" fontId="15" fillId="0" borderId="48" xfId="0" applyNumberFormat="1" applyFont="1" applyFill="1" applyBorder="1" applyAlignment="1">
      <alignment/>
    </xf>
    <xf numFmtId="4" fontId="14" fillId="0" borderId="49" xfId="0" applyNumberFormat="1" applyFont="1" applyFill="1" applyBorder="1" applyAlignment="1">
      <alignment/>
    </xf>
    <xf numFmtId="4" fontId="15" fillId="0" borderId="50" xfId="0" applyNumberFormat="1" applyFont="1" applyFill="1" applyBorder="1" applyAlignment="1">
      <alignment/>
    </xf>
    <xf numFmtId="4" fontId="15" fillId="24" borderId="51" xfId="0" applyNumberFormat="1" applyFont="1" applyFill="1" applyBorder="1" applyAlignment="1">
      <alignment/>
    </xf>
    <xf numFmtId="4" fontId="14" fillId="24" borderId="52" xfId="0" applyNumberFormat="1" applyFont="1" applyFill="1" applyBorder="1" applyAlignment="1">
      <alignment/>
    </xf>
    <xf numFmtId="4" fontId="15" fillId="24" borderId="53" xfId="0" applyNumberFormat="1" applyFont="1" applyFill="1" applyBorder="1" applyAlignment="1">
      <alignment/>
    </xf>
    <xf numFmtId="3" fontId="14" fillId="11" borderId="21" xfId="0" applyNumberFormat="1" applyFont="1" applyFill="1" applyBorder="1" applyAlignment="1">
      <alignment/>
    </xf>
    <xf numFmtId="3" fontId="35" fillId="11" borderId="11" xfId="0" applyNumberFormat="1" applyFont="1" applyFill="1" applyBorder="1" applyAlignment="1">
      <alignment/>
    </xf>
    <xf numFmtId="3" fontId="14" fillId="11" borderId="11" xfId="0" applyNumberFormat="1" applyFont="1" applyFill="1" applyBorder="1" applyAlignment="1">
      <alignment/>
    </xf>
    <xf numFmtId="3" fontId="14" fillId="11" borderId="24" xfId="0" applyNumberFormat="1" applyFont="1" applyFill="1" applyBorder="1" applyAlignment="1">
      <alignment/>
    </xf>
    <xf numFmtId="3" fontId="15" fillId="11" borderId="13" xfId="0" applyNumberFormat="1" applyFont="1" applyFill="1" applyBorder="1" applyAlignment="1">
      <alignment/>
    </xf>
    <xf numFmtId="3" fontId="14" fillId="11" borderId="10" xfId="0" applyNumberFormat="1" applyFont="1" applyFill="1" applyBorder="1" applyAlignment="1">
      <alignment/>
    </xf>
    <xf numFmtId="3" fontId="35" fillId="11" borderId="10" xfId="0" applyNumberFormat="1" applyFont="1" applyFill="1" applyBorder="1" applyAlignment="1">
      <alignment/>
    </xf>
    <xf numFmtId="3" fontId="35" fillId="11" borderId="24" xfId="0" applyNumberFormat="1" applyFont="1" applyFill="1" applyBorder="1" applyAlignment="1">
      <alignment/>
    </xf>
    <xf numFmtId="3" fontId="15" fillId="11" borderId="28" xfId="0" applyNumberFormat="1" applyFont="1" applyFill="1" applyBorder="1" applyAlignment="1">
      <alignment/>
    </xf>
    <xf numFmtId="3" fontId="14" fillId="11" borderId="12" xfId="0" applyNumberFormat="1" applyFont="1" applyFill="1" applyBorder="1" applyAlignment="1">
      <alignment/>
    </xf>
    <xf numFmtId="3" fontId="15" fillId="11" borderId="14" xfId="0" applyNumberFormat="1" applyFont="1" applyFill="1" applyBorder="1" applyAlignment="1">
      <alignment/>
    </xf>
    <xf numFmtId="3" fontId="35" fillId="11" borderId="12" xfId="0" applyNumberFormat="1" applyFont="1" applyFill="1" applyBorder="1" applyAlignment="1">
      <alignment/>
    </xf>
    <xf numFmtId="3" fontId="15" fillId="11" borderId="13" xfId="0" applyNumberFormat="1" applyFont="1" applyFill="1" applyBorder="1" applyAlignment="1">
      <alignment/>
    </xf>
    <xf numFmtId="4" fontId="15" fillId="11" borderId="48" xfId="0" applyNumberFormat="1" applyFont="1" applyFill="1" applyBorder="1" applyAlignment="1">
      <alignment/>
    </xf>
    <xf numFmtId="4" fontId="14" fillId="11" borderId="49" xfId="0" applyNumberFormat="1" applyFont="1" applyFill="1" applyBorder="1" applyAlignment="1">
      <alignment/>
    </xf>
    <xf numFmtId="4" fontId="15" fillId="11" borderId="50" xfId="0" applyNumberFormat="1" applyFont="1" applyFill="1" applyBorder="1" applyAlignment="1">
      <alignment/>
    </xf>
    <xf numFmtId="3" fontId="14" fillId="25" borderId="21" xfId="0" applyNumberFormat="1" applyFont="1" applyFill="1" applyBorder="1" applyAlignment="1">
      <alignment/>
    </xf>
    <xf numFmtId="3" fontId="35" fillId="25" borderId="11" xfId="0" applyNumberFormat="1" applyFont="1" applyFill="1" applyBorder="1" applyAlignment="1">
      <alignment/>
    </xf>
    <xf numFmtId="3" fontId="14" fillId="25" borderId="11" xfId="0" applyNumberFormat="1" applyFont="1" applyFill="1" applyBorder="1" applyAlignment="1">
      <alignment/>
    </xf>
    <xf numFmtId="3" fontId="14" fillId="25" borderId="24" xfId="0" applyNumberFormat="1" applyFont="1" applyFill="1" applyBorder="1" applyAlignment="1">
      <alignment/>
    </xf>
    <xf numFmtId="3" fontId="15" fillId="25" borderId="13" xfId="0" applyNumberFormat="1" applyFont="1" applyFill="1" applyBorder="1" applyAlignment="1">
      <alignment/>
    </xf>
    <xf numFmtId="3" fontId="14" fillId="25" borderId="10" xfId="0" applyNumberFormat="1" applyFont="1" applyFill="1" applyBorder="1" applyAlignment="1">
      <alignment/>
    </xf>
    <xf numFmtId="3" fontId="35" fillId="25" borderId="10" xfId="0" applyNumberFormat="1" applyFont="1" applyFill="1" applyBorder="1" applyAlignment="1">
      <alignment/>
    </xf>
    <xf numFmtId="3" fontId="35" fillId="25" borderId="24" xfId="0" applyNumberFormat="1" applyFont="1" applyFill="1" applyBorder="1" applyAlignment="1">
      <alignment/>
    </xf>
    <xf numFmtId="3" fontId="15" fillId="25" borderId="28" xfId="0" applyNumberFormat="1" applyFont="1" applyFill="1" applyBorder="1" applyAlignment="1">
      <alignment/>
    </xf>
    <xf numFmtId="3" fontId="14" fillId="25" borderId="12" xfId="0" applyNumberFormat="1" applyFont="1" applyFill="1" applyBorder="1" applyAlignment="1">
      <alignment/>
    </xf>
    <xf numFmtId="3" fontId="15" fillId="25" borderId="14" xfId="0" applyNumberFormat="1" applyFont="1" applyFill="1" applyBorder="1" applyAlignment="1">
      <alignment/>
    </xf>
    <xf numFmtId="3" fontId="35" fillId="25" borderId="12" xfId="0" applyNumberFormat="1" applyFont="1" applyFill="1" applyBorder="1" applyAlignment="1">
      <alignment/>
    </xf>
    <xf numFmtId="3" fontId="15" fillId="25" borderId="13" xfId="0" applyNumberFormat="1" applyFont="1" applyFill="1" applyBorder="1" applyAlignment="1">
      <alignment/>
    </xf>
    <xf numFmtId="4" fontId="15" fillId="25" borderId="48" xfId="0" applyNumberFormat="1" applyFont="1" applyFill="1" applyBorder="1" applyAlignment="1">
      <alignment/>
    </xf>
    <xf numFmtId="4" fontId="14" fillId="25" borderId="49" xfId="0" applyNumberFormat="1" applyFont="1" applyFill="1" applyBorder="1" applyAlignment="1">
      <alignment/>
    </xf>
    <xf numFmtId="4" fontId="15" fillId="25" borderId="50" xfId="0" applyNumberFormat="1" applyFont="1" applyFill="1" applyBorder="1" applyAlignment="1">
      <alignment/>
    </xf>
    <xf numFmtId="0" fontId="39" fillId="0" borderId="0" xfId="97" applyFont="1">
      <alignment/>
      <protection/>
    </xf>
    <xf numFmtId="0" fontId="39" fillId="0" borderId="0" xfId="97" applyFont="1" applyAlignment="1">
      <alignment/>
      <protection/>
    </xf>
    <xf numFmtId="0" fontId="39" fillId="0" borderId="0" xfId="97" applyFont="1" applyBorder="1" applyAlignment="1">
      <alignment vertical="center"/>
      <protection/>
    </xf>
    <xf numFmtId="0" fontId="5" fillId="0" borderId="27" xfId="0" applyFont="1" applyFill="1" applyBorder="1" applyAlignment="1">
      <alignment horizontal="center" vertical="center" wrapText="1"/>
    </xf>
    <xf numFmtId="0" fontId="5" fillId="11" borderId="54" xfId="100" applyFont="1" applyFill="1" applyBorder="1" applyAlignment="1">
      <alignment horizontal="center" vertical="center" wrapText="1"/>
      <protection/>
    </xf>
    <xf numFmtId="0" fontId="5" fillId="11" borderId="31" xfId="100" applyFont="1" applyFill="1" applyBorder="1" applyAlignment="1">
      <alignment horizontal="center" vertical="center" wrapText="1"/>
      <protection/>
    </xf>
    <xf numFmtId="0" fontId="5" fillId="11" borderId="34" xfId="100" applyFont="1" applyFill="1" applyBorder="1" applyAlignment="1">
      <alignment horizontal="center" vertical="center" wrapText="1"/>
      <protection/>
    </xf>
    <xf numFmtId="0" fontId="5" fillId="0" borderId="55" xfId="0" applyFont="1" applyFill="1" applyBorder="1" applyAlignment="1">
      <alignment horizontal="center" vertical="center" wrapText="1"/>
    </xf>
    <xf numFmtId="0" fontId="40" fillId="0" borderId="27" xfId="97" applyFont="1" applyBorder="1" applyAlignment="1">
      <alignment horizontal="center" vertical="center" wrapText="1"/>
      <protection/>
    </xf>
    <xf numFmtId="4" fontId="4" fillId="0" borderId="29" xfId="97" applyNumberFormat="1" applyFont="1" applyFill="1" applyBorder="1" applyAlignment="1">
      <alignment horizontal="center" vertical="center" wrapText="1"/>
      <protection/>
    </xf>
    <xf numFmtId="4" fontId="4" fillId="0" borderId="56" xfId="97" applyNumberFormat="1" applyFont="1" applyFill="1" applyBorder="1" applyAlignment="1">
      <alignment horizontal="center" vertical="center" wrapText="1"/>
      <protection/>
    </xf>
    <xf numFmtId="4" fontId="4" fillId="0" borderId="39" xfId="97" applyNumberFormat="1" applyFont="1" applyFill="1" applyBorder="1" applyAlignment="1">
      <alignment horizontal="center" vertical="center" wrapText="1"/>
      <protection/>
    </xf>
    <xf numFmtId="4" fontId="4" fillId="0" borderId="57" xfId="97" applyNumberFormat="1" applyFont="1" applyFill="1" applyBorder="1" applyAlignment="1">
      <alignment horizontal="center" vertical="center" wrapText="1"/>
      <protection/>
    </xf>
    <xf numFmtId="4" fontId="4" fillId="11" borderId="29" xfId="97" applyNumberFormat="1" applyFont="1" applyFill="1" applyBorder="1" applyAlignment="1">
      <alignment horizontal="center" vertical="center" wrapText="1"/>
      <protection/>
    </xf>
    <xf numFmtId="4" fontId="4" fillId="0" borderId="58" xfId="97" applyNumberFormat="1" applyFont="1" applyFill="1" applyBorder="1" applyAlignment="1">
      <alignment horizontal="center" vertical="center" wrapText="1"/>
      <protection/>
    </xf>
    <xf numFmtId="4" fontId="4" fillId="0" borderId="23" xfId="97" applyNumberFormat="1" applyFont="1" applyFill="1" applyBorder="1" applyAlignment="1">
      <alignment horizontal="center" vertical="center" wrapText="1"/>
      <protection/>
    </xf>
    <xf numFmtId="4" fontId="4" fillId="0" borderId="59" xfId="97" applyNumberFormat="1" applyFont="1" applyFill="1" applyBorder="1" applyAlignment="1">
      <alignment horizontal="center" vertical="center" wrapText="1"/>
      <protection/>
    </xf>
    <xf numFmtId="4" fontId="4" fillId="0" borderId="19" xfId="97" applyNumberFormat="1" applyFont="1" applyFill="1" applyBorder="1" applyAlignment="1">
      <alignment horizontal="center" vertical="center" wrapText="1"/>
      <protection/>
    </xf>
    <xf numFmtId="4" fontId="4" fillId="0" borderId="60" xfId="97" applyNumberFormat="1" applyFont="1" applyFill="1" applyBorder="1" applyAlignment="1">
      <alignment horizontal="center" vertical="center" wrapText="1"/>
      <protection/>
    </xf>
    <xf numFmtId="4" fontId="4" fillId="11" borderId="23" xfId="97" applyNumberFormat="1" applyFont="1" applyFill="1" applyBorder="1" applyAlignment="1">
      <alignment horizontal="center" vertical="center" wrapText="1"/>
      <protection/>
    </xf>
    <xf numFmtId="4" fontId="4" fillId="0" borderId="49" xfId="97" applyNumberFormat="1" applyFont="1" applyFill="1" applyBorder="1" applyAlignment="1">
      <alignment horizontal="center" vertical="center" wrapText="1"/>
      <protection/>
    </xf>
    <xf numFmtId="4" fontId="4" fillId="0" borderId="25" xfId="97" applyNumberFormat="1" applyFont="1" applyFill="1" applyBorder="1" applyAlignment="1">
      <alignment horizontal="center" vertical="center" wrapText="1"/>
      <protection/>
    </xf>
    <xf numFmtId="4" fontId="4" fillId="0" borderId="61" xfId="97" applyNumberFormat="1" applyFont="1" applyFill="1" applyBorder="1" applyAlignment="1">
      <alignment horizontal="center" vertical="center" wrapText="1"/>
      <protection/>
    </xf>
    <xf numFmtId="4" fontId="4" fillId="0" borderId="26" xfId="97" applyNumberFormat="1" applyFont="1" applyFill="1" applyBorder="1" applyAlignment="1">
      <alignment horizontal="center" vertical="center" wrapText="1"/>
      <protection/>
    </xf>
    <xf numFmtId="4" fontId="4" fillId="0" borderId="62" xfId="97" applyNumberFormat="1" applyFont="1" applyFill="1" applyBorder="1" applyAlignment="1">
      <alignment horizontal="center" vertical="center" wrapText="1"/>
      <protection/>
    </xf>
    <xf numFmtId="4" fontId="4" fillId="11" borderId="25" xfId="97" applyNumberFormat="1" applyFont="1" applyFill="1" applyBorder="1" applyAlignment="1">
      <alignment horizontal="center" vertical="center" wrapText="1"/>
      <protection/>
    </xf>
    <xf numFmtId="4" fontId="4" fillId="0" borderId="63" xfId="97" applyNumberFormat="1" applyFont="1" applyFill="1" applyBorder="1" applyAlignment="1">
      <alignment horizontal="center" vertical="center" wrapText="1"/>
      <protection/>
    </xf>
    <xf numFmtId="4" fontId="4" fillId="0" borderId="16" xfId="97" applyNumberFormat="1" applyFont="1" applyFill="1" applyBorder="1" applyAlignment="1">
      <alignment horizontal="center" vertical="center" wrapText="1"/>
      <protection/>
    </xf>
    <xf numFmtId="4" fontId="4" fillId="0" borderId="64" xfId="97" applyNumberFormat="1" applyFont="1" applyFill="1" applyBorder="1" applyAlignment="1">
      <alignment horizontal="center" vertical="center" wrapText="1"/>
      <protection/>
    </xf>
    <xf numFmtId="4" fontId="4" fillId="0" borderId="20" xfId="97" applyNumberFormat="1" applyFont="1" applyFill="1" applyBorder="1" applyAlignment="1">
      <alignment horizontal="center" vertical="center" wrapText="1"/>
      <protection/>
    </xf>
    <xf numFmtId="4" fontId="4" fillId="0" borderId="65" xfId="97" applyNumberFormat="1" applyFont="1" applyFill="1" applyBorder="1" applyAlignment="1">
      <alignment horizontal="center" vertical="center" wrapText="1"/>
      <protection/>
    </xf>
    <xf numFmtId="4" fontId="4" fillId="11" borderId="16" xfId="97" applyNumberFormat="1" applyFont="1" applyFill="1" applyBorder="1" applyAlignment="1">
      <alignment horizontal="center" vertical="center" wrapText="1"/>
      <protection/>
    </xf>
    <xf numFmtId="4" fontId="4" fillId="0" borderId="48" xfId="97" applyNumberFormat="1" applyFont="1" applyFill="1" applyBorder="1" applyAlignment="1">
      <alignment horizontal="center" vertical="center" wrapText="1"/>
      <protection/>
    </xf>
    <xf numFmtId="4" fontId="4" fillId="0" borderId="33" xfId="97" applyNumberFormat="1" applyFont="1" applyFill="1" applyBorder="1" applyAlignment="1">
      <alignment horizontal="center" vertical="center" wrapText="1"/>
      <protection/>
    </xf>
    <xf numFmtId="4" fontId="4" fillId="0" borderId="66" xfId="97" applyNumberFormat="1" applyFont="1" applyFill="1" applyBorder="1" applyAlignment="1">
      <alignment horizontal="center" vertical="center" wrapText="1"/>
      <protection/>
    </xf>
    <xf numFmtId="4" fontId="4" fillId="0" borderId="30" xfId="97" applyNumberFormat="1" applyFont="1" applyFill="1" applyBorder="1" applyAlignment="1">
      <alignment horizontal="center" vertical="center" wrapText="1"/>
      <protection/>
    </xf>
    <xf numFmtId="4" fontId="4" fillId="0" borderId="67" xfId="97" applyNumberFormat="1" applyFont="1" applyFill="1" applyBorder="1" applyAlignment="1">
      <alignment horizontal="center" vertical="center" wrapText="1"/>
      <protection/>
    </xf>
    <xf numFmtId="4" fontId="4" fillId="11" borderId="33" xfId="97" applyNumberFormat="1" applyFont="1" applyFill="1" applyBorder="1" applyAlignment="1">
      <alignment horizontal="center" vertical="center" wrapText="1"/>
      <protection/>
    </xf>
    <xf numFmtId="4" fontId="4" fillId="0" borderId="50" xfId="97" applyNumberFormat="1" applyFont="1" applyFill="1" applyBorder="1" applyAlignment="1">
      <alignment horizontal="center" vertical="center" wrapText="1"/>
      <protection/>
    </xf>
    <xf numFmtId="4" fontId="39" fillId="0" borderId="27" xfId="97" applyNumberFormat="1" applyFont="1" applyFill="1" applyBorder="1" applyAlignment="1">
      <alignment horizontal="center" vertical="center" wrapText="1"/>
      <protection/>
    </xf>
    <xf numFmtId="4" fontId="39" fillId="0" borderId="54" xfId="97" applyNumberFormat="1" applyFont="1" applyFill="1" applyBorder="1" applyAlignment="1">
      <alignment horizontal="center" vertical="center" wrapText="1"/>
      <protection/>
    </xf>
    <xf numFmtId="4" fontId="39" fillId="0" borderId="31" xfId="97" applyNumberFormat="1" applyFont="1" applyFill="1" applyBorder="1" applyAlignment="1">
      <alignment horizontal="center" vertical="center" wrapText="1"/>
      <protection/>
    </xf>
    <xf numFmtId="4" fontId="39" fillId="0" borderId="34" xfId="97" applyNumberFormat="1" applyFont="1" applyFill="1" applyBorder="1" applyAlignment="1">
      <alignment horizontal="center" vertical="center" wrapText="1"/>
      <protection/>
    </xf>
    <xf numFmtId="4" fontId="39" fillId="11" borderId="27" xfId="97" applyNumberFormat="1" applyFont="1" applyFill="1" applyBorder="1" applyAlignment="1">
      <alignment horizontal="center" vertical="center" wrapText="1"/>
      <protection/>
    </xf>
    <xf numFmtId="4" fontId="39" fillId="0" borderId="68" xfId="97" applyNumberFormat="1" applyFont="1" applyFill="1" applyBorder="1" applyAlignment="1">
      <alignment horizontal="center" vertical="center" wrapText="1"/>
      <protection/>
    </xf>
    <xf numFmtId="4" fontId="4" fillId="0" borderId="27" xfId="97" applyNumberFormat="1" applyFont="1" applyFill="1" applyBorder="1" applyAlignment="1">
      <alignment horizontal="center" vertical="center" wrapText="1"/>
      <protection/>
    </xf>
    <xf numFmtId="0" fontId="5" fillId="11" borderId="27" xfId="100" applyFont="1" applyFill="1" applyBorder="1" applyAlignment="1">
      <alignment horizontal="center" vertical="center" wrapText="1"/>
      <protection/>
    </xf>
    <xf numFmtId="0" fontId="5" fillId="25" borderId="54" xfId="100" applyFont="1" applyFill="1" applyBorder="1" applyAlignment="1">
      <alignment horizontal="center" vertical="center" wrapText="1"/>
      <protection/>
    </xf>
    <xf numFmtId="0" fontId="5" fillId="25" borderId="31" xfId="100" applyFont="1" applyFill="1" applyBorder="1" applyAlignment="1">
      <alignment horizontal="center" vertical="center" wrapText="1"/>
      <protection/>
    </xf>
    <xf numFmtId="0" fontId="5" fillId="25" borderId="34" xfId="100" applyFont="1" applyFill="1" applyBorder="1" applyAlignment="1">
      <alignment horizontal="center" vertical="center" wrapText="1"/>
      <protection/>
    </xf>
    <xf numFmtId="0" fontId="5" fillId="25" borderId="27" xfId="100" applyFont="1" applyFill="1" applyBorder="1" applyAlignment="1">
      <alignment horizontal="center" vertical="center" wrapText="1"/>
      <protection/>
    </xf>
    <xf numFmtId="4" fontId="4" fillId="25" borderId="29" xfId="97" applyNumberFormat="1" applyFont="1" applyFill="1" applyBorder="1" applyAlignment="1">
      <alignment horizontal="center" vertical="center" wrapText="1"/>
      <protection/>
    </xf>
    <xf numFmtId="4" fontId="4" fillId="25" borderId="23" xfId="97" applyNumberFormat="1" applyFont="1" applyFill="1" applyBorder="1" applyAlignment="1">
      <alignment horizontal="center" vertical="center" wrapText="1"/>
      <protection/>
    </xf>
    <xf numFmtId="4" fontId="4" fillId="25" borderId="25" xfId="97" applyNumberFormat="1" applyFont="1" applyFill="1" applyBorder="1" applyAlignment="1">
      <alignment horizontal="center" vertical="center" wrapText="1"/>
      <protection/>
    </xf>
    <xf numFmtId="4" fontId="4" fillId="25" borderId="16" xfId="97" applyNumberFormat="1" applyFont="1" applyFill="1" applyBorder="1" applyAlignment="1">
      <alignment horizontal="center" vertical="center" wrapText="1"/>
      <protection/>
    </xf>
    <xf numFmtId="4" fontId="4" fillId="25" borderId="33" xfId="97" applyNumberFormat="1" applyFont="1" applyFill="1" applyBorder="1" applyAlignment="1">
      <alignment horizontal="center" vertical="center" wrapText="1"/>
      <protection/>
    </xf>
    <xf numFmtId="4" fontId="39" fillId="25" borderId="27" xfId="97" applyNumberFormat="1" applyFont="1" applyFill="1" applyBorder="1" applyAlignment="1">
      <alignment horizontal="center" vertical="center" wrapText="1"/>
      <protection/>
    </xf>
    <xf numFmtId="3" fontId="14" fillId="0" borderId="14" xfId="0" applyNumberFormat="1" applyFont="1" applyFill="1" applyBorder="1" applyAlignment="1">
      <alignment/>
    </xf>
    <xf numFmtId="3" fontId="14" fillId="11" borderId="14" xfId="0" applyNumberFormat="1" applyFont="1" applyFill="1" applyBorder="1" applyAlignment="1">
      <alignment/>
    </xf>
    <xf numFmtId="3" fontId="14" fillId="25" borderId="14" xfId="0" applyNumberFormat="1" applyFont="1" applyFill="1" applyBorder="1" applyAlignment="1">
      <alignment/>
    </xf>
    <xf numFmtId="3" fontId="14" fillId="0" borderId="43" xfId="0" applyNumberFormat="1" applyFont="1" applyFill="1" applyBorder="1" applyAlignment="1">
      <alignment/>
    </xf>
    <xf numFmtId="3" fontId="14" fillId="0" borderId="44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4" fontId="14" fillId="26" borderId="23" xfId="0" applyNumberFormat="1" applyFont="1" applyFill="1" applyBorder="1" applyAlignment="1">
      <alignment/>
    </xf>
    <xf numFmtId="4" fontId="15" fillId="0" borderId="47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3" fontId="14" fillId="0" borderId="69" xfId="0" applyNumberFormat="1" applyFont="1" applyFill="1" applyBorder="1" applyAlignment="1">
      <alignment/>
    </xf>
    <xf numFmtId="0" fontId="4" fillId="27" borderId="0" xfId="0" applyFont="1" applyFill="1" applyAlignment="1">
      <alignment vertical="top"/>
    </xf>
    <xf numFmtId="3" fontId="4" fillId="27" borderId="0" xfId="0" applyNumberFormat="1" applyFont="1" applyFill="1" applyAlignment="1">
      <alignment vertical="top"/>
    </xf>
    <xf numFmtId="1" fontId="4" fillId="27" borderId="0" xfId="101" applyNumberFormat="1" applyFont="1" applyFill="1" applyAlignment="1">
      <alignment horizontal="left" vertical="top"/>
      <protection/>
    </xf>
    <xf numFmtId="0" fontId="4" fillId="27" borderId="0" xfId="0" applyFont="1" applyFill="1" applyAlignment="1">
      <alignment vertical="top" wrapText="1"/>
    </xf>
    <xf numFmtId="0" fontId="4" fillId="27" borderId="0" xfId="0" applyFont="1" applyFill="1" applyAlignment="1">
      <alignment horizontal="left" vertical="top"/>
    </xf>
    <xf numFmtId="0" fontId="4" fillId="27" borderId="0" xfId="0" applyFont="1" applyFill="1" applyBorder="1" applyAlignment="1">
      <alignment vertical="top"/>
    </xf>
    <xf numFmtId="3" fontId="4" fillId="27" borderId="0" xfId="0" applyNumberFormat="1" applyFont="1" applyFill="1" applyBorder="1" applyAlignment="1">
      <alignment horizontal="right" vertical="top"/>
    </xf>
    <xf numFmtId="0" fontId="4" fillId="27" borderId="0" xfId="0" applyFont="1" applyFill="1" applyBorder="1" applyAlignment="1">
      <alignment vertical="top" wrapText="1"/>
    </xf>
    <xf numFmtId="0" fontId="4" fillId="27" borderId="0" xfId="101" applyFont="1" applyFill="1" applyAlignment="1">
      <alignment horizontal="left" vertical="top"/>
      <protection/>
    </xf>
    <xf numFmtId="0" fontId="4" fillId="27" borderId="0" xfId="101" applyFont="1" applyFill="1" applyBorder="1" applyAlignment="1">
      <alignment vertical="top"/>
      <protection/>
    </xf>
    <xf numFmtId="3" fontId="4" fillId="27" borderId="0" xfId="101" applyNumberFormat="1" applyFont="1" applyFill="1" applyBorder="1" applyAlignment="1">
      <alignment horizontal="right" vertical="top"/>
      <protection/>
    </xf>
    <xf numFmtId="0" fontId="5" fillId="27" borderId="0" xfId="0" applyFont="1" applyFill="1" applyAlignment="1">
      <alignment vertical="top"/>
    </xf>
    <xf numFmtId="3" fontId="5" fillId="27" borderId="0" xfId="0" applyNumberFormat="1" applyFont="1" applyFill="1" applyAlignment="1">
      <alignment vertical="top"/>
    </xf>
    <xf numFmtId="4" fontId="14" fillId="28" borderId="49" xfId="0" applyNumberFormat="1" applyFont="1" applyFill="1" applyBorder="1" applyAlignment="1">
      <alignment/>
    </xf>
    <xf numFmtId="4" fontId="14" fillId="28" borderId="23" xfId="0" applyNumberFormat="1" applyFont="1" applyFill="1" applyBorder="1" applyAlignment="1">
      <alignment/>
    </xf>
    <xf numFmtId="0" fontId="4" fillId="27" borderId="0" xfId="0" applyFont="1" applyFill="1" applyBorder="1" applyAlignment="1">
      <alignment horizontal="left" vertical="top" wrapText="1"/>
    </xf>
    <xf numFmtId="0" fontId="4" fillId="0" borderId="0" xfId="101" applyFont="1" applyFill="1" applyBorder="1" applyAlignment="1">
      <alignment vertical="top" wrapText="1"/>
      <protection/>
    </xf>
    <xf numFmtId="1" fontId="4" fillId="29" borderId="0" xfId="101" applyNumberFormat="1" applyFont="1" applyFill="1" applyAlignment="1">
      <alignment horizontal="left" vertical="top"/>
      <protection/>
    </xf>
    <xf numFmtId="0" fontId="4" fillId="29" borderId="0" xfId="101" applyFont="1" applyFill="1" applyBorder="1" applyAlignment="1">
      <alignment vertical="top" wrapText="1"/>
      <protection/>
    </xf>
    <xf numFmtId="3" fontId="4" fillId="29" borderId="0" xfId="101" applyNumberFormat="1" applyFont="1" applyFill="1" applyBorder="1" applyAlignment="1">
      <alignment horizontal="right" vertical="top"/>
      <protection/>
    </xf>
    <xf numFmtId="0" fontId="4" fillId="29" borderId="0" xfId="0" applyFont="1" applyFill="1" applyAlignment="1">
      <alignment vertical="top" wrapText="1"/>
    </xf>
    <xf numFmtId="3" fontId="4" fillId="29" borderId="0" xfId="0" applyNumberFormat="1" applyFont="1" applyFill="1" applyAlignment="1">
      <alignment vertical="top"/>
    </xf>
    <xf numFmtId="0" fontId="4" fillId="29" borderId="0" xfId="0" applyFont="1" applyFill="1" applyBorder="1" applyAlignment="1">
      <alignment horizontal="left" vertical="top" wrapText="1"/>
    </xf>
    <xf numFmtId="0" fontId="4" fillId="29" borderId="0" xfId="0" applyFont="1" applyFill="1" applyBorder="1" applyAlignment="1">
      <alignment vertical="top" wrapText="1"/>
    </xf>
    <xf numFmtId="3" fontId="4" fillId="29" borderId="0" xfId="0" applyNumberFormat="1" applyFont="1" applyFill="1" applyBorder="1" applyAlignment="1">
      <alignment horizontal="right" vertical="top"/>
    </xf>
    <xf numFmtId="0" fontId="4" fillId="29" borderId="0" xfId="0" applyFont="1" applyFill="1" applyBorder="1" applyAlignment="1">
      <alignment vertical="top"/>
    </xf>
    <xf numFmtId="3" fontId="4" fillId="29" borderId="0" xfId="0" applyNumberFormat="1" applyFont="1" applyFill="1" applyBorder="1" applyAlignment="1">
      <alignment vertical="top"/>
    </xf>
    <xf numFmtId="0" fontId="4" fillId="29" borderId="0" xfId="101" applyFont="1" applyFill="1" applyAlignment="1">
      <alignment horizontal="left" vertical="top"/>
      <protection/>
    </xf>
    <xf numFmtId="0" fontId="4" fillId="29" borderId="0" xfId="0" applyFont="1" applyFill="1" applyAlignment="1">
      <alignment vertical="top"/>
    </xf>
    <xf numFmtId="0" fontId="4" fillId="29" borderId="0" xfId="0" applyFont="1" applyFill="1" applyAlignment="1">
      <alignment horizontal="left" vertical="top"/>
    </xf>
    <xf numFmtId="0" fontId="5" fillId="29" borderId="0" xfId="0" applyFont="1" applyFill="1" applyAlignment="1">
      <alignment vertical="top"/>
    </xf>
    <xf numFmtId="3" fontId="5" fillId="29" borderId="0" xfId="0" applyNumberFormat="1" applyFont="1" applyFill="1" applyAlignment="1">
      <alignment vertical="top"/>
    </xf>
    <xf numFmtId="3" fontId="4" fillId="29" borderId="0" xfId="0" applyNumberFormat="1" applyFont="1" applyFill="1" applyAlignment="1">
      <alignment horizontal="right" vertical="top"/>
    </xf>
    <xf numFmtId="0" fontId="4" fillId="30" borderId="0" xfId="0" applyFont="1" applyFill="1" applyAlignment="1">
      <alignment/>
    </xf>
    <xf numFmtId="0" fontId="0" fillId="30" borderId="0" xfId="0" applyFill="1" applyAlignment="1">
      <alignment/>
    </xf>
    <xf numFmtId="3" fontId="4" fillId="30" borderId="0" xfId="0" applyNumberFormat="1" applyFont="1" applyFill="1" applyBorder="1" applyAlignment="1">
      <alignment horizontal="right" vertical="top" wrapText="1"/>
    </xf>
    <xf numFmtId="1" fontId="4" fillId="30" borderId="0" xfId="101" applyNumberFormat="1" applyFont="1" applyFill="1" applyAlignment="1">
      <alignment horizontal="left" vertical="top"/>
      <protection/>
    </xf>
    <xf numFmtId="3" fontId="4" fillId="30" borderId="0" xfId="0" applyNumberFormat="1" applyFont="1" applyFill="1" applyAlignment="1">
      <alignment vertical="top"/>
    </xf>
    <xf numFmtId="0" fontId="0" fillId="0" borderId="0" xfId="0" applyFill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0" fontId="4" fillId="30" borderId="0" xfId="0" applyFont="1" applyFill="1" applyAlignment="1">
      <alignment vertical="top"/>
    </xf>
    <xf numFmtId="0" fontId="5" fillId="30" borderId="0" xfId="0" applyFont="1" applyFill="1" applyAlignment="1">
      <alignment vertical="top"/>
    </xf>
    <xf numFmtId="3" fontId="5" fillId="30" borderId="0" xfId="0" applyNumberFormat="1" applyFont="1" applyFill="1" applyAlignment="1">
      <alignment vertical="top"/>
    </xf>
    <xf numFmtId="0" fontId="4" fillId="30" borderId="0" xfId="0" applyFont="1" applyFill="1" applyAlignment="1">
      <alignment horizontal="left" vertical="top"/>
    </xf>
    <xf numFmtId="3" fontId="4" fillId="30" borderId="0" xfId="0" applyNumberFormat="1" applyFont="1" applyFill="1" applyAlignment="1">
      <alignment horizontal="right" vertical="top"/>
    </xf>
    <xf numFmtId="0" fontId="14" fillId="0" borderId="25" xfId="0" applyFont="1" applyFill="1" applyBorder="1" applyAlignment="1">
      <alignment/>
    </xf>
    <xf numFmtId="3" fontId="14" fillId="0" borderId="67" xfId="0" applyNumberFormat="1" applyFont="1" applyFill="1" applyBorder="1" applyAlignment="1">
      <alignment/>
    </xf>
    <xf numFmtId="3" fontId="14" fillId="0" borderId="53" xfId="0" applyNumberFormat="1" applyFont="1" applyFill="1" applyBorder="1" applyAlignment="1">
      <alignment/>
    </xf>
    <xf numFmtId="0" fontId="42" fillId="0" borderId="15" xfId="0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5" fillId="0" borderId="7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99" applyFont="1" applyFill="1" applyAlignment="1">
      <alignment horizontal="center"/>
      <protection/>
    </xf>
    <xf numFmtId="0" fontId="5" fillId="0" borderId="0" xfId="99" applyFont="1" applyFill="1" applyBorder="1" applyAlignment="1">
      <alignment horizontal="left" wrapText="1"/>
      <protection/>
    </xf>
    <xf numFmtId="0" fontId="13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4" fillId="0" borderId="0" xfId="97" applyFont="1" applyFill="1" applyBorder="1" applyAlignment="1">
      <alignment horizontal="left" vertical="center" wrapText="1"/>
      <protection/>
    </xf>
    <xf numFmtId="0" fontId="4" fillId="0" borderId="0" xfId="97" applyFont="1" applyBorder="1" applyAlignment="1">
      <alignment horizontal="left" vertical="center" wrapText="1"/>
      <protection/>
    </xf>
    <xf numFmtId="0" fontId="40" fillId="0" borderId="0" xfId="97" applyFont="1" applyBorder="1" applyAlignment="1">
      <alignment horizontal="center" wrapText="1"/>
      <protection/>
    </xf>
    <xf numFmtId="0" fontId="40" fillId="0" borderId="0" xfId="97" applyFont="1" applyAlignment="1">
      <alignment horizontal="center" wrapText="1"/>
      <protection/>
    </xf>
    <xf numFmtId="0" fontId="39" fillId="0" borderId="0" xfId="97" applyFont="1" applyBorder="1" applyAlignment="1">
      <alignment horizontal="right"/>
      <protection/>
    </xf>
    <xf numFmtId="0" fontId="5" fillId="0" borderId="22" xfId="100" applyFont="1" applyFill="1" applyBorder="1" applyAlignment="1">
      <alignment horizontal="center" vertical="center" wrapText="1"/>
      <protection/>
    </xf>
    <xf numFmtId="0" fontId="5" fillId="0" borderId="15" xfId="100" applyFont="1" applyFill="1" applyBorder="1" applyAlignment="1">
      <alignment horizontal="center" vertical="center" wrapText="1"/>
      <protection/>
    </xf>
    <xf numFmtId="0" fontId="5" fillId="0" borderId="71" xfId="100" applyFont="1" applyFill="1" applyBorder="1" applyAlignment="1">
      <alignment horizontal="center" vertical="center" wrapText="1"/>
      <protection/>
    </xf>
    <xf numFmtId="0" fontId="5" fillId="0" borderId="72" xfId="100" applyFont="1" applyFill="1" applyBorder="1" applyAlignment="1">
      <alignment horizontal="center" vertical="center" wrapText="1"/>
      <protection/>
    </xf>
  </cellXfs>
  <cellStyles count="10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ivatkozott cella" xfId="78"/>
    <cellStyle name="Input" xfId="79"/>
    <cellStyle name="Jegyzet" xfId="80"/>
    <cellStyle name="Jelölőszín 1" xfId="81"/>
    <cellStyle name="Jelölőszín 2" xfId="82"/>
    <cellStyle name="Jelölőszín 3" xfId="83"/>
    <cellStyle name="Jelölőszín 4" xfId="84"/>
    <cellStyle name="Jelölőszín 5" xfId="85"/>
    <cellStyle name="Jelölőszín 6" xfId="86"/>
    <cellStyle name="Jó" xfId="87"/>
    <cellStyle name="Kimenet" xfId="88"/>
    <cellStyle name="Followed Hyperlink" xfId="89"/>
    <cellStyle name="Linked Cell" xfId="90"/>
    <cellStyle name="Magyarázó szöveg" xfId="91"/>
    <cellStyle name="Neutral" xfId="92"/>
    <cellStyle name="Normál 2" xfId="93"/>
    <cellStyle name="Normál 2 2" xfId="94"/>
    <cellStyle name="Normál 2_mellékletek 2013. III. névi rendelethez Kőszeg" xfId="95"/>
    <cellStyle name="Normál 3" xfId="96"/>
    <cellStyle name="Normál 3 2" xfId="97"/>
    <cellStyle name="Normál 3 3" xfId="98"/>
    <cellStyle name="Normál_2013. költségvetés mell" xfId="99"/>
    <cellStyle name="Normal_KTRSZJ" xfId="100"/>
    <cellStyle name="Normál_melléklet összesen_2012. koncepció kiegészítő táblázatok" xfId="101"/>
    <cellStyle name="Normál_R_2MELL" xfId="102"/>
    <cellStyle name="Note" xfId="103"/>
    <cellStyle name="Output" xfId="104"/>
    <cellStyle name="Összesen" xfId="105"/>
    <cellStyle name="Currency" xfId="106"/>
    <cellStyle name="Currency [0]" xfId="107"/>
    <cellStyle name="Rossz" xfId="108"/>
    <cellStyle name="Semleges" xfId="109"/>
    <cellStyle name="Számítás" xfId="110"/>
    <cellStyle name="Percent" xfId="111"/>
    <cellStyle name="Title" xfId="112"/>
    <cellStyle name="Total" xfId="113"/>
    <cellStyle name="Warning Text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H76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12.00390625" style="9" customWidth="1"/>
    <col min="2" max="2" width="12.25390625" style="9" customWidth="1"/>
    <col min="3" max="3" width="6.00390625" style="7" customWidth="1"/>
    <col min="4" max="4" width="37.125" style="7" customWidth="1"/>
    <col min="5" max="16384" width="9.125" style="7" customWidth="1"/>
  </cols>
  <sheetData>
    <row r="1" ht="18.75" customHeight="1"/>
    <row r="2" spans="1:8" ht="15.75">
      <c r="A2" s="400" t="s">
        <v>31</v>
      </c>
      <c r="B2" s="400"/>
      <c r="C2" s="400"/>
      <c r="D2" s="400"/>
      <c r="E2" s="400"/>
      <c r="F2" s="400"/>
      <c r="G2" s="14"/>
      <c r="H2" s="14"/>
    </row>
    <row r="3" spans="1:6" ht="12.75">
      <c r="A3" s="13"/>
      <c r="B3" s="13"/>
      <c r="C3" s="11"/>
      <c r="D3" s="11"/>
      <c r="E3" s="11"/>
      <c r="F3" s="11"/>
    </row>
    <row r="4" spans="1:6" ht="27.75" customHeight="1">
      <c r="A4" s="13"/>
      <c r="B4" s="13"/>
      <c r="C4" s="11"/>
      <c r="D4" s="11"/>
      <c r="E4" s="11"/>
      <c r="F4" s="11"/>
    </row>
    <row r="5" spans="1:6" ht="12.75">
      <c r="A5" s="15" t="s">
        <v>32</v>
      </c>
      <c r="B5" s="15"/>
      <c r="C5" s="11"/>
      <c r="D5" s="11"/>
      <c r="E5" s="11"/>
      <c r="F5" s="11"/>
    </row>
    <row r="6" spans="1:6" ht="12.75">
      <c r="A6" s="15"/>
      <c r="B6" s="15" t="s">
        <v>33</v>
      </c>
      <c r="C6" s="11"/>
      <c r="D6" s="11"/>
      <c r="E6" s="11"/>
      <c r="F6" s="11"/>
    </row>
    <row r="7" spans="1:6" ht="25.5" customHeight="1">
      <c r="A7" s="15"/>
      <c r="B7" s="15" t="s">
        <v>4</v>
      </c>
      <c r="C7" s="16"/>
      <c r="D7" s="17" t="s">
        <v>56</v>
      </c>
      <c r="E7" s="11"/>
      <c r="F7" s="11"/>
    </row>
    <row r="8" spans="1:6" ht="25.5" customHeight="1">
      <c r="A8" s="15"/>
      <c r="B8" s="15" t="s">
        <v>5</v>
      </c>
      <c r="C8" s="16"/>
      <c r="D8" s="25" t="s">
        <v>34</v>
      </c>
      <c r="E8" s="11"/>
      <c r="F8" s="11"/>
    </row>
    <row r="9" spans="1:6" ht="25.5" customHeight="1">
      <c r="A9" s="15"/>
      <c r="B9" s="15" t="s">
        <v>6</v>
      </c>
      <c r="C9" s="16"/>
      <c r="D9" s="9" t="s">
        <v>67</v>
      </c>
      <c r="E9" s="11"/>
      <c r="F9" s="11"/>
    </row>
    <row r="10" spans="1:6" ht="25.5" customHeight="1">
      <c r="A10" s="15"/>
      <c r="B10" s="15" t="s">
        <v>7</v>
      </c>
      <c r="C10" s="16"/>
      <c r="D10" s="25" t="s">
        <v>163</v>
      </c>
      <c r="E10" s="11"/>
      <c r="F10" s="11"/>
    </row>
    <row r="11" spans="1:6" ht="25.5" customHeight="1">
      <c r="A11" s="15"/>
      <c r="B11" s="15" t="s">
        <v>8</v>
      </c>
      <c r="C11" s="16"/>
      <c r="D11" s="234" t="s">
        <v>193</v>
      </c>
      <c r="E11" s="11"/>
      <c r="F11" s="11"/>
    </row>
    <row r="12" spans="1:6" ht="25.5" customHeight="1">
      <c r="A12" s="15"/>
      <c r="B12" s="15" t="s">
        <v>18</v>
      </c>
      <c r="C12" s="16"/>
      <c r="D12" s="25" t="s">
        <v>194</v>
      </c>
      <c r="E12" s="234"/>
      <c r="F12" s="234"/>
    </row>
    <row r="13" spans="1:6" ht="25.5" customHeight="1">
      <c r="A13" s="15"/>
      <c r="B13" s="15" t="s">
        <v>19</v>
      </c>
      <c r="C13" s="16"/>
      <c r="D13" s="25" t="s">
        <v>195</v>
      </c>
      <c r="E13" s="11"/>
      <c r="F13" s="11"/>
    </row>
    <row r="14" spans="1:6" ht="25.5" customHeight="1">
      <c r="A14" s="15"/>
      <c r="B14" s="15" t="s">
        <v>21</v>
      </c>
      <c r="C14" s="16"/>
      <c r="D14" s="25" t="s">
        <v>35</v>
      </c>
      <c r="E14" s="11"/>
      <c r="F14" s="11"/>
    </row>
    <row r="15" spans="1:6" ht="25.5" customHeight="1">
      <c r="A15" s="15" t="s">
        <v>1</v>
      </c>
      <c r="B15" s="13"/>
      <c r="C15" s="11"/>
      <c r="D15" s="17" t="s">
        <v>36</v>
      </c>
      <c r="E15" s="11"/>
      <c r="F15" s="11"/>
    </row>
    <row r="16" spans="1:6" ht="12.75">
      <c r="A16" s="13"/>
      <c r="B16" s="13"/>
      <c r="C16" s="11"/>
      <c r="D16" s="11"/>
      <c r="E16" s="11"/>
      <c r="F16" s="11"/>
    </row>
    <row r="17" spans="1:6" ht="12.75">
      <c r="A17" s="13"/>
      <c r="B17" s="13"/>
      <c r="C17" s="11"/>
      <c r="D17" s="11"/>
      <c r="E17" s="11"/>
      <c r="F17" s="11"/>
    </row>
    <row r="18" spans="1:6" ht="12.75">
      <c r="A18" s="13"/>
      <c r="B18" s="13"/>
      <c r="C18" s="11"/>
      <c r="D18" s="11"/>
      <c r="E18" s="11"/>
      <c r="F18" s="11"/>
    </row>
    <row r="19" spans="1:6" ht="12.75">
      <c r="A19" s="13"/>
      <c r="B19" s="13"/>
      <c r="C19" s="11"/>
      <c r="D19" s="11"/>
      <c r="E19" s="11"/>
      <c r="F19" s="11"/>
    </row>
    <row r="20" spans="1:6" ht="12.75">
      <c r="A20" s="13"/>
      <c r="B20" s="13"/>
      <c r="C20" s="11"/>
      <c r="D20" s="11"/>
      <c r="E20" s="11"/>
      <c r="F20" s="11"/>
    </row>
    <row r="21" spans="1:6" ht="12.75">
      <c r="A21" s="13"/>
      <c r="B21" s="13"/>
      <c r="C21" s="11"/>
      <c r="D21" s="11"/>
      <c r="E21" s="11"/>
      <c r="F21" s="11"/>
    </row>
    <row r="22" spans="1:6" ht="12.75">
      <c r="A22" s="13"/>
      <c r="B22" s="13"/>
      <c r="C22" s="11"/>
      <c r="D22" s="11"/>
      <c r="E22" s="11"/>
      <c r="F22" s="11"/>
    </row>
    <row r="23" spans="1:6" ht="12.75">
      <c r="A23" s="13"/>
      <c r="B23" s="13"/>
      <c r="C23" s="11"/>
      <c r="D23" s="11"/>
      <c r="E23" s="11"/>
      <c r="F23" s="11"/>
    </row>
    <row r="24" spans="1:6" ht="12.75">
      <c r="A24" s="13"/>
      <c r="B24" s="13"/>
      <c r="C24" s="11"/>
      <c r="D24" s="11"/>
      <c r="E24" s="11"/>
      <c r="F24" s="11"/>
    </row>
    <row r="25" spans="1:6" ht="12.75">
      <c r="A25" s="13"/>
      <c r="B25" s="13"/>
      <c r="C25" s="11"/>
      <c r="D25" s="11"/>
      <c r="E25" s="11"/>
      <c r="F25" s="11"/>
    </row>
    <row r="26" spans="1:6" ht="12.75">
      <c r="A26" s="13"/>
      <c r="B26" s="13"/>
      <c r="C26" s="11"/>
      <c r="D26" s="11"/>
      <c r="E26" s="11"/>
      <c r="F26" s="11"/>
    </row>
    <row r="27" spans="1:6" ht="12.75">
      <c r="A27" s="13"/>
      <c r="B27" s="13"/>
      <c r="C27" s="11"/>
      <c r="D27" s="11"/>
      <c r="E27" s="11"/>
      <c r="F27" s="11"/>
    </row>
    <row r="28" spans="1:6" ht="12.75">
      <c r="A28" s="13"/>
      <c r="B28" s="13"/>
      <c r="C28" s="11"/>
      <c r="D28" s="11"/>
      <c r="E28" s="11"/>
      <c r="F28" s="11"/>
    </row>
    <row r="29" spans="1:6" ht="12.75">
      <c r="A29" s="13"/>
      <c r="B29" s="13"/>
      <c r="C29" s="11"/>
      <c r="D29" s="11"/>
      <c r="E29" s="11"/>
      <c r="F29" s="11"/>
    </row>
    <row r="30" spans="1:6" ht="12.75">
      <c r="A30" s="13"/>
      <c r="B30" s="13"/>
      <c r="C30" s="11"/>
      <c r="D30" s="11"/>
      <c r="E30" s="11"/>
      <c r="F30" s="11"/>
    </row>
    <row r="31" spans="1:6" ht="12.75">
      <c r="A31" s="13"/>
      <c r="B31" s="13"/>
      <c r="C31" s="11"/>
      <c r="D31" s="11"/>
      <c r="E31" s="11"/>
      <c r="F31" s="11"/>
    </row>
    <row r="32" spans="1:6" ht="12.75">
      <c r="A32" s="13"/>
      <c r="B32" s="13"/>
      <c r="C32" s="11"/>
      <c r="D32" s="11"/>
      <c r="E32" s="11"/>
      <c r="F32" s="11"/>
    </row>
    <row r="33" spans="1:6" ht="12.75">
      <c r="A33" s="13"/>
      <c r="B33" s="13"/>
      <c r="C33" s="11"/>
      <c r="D33" s="11"/>
      <c r="E33" s="11"/>
      <c r="F33" s="11"/>
    </row>
    <row r="34" spans="1:6" ht="12.75">
      <c r="A34" s="13"/>
      <c r="B34" s="13"/>
      <c r="C34" s="11"/>
      <c r="D34" s="11"/>
      <c r="E34" s="11"/>
      <c r="F34" s="11"/>
    </row>
    <row r="35" spans="1:6" ht="12.75">
      <c r="A35" s="13"/>
      <c r="B35" s="13"/>
      <c r="C35" s="11"/>
      <c r="D35" s="11"/>
      <c r="E35" s="11"/>
      <c r="F35" s="11"/>
    </row>
    <row r="36" spans="1:6" ht="12.75">
      <c r="A36" s="13"/>
      <c r="B36" s="13"/>
      <c r="C36" s="11"/>
      <c r="D36" s="11"/>
      <c r="E36" s="11"/>
      <c r="F36" s="11"/>
    </row>
    <row r="37" spans="1:6" ht="12.75">
      <c r="A37" s="13"/>
      <c r="B37" s="13"/>
      <c r="C37" s="11"/>
      <c r="D37" s="11"/>
      <c r="E37" s="11"/>
      <c r="F37" s="11"/>
    </row>
    <row r="38" spans="1:6" ht="12.75">
      <c r="A38" s="13"/>
      <c r="B38" s="13"/>
      <c r="C38" s="11"/>
      <c r="D38" s="11"/>
      <c r="E38" s="11"/>
      <c r="F38" s="11"/>
    </row>
    <row r="39" spans="1:6" ht="12.75">
      <c r="A39" s="13"/>
      <c r="B39" s="13"/>
      <c r="C39" s="11"/>
      <c r="D39" s="11"/>
      <c r="E39" s="11"/>
      <c r="F39" s="11"/>
    </row>
    <row r="40" spans="1:6" ht="12.75">
      <c r="A40" s="13"/>
      <c r="B40" s="13"/>
      <c r="C40" s="11"/>
      <c r="D40" s="11"/>
      <c r="E40" s="11"/>
      <c r="F40" s="11"/>
    </row>
    <row r="41" spans="1:6" ht="12.75">
      <c r="A41" s="13"/>
      <c r="B41" s="13"/>
      <c r="C41" s="11"/>
      <c r="D41" s="11"/>
      <c r="E41" s="11"/>
      <c r="F41" s="11"/>
    </row>
    <row r="42" spans="1:6" ht="12.75">
      <c r="A42" s="13"/>
      <c r="B42" s="13"/>
      <c r="C42" s="11"/>
      <c r="D42" s="11"/>
      <c r="E42" s="11"/>
      <c r="F42" s="11"/>
    </row>
    <row r="43" spans="1:6" ht="12.75">
      <c r="A43" s="13"/>
      <c r="B43" s="13"/>
      <c r="C43" s="11"/>
      <c r="D43" s="11"/>
      <c r="E43" s="11"/>
      <c r="F43" s="11"/>
    </row>
    <row r="44" spans="1:6" ht="12.75">
      <c r="A44" s="13"/>
      <c r="B44" s="13"/>
      <c r="C44" s="11"/>
      <c r="D44" s="11"/>
      <c r="E44" s="11"/>
      <c r="F44" s="11"/>
    </row>
    <row r="45" spans="1:6" ht="12.75">
      <c r="A45" s="13"/>
      <c r="B45" s="13"/>
      <c r="C45" s="11"/>
      <c r="D45" s="11"/>
      <c r="E45" s="11"/>
      <c r="F45" s="11"/>
    </row>
    <row r="46" spans="1:6" ht="12.75">
      <c r="A46" s="13"/>
      <c r="B46" s="13"/>
      <c r="C46" s="11"/>
      <c r="D46" s="11"/>
      <c r="E46" s="11"/>
      <c r="F46" s="11"/>
    </row>
    <row r="47" spans="1:6" ht="12.75">
      <c r="A47" s="13"/>
      <c r="B47" s="13"/>
      <c r="C47" s="11"/>
      <c r="D47" s="11"/>
      <c r="E47" s="11"/>
      <c r="F47" s="11"/>
    </row>
    <row r="48" spans="1:6" ht="12.75">
      <c r="A48" s="13"/>
      <c r="B48" s="13"/>
      <c r="C48" s="11"/>
      <c r="D48" s="11"/>
      <c r="E48" s="11"/>
      <c r="F48" s="11"/>
    </row>
    <row r="49" spans="1:6" ht="12.75">
      <c r="A49" s="13"/>
      <c r="B49" s="13"/>
      <c r="C49" s="11"/>
      <c r="D49" s="11"/>
      <c r="E49" s="11"/>
      <c r="F49" s="11"/>
    </row>
    <row r="50" spans="1:6" ht="12.75">
      <c r="A50" s="13"/>
      <c r="B50" s="13"/>
      <c r="C50" s="11"/>
      <c r="D50" s="11"/>
      <c r="E50" s="11"/>
      <c r="F50" s="11"/>
    </row>
    <row r="51" spans="1:6" ht="12.75">
      <c r="A51" s="13"/>
      <c r="B51" s="13"/>
      <c r="C51" s="11"/>
      <c r="D51" s="11"/>
      <c r="E51" s="11"/>
      <c r="F51" s="11"/>
    </row>
    <row r="52" spans="1:6" ht="12.75">
      <c r="A52" s="13"/>
      <c r="B52" s="13"/>
      <c r="C52" s="11"/>
      <c r="D52" s="11"/>
      <c r="E52" s="11"/>
      <c r="F52" s="11"/>
    </row>
    <row r="53" spans="1:6" ht="12.75">
      <c r="A53" s="13"/>
      <c r="B53" s="13"/>
      <c r="C53" s="11"/>
      <c r="D53" s="11"/>
      <c r="E53" s="11"/>
      <c r="F53" s="11"/>
    </row>
    <row r="54" spans="1:6" ht="12.75">
      <c r="A54" s="13"/>
      <c r="B54" s="13"/>
      <c r="C54" s="11"/>
      <c r="D54" s="11"/>
      <c r="E54" s="11"/>
      <c r="F54" s="11"/>
    </row>
    <row r="55" spans="1:6" ht="12.75">
      <c r="A55" s="13"/>
      <c r="B55" s="13"/>
      <c r="C55" s="11"/>
      <c r="D55" s="11"/>
      <c r="E55" s="11"/>
      <c r="F55" s="11"/>
    </row>
    <row r="56" spans="1:6" ht="12.75">
      <c r="A56" s="13"/>
      <c r="B56" s="13"/>
      <c r="C56" s="11"/>
      <c r="D56" s="11"/>
      <c r="E56" s="11"/>
      <c r="F56" s="11"/>
    </row>
    <row r="57" spans="1:6" ht="12.75">
      <c r="A57" s="13"/>
      <c r="B57" s="13"/>
      <c r="C57" s="11"/>
      <c r="D57" s="11"/>
      <c r="E57" s="11"/>
      <c r="F57" s="11"/>
    </row>
    <row r="58" spans="1:6" ht="12.75">
      <c r="A58" s="13"/>
      <c r="B58" s="13"/>
      <c r="C58" s="11"/>
      <c r="D58" s="11"/>
      <c r="E58" s="11"/>
      <c r="F58" s="11"/>
    </row>
    <row r="59" spans="1:6" ht="12.75">
      <c r="A59" s="13"/>
      <c r="B59" s="13"/>
      <c r="C59" s="11"/>
      <c r="D59" s="11"/>
      <c r="E59" s="11"/>
      <c r="F59" s="11"/>
    </row>
    <row r="60" spans="1:6" ht="12.75">
      <c r="A60" s="13"/>
      <c r="B60" s="13"/>
      <c r="C60" s="11"/>
      <c r="D60" s="11"/>
      <c r="E60" s="11"/>
      <c r="F60" s="11"/>
    </row>
    <row r="61" spans="1:6" ht="12.75">
      <c r="A61" s="13"/>
      <c r="B61" s="13"/>
      <c r="C61" s="11"/>
      <c r="D61" s="11"/>
      <c r="E61" s="11"/>
      <c r="F61" s="11"/>
    </row>
    <row r="62" spans="1:6" ht="12.75">
      <c r="A62" s="13"/>
      <c r="B62" s="13"/>
      <c r="C62" s="11"/>
      <c r="D62" s="11"/>
      <c r="E62" s="11"/>
      <c r="F62" s="11"/>
    </row>
    <row r="63" spans="1:6" ht="12.75">
      <c r="A63" s="13"/>
      <c r="B63" s="13"/>
      <c r="C63" s="11"/>
      <c r="D63" s="11"/>
      <c r="E63" s="11"/>
      <c r="F63" s="11"/>
    </row>
    <row r="64" spans="1:6" ht="12.75">
      <c r="A64" s="13"/>
      <c r="B64" s="13"/>
      <c r="C64" s="11"/>
      <c r="D64" s="11"/>
      <c r="E64" s="11"/>
      <c r="F64" s="11"/>
    </row>
    <row r="65" spans="1:6" ht="12.75">
      <c r="A65" s="13"/>
      <c r="B65" s="13"/>
      <c r="C65" s="11"/>
      <c r="D65" s="11"/>
      <c r="E65" s="11"/>
      <c r="F65" s="11"/>
    </row>
    <row r="66" spans="1:6" ht="12.75">
      <c r="A66" s="13"/>
      <c r="B66" s="13"/>
      <c r="C66" s="11"/>
      <c r="D66" s="11"/>
      <c r="E66" s="11"/>
      <c r="F66" s="11"/>
    </row>
    <row r="67" spans="1:6" ht="12.75">
      <c r="A67" s="13"/>
      <c r="B67" s="13"/>
      <c r="C67" s="11"/>
      <c r="D67" s="11"/>
      <c r="E67" s="11"/>
      <c r="F67" s="11"/>
    </row>
    <row r="68" spans="1:6" ht="12.75">
      <c r="A68" s="13"/>
      <c r="B68" s="13"/>
      <c r="C68" s="11"/>
      <c r="D68" s="11"/>
      <c r="E68" s="11"/>
      <c r="F68" s="11"/>
    </row>
    <row r="69" spans="1:6" ht="12.75">
      <c r="A69" s="13"/>
      <c r="B69" s="13"/>
      <c r="C69" s="11"/>
      <c r="D69" s="11"/>
      <c r="E69" s="11"/>
      <c r="F69" s="11"/>
    </row>
    <row r="70" spans="1:6" ht="12.75">
      <c r="A70" s="13"/>
      <c r="B70" s="13"/>
      <c r="C70" s="11"/>
      <c r="D70" s="11"/>
      <c r="E70" s="11"/>
      <c r="F70" s="11"/>
    </row>
    <row r="71" spans="1:6" ht="12.75">
      <c r="A71" s="13"/>
      <c r="B71" s="13"/>
      <c r="C71" s="11"/>
      <c r="D71" s="11"/>
      <c r="E71" s="11"/>
      <c r="F71" s="11"/>
    </row>
    <row r="72" spans="1:6" ht="12.75">
      <c r="A72" s="13"/>
      <c r="B72" s="13"/>
      <c r="C72" s="11"/>
      <c r="D72" s="11"/>
      <c r="E72" s="11"/>
      <c r="F72" s="11"/>
    </row>
    <row r="73" spans="1:6" ht="12.75">
      <c r="A73" s="13"/>
      <c r="B73" s="13"/>
      <c r="C73" s="11"/>
      <c r="D73" s="11"/>
      <c r="E73" s="11"/>
      <c r="F73" s="11"/>
    </row>
    <row r="74" spans="1:6" ht="12.75">
      <c r="A74" s="13"/>
      <c r="B74" s="13"/>
      <c r="C74" s="11"/>
      <c r="D74" s="11"/>
      <c r="E74" s="11"/>
      <c r="F74" s="11"/>
    </row>
    <row r="75" spans="1:6" ht="12.75">
      <c r="A75" s="13"/>
      <c r="B75" s="13"/>
      <c r="C75" s="11"/>
      <c r="D75" s="11"/>
      <c r="E75" s="11"/>
      <c r="F75" s="11"/>
    </row>
    <row r="76" spans="1:6" ht="12.75">
      <c r="A76" s="13"/>
      <c r="B76" s="13"/>
      <c r="C76" s="11"/>
      <c r="D76" s="11"/>
      <c r="E76" s="11"/>
      <c r="F76" s="11"/>
    </row>
  </sheetData>
  <sheetProtection/>
  <mergeCells count="1">
    <mergeCell ref="A2:F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4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1.375" style="3" customWidth="1"/>
    <col min="2" max="2" width="15.75390625" style="3" customWidth="1"/>
    <col min="3" max="16384" width="9.125" style="3" customWidth="1"/>
  </cols>
  <sheetData>
    <row r="1" ht="15.75">
      <c r="A1" s="125" t="s">
        <v>363</v>
      </c>
    </row>
    <row r="2" spans="1:2" ht="15.75">
      <c r="A2" s="402" t="s">
        <v>23</v>
      </c>
      <c r="B2" s="402"/>
    </row>
    <row r="3" spans="1:2" ht="15.75">
      <c r="A3" s="402" t="s">
        <v>288</v>
      </c>
      <c r="B3" s="402"/>
    </row>
    <row r="4" spans="1:2" s="10" customFormat="1" ht="21" customHeight="1" thickBot="1">
      <c r="A4" s="401" t="s">
        <v>196</v>
      </c>
      <c r="B4" s="401"/>
    </row>
    <row r="5" spans="1:2" s="10" customFormat="1" ht="42" customHeight="1" thickBot="1">
      <c r="A5" s="78" t="s">
        <v>24</v>
      </c>
      <c r="B5" s="74" t="s">
        <v>289</v>
      </c>
    </row>
    <row r="6" spans="1:3" s="10" customFormat="1" ht="12.75">
      <c r="A6" s="67" t="s">
        <v>124</v>
      </c>
      <c r="B6" s="77">
        <f>B7+B8</f>
        <v>957093402</v>
      </c>
      <c r="C6" s="19"/>
    </row>
    <row r="7" spans="1:2" s="10" customFormat="1" ht="12.75">
      <c r="A7" s="237" t="s">
        <v>121</v>
      </c>
      <c r="B7" s="90">
        <v>862049521</v>
      </c>
    </row>
    <row r="8" spans="1:2" s="10" customFormat="1" ht="12.75">
      <c r="A8" s="237" t="s">
        <v>122</v>
      </c>
      <c r="B8" s="90">
        <v>95043881</v>
      </c>
    </row>
    <row r="9" spans="1:2" s="10" customFormat="1" ht="12.75">
      <c r="A9" s="79" t="s">
        <v>69</v>
      </c>
      <c r="B9" s="21">
        <v>501688723</v>
      </c>
    </row>
    <row r="10" spans="1:2" s="10" customFormat="1" ht="12.75">
      <c r="A10" s="79" t="s">
        <v>70</v>
      </c>
      <c r="B10" s="21">
        <v>266778086</v>
      </c>
    </row>
    <row r="11" spans="1:2" s="10" customFormat="1" ht="13.5" thickBot="1">
      <c r="A11" s="82" t="s">
        <v>72</v>
      </c>
      <c r="B11" s="81">
        <v>15432701</v>
      </c>
    </row>
    <row r="12" spans="1:2" s="12" customFormat="1" ht="13.5" thickBot="1">
      <c r="A12" s="84" t="s">
        <v>106</v>
      </c>
      <c r="B12" s="23">
        <f>B6+B9+B10+B11</f>
        <v>1740992912</v>
      </c>
    </row>
    <row r="13" spans="1:2" s="10" customFormat="1" ht="12.75">
      <c r="A13" s="67" t="s">
        <v>85</v>
      </c>
      <c r="B13" s="20">
        <f>B14+B15+B16</f>
        <v>150656059</v>
      </c>
    </row>
    <row r="14" spans="1:2" s="10" customFormat="1" ht="12.75">
      <c r="A14" s="235" t="s">
        <v>103</v>
      </c>
      <c r="B14" s="95"/>
    </row>
    <row r="15" spans="1:2" s="10" customFormat="1" ht="12.75">
      <c r="A15" s="235" t="s">
        <v>242</v>
      </c>
      <c r="B15" s="95">
        <v>2156059</v>
      </c>
    </row>
    <row r="16" spans="1:2" s="10" customFormat="1" ht="12.75">
      <c r="A16" s="235" t="s">
        <v>349</v>
      </c>
      <c r="B16" s="95">
        <v>148500000</v>
      </c>
    </row>
    <row r="17" spans="1:2" s="10" customFormat="1" ht="12.75">
      <c r="A17" s="79" t="s">
        <v>71</v>
      </c>
      <c r="B17" s="21">
        <v>128090421</v>
      </c>
    </row>
    <row r="18" spans="1:2" s="10" customFormat="1" ht="12.75">
      <c r="A18" s="79" t="s">
        <v>62</v>
      </c>
      <c r="B18" s="21">
        <f>SUM(B19:B20)</f>
        <v>14294109</v>
      </c>
    </row>
    <row r="19" spans="1:2" s="10" customFormat="1" ht="12.75">
      <c r="A19" s="236" t="s">
        <v>104</v>
      </c>
      <c r="B19" s="90">
        <v>12815928</v>
      </c>
    </row>
    <row r="20" spans="1:2" s="10" customFormat="1" ht="13.5" thickBot="1">
      <c r="A20" s="236" t="s">
        <v>123</v>
      </c>
      <c r="B20" s="94">
        <v>1478181</v>
      </c>
    </row>
    <row r="21" spans="1:2" s="12" customFormat="1" ht="14.25" customHeight="1" thickBot="1">
      <c r="A21" s="84" t="s">
        <v>107</v>
      </c>
      <c r="B21" s="23">
        <f>B18+B17+B13</f>
        <v>293040589</v>
      </c>
    </row>
    <row r="22" spans="1:2" s="12" customFormat="1" ht="15.75" customHeight="1" thickBot="1">
      <c r="A22" s="86" t="s">
        <v>105</v>
      </c>
      <c r="B22" s="85">
        <f>B21+B12</f>
        <v>2034033501</v>
      </c>
    </row>
    <row r="23" spans="1:2" s="10" customFormat="1" ht="12.75">
      <c r="A23" s="87" t="s">
        <v>68</v>
      </c>
      <c r="B23" s="77">
        <f>B24+B25</f>
        <v>1241090104</v>
      </c>
    </row>
    <row r="24" spans="1:2" s="10" customFormat="1" ht="12.75">
      <c r="A24" s="235" t="s">
        <v>108</v>
      </c>
      <c r="B24" s="90">
        <v>383270719</v>
      </c>
    </row>
    <row r="25" spans="1:2" s="10" customFormat="1" ht="12.75">
      <c r="A25" s="235" t="s">
        <v>109</v>
      </c>
      <c r="B25" s="90">
        <v>857819385</v>
      </c>
    </row>
    <row r="26" spans="1:2" s="10" customFormat="1" ht="13.5" thickBot="1">
      <c r="A26" s="398" t="s">
        <v>346</v>
      </c>
      <c r="B26" s="399">
        <v>55000000</v>
      </c>
    </row>
    <row r="27" spans="1:2" s="12" customFormat="1" ht="15.75" customHeight="1" thickBot="1">
      <c r="A27" s="84" t="s">
        <v>110</v>
      </c>
      <c r="B27" s="23">
        <f>SUM(B23+B26)</f>
        <v>1296090104</v>
      </c>
    </row>
    <row r="28" spans="1:2" s="12" customFormat="1" ht="15.75" customHeight="1" thickBot="1">
      <c r="A28" s="80" t="s">
        <v>25</v>
      </c>
      <c r="B28" s="24">
        <f>B12+B21+B23+B26</f>
        <v>3330123605</v>
      </c>
    </row>
    <row r="29" s="10" customFormat="1" ht="12.75"/>
    <row r="30" spans="1:2" s="10" customFormat="1" ht="13.5" thickBot="1">
      <c r="A30" s="401" t="s">
        <v>197</v>
      </c>
      <c r="B30" s="401"/>
    </row>
    <row r="31" spans="1:2" s="10" customFormat="1" ht="36" customHeight="1" thickBot="1">
      <c r="A31" s="73" t="s">
        <v>24</v>
      </c>
      <c r="B31" s="66" t="s">
        <v>289</v>
      </c>
    </row>
    <row r="32" spans="1:2" s="10" customFormat="1" ht="12.75">
      <c r="A32" s="67" t="s">
        <v>26</v>
      </c>
      <c r="B32" s="20">
        <v>792450763</v>
      </c>
    </row>
    <row r="33" spans="1:2" s="10" customFormat="1" ht="12.75">
      <c r="A33" s="79" t="s">
        <v>27</v>
      </c>
      <c r="B33" s="21">
        <v>166456046</v>
      </c>
    </row>
    <row r="34" spans="1:2" s="10" customFormat="1" ht="12.75">
      <c r="A34" s="79" t="s">
        <v>15</v>
      </c>
      <c r="B34" s="21">
        <v>1021056786</v>
      </c>
    </row>
    <row r="35" spans="1:2" s="10" customFormat="1" ht="12.75">
      <c r="A35" s="79" t="s">
        <v>28</v>
      </c>
      <c r="B35" s="21">
        <v>24500000</v>
      </c>
    </row>
    <row r="36" spans="1:3" s="10" customFormat="1" ht="12.75">
      <c r="A36" s="79" t="s">
        <v>125</v>
      </c>
      <c r="B36" s="21">
        <f>SUM(B37:B40)</f>
        <v>89856818</v>
      </c>
      <c r="C36" s="26"/>
    </row>
    <row r="37" spans="1:3" s="10" customFormat="1" ht="12.75">
      <c r="A37" s="235" t="s">
        <v>111</v>
      </c>
      <c r="B37" s="90">
        <v>0</v>
      </c>
      <c r="C37" s="26"/>
    </row>
    <row r="38" spans="1:3" s="10" customFormat="1" ht="12.75">
      <c r="A38" s="235" t="s">
        <v>113</v>
      </c>
      <c r="B38" s="90">
        <v>4103300</v>
      </c>
      <c r="C38" s="26"/>
    </row>
    <row r="39" spans="1:2" s="10" customFormat="1" ht="12.75">
      <c r="A39" s="235" t="s">
        <v>112</v>
      </c>
      <c r="B39" s="90">
        <v>63173339</v>
      </c>
    </row>
    <row r="40" spans="1:2" s="10" customFormat="1" ht="13.5" thickBot="1">
      <c r="A40" s="235" t="s">
        <v>126</v>
      </c>
      <c r="B40" s="22">
        <v>22580179</v>
      </c>
    </row>
    <row r="41" spans="1:3" s="10" customFormat="1" ht="13.5" thickBot="1">
      <c r="A41" s="84" t="s">
        <v>117</v>
      </c>
      <c r="B41" s="23">
        <f>B32+B33+B34+B35+B36</f>
        <v>2094320413</v>
      </c>
      <c r="C41" s="26"/>
    </row>
    <row r="42" spans="1:2" s="10" customFormat="1" ht="12.75">
      <c r="A42" s="67" t="s">
        <v>61</v>
      </c>
      <c r="B42" s="21">
        <v>1113168180</v>
      </c>
    </row>
    <row r="43" spans="1:2" s="10" customFormat="1" ht="12.75">
      <c r="A43" s="88" t="s">
        <v>17</v>
      </c>
      <c r="B43" s="20">
        <v>70022587</v>
      </c>
    </row>
    <row r="44" spans="1:2" s="10" customFormat="1" ht="12.75">
      <c r="A44" s="79" t="s">
        <v>91</v>
      </c>
      <c r="B44" s="21">
        <f>SUM(B45:B47)</f>
        <v>22669207</v>
      </c>
    </row>
    <row r="45" spans="1:2" s="10" customFormat="1" ht="12.75">
      <c r="A45" s="235" t="s">
        <v>114</v>
      </c>
      <c r="B45" s="90">
        <v>1165207</v>
      </c>
    </row>
    <row r="46" spans="1:2" s="10" customFormat="1" ht="12.75">
      <c r="A46" s="235" t="s">
        <v>115</v>
      </c>
      <c r="B46" s="90">
        <v>11604000</v>
      </c>
    </row>
    <row r="47" spans="1:2" s="10" customFormat="1" ht="13.5" thickBot="1">
      <c r="A47" s="235" t="s">
        <v>116</v>
      </c>
      <c r="B47" s="91">
        <v>9900000</v>
      </c>
    </row>
    <row r="48" spans="1:2" s="10" customFormat="1" ht="13.5" thickBot="1">
      <c r="A48" s="84" t="s">
        <v>118</v>
      </c>
      <c r="B48" s="23">
        <f>B42+B43+B44</f>
        <v>1205859974</v>
      </c>
    </row>
    <row r="49" spans="1:2" s="12" customFormat="1" ht="15.75" customHeight="1" thickBot="1">
      <c r="A49" s="86" t="s">
        <v>119</v>
      </c>
      <c r="B49" s="85">
        <f>B48+B41</f>
        <v>3300180387</v>
      </c>
    </row>
    <row r="50" spans="1:2" s="10" customFormat="1" ht="15.75" customHeight="1" thickBot="1">
      <c r="A50" s="98" t="s">
        <v>120</v>
      </c>
      <c r="B50" s="96">
        <v>29943218</v>
      </c>
    </row>
    <row r="51" spans="1:2" s="12" customFormat="1" ht="15.75" customHeight="1" thickBot="1">
      <c r="A51" s="80" t="s">
        <v>29</v>
      </c>
      <c r="B51" s="24">
        <f>B50+B49</f>
        <v>3330123605</v>
      </c>
    </row>
    <row r="54" spans="1:2" ht="15.75">
      <c r="A54" s="4"/>
      <c r="B54" s="4"/>
    </row>
  </sheetData>
  <sheetProtection/>
  <mergeCells count="4">
    <mergeCell ref="A30:B30"/>
    <mergeCell ref="A2:B2"/>
    <mergeCell ref="A3:B3"/>
    <mergeCell ref="A4:B4"/>
  </mergeCells>
  <printOptions/>
  <pageMargins left="0.75" right="0.75" top="0.66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47"/>
  <sheetViews>
    <sheetView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2.875" style="36" customWidth="1"/>
    <col min="2" max="2" width="92.875" style="36" customWidth="1"/>
    <col min="3" max="3" width="14.75390625" style="35" customWidth="1"/>
    <col min="4" max="16384" width="9.125" style="36" customWidth="1"/>
  </cols>
  <sheetData>
    <row r="1" spans="1:3" s="33" customFormat="1" ht="15" customHeight="1">
      <c r="A1" s="34"/>
      <c r="B1" s="34" t="s">
        <v>356</v>
      </c>
      <c r="C1" s="32"/>
    </row>
    <row r="2" spans="1:3" s="33" customFormat="1" ht="9" customHeight="1">
      <c r="A2" s="34"/>
      <c r="B2" s="34"/>
      <c r="C2" s="32"/>
    </row>
    <row r="3" spans="1:3" ht="12.75">
      <c r="A3" s="403" t="s">
        <v>290</v>
      </c>
      <c r="B3" s="403"/>
      <c r="C3" s="403"/>
    </row>
    <row r="4" spans="2:3" s="37" customFormat="1" ht="34.5">
      <c r="B4" s="37" t="s">
        <v>0</v>
      </c>
      <c r="C4" s="38" t="s">
        <v>291</v>
      </c>
    </row>
    <row r="5" spans="1:4" s="40" customFormat="1" ht="12.75">
      <c r="A5" s="59" t="s">
        <v>294</v>
      </c>
      <c r="B5" s="59"/>
      <c r="C5" s="59"/>
      <c r="D5" s="59"/>
    </row>
    <row r="6" spans="2:3" s="42" customFormat="1" ht="12.75" customHeight="1">
      <c r="B6" s="43" t="s">
        <v>249</v>
      </c>
      <c r="C6" s="44">
        <f>C7+C8+C13+C16+C14+C15+C17</f>
        <v>261813182</v>
      </c>
    </row>
    <row r="7" spans="2:3" ht="12.75" customHeight="1">
      <c r="B7" s="45" t="s">
        <v>37</v>
      </c>
      <c r="C7" s="35">
        <v>160666400</v>
      </c>
    </row>
    <row r="8" spans="2:3" ht="12.75" customHeight="1">
      <c r="B8" s="46" t="s">
        <v>38</v>
      </c>
      <c r="C8" s="35">
        <f>C9+C10+C11+C12</f>
        <v>82898912</v>
      </c>
    </row>
    <row r="9" spans="2:3" ht="12.75" customHeight="1">
      <c r="B9" s="47" t="s">
        <v>59</v>
      </c>
      <c r="C9" s="35">
        <f>13565090-3449706</f>
        <v>10115384</v>
      </c>
    </row>
    <row r="10" spans="2:3" ht="12.75" customHeight="1">
      <c r="B10" s="48" t="s">
        <v>58</v>
      </c>
      <c r="C10" s="35">
        <f>45760000-0</f>
        <v>45760000</v>
      </c>
    </row>
    <row r="11" spans="2:3" ht="12.75" customHeight="1">
      <c r="B11" s="48" t="s">
        <v>57</v>
      </c>
      <c r="C11" s="35">
        <f>3588728-0</f>
        <v>3588728</v>
      </c>
    </row>
    <row r="12" spans="2:3" ht="12.75" customHeight="1">
      <c r="B12" s="48" t="s">
        <v>75</v>
      </c>
      <c r="C12" s="35">
        <f>23434800-0</f>
        <v>23434800</v>
      </c>
    </row>
    <row r="13" spans="2:3" ht="12.75" customHeight="1">
      <c r="B13" s="45" t="s">
        <v>76</v>
      </c>
      <c r="C13" s="35">
        <f>30852900-30852900</f>
        <v>0</v>
      </c>
    </row>
    <row r="14" spans="2:3" ht="12.75" customHeight="1">
      <c r="B14" s="45" t="s">
        <v>77</v>
      </c>
      <c r="C14" s="35">
        <f>336600-336600</f>
        <v>0</v>
      </c>
    </row>
    <row r="15" spans="2:3" ht="12.75" customHeight="1">
      <c r="B15" s="45" t="s">
        <v>78</v>
      </c>
      <c r="C15" s="35">
        <f>16286470-0</f>
        <v>16286470</v>
      </c>
    </row>
    <row r="16" spans="2:3" ht="12.75" customHeight="1">
      <c r="B16" s="45" t="s">
        <v>52</v>
      </c>
      <c r="C16" s="35">
        <v>0</v>
      </c>
    </row>
    <row r="17" spans="2:3" ht="12.75" customHeight="1">
      <c r="B17" s="45" t="s">
        <v>189</v>
      </c>
      <c r="C17" s="35">
        <v>1961400</v>
      </c>
    </row>
    <row r="18" spans="2:3" ht="12.75" customHeight="1">
      <c r="B18" s="49" t="s">
        <v>41</v>
      </c>
      <c r="C18" s="50">
        <f>C19+C20+C21+C22</f>
        <v>250931849</v>
      </c>
    </row>
    <row r="19" spans="2:3" ht="12.75" customHeight="1">
      <c r="B19" s="51" t="s">
        <v>79</v>
      </c>
      <c r="C19" s="35">
        <f>103458833+48815083+35280000+17640000</f>
        <v>205193916</v>
      </c>
    </row>
    <row r="20" spans="2:3" ht="12.75" customHeight="1">
      <c r="B20" s="52" t="s">
        <v>49</v>
      </c>
      <c r="C20" s="35">
        <f>25388933+11980200</f>
        <v>37369133</v>
      </c>
    </row>
    <row r="21" spans="2:3" ht="12.75" customHeight="1">
      <c r="B21" s="45" t="s">
        <v>164</v>
      </c>
      <c r="C21" s="35">
        <v>5553800</v>
      </c>
    </row>
    <row r="22" spans="2:3" ht="12.75" customHeight="1">
      <c r="B22" s="45" t="s">
        <v>293</v>
      </c>
      <c r="C22" s="35">
        <v>2815000</v>
      </c>
    </row>
    <row r="23" spans="2:3" ht="12.75" customHeight="1">
      <c r="B23" s="49" t="s">
        <v>42</v>
      </c>
      <c r="C23" s="50">
        <f>SUM(C24:C32)</f>
        <v>305997820</v>
      </c>
    </row>
    <row r="24" spans="2:3" ht="12.75" customHeight="1">
      <c r="B24" s="45" t="s">
        <v>80</v>
      </c>
      <c r="C24" s="35">
        <v>0</v>
      </c>
    </row>
    <row r="25" spans="2:3" ht="12.75" customHeight="1">
      <c r="B25" s="45" t="s">
        <v>81</v>
      </c>
      <c r="C25" s="35">
        <v>39348000</v>
      </c>
    </row>
    <row r="26" spans="2:3" ht="12.75" customHeight="1">
      <c r="B26" s="45" t="s">
        <v>82</v>
      </c>
      <c r="C26" s="35">
        <f>8500000+14850000+4262720+4620000+6431000+8656200+12250000+14505845</f>
        <v>74075765</v>
      </c>
    </row>
    <row r="27" spans="2:3" ht="26.25" customHeight="1">
      <c r="B27" s="45" t="s">
        <v>83</v>
      </c>
      <c r="C27" s="35">
        <f>22784000+3740000</f>
        <v>26524000</v>
      </c>
    </row>
    <row r="28" spans="2:3" ht="12.75" customHeight="1">
      <c r="B28" s="45" t="s">
        <v>54</v>
      </c>
      <c r="C28" s="35">
        <v>57931000</v>
      </c>
    </row>
    <row r="29" spans="2:3" ht="12.75" customHeight="1">
      <c r="B29" s="45" t="s">
        <v>53</v>
      </c>
      <c r="C29" s="35">
        <v>88144455</v>
      </c>
    </row>
    <row r="30" spans="2:3" ht="12.75" customHeight="1">
      <c r="B30" s="45" t="s">
        <v>190</v>
      </c>
      <c r="C30" s="35">
        <v>8838000</v>
      </c>
    </row>
    <row r="31" spans="2:3" ht="12.75" customHeight="1">
      <c r="B31" s="45" t="s">
        <v>191</v>
      </c>
      <c r="C31" s="35">
        <v>6584600</v>
      </c>
    </row>
    <row r="32" spans="2:3" ht="12.75" customHeight="1">
      <c r="B32" s="45" t="s">
        <v>192</v>
      </c>
      <c r="C32" s="35">
        <v>4552000</v>
      </c>
    </row>
    <row r="33" spans="2:3" ht="12.75" customHeight="1">
      <c r="B33" s="49" t="s">
        <v>55</v>
      </c>
      <c r="C33" s="50">
        <f>SUM(C34:C35)</f>
        <v>43306670</v>
      </c>
    </row>
    <row r="34" spans="2:3" ht="12.75" customHeight="1">
      <c r="B34" s="45" t="s">
        <v>60</v>
      </c>
      <c r="C34" s="35">
        <v>13826670</v>
      </c>
    </row>
    <row r="35" spans="2:3" ht="12.75" customHeight="1">
      <c r="B35" s="45" t="s">
        <v>43</v>
      </c>
      <c r="C35" s="35">
        <v>29480000</v>
      </c>
    </row>
    <row r="36" spans="2:3" ht="12.75" customHeight="1">
      <c r="B36" s="49" t="s">
        <v>51</v>
      </c>
      <c r="C36" s="50">
        <v>-34639206</v>
      </c>
    </row>
    <row r="37" spans="2:3" s="57" customFormat="1" ht="16.5" customHeight="1">
      <c r="B37" s="60" t="s">
        <v>39</v>
      </c>
      <c r="C37" s="61">
        <f>C6+C18+C23+C33</f>
        <v>862049521</v>
      </c>
    </row>
    <row r="38" spans="1:4" ht="17.25" customHeight="1">
      <c r="A38" s="404" t="s">
        <v>295</v>
      </c>
      <c r="B38" s="404"/>
      <c r="C38" s="404"/>
      <c r="D38" s="404"/>
    </row>
    <row r="39" spans="1:4" ht="10.5" customHeight="1">
      <c r="A39" s="68"/>
      <c r="B39" s="68"/>
      <c r="C39" s="68"/>
      <c r="D39" s="68"/>
    </row>
    <row r="40" spans="1:4" s="58" customFormat="1" ht="17.25" customHeight="1">
      <c r="A40" s="53"/>
      <c r="B40" s="62" t="s">
        <v>50</v>
      </c>
      <c r="C40" s="63">
        <f>C39</f>
        <v>0</v>
      </c>
      <c r="D40" s="53"/>
    </row>
    <row r="41" spans="1:4" ht="8.25" customHeight="1">
      <c r="A41" s="53"/>
      <c r="B41" s="53"/>
      <c r="C41" s="53"/>
      <c r="D41" s="53"/>
    </row>
    <row r="42" spans="1:3" s="39" customFormat="1" ht="18" customHeight="1">
      <c r="A42" s="64"/>
      <c r="B42" s="64" t="s">
        <v>296</v>
      </c>
      <c r="C42" s="65">
        <f>C40+C37</f>
        <v>862049521</v>
      </c>
    </row>
    <row r="43" ht="12.75" customHeight="1"/>
    <row r="44" ht="12.75" customHeight="1">
      <c r="B44" s="54"/>
    </row>
    <row r="45" spans="2:3" s="40" customFormat="1" ht="12.75" customHeight="1">
      <c r="B45" s="55"/>
      <c r="C45" s="41"/>
    </row>
    <row r="46" spans="2:3" s="40" customFormat="1" ht="12.75" customHeight="1">
      <c r="B46" s="56"/>
      <c r="C46" s="41"/>
    </row>
    <row r="47" spans="2:3" s="40" customFormat="1" ht="12.75" customHeight="1">
      <c r="B47" s="55"/>
      <c r="C47" s="41"/>
    </row>
    <row r="48" ht="12.75" customHeight="1"/>
  </sheetData>
  <sheetProtection/>
  <mergeCells count="2">
    <mergeCell ref="A3:C3"/>
    <mergeCell ref="A38:D38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Y57"/>
  <sheetViews>
    <sheetView zoomScale="96" zoomScaleNormal="96" zoomScaleSheetLayoutView="100" zoomScalePageLayoutView="0" workbookViewId="0" topLeftCell="A1">
      <pane xSplit="1" ySplit="3" topLeftCell="B4" activePane="bottomRight" state="frozen"/>
      <selection pane="topLeft" activeCell="F33" sqref="F33"/>
      <selection pane="topRight" activeCell="F33" sqref="F33"/>
      <selection pane="bottomLeft" activeCell="F33" sqref="F33"/>
      <selection pane="bottomRight" activeCell="A1" sqref="A1"/>
    </sheetView>
  </sheetViews>
  <sheetFormatPr defaultColWidth="9.00390625" defaultRowHeight="12.75"/>
  <cols>
    <col min="1" max="1" width="51.375" style="3" customWidth="1"/>
    <col min="2" max="16" width="15.125" style="3" customWidth="1"/>
    <col min="17" max="17" width="15.125" style="137" customWidth="1"/>
    <col min="18" max="18" width="15.125" style="3" customWidth="1"/>
    <col min="19" max="19" width="15.125" style="135" customWidth="1"/>
    <col min="20" max="20" width="16.00390625" style="3" customWidth="1"/>
    <col min="21" max="21" width="13.375" style="3" bestFit="1" customWidth="1"/>
    <col min="22" max="22" width="11.25390625" style="3" bestFit="1" customWidth="1"/>
    <col min="23" max="23" width="12.875" style="3" customWidth="1"/>
    <col min="24" max="24" width="0.6171875" style="3" customWidth="1"/>
    <col min="25" max="16384" width="9.125" style="3" customWidth="1"/>
  </cols>
  <sheetData>
    <row r="1" ht="15.75">
      <c r="A1" s="125" t="s">
        <v>357</v>
      </c>
    </row>
    <row r="2" ht="16.5" thickBot="1">
      <c r="A2" s="131" t="s">
        <v>351</v>
      </c>
    </row>
    <row r="3" spans="1:23" s="129" customFormat="1" ht="94.5" customHeight="1" thickBot="1">
      <c r="A3" s="134" t="s">
        <v>208</v>
      </c>
      <c r="B3" s="216" t="s">
        <v>56</v>
      </c>
      <c r="C3" s="217" t="s">
        <v>144</v>
      </c>
      <c r="D3" s="218" t="s">
        <v>67</v>
      </c>
      <c r="E3" s="219" t="s">
        <v>163</v>
      </c>
      <c r="F3" s="238" t="s">
        <v>207</v>
      </c>
      <c r="G3" s="238" t="s">
        <v>198</v>
      </c>
      <c r="H3" s="238" t="s">
        <v>199</v>
      </c>
      <c r="I3" s="238" t="s">
        <v>200</v>
      </c>
      <c r="J3" s="238" t="s">
        <v>201</v>
      </c>
      <c r="K3" s="238" t="s">
        <v>202</v>
      </c>
      <c r="L3" s="239" t="s">
        <v>203</v>
      </c>
      <c r="M3" s="239" t="s">
        <v>204</v>
      </c>
      <c r="N3" s="239" t="s">
        <v>205</v>
      </c>
      <c r="O3" s="239" t="s">
        <v>206</v>
      </c>
      <c r="P3" s="219" t="s">
        <v>40</v>
      </c>
      <c r="Q3" s="191" t="s">
        <v>16</v>
      </c>
      <c r="R3" s="128" t="s">
        <v>35</v>
      </c>
      <c r="S3" s="201" t="s">
        <v>150</v>
      </c>
      <c r="T3" s="159" t="s">
        <v>158</v>
      </c>
      <c r="U3" s="160" t="s">
        <v>159</v>
      </c>
      <c r="V3" s="161" t="s">
        <v>161</v>
      </c>
      <c r="W3" s="162" t="s">
        <v>162</v>
      </c>
    </row>
    <row r="4" spans="1:24" s="10" customFormat="1" ht="26.25" customHeight="1">
      <c r="A4" s="67" t="s">
        <v>124</v>
      </c>
      <c r="B4" s="77">
        <f aca="true" t="shared" si="0" ref="B4:J4">B5+B6</f>
        <v>0</v>
      </c>
      <c r="C4" s="77">
        <f t="shared" si="0"/>
        <v>0</v>
      </c>
      <c r="D4" s="77">
        <f t="shared" si="0"/>
        <v>0</v>
      </c>
      <c r="E4" s="77">
        <f t="shared" si="0"/>
        <v>38668800</v>
      </c>
      <c r="F4" s="77">
        <f t="shared" si="0"/>
        <v>0</v>
      </c>
      <c r="G4" s="77">
        <f t="shared" si="0"/>
        <v>0</v>
      </c>
      <c r="H4" s="77">
        <f t="shared" si="0"/>
        <v>0</v>
      </c>
      <c r="I4" s="77">
        <f t="shared" si="0"/>
        <v>0</v>
      </c>
      <c r="J4" s="77">
        <f t="shared" si="0"/>
        <v>0</v>
      </c>
      <c r="K4" s="251">
        <f aca="true" t="shared" si="1" ref="K4:K23">F4+G4+H4+I4+J4</f>
        <v>0</v>
      </c>
      <c r="L4" s="77">
        <f>L5+L6</f>
        <v>0</v>
      </c>
      <c r="M4" s="77">
        <f>M5+M6</f>
        <v>0</v>
      </c>
      <c r="N4" s="77">
        <f>N5+N6</f>
        <v>0</v>
      </c>
      <c r="O4" s="267">
        <f aca="true" t="shared" si="2" ref="O4:O23">L4+M4+N4</f>
        <v>0</v>
      </c>
      <c r="P4" s="77">
        <f>P5+P6</f>
        <v>0</v>
      </c>
      <c r="Q4" s="192">
        <f aca="true" t="shared" si="3" ref="Q4:Q23">B4+C4+D4+E4+K4+O4+P4</f>
        <v>38668800</v>
      </c>
      <c r="R4" s="77">
        <f>R5+R6</f>
        <v>918424602</v>
      </c>
      <c r="S4" s="202">
        <f aca="true" t="shared" si="4" ref="S4:S23">SUM(Q4:R4)</f>
        <v>957093402</v>
      </c>
      <c r="T4" s="77">
        <f aca="true" t="shared" si="5" ref="T4:T15">S4</f>
        <v>957093402</v>
      </c>
      <c r="U4" s="165">
        <f>U5+U6</f>
        <v>957093402</v>
      </c>
      <c r="V4" s="76">
        <f>V5+V6</f>
        <v>0</v>
      </c>
      <c r="W4" s="77">
        <f>W5+W6</f>
        <v>0</v>
      </c>
      <c r="X4" s="26">
        <f aca="true" t="shared" si="6" ref="X4:X35">SUM(U4:W4)</f>
        <v>957093402</v>
      </c>
    </row>
    <row r="5" spans="1:24" s="10" customFormat="1" ht="13.5">
      <c r="A5" s="100" t="s">
        <v>121</v>
      </c>
      <c r="B5" s="90"/>
      <c r="C5" s="90"/>
      <c r="D5" s="90"/>
      <c r="E5" s="90"/>
      <c r="F5" s="90"/>
      <c r="G5" s="90"/>
      <c r="H5" s="90"/>
      <c r="I5" s="90"/>
      <c r="J5" s="90"/>
      <c r="K5" s="252">
        <f t="shared" si="1"/>
        <v>0</v>
      </c>
      <c r="L5" s="90"/>
      <c r="M5" s="90"/>
      <c r="N5" s="90"/>
      <c r="O5" s="268">
        <f t="shared" si="2"/>
        <v>0</v>
      </c>
      <c r="P5" s="90"/>
      <c r="Q5" s="193">
        <f t="shared" si="3"/>
        <v>0</v>
      </c>
      <c r="R5" s="90">
        <v>862049521</v>
      </c>
      <c r="S5" s="203">
        <f t="shared" si="4"/>
        <v>862049521</v>
      </c>
      <c r="T5" s="90">
        <f t="shared" si="5"/>
        <v>862049521</v>
      </c>
      <c r="U5" s="166">
        <v>862049521</v>
      </c>
      <c r="V5" s="92"/>
      <c r="W5" s="90"/>
      <c r="X5" s="26">
        <f t="shared" si="6"/>
        <v>862049521</v>
      </c>
    </row>
    <row r="6" spans="1:24" s="10" customFormat="1" ht="13.5">
      <c r="A6" s="100" t="s">
        <v>145</v>
      </c>
      <c r="B6" s="90"/>
      <c r="C6" s="90"/>
      <c r="D6" s="90"/>
      <c r="E6" s="90">
        <v>38668800</v>
      </c>
      <c r="F6" s="90">
        <v>0</v>
      </c>
      <c r="G6" s="90">
        <v>0</v>
      </c>
      <c r="H6" s="90">
        <v>0</v>
      </c>
      <c r="I6" s="90">
        <v>0</v>
      </c>
      <c r="J6" s="90">
        <v>0</v>
      </c>
      <c r="K6" s="252">
        <f t="shared" si="1"/>
        <v>0</v>
      </c>
      <c r="L6" s="90">
        <v>0</v>
      </c>
      <c r="M6" s="90">
        <v>0</v>
      </c>
      <c r="N6" s="90">
        <v>0</v>
      </c>
      <c r="O6" s="268">
        <f t="shared" si="2"/>
        <v>0</v>
      </c>
      <c r="P6" s="90"/>
      <c r="Q6" s="193">
        <f t="shared" si="3"/>
        <v>38668800</v>
      </c>
      <c r="R6" s="90">
        <v>56375081</v>
      </c>
      <c r="S6" s="203">
        <f t="shared" si="4"/>
        <v>95043881</v>
      </c>
      <c r="T6" s="90">
        <f t="shared" si="5"/>
        <v>95043881</v>
      </c>
      <c r="U6" s="166">
        <f>957093402-862049521</f>
        <v>95043881</v>
      </c>
      <c r="V6" s="92"/>
      <c r="W6" s="90"/>
      <c r="X6" s="26">
        <f t="shared" si="6"/>
        <v>95043881</v>
      </c>
    </row>
    <row r="7" spans="1:24" s="10" customFormat="1" ht="13.5">
      <c r="A7" s="79" t="s">
        <v>69</v>
      </c>
      <c r="B7" s="21"/>
      <c r="C7" s="21"/>
      <c r="D7" s="21"/>
      <c r="E7" s="21"/>
      <c r="F7" s="21"/>
      <c r="G7" s="21"/>
      <c r="H7" s="21"/>
      <c r="I7" s="21"/>
      <c r="J7" s="21"/>
      <c r="K7" s="253">
        <f t="shared" si="1"/>
        <v>0</v>
      </c>
      <c r="L7" s="21"/>
      <c r="M7" s="21"/>
      <c r="N7" s="21"/>
      <c r="O7" s="269">
        <f t="shared" si="2"/>
        <v>0</v>
      </c>
      <c r="P7" s="21"/>
      <c r="Q7" s="193">
        <f t="shared" si="3"/>
        <v>0</v>
      </c>
      <c r="R7" s="21">
        <v>501688723</v>
      </c>
      <c r="S7" s="203">
        <f t="shared" si="4"/>
        <v>501688723</v>
      </c>
      <c r="T7" s="21">
        <f t="shared" si="5"/>
        <v>501688723</v>
      </c>
      <c r="U7" s="167">
        <v>501688723</v>
      </c>
      <c r="V7" s="75"/>
      <c r="W7" s="21"/>
      <c r="X7" s="26">
        <f t="shared" si="6"/>
        <v>501688723</v>
      </c>
    </row>
    <row r="8" spans="1:24" s="10" customFormat="1" ht="13.5">
      <c r="A8" s="79" t="s">
        <v>70</v>
      </c>
      <c r="B8" s="21">
        <v>1450000</v>
      </c>
      <c r="C8" s="21">
        <v>86068003</v>
      </c>
      <c r="D8" s="21">
        <v>4000000</v>
      </c>
      <c r="E8" s="21">
        <v>56864000</v>
      </c>
      <c r="F8" s="21">
        <v>450000</v>
      </c>
      <c r="G8" s="21"/>
      <c r="H8" s="21">
        <v>387000</v>
      </c>
      <c r="I8" s="21"/>
      <c r="J8" s="21"/>
      <c r="K8" s="253">
        <f t="shared" si="1"/>
        <v>837000</v>
      </c>
      <c r="L8" s="21">
        <v>500000</v>
      </c>
      <c r="M8" s="21">
        <v>100000</v>
      </c>
      <c r="N8" s="21">
        <v>83600</v>
      </c>
      <c r="O8" s="269">
        <f t="shared" si="2"/>
        <v>683600</v>
      </c>
      <c r="P8" s="21">
        <v>1700000</v>
      </c>
      <c r="Q8" s="193">
        <f t="shared" si="3"/>
        <v>151602603</v>
      </c>
      <c r="R8" s="21">
        <v>115175483</v>
      </c>
      <c r="S8" s="203">
        <f t="shared" si="4"/>
        <v>266778086</v>
      </c>
      <c r="T8" s="21">
        <f t="shared" si="5"/>
        <v>266778086</v>
      </c>
      <c r="U8" s="167">
        <v>231220083</v>
      </c>
      <c r="V8" s="75">
        <v>35558003</v>
      </c>
      <c r="W8" s="21"/>
      <c r="X8" s="26">
        <f t="shared" si="6"/>
        <v>266778086</v>
      </c>
    </row>
    <row r="9" spans="1:24" s="10" customFormat="1" ht="14.25" thickBot="1">
      <c r="A9" s="82" t="s">
        <v>72</v>
      </c>
      <c r="B9" s="81"/>
      <c r="C9" s="81">
        <v>15432701</v>
      </c>
      <c r="D9" s="81"/>
      <c r="E9" s="81"/>
      <c r="F9" s="81"/>
      <c r="G9" s="81"/>
      <c r="H9" s="81"/>
      <c r="I9" s="81"/>
      <c r="J9" s="81"/>
      <c r="K9" s="254">
        <f t="shared" si="1"/>
        <v>0</v>
      </c>
      <c r="L9" s="81"/>
      <c r="M9" s="81"/>
      <c r="N9" s="81"/>
      <c r="O9" s="270">
        <f t="shared" si="2"/>
        <v>0</v>
      </c>
      <c r="P9" s="81"/>
      <c r="Q9" s="193">
        <f t="shared" si="3"/>
        <v>15432701</v>
      </c>
      <c r="R9" s="81"/>
      <c r="S9" s="204">
        <f t="shared" si="4"/>
        <v>15432701</v>
      </c>
      <c r="T9" s="81">
        <f t="shared" si="5"/>
        <v>15432701</v>
      </c>
      <c r="U9" s="168"/>
      <c r="V9" s="83">
        <v>15432701</v>
      </c>
      <c r="W9" s="81"/>
      <c r="X9" s="26">
        <f t="shared" si="6"/>
        <v>15432701</v>
      </c>
    </row>
    <row r="10" spans="1:24" s="12" customFormat="1" ht="14.25" thickBot="1">
      <c r="A10" s="84" t="s">
        <v>106</v>
      </c>
      <c r="B10" s="23">
        <f aca="true" t="shared" si="7" ref="B10:J10">B4+B7+B8+B9</f>
        <v>1450000</v>
      </c>
      <c r="C10" s="23">
        <f t="shared" si="7"/>
        <v>101500704</v>
      </c>
      <c r="D10" s="23">
        <f t="shared" si="7"/>
        <v>4000000</v>
      </c>
      <c r="E10" s="23">
        <f t="shared" si="7"/>
        <v>95532800</v>
      </c>
      <c r="F10" s="23">
        <f t="shared" si="7"/>
        <v>450000</v>
      </c>
      <c r="G10" s="23">
        <f t="shared" si="7"/>
        <v>0</v>
      </c>
      <c r="H10" s="23">
        <f t="shared" si="7"/>
        <v>387000</v>
      </c>
      <c r="I10" s="23">
        <f t="shared" si="7"/>
        <v>0</v>
      </c>
      <c r="J10" s="23">
        <f t="shared" si="7"/>
        <v>0</v>
      </c>
      <c r="K10" s="255">
        <f t="shared" si="1"/>
        <v>837000</v>
      </c>
      <c r="L10" s="23">
        <f>L4+L7+L8+L9</f>
        <v>500000</v>
      </c>
      <c r="M10" s="23">
        <f>M4+M7+M8+M9</f>
        <v>100000</v>
      </c>
      <c r="N10" s="23">
        <f>N4+N7+N8+N9</f>
        <v>83600</v>
      </c>
      <c r="O10" s="271">
        <f t="shared" si="2"/>
        <v>683600</v>
      </c>
      <c r="P10" s="23">
        <f>P4+P7+P8+P9</f>
        <v>1700000</v>
      </c>
      <c r="Q10" s="194">
        <f t="shared" si="3"/>
        <v>205704104</v>
      </c>
      <c r="R10" s="23">
        <f>R4+R7+R8+R9</f>
        <v>1535288808</v>
      </c>
      <c r="S10" s="205">
        <f t="shared" si="4"/>
        <v>1740992912</v>
      </c>
      <c r="T10" s="23">
        <f t="shared" si="5"/>
        <v>1740992912</v>
      </c>
      <c r="U10" s="169">
        <f>U4+U7+U8+U9</f>
        <v>1690002208</v>
      </c>
      <c r="V10" s="170">
        <f>V4+V7+V8+V9</f>
        <v>50990704</v>
      </c>
      <c r="W10" s="23">
        <f>W4+W7+W8+W9</f>
        <v>0</v>
      </c>
      <c r="X10" s="26">
        <f t="shared" si="6"/>
        <v>1740992912</v>
      </c>
    </row>
    <row r="11" spans="1:24" s="10" customFormat="1" ht="13.5">
      <c r="A11" s="67" t="s">
        <v>85</v>
      </c>
      <c r="B11" s="20">
        <f aca="true" t="shared" si="8" ref="B11:J11">B12+B13+B14</f>
        <v>0</v>
      </c>
      <c r="C11" s="20">
        <f t="shared" si="8"/>
        <v>0</v>
      </c>
      <c r="D11" s="20">
        <f t="shared" si="8"/>
        <v>0</v>
      </c>
      <c r="E11" s="20">
        <f t="shared" si="8"/>
        <v>0</v>
      </c>
      <c r="F11" s="20">
        <f t="shared" si="8"/>
        <v>0</v>
      </c>
      <c r="G11" s="20">
        <f t="shared" si="8"/>
        <v>0</v>
      </c>
      <c r="H11" s="20">
        <f t="shared" si="8"/>
        <v>0</v>
      </c>
      <c r="I11" s="20">
        <f t="shared" si="8"/>
        <v>0</v>
      </c>
      <c r="J11" s="20">
        <f t="shared" si="8"/>
        <v>0</v>
      </c>
      <c r="K11" s="256">
        <f t="shared" si="1"/>
        <v>0</v>
      </c>
      <c r="L11" s="20">
        <f>L12+L13+L14</f>
        <v>0</v>
      </c>
      <c r="M11" s="20">
        <f>M12+M13+M14</f>
        <v>0</v>
      </c>
      <c r="N11" s="20">
        <f>N12+N13+N14</f>
        <v>0</v>
      </c>
      <c r="O11" s="272">
        <f t="shared" si="2"/>
        <v>0</v>
      </c>
      <c r="P11" s="20">
        <f>P12+P13+P14</f>
        <v>0</v>
      </c>
      <c r="Q11" s="195">
        <f t="shared" si="3"/>
        <v>0</v>
      </c>
      <c r="R11" s="20">
        <f>R12+R13+R14</f>
        <v>150656059</v>
      </c>
      <c r="S11" s="206">
        <f t="shared" si="4"/>
        <v>150656059</v>
      </c>
      <c r="T11" s="95">
        <f t="shared" si="5"/>
        <v>150656059</v>
      </c>
      <c r="U11" s="349">
        <f>U12+U13+U14</f>
        <v>100656062</v>
      </c>
      <c r="V11" s="76">
        <f>V12+V13+V14</f>
        <v>50000000</v>
      </c>
      <c r="W11" s="20"/>
      <c r="X11" s="26">
        <f t="shared" si="6"/>
        <v>150656062</v>
      </c>
    </row>
    <row r="12" spans="1:24" s="10" customFormat="1" ht="13.5">
      <c r="A12" s="89" t="s">
        <v>103</v>
      </c>
      <c r="B12" s="95"/>
      <c r="C12" s="95"/>
      <c r="D12" s="95"/>
      <c r="E12" s="95"/>
      <c r="F12" s="95"/>
      <c r="G12" s="95"/>
      <c r="H12" s="95"/>
      <c r="I12" s="95"/>
      <c r="J12" s="95"/>
      <c r="K12" s="257">
        <f t="shared" si="1"/>
        <v>0</v>
      </c>
      <c r="L12" s="95"/>
      <c r="M12" s="95"/>
      <c r="N12" s="95"/>
      <c r="O12" s="273">
        <f t="shared" si="2"/>
        <v>0</v>
      </c>
      <c r="P12" s="95"/>
      <c r="Q12" s="195">
        <f t="shared" si="3"/>
        <v>0</v>
      </c>
      <c r="R12" s="95"/>
      <c r="S12" s="206">
        <f t="shared" si="4"/>
        <v>0</v>
      </c>
      <c r="T12" s="95">
        <f t="shared" si="5"/>
        <v>0</v>
      </c>
      <c r="U12" s="173"/>
      <c r="V12" s="174"/>
      <c r="W12" s="95"/>
      <c r="X12" s="26">
        <f t="shared" si="6"/>
        <v>0</v>
      </c>
    </row>
    <row r="13" spans="1:24" s="10" customFormat="1" ht="13.5">
      <c r="A13" s="89" t="s">
        <v>242</v>
      </c>
      <c r="B13" s="95"/>
      <c r="C13" s="95"/>
      <c r="D13" s="95"/>
      <c r="E13" s="95"/>
      <c r="F13" s="95"/>
      <c r="G13" s="95"/>
      <c r="H13" s="95"/>
      <c r="I13" s="95"/>
      <c r="J13" s="95"/>
      <c r="K13" s="257">
        <f t="shared" si="1"/>
        <v>0</v>
      </c>
      <c r="L13" s="95"/>
      <c r="M13" s="95"/>
      <c r="N13" s="95"/>
      <c r="O13" s="273">
        <f t="shared" si="2"/>
        <v>0</v>
      </c>
      <c r="P13" s="95"/>
      <c r="Q13" s="195">
        <f t="shared" si="3"/>
        <v>0</v>
      </c>
      <c r="R13" s="95">
        <v>2156059</v>
      </c>
      <c r="S13" s="206">
        <f t="shared" si="4"/>
        <v>2156059</v>
      </c>
      <c r="T13" s="95">
        <f t="shared" si="5"/>
        <v>2156059</v>
      </c>
      <c r="U13" s="173">
        <v>2156062</v>
      </c>
      <c r="V13" s="174"/>
      <c r="W13" s="95"/>
      <c r="X13" s="26">
        <f t="shared" si="6"/>
        <v>2156062</v>
      </c>
    </row>
    <row r="14" spans="1:24" s="10" customFormat="1" ht="13.5">
      <c r="A14" s="89" t="s">
        <v>349</v>
      </c>
      <c r="B14" s="95"/>
      <c r="C14" s="95"/>
      <c r="D14" s="95"/>
      <c r="E14" s="95"/>
      <c r="F14" s="95"/>
      <c r="G14" s="95"/>
      <c r="H14" s="95"/>
      <c r="I14" s="95"/>
      <c r="J14" s="95"/>
      <c r="K14" s="257">
        <f t="shared" si="1"/>
        <v>0</v>
      </c>
      <c r="L14" s="95"/>
      <c r="M14" s="95"/>
      <c r="N14" s="95"/>
      <c r="O14" s="273">
        <f t="shared" si="2"/>
        <v>0</v>
      </c>
      <c r="P14" s="95"/>
      <c r="Q14" s="195">
        <f t="shared" si="3"/>
        <v>0</v>
      </c>
      <c r="R14" s="95">
        <v>148500000</v>
      </c>
      <c r="S14" s="206">
        <f t="shared" si="4"/>
        <v>148500000</v>
      </c>
      <c r="T14" s="95">
        <f t="shared" si="5"/>
        <v>148500000</v>
      </c>
      <c r="U14" s="173">
        <v>98500000</v>
      </c>
      <c r="V14" s="174">
        <v>50000000</v>
      </c>
      <c r="W14" s="95"/>
      <c r="X14" s="26">
        <f t="shared" si="6"/>
        <v>148500000</v>
      </c>
    </row>
    <row r="15" spans="1:24" s="10" customFormat="1" ht="13.5">
      <c r="A15" s="79" t="s">
        <v>71</v>
      </c>
      <c r="B15" s="21"/>
      <c r="C15" s="21"/>
      <c r="D15" s="21"/>
      <c r="E15" s="21"/>
      <c r="F15" s="21"/>
      <c r="G15" s="21"/>
      <c r="H15" s="21"/>
      <c r="I15" s="21"/>
      <c r="J15" s="21"/>
      <c r="K15" s="253">
        <f t="shared" si="1"/>
        <v>0</v>
      </c>
      <c r="L15" s="21"/>
      <c r="M15" s="21"/>
      <c r="N15" s="21"/>
      <c r="O15" s="269">
        <f t="shared" si="2"/>
        <v>0</v>
      </c>
      <c r="P15" s="21"/>
      <c r="Q15" s="195">
        <f t="shared" si="3"/>
        <v>0</v>
      </c>
      <c r="R15" s="21">
        <v>128090421</v>
      </c>
      <c r="S15" s="203">
        <f t="shared" si="4"/>
        <v>128090421</v>
      </c>
      <c r="T15" s="21">
        <f t="shared" si="5"/>
        <v>128090421</v>
      </c>
      <c r="U15" s="167">
        <v>128090418</v>
      </c>
      <c r="V15" s="75"/>
      <c r="W15" s="21"/>
      <c r="X15" s="26">
        <f t="shared" si="6"/>
        <v>128090418</v>
      </c>
    </row>
    <row r="16" spans="1:24" s="10" customFormat="1" ht="13.5">
      <c r="A16" s="79" t="s">
        <v>62</v>
      </c>
      <c r="B16" s="21">
        <f aca="true" t="shared" si="9" ref="B16:J16">SUM(B17:B18)</f>
        <v>0</v>
      </c>
      <c r="C16" s="21">
        <f t="shared" si="9"/>
        <v>1478181</v>
      </c>
      <c r="D16" s="21">
        <f t="shared" si="9"/>
        <v>0</v>
      </c>
      <c r="E16" s="21">
        <f t="shared" si="9"/>
        <v>0</v>
      </c>
      <c r="F16" s="21">
        <f t="shared" si="9"/>
        <v>0</v>
      </c>
      <c r="G16" s="21">
        <f t="shared" si="9"/>
        <v>0</v>
      </c>
      <c r="H16" s="21">
        <f t="shared" si="9"/>
        <v>0</v>
      </c>
      <c r="I16" s="21">
        <f t="shared" si="9"/>
        <v>0</v>
      </c>
      <c r="J16" s="21">
        <f t="shared" si="9"/>
        <v>0</v>
      </c>
      <c r="K16" s="253">
        <f t="shared" si="1"/>
        <v>0</v>
      </c>
      <c r="L16" s="21">
        <f>SUM(L17:L18)</f>
        <v>0</v>
      </c>
      <c r="M16" s="21">
        <f>SUM(M17:M18)</f>
        <v>0</v>
      </c>
      <c r="N16" s="21">
        <f>SUM(N17:N18)</f>
        <v>0</v>
      </c>
      <c r="O16" s="269">
        <f t="shared" si="2"/>
        <v>0</v>
      </c>
      <c r="P16" s="21">
        <f>SUM(P17:P18)</f>
        <v>0</v>
      </c>
      <c r="Q16" s="193">
        <f t="shared" si="3"/>
        <v>1478181</v>
      </c>
      <c r="R16" s="21">
        <f>R17+R18</f>
        <v>12815928</v>
      </c>
      <c r="S16" s="203">
        <f t="shared" si="4"/>
        <v>14294109</v>
      </c>
      <c r="T16" s="21">
        <f>T17+T18</f>
        <v>14294109</v>
      </c>
      <c r="U16" s="167">
        <f>SUM(U17:U18)</f>
        <v>9165897</v>
      </c>
      <c r="V16" s="75">
        <f>SUM(V17:V18)</f>
        <v>5128212</v>
      </c>
      <c r="W16" s="21">
        <f>SUM(W17:W18)</f>
        <v>0</v>
      </c>
      <c r="X16" s="26">
        <f t="shared" si="6"/>
        <v>14294109</v>
      </c>
    </row>
    <row r="17" spans="1:24" s="10" customFormat="1" ht="13.5">
      <c r="A17" s="99" t="s">
        <v>151</v>
      </c>
      <c r="B17" s="90"/>
      <c r="C17" s="90"/>
      <c r="D17" s="90"/>
      <c r="E17" s="90"/>
      <c r="F17" s="90"/>
      <c r="G17" s="90"/>
      <c r="H17" s="90"/>
      <c r="I17" s="90"/>
      <c r="J17" s="90"/>
      <c r="K17" s="252">
        <f t="shared" si="1"/>
        <v>0</v>
      </c>
      <c r="L17" s="90"/>
      <c r="M17" s="90"/>
      <c r="N17" s="90"/>
      <c r="O17" s="268">
        <f t="shared" si="2"/>
        <v>0</v>
      </c>
      <c r="P17" s="90"/>
      <c r="Q17" s="193">
        <f t="shared" si="3"/>
        <v>0</v>
      </c>
      <c r="R17" s="90">
        <v>12815928</v>
      </c>
      <c r="S17" s="203">
        <f t="shared" si="4"/>
        <v>12815928</v>
      </c>
      <c r="T17" s="90">
        <f>S17</f>
        <v>12815928</v>
      </c>
      <c r="U17" s="166">
        <v>7687716</v>
      </c>
      <c r="V17" s="92">
        <v>5128212</v>
      </c>
      <c r="W17" s="90"/>
      <c r="X17" s="26">
        <f t="shared" si="6"/>
        <v>12815928</v>
      </c>
    </row>
    <row r="18" spans="1:24" s="10" customFormat="1" ht="14.25" thickBot="1">
      <c r="A18" s="99" t="s">
        <v>152</v>
      </c>
      <c r="B18" s="94"/>
      <c r="C18" s="94">
        <v>1478181</v>
      </c>
      <c r="D18" s="94"/>
      <c r="E18" s="94"/>
      <c r="F18" s="94"/>
      <c r="G18" s="94"/>
      <c r="H18" s="94"/>
      <c r="I18" s="94"/>
      <c r="J18" s="94"/>
      <c r="K18" s="258">
        <f t="shared" si="1"/>
        <v>0</v>
      </c>
      <c r="L18" s="94"/>
      <c r="M18" s="94"/>
      <c r="N18" s="94"/>
      <c r="O18" s="274">
        <f t="shared" si="2"/>
        <v>0</v>
      </c>
      <c r="P18" s="94"/>
      <c r="Q18" s="193">
        <f t="shared" si="3"/>
        <v>1478181</v>
      </c>
      <c r="R18" s="94">
        <v>0</v>
      </c>
      <c r="S18" s="204">
        <f t="shared" si="4"/>
        <v>1478181</v>
      </c>
      <c r="T18" s="90">
        <f>S18</f>
        <v>1478181</v>
      </c>
      <c r="U18" s="175">
        <v>1478181</v>
      </c>
      <c r="V18" s="176">
        <v>0</v>
      </c>
      <c r="W18" s="94"/>
      <c r="X18" s="26">
        <f t="shared" si="6"/>
        <v>1478181</v>
      </c>
    </row>
    <row r="19" spans="1:24" s="12" customFormat="1" ht="14.25" customHeight="1" thickBot="1">
      <c r="A19" s="84" t="s">
        <v>107</v>
      </c>
      <c r="B19" s="23">
        <f aca="true" t="shared" si="10" ref="B19:J19">B16+B15+B11</f>
        <v>0</v>
      </c>
      <c r="C19" s="23">
        <f t="shared" si="10"/>
        <v>1478181</v>
      </c>
      <c r="D19" s="23">
        <f t="shared" si="10"/>
        <v>0</v>
      </c>
      <c r="E19" s="23">
        <f t="shared" si="10"/>
        <v>0</v>
      </c>
      <c r="F19" s="23">
        <f t="shared" si="10"/>
        <v>0</v>
      </c>
      <c r="G19" s="23">
        <f t="shared" si="10"/>
        <v>0</v>
      </c>
      <c r="H19" s="23">
        <f t="shared" si="10"/>
        <v>0</v>
      </c>
      <c r="I19" s="23">
        <f t="shared" si="10"/>
        <v>0</v>
      </c>
      <c r="J19" s="23">
        <f t="shared" si="10"/>
        <v>0</v>
      </c>
      <c r="K19" s="255">
        <f t="shared" si="1"/>
        <v>0</v>
      </c>
      <c r="L19" s="23">
        <f>L16+L15+L11</f>
        <v>0</v>
      </c>
      <c r="M19" s="23">
        <f>M16+M15+M11</f>
        <v>0</v>
      </c>
      <c r="N19" s="23">
        <f>N16+N15+N11</f>
        <v>0</v>
      </c>
      <c r="O19" s="271">
        <f t="shared" si="2"/>
        <v>0</v>
      </c>
      <c r="P19" s="23">
        <f>P16+P15+P11</f>
        <v>0</v>
      </c>
      <c r="Q19" s="194">
        <f t="shared" si="3"/>
        <v>1478181</v>
      </c>
      <c r="R19" s="23">
        <f>R16+R15+R11</f>
        <v>291562408</v>
      </c>
      <c r="S19" s="205">
        <f t="shared" si="4"/>
        <v>293040589</v>
      </c>
      <c r="T19" s="23">
        <f>T11+T15+T16</f>
        <v>293040589</v>
      </c>
      <c r="U19" s="169">
        <f>U16+U15+U11</f>
        <v>237912377</v>
      </c>
      <c r="V19" s="170">
        <f>V16+V15+V11</f>
        <v>55128212</v>
      </c>
      <c r="W19" s="23">
        <f>W16+W15+W11</f>
        <v>0</v>
      </c>
      <c r="X19" s="26">
        <f t="shared" si="6"/>
        <v>293040589</v>
      </c>
    </row>
    <row r="20" spans="1:24" s="12" customFormat="1" ht="15.75" customHeight="1" thickBot="1">
      <c r="A20" s="86" t="s">
        <v>105</v>
      </c>
      <c r="B20" s="85">
        <f aca="true" t="shared" si="11" ref="B20:J20">B19+B10</f>
        <v>1450000</v>
      </c>
      <c r="C20" s="85">
        <f t="shared" si="11"/>
        <v>102978885</v>
      </c>
      <c r="D20" s="85">
        <f t="shared" si="11"/>
        <v>4000000</v>
      </c>
      <c r="E20" s="85">
        <f t="shared" si="11"/>
        <v>95532800</v>
      </c>
      <c r="F20" s="85">
        <f t="shared" si="11"/>
        <v>450000</v>
      </c>
      <c r="G20" s="85">
        <f t="shared" si="11"/>
        <v>0</v>
      </c>
      <c r="H20" s="85">
        <f t="shared" si="11"/>
        <v>387000</v>
      </c>
      <c r="I20" s="85">
        <f t="shared" si="11"/>
        <v>0</v>
      </c>
      <c r="J20" s="85">
        <f t="shared" si="11"/>
        <v>0</v>
      </c>
      <c r="K20" s="259">
        <f t="shared" si="1"/>
        <v>837000</v>
      </c>
      <c r="L20" s="85">
        <f>L19+L10</f>
        <v>500000</v>
      </c>
      <c r="M20" s="85">
        <f>M19+M10</f>
        <v>100000</v>
      </c>
      <c r="N20" s="85">
        <f>N19+N10</f>
        <v>83600</v>
      </c>
      <c r="O20" s="275">
        <f t="shared" si="2"/>
        <v>683600</v>
      </c>
      <c r="P20" s="85">
        <f>P19+P10</f>
        <v>1700000</v>
      </c>
      <c r="Q20" s="196">
        <f t="shared" si="3"/>
        <v>207182285</v>
      </c>
      <c r="R20" s="85">
        <f>R19+R10</f>
        <v>1826851216</v>
      </c>
      <c r="S20" s="207">
        <f t="shared" si="4"/>
        <v>2034033501</v>
      </c>
      <c r="T20" s="85">
        <f>S20</f>
        <v>2034033501</v>
      </c>
      <c r="U20" s="177">
        <f>U19+U10</f>
        <v>1927914585</v>
      </c>
      <c r="V20" s="178">
        <f>V19+V10</f>
        <v>106118916</v>
      </c>
      <c r="W20" s="85">
        <f>W19+W10</f>
        <v>0</v>
      </c>
      <c r="X20" s="26">
        <f t="shared" si="6"/>
        <v>2034033501</v>
      </c>
    </row>
    <row r="21" spans="1:24" s="10" customFormat="1" ht="13.5">
      <c r="A21" s="87" t="s">
        <v>68</v>
      </c>
      <c r="B21" s="77">
        <f aca="true" t="shared" si="12" ref="B21:J21">SUM(B22:B23)</f>
        <v>25315576</v>
      </c>
      <c r="C21" s="77">
        <f t="shared" si="12"/>
        <v>13131114</v>
      </c>
      <c r="D21" s="77">
        <f t="shared" si="12"/>
        <v>2500002</v>
      </c>
      <c r="E21" s="77">
        <f t="shared" si="12"/>
        <v>2280000</v>
      </c>
      <c r="F21" s="77">
        <f t="shared" si="12"/>
        <v>0</v>
      </c>
      <c r="G21" s="77">
        <f t="shared" si="12"/>
        <v>0</v>
      </c>
      <c r="H21" s="77">
        <f t="shared" si="12"/>
        <v>0</v>
      </c>
      <c r="I21" s="77">
        <f t="shared" si="12"/>
        <v>0</v>
      </c>
      <c r="J21" s="77">
        <f t="shared" si="12"/>
        <v>0</v>
      </c>
      <c r="K21" s="251">
        <f t="shared" si="1"/>
        <v>0</v>
      </c>
      <c r="L21" s="77">
        <f>SUM(L22:L23)</f>
        <v>0</v>
      </c>
      <c r="M21" s="77">
        <f>SUM(M22:M23)</f>
        <v>0</v>
      </c>
      <c r="N21" s="77">
        <f>SUM(N22:N23)</f>
        <v>0</v>
      </c>
      <c r="O21" s="267">
        <f t="shared" si="2"/>
        <v>0</v>
      </c>
      <c r="P21" s="77">
        <f>SUM(P22:P23)</f>
        <v>0</v>
      </c>
      <c r="Q21" s="192">
        <f t="shared" si="3"/>
        <v>43226692</v>
      </c>
      <c r="R21" s="77">
        <f>SUM(R22:R23)</f>
        <v>1197863412</v>
      </c>
      <c r="S21" s="202">
        <f t="shared" si="4"/>
        <v>1241090104</v>
      </c>
      <c r="T21" s="77">
        <f>S21</f>
        <v>1241090104</v>
      </c>
      <c r="U21" s="165">
        <f>SUM(U22:U23)</f>
        <v>896745925</v>
      </c>
      <c r="V21" s="76">
        <f>SUM(V22:V23)</f>
        <v>255021179</v>
      </c>
      <c r="W21" s="77">
        <f>SUM(W22:W23)</f>
        <v>89323000</v>
      </c>
      <c r="X21" s="26">
        <f t="shared" si="6"/>
        <v>1241090104</v>
      </c>
    </row>
    <row r="22" spans="1:24" s="10" customFormat="1" ht="13.5">
      <c r="A22" s="89" t="s">
        <v>108</v>
      </c>
      <c r="B22" s="90">
        <v>403962</v>
      </c>
      <c r="C22" s="90">
        <v>12947063</v>
      </c>
      <c r="D22" s="90">
        <v>2180978</v>
      </c>
      <c r="E22" s="90">
        <v>500000</v>
      </c>
      <c r="F22" s="90"/>
      <c r="G22" s="90"/>
      <c r="H22" s="90"/>
      <c r="I22" s="90"/>
      <c r="J22" s="90"/>
      <c r="K22" s="252">
        <f t="shared" si="1"/>
        <v>0</v>
      </c>
      <c r="L22" s="90"/>
      <c r="M22" s="90"/>
      <c r="N22" s="90"/>
      <c r="O22" s="268">
        <f t="shared" si="2"/>
        <v>0</v>
      </c>
      <c r="P22" s="90"/>
      <c r="Q22" s="193">
        <f t="shared" si="3"/>
        <v>16032003</v>
      </c>
      <c r="R22" s="90">
        <v>367238716</v>
      </c>
      <c r="S22" s="203">
        <f t="shared" si="4"/>
        <v>383270719</v>
      </c>
      <c r="T22" s="90">
        <f>S22</f>
        <v>383270719</v>
      </c>
      <c r="U22" s="166">
        <f>383270719-V22-W22</f>
        <v>76518369</v>
      </c>
      <c r="V22" s="92">
        <v>217429350</v>
      </c>
      <c r="W22" s="90">
        <v>89323000</v>
      </c>
      <c r="X22" s="26">
        <f t="shared" si="6"/>
        <v>383270719</v>
      </c>
    </row>
    <row r="23" spans="1:24" s="10" customFormat="1" ht="13.5">
      <c r="A23" s="132" t="s">
        <v>109</v>
      </c>
      <c r="B23" s="94">
        <v>24911614</v>
      </c>
      <c r="C23" s="94">
        <v>184051</v>
      </c>
      <c r="D23" s="94">
        <v>319024</v>
      </c>
      <c r="E23" s="94">
        <v>1780000</v>
      </c>
      <c r="F23" s="94"/>
      <c r="G23" s="94"/>
      <c r="H23" s="94"/>
      <c r="I23" s="94"/>
      <c r="J23" s="94"/>
      <c r="K23" s="258">
        <f t="shared" si="1"/>
        <v>0</v>
      </c>
      <c r="L23" s="94"/>
      <c r="M23" s="94"/>
      <c r="N23" s="94"/>
      <c r="O23" s="274">
        <f t="shared" si="2"/>
        <v>0</v>
      </c>
      <c r="P23" s="94"/>
      <c r="Q23" s="197">
        <f t="shared" si="3"/>
        <v>27194689</v>
      </c>
      <c r="R23" s="94">
        <v>830624696</v>
      </c>
      <c r="S23" s="204">
        <f t="shared" si="4"/>
        <v>857819385</v>
      </c>
      <c r="T23" s="94">
        <f>S23</f>
        <v>857819385</v>
      </c>
      <c r="U23" s="175">
        <f>857819385-V23</f>
        <v>820227556</v>
      </c>
      <c r="V23" s="176">
        <v>37591829</v>
      </c>
      <c r="W23" s="94"/>
      <c r="X23" s="26">
        <f t="shared" si="6"/>
        <v>857819385</v>
      </c>
    </row>
    <row r="24" spans="1:24" s="10" customFormat="1" ht="14.25" thickBot="1">
      <c r="A24" s="133" t="s">
        <v>149</v>
      </c>
      <c r="B24" s="22">
        <f aca="true" t="shared" si="13" ref="B24:W24">B25+B26+B27</f>
        <v>43971164</v>
      </c>
      <c r="C24" s="22">
        <f t="shared" si="13"/>
        <v>74343548</v>
      </c>
      <c r="D24" s="22">
        <f t="shared" si="13"/>
        <v>48010175</v>
      </c>
      <c r="E24" s="22">
        <f t="shared" si="13"/>
        <v>171637024</v>
      </c>
      <c r="F24" s="22">
        <f t="shared" si="13"/>
        <v>86191397</v>
      </c>
      <c r="G24" s="22">
        <f t="shared" si="13"/>
        <v>22860440</v>
      </c>
      <c r="H24" s="22">
        <f t="shared" si="13"/>
        <v>52490143</v>
      </c>
      <c r="I24" s="22">
        <f t="shared" si="13"/>
        <v>18670801</v>
      </c>
      <c r="J24" s="22">
        <f t="shared" si="13"/>
        <v>16004106</v>
      </c>
      <c r="K24" s="260">
        <f t="shared" si="13"/>
        <v>196216887</v>
      </c>
      <c r="L24" s="22">
        <f t="shared" si="13"/>
        <v>87327866</v>
      </c>
      <c r="M24" s="22">
        <f t="shared" si="13"/>
        <v>17736208</v>
      </c>
      <c r="N24" s="22">
        <f t="shared" si="13"/>
        <v>15386675</v>
      </c>
      <c r="O24" s="276">
        <f t="shared" si="13"/>
        <v>120450749</v>
      </c>
      <c r="P24" s="22">
        <f t="shared" si="13"/>
        <v>371732141</v>
      </c>
      <c r="Q24" s="198">
        <f t="shared" si="13"/>
        <v>1026361688</v>
      </c>
      <c r="R24" s="22">
        <f t="shared" si="13"/>
        <v>0</v>
      </c>
      <c r="S24" s="208">
        <f t="shared" si="13"/>
        <v>1026361688</v>
      </c>
      <c r="T24" s="22">
        <f t="shared" si="13"/>
        <v>0</v>
      </c>
      <c r="U24" s="396">
        <f t="shared" si="13"/>
        <v>0</v>
      </c>
      <c r="V24" s="180">
        <f t="shared" si="13"/>
        <v>0</v>
      </c>
      <c r="W24" s="397">
        <f t="shared" si="13"/>
        <v>0</v>
      </c>
      <c r="X24" s="26">
        <f t="shared" si="6"/>
        <v>0</v>
      </c>
    </row>
    <row r="25" spans="1:24" s="10" customFormat="1" ht="13.5">
      <c r="A25" s="89" t="s">
        <v>223</v>
      </c>
      <c r="B25" s="345">
        <v>6913335</v>
      </c>
      <c r="C25" s="77">
        <v>6913335</v>
      </c>
      <c r="D25" s="77">
        <v>29480000</v>
      </c>
      <c r="E25" s="77">
        <v>100599765</v>
      </c>
      <c r="F25" s="77">
        <v>72601400</v>
      </c>
      <c r="G25" s="77">
        <v>19974600</v>
      </c>
      <c r="H25" s="77">
        <v>40811984</v>
      </c>
      <c r="I25" s="77">
        <v>17588300</v>
      </c>
      <c r="J25" s="77">
        <v>10498833</v>
      </c>
      <c r="K25" s="251">
        <f>F25+G25+H25+I25+J25</f>
        <v>161475117</v>
      </c>
      <c r="L25" s="77">
        <v>82678866</v>
      </c>
      <c r="M25" s="77">
        <v>15832333</v>
      </c>
      <c r="N25" s="77">
        <v>10920133</v>
      </c>
      <c r="O25" s="267">
        <f>L25+M25+N25</f>
        <v>109431332</v>
      </c>
      <c r="P25" s="77">
        <v>160666400</v>
      </c>
      <c r="Q25" s="192">
        <f>B25+C25+D25+E25+K25+O25+P25</f>
        <v>575479284</v>
      </c>
      <c r="R25" s="77"/>
      <c r="S25" s="202">
        <f>SUM(Q25:R25)</f>
        <v>575479284</v>
      </c>
      <c r="T25" s="77">
        <f>S25-Q25</f>
        <v>0</v>
      </c>
      <c r="U25" s="165"/>
      <c r="V25" s="76"/>
      <c r="W25" s="77"/>
      <c r="X25" s="26">
        <f t="shared" si="6"/>
        <v>0</v>
      </c>
    </row>
    <row r="26" spans="1:24" s="10" customFormat="1" ht="13.5">
      <c r="A26" s="132" t="s">
        <v>245</v>
      </c>
      <c r="B26" s="348">
        <v>36757829</v>
      </c>
      <c r="C26" s="21">
        <v>65098313</v>
      </c>
      <c r="D26" s="21">
        <v>18430175</v>
      </c>
      <c r="E26" s="21">
        <v>67592259</v>
      </c>
      <c r="F26" s="21">
        <v>12589997</v>
      </c>
      <c r="G26" s="21">
        <v>2490840</v>
      </c>
      <c r="H26" s="21">
        <v>11128159</v>
      </c>
      <c r="I26" s="21">
        <v>37501</v>
      </c>
      <c r="J26" s="21">
        <v>5140273</v>
      </c>
      <c r="K26" s="253">
        <f>F26+G26+H26+I26+J26</f>
        <v>31386770</v>
      </c>
      <c r="L26" s="21">
        <v>2429000</v>
      </c>
      <c r="M26" s="21">
        <v>1329875</v>
      </c>
      <c r="N26" s="21">
        <v>4216542</v>
      </c>
      <c r="O26" s="269">
        <f>L26+M26+N26</f>
        <v>7975417</v>
      </c>
      <c r="P26" s="21">
        <v>205815741</v>
      </c>
      <c r="Q26" s="193">
        <f>B26+C26+D26+E26+K26+O26+P26</f>
        <v>433056504</v>
      </c>
      <c r="R26" s="21"/>
      <c r="S26" s="203">
        <f>SUM(Q26:R26)</f>
        <v>433056504</v>
      </c>
      <c r="T26" s="21">
        <f>S26-Q26</f>
        <v>0</v>
      </c>
      <c r="U26" s="167"/>
      <c r="V26" s="75"/>
      <c r="W26" s="21"/>
      <c r="X26" s="26">
        <f t="shared" si="6"/>
        <v>0</v>
      </c>
    </row>
    <row r="27" spans="1:24" s="10" customFormat="1" ht="13.5">
      <c r="A27" s="132" t="s">
        <v>246</v>
      </c>
      <c r="B27" s="348">
        <v>300000</v>
      </c>
      <c r="C27" s="21">
        <v>2331900</v>
      </c>
      <c r="D27" s="21">
        <v>100000</v>
      </c>
      <c r="E27" s="21">
        <v>3445000</v>
      </c>
      <c r="F27" s="21">
        <v>1000000</v>
      </c>
      <c r="G27" s="21">
        <v>395000</v>
      </c>
      <c r="H27" s="21">
        <v>550000</v>
      </c>
      <c r="I27" s="21">
        <v>1045000</v>
      </c>
      <c r="J27" s="21">
        <v>365000</v>
      </c>
      <c r="K27" s="253">
        <f>F27+G27+H27+I27+J27</f>
        <v>3355000</v>
      </c>
      <c r="L27" s="21">
        <v>2220000</v>
      </c>
      <c r="M27" s="21">
        <v>574000</v>
      </c>
      <c r="N27" s="21">
        <v>250000</v>
      </c>
      <c r="O27" s="269">
        <f>L27+M27+N27</f>
        <v>3044000</v>
      </c>
      <c r="P27" s="21">
        <v>5250000</v>
      </c>
      <c r="Q27" s="193">
        <f>B27+C27+D27+E27+K27+O27+P27</f>
        <v>17825900</v>
      </c>
      <c r="R27" s="21"/>
      <c r="S27" s="203">
        <f>SUM(Q27:R27)</f>
        <v>17825900</v>
      </c>
      <c r="T27" s="21">
        <f>S27-Q27</f>
        <v>0</v>
      </c>
      <c r="U27" s="167"/>
      <c r="V27" s="75"/>
      <c r="W27" s="21"/>
      <c r="X27" s="26">
        <f t="shared" si="6"/>
        <v>0</v>
      </c>
    </row>
    <row r="28" spans="1:24" s="10" customFormat="1" ht="14.25" thickBot="1">
      <c r="A28" s="395" t="s">
        <v>346</v>
      </c>
      <c r="B28" s="340">
        <v>0</v>
      </c>
      <c r="C28" s="340">
        <v>0</v>
      </c>
      <c r="D28" s="340">
        <v>0</v>
      </c>
      <c r="E28" s="340">
        <v>0</v>
      </c>
      <c r="F28" s="340">
        <v>0</v>
      </c>
      <c r="G28" s="340">
        <v>0</v>
      </c>
      <c r="H28" s="340">
        <v>0</v>
      </c>
      <c r="I28" s="340">
        <v>0</v>
      </c>
      <c r="J28" s="340">
        <v>0</v>
      </c>
      <c r="K28" s="341">
        <f>F28+G28+H28+I28+J28</f>
        <v>0</v>
      </c>
      <c r="L28" s="340">
        <v>0</v>
      </c>
      <c r="M28" s="340">
        <v>0</v>
      </c>
      <c r="N28" s="340">
        <v>0</v>
      </c>
      <c r="O28" s="342">
        <f>L28+M28+N28</f>
        <v>0</v>
      </c>
      <c r="P28" s="340">
        <v>0</v>
      </c>
      <c r="Q28" s="199">
        <f>B28+C28+D28+E28+K28+O28+P28</f>
        <v>0</v>
      </c>
      <c r="R28" s="340">
        <v>55000000</v>
      </c>
      <c r="S28" s="209">
        <f>SUM(Q28:R28)</f>
        <v>55000000</v>
      </c>
      <c r="T28" s="340">
        <f>S28-Q28</f>
        <v>55000000</v>
      </c>
      <c r="U28" s="343">
        <v>0</v>
      </c>
      <c r="V28" s="344">
        <v>55000000</v>
      </c>
      <c r="W28" s="340"/>
      <c r="X28" s="26">
        <f t="shared" si="6"/>
        <v>55000000</v>
      </c>
    </row>
    <row r="29" spans="1:24" s="12" customFormat="1" ht="15.75" customHeight="1" thickBot="1">
      <c r="A29" s="84" t="s">
        <v>110</v>
      </c>
      <c r="B29" s="23">
        <f aca="true" t="shared" si="14" ref="B29:W29">SUM(B21+B24+B28)</f>
        <v>69286740</v>
      </c>
      <c r="C29" s="23">
        <f t="shared" si="14"/>
        <v>87474662</v>
      </c>
      <c r="D29" s="23">
        <f t="shared" si="14"/>
        <v>50510177</v>
      </c>
      <c r="E29" s="23">
        <f t="shared" si="14"/>
        <v>173917024</v>
      </c>
      <c r="F29" s="23">
        <f t="shared" si="14"/>
        <v>86191397</v>
      </c>
      <c r="G29" s="23">
        <f t="shared" si="14"/>
        <v>22860440</v>
      </c>
      <c r="H29" s="23">
        <f t="shared" si="14"/>
        <v>52490143</v>
      </c>
      <c r="I29" s="23">
        <f t="shared" si="14"/>
        <v>18670801</v>
      </c>
      <c r="J29" s="23">
        <f t="shared" si="14"/>
        <v>16004106</v>
      </c>
      <c r="K29" s="255">
        <f t="shared" si="14"/>
        <v>196216887</v>
      </c>
      <c r="L29" s="23">
        <f t="shared" si="14"/>
        <v>87327866</v>
      </c>
      <c r="M29" s="23">
        <f t="shared" si="14"/>
        <v>17736208</v>
      </c>
      <c r="N29" s="23">
        <f t="shared" si="14"/>
        <v>15386675</v>
      </c>
      <c r="O29" s="271">
        <f t="shared" si="14"/>
        <v>120450749</v>
      </c>
      <c r="P29" s="23">
        <f t="shared" si="14"/>
        <v>371732141</v>
      </c>
      <c r="Q29" s="194">
        <f t="shared" si="14"/>
        <v>1069588380</v>
      </c>
      <c r="R29" s="23">
        <f t="shared" si="14"/>
        <v>1252863412</v>
      </c>
      <c r="S29" s="205">
        <f t="shared" si="14"/>
        <v>2322451792</v>
      </c>
      <c r="T29" s="23">
        <f t="shared" si="14"/>
        <v>1296090104</v>
      </c>
      <c r="U29" s="169">
        <f t="shared" si="14"/>
        <v>896745925</v>
      </c>
      <c r="V29" s="170">
        <f t="shared" si="14"/>
        <v>310021179</v>
      </c>
      <c r="W29" s="23">
        <f t="shared" si="14"/>
        <v>89323000</v>
      </c>
      <c r="X29" s="26">
        <f t="shared" si="6"/>
        <v>1296090104</v>
      </c>
    </row>
    <row r="30" spans="1:24" s="12" customFormat="1" ht="15.75" customHeight="1" thickBot="1">
      <c r="A30" s="80" t="s">
        <v>25</v>
      </c>
      <c r="B30" s="24">
        <f aca="true" t="shared" si="15" ref="B30:J30">B10+B19+B29</f>
        <v>70736740</v>
      </c>
      <c r="C30" s="24">
        <f t="shared" si="15"/>
        <v>190453547</v>
      </c>
      <c r="D30" s="24">
        <f t="shared" si="15"/>
        <v>54510177</v>
      </c>
      <c r="E30" s="24">
        <f t="shared" si="15"/>
        <v>269449824</v>
      </c>
      <c r="F30" s="24">
        <f t="shared" si="15"/>
        <v>86641397</v>
      </c>
      <c r="G30" s="24">
        <f t="shared" si="15"/>
        <v>22860440</v>
      </c>
      <c r="H30" s="24">
        <f t="shared" si="15"/>
        <v>52877143</v>
      </c>
      <c r="I30" s="24">
        <f t="shared" si="15"/>
        <v>18670801</v>
      </c>
      <c r="J30" s="24">
        <f t="shared" si="15"/>
        <v>16004106</v>
      </c>
      <c r="K30" s="261">
        <f>F30+G30+H30+I30+J30</f>
        <v>197053887</v>
      </c>
      <c r="L30" s="24">
        <f>L10+L19+L29</f>
        <v>87827866</v>
      </c>
      <c r="M30" s="24">
        <f>M10+M19+M29</f>
        <v>17836208</v>
      </c>
      <c r="N30" s="24">
        <f>N10+N19+N29</f>
        <v>15470275</v>
      </c>
      <c r="O30" s="277">
        <f>L30+M30+N30</f>
        <v>121134349</v>
      </c>
      <c r="P30" s="24">
        <f>P10+P19+P29</f>
        <v>373432141</v>
      </c>
      <c r="Q30" s="199">
        <f>B30+C30+D30+E30+K30+O30+P30</f>
        <v>1276770665</v>
      </c>
      <c r="R30" s="24">
        <f>R10+R19+R29</f>
        <v>3079714628</v>
      </c>
      <c r="S30" s="209">
        <f>SUM(Q30:R30)</f>
        <v>4356485293</v>
      </c>
      <c r="T30" s="24">
        <f>T10+T19+T21+T24+T28</f>
        <v>3330123605</v>
      </c>
      <c r="U30" s="181">
        <f>U10+U19+U21+U24+U28</f>
        <v>2824660510</v>
      </c>
      <c r="V30" s="182">
        <f>V10+V19+V21+V24+V28</f>
        <v>416140095</v>
      </c>
      <c r="W30" s="24">
        <f>W10+W19+W29</f>
        <v>89323000</v>
      </c>
      <c r="X30" s="26">
        <f t="shared" si="6"/>
        <v>3330123605</v>
      </c>
    </row>
    <row r="31" spans="17:24" s="10" customFormat="1" ht="14.25" thickBot="1">
      <c r="Q31" s="138"/>
      <c r="S31" s="210"/>
      <c r="X31" s="26">
        <f t="shared" si="6"/>
        <v>0</v>
      </c>
    </row>
    <row r="32" spans="1:24" s="10" customFormat="1" ht="99" customHeight="1" thickBot="1">
      <c r="A32" s="134" t="s">
        <v>209</v>
      </c>
      <c r="B32" s="130" t="s">
        <v>56</v>
      </c>
      <c r="C32" s="127" t="s">
        <v>144</v>
      </c>
      <c r="D32" s="126" t="s">
        <v>67</v>
      </c>
      <c r="E32" s="219" t="s">
        <v>163</v>
      </c>
      <c r="F32" s="238" t="s">
        <v>207</v>
      </c>
      <c r="G32" s="238" t="s">
        <v>198</v>
      </c>
      <c r="H32" s="238" t="s">
        <v>199</v>
      </c>
      <c r="I32" s="238" t="s">
        <v>200</v>
      </c>
      <c r="J32" s="238" t="s">
        <v>201</v>
      </c>
      <c r="K32" s="238" t="s">
        <v>202</v>
      </c>
      <c r="L32" s="239" t="s">
        <v>203</v>
      </c>
      <c r="M32" s="239" t="s">
        <v>204</v>
      </c>
      <c r="N32" s="239" t="s">
        <v>205</v>
      </c>
      <c r="O32" s="239" t="s">
        <v>206</v>
      </c>
      <c r="P32" s="219" t="s">
        <v>40</v>
      </c>
      <c r="Q32" s="191" t="s">
        <v>16</v>
      </c>
      <c r="R32" s="128" t="s">
        <v>35</v>
      </c>
      <c r="S32" s="201" t="s">
        <v>150</v>
      </c>
      <c r="T32" s="128" t="s">
        <v>158</v>
      </c>
      <c r="U32" s="160" t="s">
        <v>159</v>
      </c>
      <c r="V32" s="161" t="s">
        <v>161</v>
      </c>
      <c r="W32" s="162" t="s">
        <v>162</v>
      </c>
      <c r="X32" s="26">
        <f t="shared" si="6"/>
        <v>0</v>
      </c>
    </row>
    <row r="33" spans="1:24" s="10" customFormat="1" ht="13.5">
      <c r="A33" s="67" t="s">
        <v>26</v>
      </c>
      <c r="B33" s="20">
        <v>25792478</v>
      </c>
      <c r="C33" s="20">
        <v>55813094</v>
      </c>
      <c r="D33" s="20">
        <v>33427504</v>
      </c>
      <c r="E33" s="20">
        <v>151045309</v>
      </c>
      <c r="F33" s="20">
        <v>62609153</v>
      </c>
      <c r="G33" s="20">
        <v>16151615</v>
      </c>
      <c r="H33" s="20">
        <v>39885696</v>
      </c>
      <c r="I33" s="20">
        <v>12905658</v>
      </c>
      <c r="J33" s="20">
        <v>11644708</v>
      </c>
      <c r="K33" s="256">
        <f aca="true" t="shared" si="16" ref="K33:K52">F33+G33+H33+I33+J33</f>
        <v>143196830</v>
      </c>
      <c r="L33" s="20">
        <v>62885401</v>
      </c>
      <c r="M33" s="20">
        <v>12233424</v>
      </c>
      <c r="N33" s="20">
        <v>10892936</v>
      </c>
      <c r="O33" s="272">
        <f aca="true" t="shared" si="17" ref="O33:O52">L33+M33+N33</f>
        <v>86011761</v>
      </c>
      <c r="P33" s="20">
        <v>244417830</v>
      </c>
      <c r="Q33" s="195">
        <f aca="true" t="shared" si="18" ref="Q33:Q52">B33+C33+D33+E33+K33+O33+P33</f>
        <v>739704806</v>
      </c>
      <c r="R33" s="20">
        <v>52745957</v>
      </c>
      <c r="S33" s="206">
        <f aca="true" t="shared" si="19" ref="S33:S52">SUM(Q33:R33)</f>
        <v>792450763</v>
      </c>
      <c r="T33" s="20">
        <f>S33</f>
        <v>792450763</v>
      </c>
      <c r="U33" s="165">
        <v>700339472</v>
      </c>
      <c r="V33" s="76">
        <v>36023291</v>
      </c>
      <c r="W33" s="77">
        <v>56088000</v>
      </c>
      <c r="X33" s="26">
        <f t="shared" si="6"/>
        <v>792450763</v>
      </c>
    </row>
    <row r="34" spans="1:24" s="10" customFormat="1" ht="13.5">
      <c r="A34" s="79" t="s">
        <v>27</v>
      </c>
      <c r="B34" s="21">
        <v>4947416</v>
      </c>
      <c r="C34" s="21">
        <v>10922823</v>
      </c>
      <c r="D34" s="21">
        <v>6547373</v>
      </c>
      <c r="E34" s="21">
        <v>32195445</v>
      </c>
      <c r="F34" s="21">
        <v>13961984</v>
      </c>
      <c r="G34" s="21">
        <v>3135525</v>
      </c>
      <c r="H34" s="21">
        <v>7717917</v>
      </c>
      <c r="I34" s="21">
        <v>2501393</v>
      </c>
      <c r="J34" s="21">
        <v>2251998</v>
      </c>
      <c r="K34" s="253">
        <f t="shared" si="16"/>
        <v>29568817</v>
      </c>
      <c r="L34" s="21">
        <v>12078415</v>
      </c>
      <c r="M34" s="21">
        <v>2397084</v>
      </c>
      <c r="N34" s="21">
        <v>2059889</v>
      </c>
      <c r="O34" s="269">
        <f t="shared" si="17"/>
        <v>16535388</v>
      </c>
      <c r="P34" s="21">
        <v>55100372</v>
      </c>
      <c r="Q34" s="195">
        <f t="shared" si="18"/>
        <v>155817634</v>
      </c>
      <c r="R34" s="21">
        <v>10638412</v>
      </c>
      <c r="S34" s="203">
        <f t="shared" si="19"/>
        <v>166456046</v>
      </c>
      <c r="T34" s="21">
        <f>S34</f>
        <v>166456046</v>
      </c>
      <c r="U34" s="167">
        <v>145296912</v>
      </c>
      <c r="V34" s="75">
        <v>7274134</v>
      </c>
      <c r="W34" s="21">
        <v>13885000</v>
      </c>
      <c r="X34" s="26">
        <f t="shared" si="6"/>
        <v>166456046</v>
      </c>
    </row>
    <row r="35" spans="1:24" s="10" customFormat="1" ht="13.5">
      <c r="A35" s="79" t="s">
        <v>15</v>
      </c>
      <c r="B35" s="21">
        <v>14785232</v>
      </c>
      <c r="C35" s="21">
        <v>119723498</v>
      </c>
      <c r="D35" s="21">
        <v>14116276</v>
      </c>
      <c r="E35" s="21">
        <v>80984070</v>
      </c>
      <c r="F35" s="21">
        <v>9070260</v>
      </c>
      <c r="G35" s="21">
        <v>3178300</v>
      </c>
      <c r="H35" s="21">
        <v>4723530</v>
      </c>
      <c r="I35" s="21">
        <v>2218750</v>
      </c>
      <c r="J35" s="21">
        <v>1742400</v>
      </c>
      <c r="K35" s="253">
        <f t="shared" si="16"/>
        <v>20933240</v>
      </c>
      <c r="L35" s="21">
        <v>10644050</v>
      </c>
      <c r="M35" s="21">
        <v>2631700</v>
      </c>
      <c r="N35" s="21">
        <v>2267450</v>
      </c>
      <c r="O35" s="269">
        <f t="shared" si="17"/>
        <v>15543200</v>
      </c>
      <c r="P35" s="21">
        <v>68663939</v>
      </c>
      <c r="Q35" s="195">
        <f t="shared" si="18"/>
        <v>334749455</v>
      </c>
      <c r="R35" s="21">
        <v>686307331</v>
      </c>
      <c r="S35" s="203">
        <f t="shared" si="19"/>
        <v>1021056786</v>
      </c>
      <c r="T35" s="21">
        <f>S35</f>
        <v>1021056786</v>
      </c>
      <c r="U35" s="167">
        <v>789111929</v>
      </c>
      <c r="V35" s="75">
        <v>212594857</v>
      </c>
      <c r="W35" s="21">
        <v>19350000</v>
      </c>
      <c r="X35" s="26">
        <f t="shared" si="6"/>
        <v>1021056786</v>
      </c>
    </row>
    <row r="36" spans="1:24" s="10" customFormat="1" ht="13.5">
      <c r="A36" s="79" t="s">
        <v>28</v>
      </c>
      <c r="B36" s="21"/>
      <c r="C36" s="21"/>
      <c r="D36" s="21"/>
      <c r="E36" s="21"/>
      <c r="F36" s="21"/>
      <c r="G36" s="21"/>
      <c r="H36" s="21"/>
      <c r="I36" s="21"/>
      <c r="J36" s="21"/>
      <c r="K36" s="253">
        <f t="shared" si="16"/>
        <v>0</v>
      </c>
      <c r="L36" s="21"/>
      <c r="M36" s="21"/>
      <c r="N36" s="21"/>
      <c r="O36" s="269">
        <f t="shared" si="17"/>
        <v>0</v>
      </c>
      <c r="P36" s="21"/>
      <c r="Q36" s="195">
        <f t="shared" si="18"/>
        <v>0</v>
      </c>
      <c r="R36" s="21">
        <v>24500000</v>
      </c>
      <c r="S36" s="203">
        <f t="shared" si="19"/>
        <v>24500000</v>
      </c>
      <c r="T36" s="21">
        <f>S36</f>
        <v>24500000</v>
      </c>
      <c r="U36" s="167">
        <v>24500000</v>
      </c>
      <c r="V36" s="75"/>
      <c r="W36" s="21"/>
      <c r="X36" s="26">
        <f aca="true" t="shared" si="20" ref="X36:X67">SUM(U36:W36)</f>
        <v>24500000</v>
      </c>
    </row>
    <row r="37" spans="1:24" s="10" customFormat="1" ht="13.5">
      <c r="A37" s="79" t="s">
        <v>125</v>
      </c>
      <c r="B37" s="21">
        <f aca="true" t="shared" si="21" ref="B37:J37">SUM(B38:B41)</f>
        <v>0</v>
      </c>
      <c r="C37" s="21">
        <f t="shared" si="21"/>
        <v>0</v>
      </c>
      <c r="D37" s="21">
        <f t="shared" si="21"/>
        <v>0</v>
      </c>
      <c r="E37" s="21">
        <f t="shared" si="21"/>
        <v>0</v>
      </c>
      <c r="F37" s="21">
        <f t="shared" si="21"/>
        <v>0</v>
      </c>
      <c r="G37" s="21">
        <f t="shared" si="21"/>
        <v>0</v>
      </c>
      <c r="H37" s="21">
        <f t="shared" si="21"/>
        <v>0</v>
      </c>
      <c r="I37" s="21">
        <f t="shared" si="21"/>
        <v>0</v>
      </c>
      <c r="J37" s="21">
        <f t="shared" si="21"/>
        <v>0</v>
      </c>
      <c r="K37" s="253">
        <f t="shared" si="16"/>
        <v>0</v>
      </c>
      <c r="L37" s="21">
        <f>SUM(L38:L41)</f>
        <v>0</v>
      </c>
      <c r="M37" s="21">
        <f>SUM(M38:M41)</f>
        <v>0</v>
      </c>
      <c r="N37" s="21">
        <f>SUM(N38:N41)</f>
        <v>0</v>
      </c>
      <c r="O37" s="269">
        <f t="shared" si="17"/>
        <v>0</v>
      </c>
      <c r="P37" s="21">
        <f>SUM(P38:P41)</f>
        <v>0</v>
      </c>
      <c r="Q37" s="193">
        <f t="shared" si="18"/>
        <v>0</v>
      </c>
      <c r="R37" s="21">
        <f>SUM(R38:R41)</f>
        <v>89856818</v>
      </c>
      <c r="S37" s="203">
        <f t="shared" si="19"/>
        <v>89856818</v>
      </c>
      <c r="T37" s="21">
        <f>SUM(T38:T41)</f>
        <v>89856818</v>
      </c>
      <c r="U37" s="167">
        <f>SUM(U38:U41)</f>
        <v>40727072</v>
      </c>
      <c r="V37" s="75">
        <f>SUM(V38:V41)</f>
        <v>49129746</v>
      </c>
      <c r="W37" s="21">
        <f>SUM(W38:W41)</f>
        <v>0</v>
      </c>
      <c r="X37" s="26">
        <f t="shared" si="20"/>
        <v>89856818</v>
      </c>
    </row>
    <row r="38" spans="1:24" s="10" customFormat="1" ht="13.5">
      <c r="A38" s="89" t="s">
        <v>111</v>
      </c>
      <c r="B38" s="90"/>
      <c r="C38" s="90"/>
      <c r="D38" s="90"/>
      <c r="E38" s="90"/>
      <c r="F38" s="90"/>
      <c r="G38" s="90"/>
      <c r="H38" s="90"/>
      <c r="I38" s="90"/>
      <c r="J38" s="90"/>
      <c r="K38" s="252">
        <f t="shared" si="16"/>
        <v>0</v>
      </c>
      <c r="L38" s="90"/>
      <c r="M38" s="90"/>
      <c r="N38" s="90"/>
      <c r="O38" s="268">
        <f t="shared" si="17"/>
        <v>0</v>
      </c>
      <c r="P38" s="90"/>
      <c r="Q38" s="193">
        <f t="shared" si="18"/>
        <v>0</v>
      </c>
      <c r="R38" s="90"/>
      <c r="S38" s="203">
        <f t="shared" si="19"/>
        <v>0</v>
      </c>
      <c r="T38" s="90">
        <f>S38</f>
        <v>0</v>
      </c>
      <c r="U38" s="166">
        <v>0</v>
      </c>
      <c r="V38" s="92"/>
      <c r="W38" s="90"/>
      <c r="X38" s="26">
        <f t="shared" si="20"/>
        <v>0</v>
      </c>
    </row>
    <row r="39" spans="1:24" s="10" customFormat="1" ht="13.5">
      <c r="A39" s="89" t="s">
        <v>146</v>
      </c>
      <c r="B39" s="90"/>
      <c r="C39" s="90"/>
      <c r="D39" s="90"/>
      <c r="E39" s="90"/>
      <c r="F39" s="90"/>
      <c r="G39" s="90"/>
      <c r="H39" s="90"/>
      <c r="I39" s="90"/>
      <c r="J39" s="90"/>
      <c r="K39" s="252">
        <f t="shared" si="16"/>
        <v>0</v>
      </c>
      <c r="L39" s="90"/>
      <c r="M39" s="90"/>
      <c r="N39" s="90"/>
      <c r="O39" s="268">
        <f t="shared" si="17"/>
        <v>0</v>
      </c>
      <c r="P39" s="90"/>
      <c r="Q39" s="193">
        <f t="shared" si="18"/>
        <v>0</v>
      </c>
      <c r="R39" s="90">
        <v>4103300</v>
      </c>
      <c r="S39" s="203">
        <f t="shared" si="19"/>
        <v>4103300</v>
      </c>
      <c r="T39" s="90">
        <f>S39</f>
        <v>4103300</v>
      </c>
      <c r="U39" s="166">
        <v>2303300</v>
      </c>
      <c r="V39" s="92">
        <v>1800000</v>
      </c>
      <c r="W39" s="90"/>
      <c r="X39" s="26">
        <f t="shared" si="20"/>
        <v>4103300</v>
      </c>
    </row>
    <row r="40" spans="1:24" s="10" customFormat="1" ht="13.5">
      <c r="A40" s="89" t="s">
        <v>147</v>
      </c>
      <c r="B40" s="90"/>
      <c r="C40" s="90"/>
      <c r="D40" s="90"/>
      <c r="E40" s="90"/>
      <c r="F40" s="90"/>
      <c r="G40" s="90"/>
      <c r="H40" s="90"/>
      <c r="I40" s="90"/>
      <c r="J40" s="90"/>
      <c r="K40" s="252">
        <f t="shared" si="16"/>
        <v>0</v>
      </c>
      <c r="L40" s="90"/>
      <c r="M40" s="90"/>
      <c r="N40" s="90"/>
      <c r="O40" s="268">
        <f t="shared" si="17"/>
        <v>0</v>
      </c>
      <c r="P40" s="90"/>
      <c r="Q40" s="193">
        <f t="shared" si="18"/>
        <v>0</v>
      </c>
      <c r="R40" s="90">
        <v>63173339</v>
      </c>
      <c r="S40" s="203">
        <f t="shared" si="19"/>
        <v>63173339</v>
      </c>
      <c r="T40" s="90">
        <f>S40</f>
        <v>63173339</v>
      </c>
      <c r="U40" s="166">
        <v>35923772</v>
      </c>
      <c r="V40" s="92">
        <v>27249567</v>
      </c>
      <c r="W40" s="90"/>
      <c r="X40" s="26">
        <f t="shared" si="20"/>
        <v>63173339</v>
      </c>
    </row>
    <row r="41" spans="1:24" s="10" customFormat="1" ht="14.25" thickBot="1">
      <c r="A41" s="89" t="s">
        <v>126</v>
      </c>
      <c r="B41" s="22"/>
      <c r="C41" s="22"/>
      <c r="D41" s="22"/>
      <c r="E41" s="22"/>
      <c r="F41" s="22"/>
      <c r="G41" s="22"/>
      <c r="H41" s="22"/>
      <c r="I41" s="22"/>
      <c r="J41" s="22"/>
      <c r="K41" s="260">
        <f t="shared" si="16"/>
        <v>0</v>
      </c>
      <c r="L41" s="22"/>
      <c r="M41" s="22"/>
      <c r="N41" s="22"/>
      <c r="O41" s="276">
        <f t="shared" si="17"/>
        <v>0</v>
      </c>
      <c r="P41" s="22"/>
      <c r="Q41" s="193">
        <f t="shared" si="18"/>
        <v>0</v>
      </c>
      <c r="R41" s="22">
        <v>22580179</v>
      </c>
      <c r="S41" s="208">
        <f t="shared" si="19"/>
        <v>22580179</v>
      </c>
      <c r="T41" s="22">
        <f>S41</f>
        <v>22580179</v>
      </c>
      <c r="U41" s="179">
        <v>2500000</v>
      </c>
      <c r="V41" s="180">
        <v>20080179</v>
      </c>
      <c r="W41" s="22"/>
      <c r="X41" s="26">
        <f t="shared" si="20"/>
        <v>22580179</v>
      </c>
    </row>
    <row r="42" spans="1:24" s="10" customFormat="1" ht="14.25" thickBot="1">
      <c r="A42" s="84" t="s">
        <v>117</v>
      </c>
      <c r="B42" s="23">
        <f aca="true" t="shared" si="22" ref="B42:J42">B33+B34+B35+B36+B37</f>
        <v>45525126</v>
      </c>
      <c r="C42" s="23">
        <f t="shared" si="22"/>
        <v>186459415</v>
      </c>
      <c r="D42" s="23">
        <f t="shared" si="22"/>
        <v>54091153</v>
      </c>
      <c r="E42" s="23">
        <f t="shared" si="22"/>
        <v>264224824</v>
      </c>
      <c r="F42" s="23">
        <f t="shared" si="22"/>
        <v>85641397</v>
      </c>
      <c r="G42" s="23">
        <f t="shared" si="22"/>
        <v>22465440</v>
      </c>
      <c r="H42" s="23">
        <f t="shared" si="22"/>
        <v>52327143</v>
      </c>
      <c r="I42" s="23">
        <f t="shared" si="22"/>
        <v>17625801</v>
      </c>
      <c r="J42" s="23">
        <f t="shared" si="22"/>
        <v>15639106</v>
      </c>
      <c r="K42" s="255">
        <f t="shared" si="16"/>
        <v>193698887</v>
      </c>
      <c r="L42" s="23">
        <f>L33+L34+L35+L36+L37</f>
        <v>85607866</v>
      </c>
      <c r="M42" s="23">
        <f>M33+M34+M35+M36+M37</f>
        <v>17262208</v>
      </c>
      <c r="N42" s="23">
        <f>N33+N34+N35+N36+N37</f>
        <v>15220275</v>
      </c>
      <c r="O42" s="271">
        <f t="shared" si="17"/>
        <v>118090349</v>
      </c>
      <c r="P42" s="23">
        <f>P33+P34+P35+P36+P37</f>
        <v>368182141</v>
      </c>
      <c r="Q42" s="194">
        <f t="shared" si="18"/>
        <v>1230271895</v>
      </c>
      <c r="R42" s="23">
        <f>R33+R34+R35+R36+R37</f>
        <v>864048518</v>
      </c>
      <c r="S42" s="205">
        <f t="shared" si="19"/>
        <v>2094320413</v>
      </c>
      <c r="T42" s="23">
        <f>T33+T34+T35+T36+T37</f>
        <v>2094320413</v>
      </c>
      <c r="U42" s="169">
        <f>U33+U34+U35+U36+U37</f>
        <v>1699975385</v>
      </c>
      <c r="V42" s="170">
        <f>V33+V34+V35+V36+V37</f>
        <v>305022028</v>
      </c>
      <c r="W42" s="23">
        <f>W33+W34+W35+W36+W37</f>
        <v>89323000</v>
      </c>
      <c r="X42" s="26">
        <f t="shared" si="20"/>
        <v>2094320413</v>
      </c>
    </row>
    <row r="43" spans="1:24" s="10" customFormat="1" ht="13.5">
      <c r="A43" s="67" t="s">
        <v>61</v>
      </c>
      <c r="B43" s="21">
        <v>5111725</v>
      </c>
      <c r="C43" s="21">
        <v>3894132</v>
      </c>
      <c r="D43" s="21">
        <v>319024</v>
      </c>
      <c r="E43" s="21">
        <v>4898000</v>
      </c>
      <c r="F43" s="21">
        <v>900000</v>
      </c>
      <c r="G43" s="21">
        <v>105000</v>
      </c>
      <c r="H43" s="21">
        <v>500000</v>
      </c>
      <c r="I43" s="21">
        <v>295000</v>
      </c>
      <c r="J43" s="21">
        <v>315000</v>
      </c>
      <c r="K43" s="253">
        <f t="shared" si="16"/>
        <v>2115000</v>
      </c>
      <c r="L43" s="21">
        <v>2120000</v>
      </c>
      <c r="M43" s="21">
        <v>320000</v>
      </c>
      <c r="N43" s="21">
        <v>200000</v>
      </c>
      <c r="O43" s="269">
        <f t="shared" si="17"/>
        <v>2640000</v>
      </c>
      <c r="P43" s="21">
        <v>5000000</v>
      </c>
      <c r="Q43" s="193">
        <f t="shared" si="18"/>
        <v>23977881</v>
      </c>
      <c r="R43" s="21">
        <v>1089190299</v>
      </c>
      <c r="S43" s="203">
        <f t="shared" si="19"/>
        <v>1113168180</v>
      </c>
      <c r="T43" s="21">
        <f>S43</f>
        <v>1113168180</v>
      </c>
      <c r="U43" s="167">
        <f>1113168180-V43</f>
        <v>1022076351</v>
      </c>
      <c r="V43" s="75">
        <v>91091829</v>
      </c>
      <c r="W43" s="21"/>
      <c r="X43" s="26">
        <f t="shared" si="20"/>
        <v>1113168180</v>
      </c>
    </row>
    <row r="44" spans="1:24" s="10" customFormat="1" ht="13.5">
      <c r="A44" s="88" t="s">
        <v>17</v>
      </c>
      <c r="B44" s="20">
        <v>20099889</v>
      </c>
      <c r="C44" s="20">
        <v>100000</v>
      </c>
      <c r="D44" s="20">
        <v>100000</v>
      </c>
      <c r="E44" s="20">
        <v>327000</v>
      </c>
      <c r="F44" s="20">
        <v>100000</v>
      </c>
      <c r="G44" s="20">
        <v>290000</v>
      </c>
      <c r="H44" s="20">
        <v>50000</v>
      </c>
      <c r="I44" s="20">
        <v>750000</v>
      </c>
      <c r="J44" s="20">
        <v>50000</v>
      </c>
      <c r="K44" s="256">
        <f t="shared" si="16"/>
        <v>1240000</v>
      </c>
      <c r="L44" s="20">
        <v>100000</v>
      </c>
      <c r="M44" s="20">
        <v>254000</v>
      </c>
      <c r="N44" s="20">
        <v>50000</v>
      </c>
      <c r="O44" s="272">
        <f t="shared" si="17"/>
        <v>404000</v>
      </c>
      <c r="P44" s="20">
        <v>250000</v>
      </c>
      <c r="Q44" s="193">
        <f t="shared" si="18"/>
        <v>22520889</v>
      </c>
      <c r="R44" s="20">
        <v>47501698</v>
      </c>
      <c r="S44" s="206">
        <f t="shared" si="19"/>
        <v>70022587</v>
      </c>
      <c r="T44" s="20">
        <f>S44</f>
        <v>70022587</v>
      </c>
      <c r="U44" s="171">
        <v>70022587</v>
      </c>
      <c r="V44" s="172"/>
      <c r="W44" s="20"/>
      <c r="X44" s="26">
        <f t="shared" si="20"/>
        <v>70022587</v>
      </c>
    </row>
    <row r="45" spans="1:24" s="10" customFormat="1" ht="13.5">
      <c r="A45" s="79" t="s">
        <v>91</v>
      </c>
      <c r="B45" s="21">
        <f aca="true" t="shared" si="23" ref="B45:J45">SUM(B46:B48)</f>
        <v>0</v>
      </c>
      <c r="C45" s="21">
        <f t="shared" si="23"/>
        <v>0</v>
      </c>
      <c r="D45" s="21">
        <f t="shared" si="23"/>
        <v>0</v>
      </c>
      <c r="E45" s="21">
        <f t="shared" si="23"/>
        <v>0</v>
      </c>
      <c r="F45" s="21">
        <f t="shared" si="23"/>
        <v>0</v>
      </c>
      <c r="G45" s="21">
        <f t="shared" si="23"/>
        <v>0</v>
      </c>
      <c r="H45" s="21">
        <f t="shared" si="23"/>
        <v>0</v>
      </c>
      <c r="I45" s="21">
        <f t="shared" si="23"/>
        <v>0</v>
      </c>
      <c r="J45" s="21">
        <f t="shared" si="23"/>
        <v>0</v>
      </c>
      <c r="K45" s="253">
        <f t="shared" si="16"/>
        <v>0</v>
      </c>
      <c r="L45" s="21">
        <f>SUM(L46:L48)</f>
        <v>0</v>
      </c>
      <c r="M45" s="21">
        <f>SUM(M46:M48)</f>
        <v>0</v>
      </c>
      <c r="N45" s="21">
        <f>SUM(N46:N48)</f>
        <v>0</v>
      </c>
      <c r="O45" s="269">
        <f t="shared" si="17"/>
        <v>0</v>
      </c>
      <c r="P45" s="21">
        <f>SUM(P46:P48)</f>
        <v>0</v>
      </c>
      <c r="Q45" s="193">
        <f t="shared" si="18"/>
        <v>0</v>
      </c>
      <c r="R45" s="21">
        <f>SUM(R46:R48)</f>
        <v>22669207</v>
      </c>
      <c r="S45" s="203">
        <f t="shared" si="19"/>
        <v>22669207</v>
      </c>
      <c r="T45" s="21">
        <f>SUM(T46:T48)</f>
        <v>22669207</v>
      </c>
      <c r="U45" s="167">
        <f>SUM(U46:U48)</f>
        <v>11604000</v>
      </c>
      <c r="V45" s="75">
        <f>SUM(V46:V48)</f>
        <v>11065207</v>
      </c>
      <c r="W45" s="21">
        <f>SUM(W46:W48)</f>
        <v>0</v>
      </c>
      <c r="X45" s="26">
        <f t="shared" si="20"/>
        <v>22669207</v>
      </c>
    </row>
    <row r="46" spans="1:24" s="10" customFormat="1" ht="13.5">
      <c r="A46" s="89" t="s">
        <v>153</v>
      </c>
      <c r="B46" s="90"/>
      <c r="C46" s="90"/>
      <c r="D46" s="90"/>
      <c r="E46" s="90"/>
      <c r="F46" s="90"/>
      <c r="G46" s="90"/>
      <c r="H46" s="90"/>
      <c r="I46" s="90"/>
      <c r="J46" s="90"/>
      <c r="K46" s="252">
        <f t="shared" si="16"/>
        <v>0</v>
      </c>
      <c r="L46" s="90"/>
      <c r="M46" s="90"/>
      <c r="N46" s="90"/>
      <c r="O46" s="268">
        <f t="shared" si="17"/>
        <v>0</v>
      </c>
      <c r="P46" s="90"/>
      <c r="Q46" s="193">
        <f t="shared" si="18"/>
        <v>0</v>
      </c>
      <c r="R46" s="90">
        <v>1165207</v>
      </c>
      <c r="S46" s="203">
        <f t="shared" si="19"/>
        <v>1165207</v>
      </c>
      <c r="T46" s="90">
        <f>S46</f>
        <v>1165207</v>
      </c>
      <c r="U46" s="166"/>
      <c r="V46" s="92">
        <v>1165207</v>
      </c>
      <c r="W46" s="90"/>
      <c r="X46" s="26">
        <f t="shared" si="20"/>
        <v>1165207</v>
      </c>
    </row>
    <row r="47" spans="1:24" s="10" customFormat="1" ht="13.5">
      <c r="A47" s="89" t="s">
        <v>154</v>
      </c>
      <c r="B47" s="90"/>
      <c r="C47" s="90"/>
      <c r="D47" s="90"/>
      <c r="E47" s="90"/>
      <c r="F47" s="90"/>
      <c r="G47" s="90"/>
      <c r="H47" s="90"/>
      <c r="I47" s="90"/>
      <c r="J47" s="90"/>
      <c r="K47" s="252">
        <f t="shared" si="16"/>
        <v>0</v>
      </c>
      <c r="L47" s="90"/>
      <c r="M47" s="90"/>
      <c r="N47" s="90"/>
      <c r="O47" s="268">
        <f t="shared" si="17"/>
        <v>0</v>
      </c>
      <c r="P47" s="90"/>
      <c r="Q47" s="193">
        <f t="shared" si="18"/>
        <v>0</v>
      </c>
      <c r="R47" s="90">
        <v>11604000</v>
      </c>
      <c r="S47" s="203">
        <f t="shared" si="19"/>
        <v>11604000</v>
      </c>
      <c r="T47" s="90">
        <f>S47</f>
        <v>11604000</v>
      </c>
      <c r="U47" s="166">
        <v>11604000</v>
      </c>
      <c r="V47" s="92"/>
      <c r="W47" s="90"/>
      <c r="X47" s="26">
        <f t="shared" si="20"/>
        <v>11604000</v>
      </c>
    </row>
    <row r="48" spans="1:24" s="10" customFormat="1" ht="14.25" thickBot="1">
      <c r="A48" s="89" t="s">
        <v>155</v>
      </c>
      <c r="B48" s="91"/>
      <c r="C48" s="91"/>
      <c r="D48" s="91"/>
      <c r="E48" s="91"/>
      <c r="F48" s="91"/>
      <c r="G48" s="91"/>
      <c r="H48" s="91"/>
      <c r="I48" s="91"/>
      <c r="J48" s="91"/>
      <c r="K48" s="262">
        <f t="shared" si="16"/>
        <v>0</v>
      </c>
      <c r="L48" s="91"/>
      <c r="M48" s="91"/>
      <c r="N48" s="91"/>
      <c r="O48" s="278">
        <f t="shared" si="17"/>
        <v>0</v>
      </c>
      <c r="P48" s="91"/>
      <c r="Q48" s="193">
        <f t="shared" si="18"/>
        <v>0</v>
      </c>
      <c r="R48" s="91">
        <v>9900000</v>
      </c>
      <c r="S48" s="208">
        <f t="shared" si="19"/>
        <v>9900000</v>
      </c>
      <c r="T48" s="91">
        <f>S48</f>
        <v>9900000</v>
      </c>
      <c r="U48" s="183"/>
      <c r="V48" s="93">
        <v>9900000</v>
      </c>
      <c r="W48" s="91"/>
      <c r="X48" s="26">
        <f t="shared" si="20"/>
        <v>9900000</v>
      </c>
    </row>
    <row r="49" spans="1:24" s="10" customFormat="1" ht="14.25" thickBot="1">
      <c r="A49" s="84" t="s">
        <v>118</v>
      </c>
      <c r="B49" s="23">
        <f aca="true" t="shared" si="24" ref="B49:J49">B43+B44+B45</f>
        <v>25211614</v>
      </c>
      <c r="C49" s="23">
        <f t="shared" si="24"/>
        <v>3994132</v>
      </c>
      <c r="D49" s="23">
        <f t="shared" si="24"/>
        <v>419024</v>
      </c>
      <c r="E49" s="23">
        <f t="shared" si="24"/>
        <v>5225000</v>
      </c>
      <c r="F49" s="23">
        <f t="shared" si="24"/>
        <v>1000000</v>
      </c>
      <c r="G49" s="23">
        <f t="shared" si="24"/>
        <v>395000</v>
      </c>
      <c r="H49" s="23">
        <f t="shared" si="24"/>
        <v>550000</v>
      </c>
      <c r="I49" s="23">
        <f t="shared" si="24"/>
        <v>1045000</v>
      </c>
      <c r="J49" s="23">
        <f t="shared" si="24"/>
        <v>365000</v>
      </c>
      <c r="K49" s="255">
        <f t="shared" si="16"/>
        <v>3355000</v>
      </c>
      <c r="L49" s="23">
        <f>L43+L44+L45</f>
        <v>2220000</v>
      </c>
      <c r="M49" s="23">
        <f>M43+M44+M45</f>
        <v>574000</v>
      </c>
      <c r="N49" s="23">
        <f>N43+N44+N45</f>
        <v>250000</v>
      </c>
      <c r="O49" s="271">
        <f t="shared" si="17"/>
        <v>3044000</v>
      </c>
      <c r="P49" s="23">
        <f>P43+P44+P45</f>
        <v>5250000</v>
      </c>
      <c r="Q49" s="194">
        <f t="shared" si="18"/>
        <v>46498770</v>
      </c>
      <c r="R49" s="23">
        <f>R43+R44+R45</f>
        <v>1159361204</v>
      </c>
      <c r="S49" s="205">
        <f t="shared" si="19"/>
        <v>1205859974</v>
      </c>
      <c r="T49" s="23">
        <f>T43+T44+T45</f>
        <v>1205859974</v>
      </c>
      <c r="U49" s="169">
        <f>U43+U44+U45</f>
        <v>1103702938</v>
      </c>
      <c r="V49" s="170">
        <f>V43+V44+V45</f>
        <v>102157036</v>
      </c>
      <c r="W49" s="23">
        <f>W43+W44+W45</f>
        <v>0</v>
      </c>
      <c r="X49" s="26">
        <f t="shared" si="20"/>
        <v>1205859974</v>
      </c>
    </row>
    <row r="50" spans="1:24" s="12" customFormat="1" ht="15.75" customHeight="1" thickBot="1">
      <c r="A50" s="86" t="s">
        <v>119</v>
      </c>
      <c r="B50" s="85">
        <f aca="true" t="shared" si="25" ref="B50:J50">B49+B42</f>
        <v>70736740</v>
      </c>
      <c r="C50" s="85">
        <f t="shared" si="25"/>
        <v>190453547</v>
      </c>
      <c r="D50" s="85">
        <f t="shared" si="25"/>
        <v>54510177</v>
      </c>
      <c r="E50" s="85">
        <f t="shared" si="25"/>
        <v>269449824</v>
      </c>
      <c r="F50" s="85">
        <f t="shared" si="25"/>
        <v>86641397</v>
      </c>
      <c r="G50" s="85">
        <f t="shared" si="25"/>
        <v>22860440</v>
      </c>
      <c r="H50" s="85">
        <f t="shared" si="25"/>
        <v>52877143</v>
      </c>
      <c r="I50" s="85">
        <f t="shared" si="25"/>
        <v>18670801</v>
      </c>
      <c r="J50" s="85">
        <f t="shared" si="25"/>
        <v>16004106</v>
      </c>
      <c r="K50" s="259">
        <f t="shared" si="16"/>
        <v>197053887</v>
      </c>
      <c r="L50" s="85">
        <f>L49+L42</f>
        <v>87827866</v>
      </c>
      <c r="M50" s="85">
        <f>M49+M42</f>
        <v>17836208</v>
      </c>
      <c r="N50" s="85">
        <f>N49+N42</f>
        <v>15470275</v>
      </c>
      <c r="O50" s="275">
        <f t="shared" si="17"/>
        <v>121134349</v>
      </c>
      <c r="P50" s="85">
        <f>P49+P42</f>
        <v>373432141</v>
      </c>
      <c r="Q50" s="196">
        <f t="shared" si="18"/>
        <v>1276770665</v>
      </c>
      <c r="R50" s="85">
        <f>R49+R42</f>
        <v>2023409722</v>
      </c>
      <c r="S50" s="207">
        <f t="shared" si="19"/>
        <v>3300180387</v>
      </c>
      <c r="T50" s="85">
        <f>T49+T42</f>
        <v>3300180387</v>
      </c>
      <c r="U50" s="177">
        <f>U49+U42</f>
        <v>2803678323</v>
      </c>
      <c r="V50" s="178">
        <f>V49+V42</f>
        <v>407179064</v>
      </c>
      <c r="W50" s="85">
        <f>W49+W42</f>
        <v>89323000</v>
      </c>
      <c r="X50" s="26">
        <f t="shared" si="20"/>
        <v>3300180387</v>
      </c>
    </row>
    <row r="51" spans="1:25" s="10" customFormat="1" ht="15.75" customHeight="1" thickBot="1">
      <c r="A51" s="98" t="s">
        <v>120</v>
      </c>
      <c r="B51" s="96">
        <v>0</v>
      </c>
      <c r="C51" s="96"/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263">
        <f t="shared" si="16"/>
        <v>0</v>
      </c>
      <c r="L51" s="96">
        <v>0</v>
      </c>
      <c r="M51" s="96">
        <v>0</v>
      </c>
      <c r="N51" s="96">
        <v>0</v>
      </c>
      <c r="O51" s="279">
        <f t="shared" si="17"/>
        <v>0</v>
      </c>
      <c r="P51" s="96">
        <v>0</v>
      </c>
      <c r="Q51" s="194">
        <f t="shared" si="18"/>
        <v>0</v>
      </c>
      <c r="R51" s="96">
        <v>1056304906</v>
      </c>
      <c r="S51" s="205">
        <f t="shared" si="19"/>
        <v>1056304906</v>
      </c>
      <c r="T51" s="96">
        <f>S51-Q24</f>
        <v>29943218</v>
      </c>
      <c r="U51" s="184">
        <v>29943218</v>
      </c>
      <c r="V51" s="97"/>
      <c r="W51" s="96"/>
      <c r="X51" s="26">
        <f t="shared" si="20"/>
        <v>29943218</v>
      </c>
      <c r="Y51" s="26"/>
    </row>
    <row r="52" spans="1:24" s="12" customFormat="1" ht="15.75" customHeight="1" thickBot="1">
      <c r="A52" s="80" t="s">
        <v>29</v>
      </c>
      <c r="B52" s="24">
        <f aca="true" t="shared" si="26" ref="B52:J52">B51+B50</f>
        <v>70736740</v>
      </c>
      <c r="C52" s="24">
        <f t="shared" si="26"/>
        <v>190453547</v>
      </c>
      <c r="D52" s="24">
        <f t="shared" si="26"/>
        <v>54510177</v>
      </c>
      <c r="E52" s="24">
        <f t="shared" si="26"/>
        <v>269449824</v>
      </c>
      <c r="F52" s="24">
        <f t="shared" si="26"/>
        <v>86641397</v>
      </c>
      <c r="G52" s="24">
        <f t="shared" si="26"/>
        <v>22860440</v>
      </c>
      <c r="H52" s="24">
        <f t="shared" si="26"/>
        <v>52877143</v>
      </c>
      <c r="I52" s="24">
        <f t="shared" si="26"/>
        <v>18670801</v>
      </c>
      <c r="J52" s="24">
        <f t="shared" si="26"/>
        <v>16004106</v>
      </c>
      <c r="K52" s="261">
        <f t="shared" si="16"/>
        <v>197053887</v>
      </c>
      <c r="L52" s="24">
        <f>L51+L50</f>
        <v>87827866</v>
      </c>
      <c r="M52" s="24">
        <f>M51+M50</f>
        <v>17836208</v>
      </c>
      <c r="N52" s="24">
        <f>N51+N50</f>
        <v>15470275</v>
      </c>
      <c r="O52" s="277">
        <f t="shared" si="17"/>
        <v>121134349</v>
      </c>
      <c r="P52" s="24">
        <f>P51+P50</f>
        <v>373432141</v>
      </c>
      <c r="Q52" s="199">
        <f t="shared" si="18"/>
        <v>1276770665</v>
      </c>
      <c r="R52" s="24">
        <f>R51+R50</f>
        <v>3079714628</v>
      </c>
      <c r="S52" s="209">
        <f t="shared" si="19"/>
        <v>4356485293</v>
      </c>
      <c r="T52" s="24">
        <f>T51+T50</f>
        <v>3330123605</v>
      </c>
      <c r="U52" s="181">
        <f>U51+U50</f>
        <v>2833621541</v>
      </c>
      <c r="V52" s="182">
        <f>V51+V50</f>
        <v>407179064</v>
      </c>
      <c r="W52" s="24">
        <f>W51+W50</f>
        <v>89323000</v>
      </c>
      <c r="X52" s="26">
        <f t="shared" si="20"/>
        <v>3330123605</v>
      </c>
    </row>
    <row r="53" spans="17:20" ht="16.5" thickBot="1">
      <c r="Q53" s="200"/>
      <c r="S53" s="211"/>
      <c r="T53" s="4"/>
    </row>
    <row r="54" spans="1:21" s="136" customFormat="1" ht="12.75">
      <c r="A54" s="185" t="s">
        <v>160</v>
      </c>
      <c r="B54" s="240">
        <f aca="true" t="shared" si="27" ref="B54:J54">SUM(B55:B56)</f>
        <v>9</v>
      </c>
      <c r="C54" s="242">
        <f t="shared" si="27"/>
        <v>16.5</v>
      </c>
      <c r="D54" s="245">
        <f t="shared" si="27"/>
        <v>12</v>
      </c>
      <c r="E54" s="242">
        <f t="shared" si="27"/>
        <v>48.75</v>
      </c>
      <c r="F54" s="245">
        <f t="shared" si="27"/>
        <v>20</v>
      </c>
      <c r="G54" s="242">
        <f t="shared" si="27"/>
        <v>5.5</v>
      </c>
      <c r="H54" s="242">
        <f t="shared" si="27"/>
        <v>10</v>
      </c>
      <c r="I54" s="245">
        <f t="shared" si="27"/>
        <v>3.5</v>
      </c>
      <c r="J54" s="242">
        <f t="shared" si="27"/>
        <v>3</v>
      </c>
      <c r="K54" s="264">
        <f>F54+G54+H54+I54+J54</f>
        <v>42</v>
      </c>
      <c r="L54" s="242">
        <f>SUM(L55:L56)</f>
        <v>19.5</v>
      </c>
      <c r="M54" s="245">
        <f>SUM(M55:M56)</f>
        <v>3</v>
      </c>
      <c r="N54" s="242">
        <f>SUM(N55:N56)</f>
        <v>3</v>
      </c>
      <c r="O54" s="280">
        <f>L54+M54+N54</f>
        <v>25.5</v>
      </c>
      <c r="P54" s="242">
        <f>SUM(P55:P56)</f>
        <v>55</v>
      </c>
      <c r="Q54" s="224">
        <f>B54+C54+D54+E54+K54+O54+P54</f>
        <v>208.75</v>
      </c>
      <c r="R54" s="242">
        <f>SUM(R55:R56)</f>
        <v>4.75</v>
      </c>
      <c r="S54" s="248">
        <f>SUM(Q54:R54)</f>
        <v>213.5</v>
      </c>
      <c r="T54" s="189"/>
      <c r="U54" s="189"/>
    </row>
    <row r="55" spans="1:22" s="139" customFormat="1" ht="12.75">
      <c r="A55" s="187" t="s">
        <v>156</v>
      </c>
      <c r="B55" s="241">
        <v>8</v>
      </c>
      <c r="C55" s="346">
        <f>5.5+1</f>
        <v>6.5</v>
      </c>
      <c r="D55" s="246">
        <v>4</v>
      </c>
      <c r="E55" s="346">
        <f>39.75+4-1</f>
        <v>42.75</v>
      </c>
      <c r="F55" s="363">
        <f>18+1</f>
        <v>19</v>
      </c>
      <c r="G55" s="243">
        <v>4.5</v>
      </c>
      <c r="H55" s="243">
        <v>10</v>
      </c>
      <c r="I55" s="363">
        <f>4-1</f>
        <v>3</v>
      </c>
      <c r="J55" s="243">
        <v>2</v>
      </c>
      <c r="K55" s="265">
        <f>F55+G55+H55+I55+J55</f>
        <v>38.5</v>
      </c>
      <c r="L55" s="243">
        <v>19</v>
      </c>
      <c r="M55" s="246">
        <v>3</v>
      </c>
      <c r="N55" s="243">
        <v>3</v>
      </c>
      <c r="O55" s="281">
        <f>L55+M55+N55</f>
        <v>25</v>
      </c>
      <c r="P55" s="364">
        <v>53</v>
      </c>
      <c r="Q55" s="225">
        <f>B55+C55+D55+E55+K55+O55+P55</f>
        <v>177.75</v>
      </c>
      <c r="R55" s="243">
        <v>3.5</v>
      </c>
      <c r="S55" s="249">
        <f>SUM(Q55:R55)</f>
        <v>181.25</v>
      </c>
      <c r="T55" s="163"/>
      <c r="U55" s="163"/>
      <c r="V55" s="186"/>
    </row>
    <row r="56" spans="1:21" s="139" customFormat="1" ht="12.75">
      <c r="A56" s="187" t="s">
        <v>157</v>
      </c>
      <c r="B56" s="241">
        <v>1</v>
      </c>
      <c r="C56" s="243">
        <v>10</v>
      </c>
      <c r="D56" s="246">
        <v>8</v>
      </c>
      <c r="E56" s="243">
        <f>5+1</f>
        <v>6</v>
      </c>
      <c r="F56" s="363">
        <f>0.5+0.5</f>
        <v>1</v>
      </c>
      <c r="G56" s="243">
        <v>1</v>
      </c>
      <c r="H56" s="364">
        <f>0.5-0.5</f>
        <v>0</v>
      </c>
      <c r="I56" s="246">
        <v>0.5</v>
      </c>
      <c r="J56" s="243">
        <v>1</v>
      </c>
      <c r="K56" s="265">
        <f>F56+G56+H56+I56+J56</f>
        <v>3.5</v>
      </c>
      <c r="L56" s="243">
        <v>0.5</v>
      </c>
      <c r="M56" s="246">
        <v>0</v>
      </c>
      <c r="N56" s="243">
        <v>0</v>
      </c>
      <c r="O56" s="281">
        <f>L56+M56+N56</f>
        <v>0.5</v>
      </c>
      <c r="P56" s="243">
        <v>2</v>
      </c>
      <c r="Q56" s="225">
        <f>B56+C56+D56+E56+K56+O56+P56</f>
        <v>31</v>
      </c>
      <c r="R56" s="243">
        <v>1.25</v>
      </c>
      <c r="S56" s="249">
        <f>SUM(Q56:R56)</f>
        <v>32.25</v>
      </c>
      <c r="T56" s="164"/>
      <c r="U56" s="164"/>
    </row>
    <row r="57" spans="1:21" s="136" customFormat="1" ht="13.5" thickBot="1">
      <c r="A57" s="188" t="s">
        <v>243</v>
      </c>
      <c r="B57" s="347">
        <v>0</v>
      </c>
      <c r="C57" s="244">
        <v>0</v>
      </c>
      <c r="D57" s="247">
        <v>0</v>
      </c>
      <c r="E57" s="244">
        <v>0</v>
      </c>
      <c r="F57" s="247">
        <v>1</v>
      </c>
      <c r="G57" s="244">
        <v>0</v>
      </c>
      <c r="H57" s="244">
        <v>0</v>
      </c>
      <c r="I57" s="247">
        <v>0</v>
      </c>
      <c r="J57" s="244">
        <v>1</v>
      </c>
      <c r="K57" s="266">
        <f>F57+G57+H57+I57+J57</f>
        <v>2</v>
      </c>
      <c r="L57" s="244">
        <v>0</v>
      </c>
      <c r="M57" s="247">
        <v>1</v>
      </c>
      <c r="N57" s="244">
        <v>0</v>
      </c>
      <c r="O57" s="282">
        <f>L57+M57+N57</f>
        <v>1</v>
      </c>
      <c r="P57" s="244">
        <v>1</v>
      </c>
      <c r="Q57" s="226">
        <f>B57+C57+D57+E57+K57+O57+P57</f>
        <v>4</v>
      </c>
      <c r="R57" s="244">
        <v>0</v>
      </c>
      <c r="S57" s="250">
        <f>SUM(Q57:R57)</f>
        <v>4</v>
      </c>
      <c r="T57" s="190"/>
      <c r="U57" s="190"/>
    </row>
  </sheetData>
  <sheetProtection/>
  <printOptions/>
  <pageMargins left="0.5118110236220472" right="0.3937007874015748" top="0.35433070866141736" bottom="0.4330708661417323" header="0.31496062992125984" footer="0.31496062992125984"/>
  <pageSetup horizontalDpi="600" verticalDpi="600" orientation="landscape" paperSize="9" scale="50" r:id="rId1"/>
  <colBreaks count="1" manualBreakCount="1">
    <brk id="15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8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62.375" style="0" bestFit="1" customWidth="1"/>
    <col min="3" max="3" width="11.00390625" style="0" bestFit="1" customWidth="1"/>
    <col min="4" max="4" width="12.75390625" style="0" bestFit="1" customWidth="1"/>
    <col min="5" max="5" width="12.25390625" style="0" bestFit="1" customWidth="1"/>
  </cols>
  <sheetData>
    <row r="1" spans="1:5" ht="13.5">
      <c r="A1" s="405" t="s">
        <v>358</v>
      </c>
      <c r="B1" s="405"/>
      <c r="C1" s="405"/>
      <c r="D1" s="405"/>
      <c r="E1" s="405"/>
    </row>
    <row r="2" spans="1:5" ht="12.75">
      <c r="A2" s="5"/>
      <c r="B2" s="18"/>
      <c r="C2" s="6"/>
      <c r="D2" s="6"/>
      <c r="E2" s="6"/>
    </row>
    <row r="3" spans="1:5" ht="12.75">
      <c r="A3" s="406" t="s">
        <v>250</v>
      </c>
      <c r="B3" s="407"/>
      <c r="C3" s="407"/>
      <c r="D3" s="407"/>
      <c r="E3" s="407"/>
    </row>
    <row r="4" spans="1:5" ht="12.75">
      <c r="A4" s="406" t="s">
        <v>210</v>
      </c>
      <c r="B4" s="406"/>
      <c r="C4" s="406"/>
      <c r="D4" s="406"/>
      <c r="E4" s="406"/>
    </row>
    <row r="5" spans="1:5" ht="12.75">
      <c r="A5" s="1"/>
      <c r="B5" s="29"/>
      <c r="C5" s="1" t="s">
        <v>304</v>
      </c>
      <c r="D5" s="1" t="s">
        <v>305</v>
      </c>
      <c r="E5" s="1" t="s">
        <v>306</v>
      </c>
    </row>
    <row r="6" spans="1:5" ht="12.75">
      <c r="A6" s="154" t="s">
        <v>1</v>
      </c>
      <c r="B6" s="154" t="s">
        <v>84</v>
      </c>
      <c r="C6" s="154"/>
      <c r="D6" s="154"/>
      <c r="E6" s="154"/>
    </row>
    <row r="7" spans="1:5" ht="12.75">
      <c r="A7" s="378">
        <v>1</v>
      </c>
      <c r="B7" s="378" t="s">
        <v>307</v>
      </c>
      <c r="C7" s="371"/>
      <c r="D7" s="371">
        <v>98090418</v>
      </c>
      <c r="E7" s="371">
        <f>C7+D7</f>
        <v>98090418</v>
      </c>
    </row>
    <row r="8" spans="1:5" ht="12.75">
      <c r="A8" s="378">
        <v>2</v>
      </c>
      <c r="B8" s="378" t="s">
        <v>183</v>
      </c>
      <c r="C8" s="371"/>
      <c r="D8" s="371">
        <f>18000000+12000000</f>
        <v>30000000</v>
      </c>
      <c r="E8" s="371">
        <f>C8+D8</f>
        <v>30000000</v>
      </c>
    </row>
    <row r="9" spans="1:5" ht="12.75">
      <c r="A9" s="69"/>
      <c r="B9" s="69" t="s">
        <v>3</v>
      </c>
      <c r="C9" s="141">
        <f>SUM(C7:C8)</f>
        <v>0</v>
      </c>
      <c r="D9" s="141">
        <f>SUM(D7:D8)</f>
        <v>128090418</v>
      </c>
      <c r="E9" s="141">
        <f>C9+D9</f>
        <v>128090418</v>
      </c>
    </row>
    <row r="10" spans="1:5" ht="12.75">
      <c r="A10" s="142"/>
      <c r="B10" s="142"/>
      <c r="C10" s="152"/>
      <c r="D10" s="152"/>
      <c r="E10" s="152"/>
    </row>
    <row r="11" spans="1:5" ht="12.75">
      <c r="A11" s="69" t="s">
        <v>9</v>
      </c>
      <c r="B11" s="154" t="s">
        <v>85</v>
      </c>
      <c r="C11" s="141"/>
      <c r="D11" s="141"/>
      <c r="E11" s="141"/>
    </row>
    <row r="12" spans="1:5" ht="12.75">
      <c r="A12" s="378">
        <v>1</v>
      </c>
      <c r="B12" s="378" t="s">
        <v>240</v>
      </c>
      <c r="C12" s="371">
        <v>189637</v>
      </c>
      <c r="D12" s="371"/>
      <c r="E12" s="371">
        <f aca="true" t="shared" si="0" ref="E12:E22">C12+D12</f>
        <v>189637</v>
      </c>
    </row>
    <row r="13" spans="1:5" ht="12.75">
      <c r="A13" s="378">
        <v>2</v>
      </c>
      <c r="B13" s="378" t="s">
        <v>272</v>
      </c>
      <c r="C13" s="371">
        <v>250000</v>
      </c>
      <c r="D13" s="371"/>
      <c r="E13" s="371">
        <f t="shared" si="0"/>
        <v>250000</v>
      </c>
    </row>
    <row r="14" spans="1:5" ht="12.75">
      <c r="A14" s="378">
        <v>3</v>
      </c>
      <c r="B14" s="378" t="s">
        <v>241</v>
      </c>
      <c r="C14" s="371">
        <v>126425</v>
      </c>
      <c r="D14" s="371"/>
      <c r="E14" s="371">
        <f t="shared" si="0"/>
        <v>126425</v>
      </c>
    </row>
    <row r="15" spans="1:5" ht="12.75">
      <c r="A15" s="378">
        <v>4</v>
      </c>
      <c r="B15" s="378" t="s">
        <v>269</v>
      </c>
      <c r="C15" s="371">
        <v>365000</v>
      </c>
      <c r="D15" s="371"/>
      <c r="E15" s="371">
        <f t="shared" si="0"/>
        <v>365000</v>
      </c>
    </row>
    <row r="16" spans="1:5" ht="12.75">
      <c r="A16" s="378">
        <v>5</v>
      </c>
      <c r="B16" s="378" t="s">
        <v>270</v>
      </c>
      <c r="C16" s="371">
        <v>1045000</v>
      </c>
      <c r="D16" s="371"/>
      <c r="E16" s="371">
        <f t="shared" si="0"/>
        <v>1045000</v>
      </c>
    </row>
    <row r="17" spans="1:5" ht="12.75">
      <c r="A17" s="378">
        <v>6</v>
      </c>
      <c r="B17" s="378" t="s">
        <v>308</v>
      </c>
      <c r="C17" s="371">
        <v>180000</v>
      </c>
      <c r="D17" s="371"/>
      <c r="E17" s="371">
        <f t="shared" si="0"/>
        <v>180000</v>
      </c>
    </row>
    <row r="18" spans="1:5" ht="15" customHeight="1">
      <c r="A18" s="378">
        <v>7</v>
      </c>
      <c r="B18" s="370" t="s">
        <v>263</v>
      </c>
      <c r="C18" s="371"/>
      <c r="D18" s="371">
        <v>2500000</v>
      </c>
      <c r="E18" s="371">
        <f t="shared" si="0"/>
        <v>2500000</v>
      </c>
    </row>
    <row r="19" spans="1:5" ht="12.75">
      <c r="A19" s="378">
        <v>8</v>
      </c>
      <c r="B19" s="378" t="s">
        <v>253</v>
      </c>
      <c r="C19" s="371"/>
      <c r="D19" s="371">
        <v>96000000</v>
      </c>
      <c r="E19" s="371">
        <f t="shared" si="0"/>
        <v>96000000</v>
      </c>
    </row>
    <row r="20" spans="1:5" ht="12.75">
      <c r="A20" s="350">
        <v>9</v>
      </c>
      <c r="B20" s="350" t="s">
        <v>251</v>
      </c>
      <c r="C20" s="351"/>
      <c r="D20" s="351">
        <v>50000000</v>
      </c>
      <c r="E20" s="351">
        <f t="shared" si="0"/>
        <v>50000000</v>
      </c>
    </row>
    <row r="21" spans="1:5" ht="12.75">
      <c r="A21" s="350">
        <v>10</v>
      </c>
      <c r="B21" s="350"/>
      <c r="C21" s="351"/>
      <c r="D21" s="351"/>
      <c r="E21" s="351">
        <f t="shared" si="0"/>
        <v>0</v>
      </c>
    </row>
    <row r="22" spans="1:5" ht="12.75">
      <c r="A22" s="69"/>
      <c r="B22" s="69" t="s">
        <v>3</v>
      </c>
      <c r="C22" s="141">
        <f>SUM(C12:C21)</f>
        <v>2156062</v>
      </c>
      <c r="D22" s="141">
        <f>SUM(D12:D21)</f>
        <v>148500000</v>
      </c>
      <c r="E22" s="141">
        <f t="shared" si="0"/>
        <v>150656062</v>
      </c>
    </row>
    <row r="23" spans="1:5" ht="12.75">
      <c r="A23" s="142"/>
      <c r="B23" s="155"/>
      <c r="C23" s="152"/>
      <c r="D23" s="152"/>
      <c r="E23" s="152"/>
    </row>
    <row r="24" spans="1:5" ht="12.75">
      <c r="A24" s="69" t="s">
        <v>10</v>
      </c>
      <c r="B24" s="154" t="s">
        <v>344</v>
      </c>
      <c r="C24" s="141"/>
      <c r="D24" s="141"/>
      <c r="E24" s="141"/>
    </row>
    <row r="25" spans="1:5" ht="12.75">
      <c r="A25" s="70" t="s">
        <v>4</v>
      </c>
      <c r="B25" s="146" t="s">
        <v>87</v>
      </c>
      <c r="C25" s="141"/>
      <c r="D25" s="141"/>
      <c r="E25" s="141"/>
    </row>
    <row r="26" spans="1:5" ht="12.75">
      <c r="A26" s="378">
        <v>1</v>
      </c>
      <c r="B26" s="378" t="s">
        <v>63</v>
      </c>
      <c r="C26" s="371"/>
      <c r="D26" s="371">
        <v>7687716</v>
      </c>
      <c r="E26" s="371">
        <f>C26+D26</f>
        <v>7687716</v>
      </c>
    </row>
    <row r="27" spans="1:5" ht="12.75">
      <c r="A27" s="221">
        <v>2</v>
      </c>
      <c r="B27" s="221" t="s">
        <v>11</v>
      </c>
      <c r="C27" s="220"/>
      <c r="D27" s="220">
        <v>100448</v>
      </c>
      <c r="E27" s="220">
        <f>C27+D27</f>
        <v>100448</v>
      </c>
    </row>
    <row r="28" spans="1:5" ht="12.75">
      <c r="A28" s="221">
        <v>3</v>
      </c>
      <c r="B28" s="221" t="s">
        <v>232</v>
      </c>
      <c r="C28" s="220"/>
      <c r="D28" s="220">
        <v>3862557</v>
      </c>
      <c r="E28" s="220">
        <f>C28+D28</f>
        <v>3862557</v>
      </c>
    </row>
    <row r="29" spans="1:5" ht="12.75">
      <c r="A29" s="221">
        <v>4</v>
      </c>
      <c r="B29" s="221" t="s">
        <v>12</v>
      </c>
      <c r="C29" s="220"/>
      <c r="D29" s="220">
        <v>1165207</v>
      </c>
      <c r="E29" s="220">
        <f>C29+D29</f>
        <v>1165207</v>
      </c>
    </row>
    <row r="30" spans="1:5" ht="12.75">
      <c r="A30" s="69"/>
      <c r="B30" s="146" t="s">
        <v>3</v>
      </c>
      <c r="C30" s="144">
        <f>SUM(C26:C29)</f>
        <v>0</v>
      </c>
      <c r="D30" s="144">
        <f>SUM(D26:D29)</f>
        <v>12815928</v>
      </c>
      <c r="E30" s="144">
        <f>C30+D30</f>
        <v>12815928</v>
      </c>
    </row>
    <row r="31" spans="1:5" ht="12.75">
      <c r="A31" s="70" t="s">
        <v>5</v>
      </c>
      <c r="B31" s="146" t="s">
        <v>86</v>
      </c>
      <c r="C31" s="141"/>
      <c r="D31" s="141"/>
      <c r="E31" s="141"/>
    </row>
    <row r="32" spans="1:5" ht="12.75">
      <c r="A32" s="378">
        <v>1</v>
      </c>
      <c r="B32" s="375" t="s">
        <v>309</v>
      </c>
      <c r="C32" s="371">
        <v>1478181</v>
      </c>
      <c r="D32" s="371"/>
      <c r="E32" s="371">
        <f aca="true" t="shared" si="1" ref="E32:E37">C32+D32</f>
        <v>1478181</v>
      </c>
    </row>
    <row r="33" spans="1:5" ht="12.75">
      <c r="A33" s="378">
        <v>2</v>
      </c>
      <c r="B33" s="378"/>
      <c r="C33" s="371"/>
      <c r="D33" s="371"/>
      <c r="E33" s="371">
        <f t="shared" si="1"/>
        <v>0</v>
      </c>
    </row>
    <row r="34" spans="1:5" ht="12.75">
      <c r="A34" s="69"/>
      <c r="B34" s="70" t="s">
        <v>3</v>
      </c>
      <c r="C34" s="144">
        <f>SUM(C32:C33)</f>
        <v>1478181</v>
      </c>
      <c r="D34" s="144">
        <f>SUM(D32:D33)</f>
        <v>0</v>
      </c>
      <c r="E34" s="144">
        <f t="shared" si="1"/>
        <v>1478181</v>
      </c>
    </row>
    <row r="35" spans="1:5" ht="12.75">
      <c r="A35" s="69"/>
      <c r="B35" s="69" t="s">
        <v>3</v>
      </c>
      <c r="C35" s="141">
        <f>C30+C34</f>
        <v>1478181</v>
      </c>
      <c r="D35" s="141">
        <f>D30+D34</f>
        <v>12815928</v>
      </c>
      <c r="E35" s="141">
        <f t="shared" si="1"/>
        <v>14294109</v>
      </c>
    </row>
    <row r="36" spans="1:5" ht="12.75">
      <c r="A36" s="69"/>
      <c r="B36" s="154"/>
      <c r="C36" s="141"/>
      <c r="D36" s="141"/>
      <c r="E36" s="141">
        <f t="shared" si="1"/>
        <v>0</v>
      </c>
    </row>
    <row r="37" spans="1:5" ht="15" customHeight="1">
      <c r="A37" s="69"/>
      <c r="B37" s="140" t="s">
        <v>88</v>
      </c>
      <c r="C37" s="141">
        <f>C9+C22+C35</f>
        <v>3634243</v>
      </c>
      <c r="D37" s="141">
        <f>D9+D22+D35</f>
        <v>289406346</v>
      </c>
      <c r="E37" s="141">
        <f t="shared" si="1"/>
        <v>293040589</v>
      </c>
    </row>
    <row r="38" spans="1:5" ht="12.75">
      <c r="A38" s="69"/>
      <c r="B38" s="69"/>
      <c r="C38" s="141"/>
      <c r="D38" s="141"/>
      <c r="E38" s="141"/>
    </row>
    <row r="39" spans="1:5" ht="12.75">
      <c r="A39" s="69" t="s">
        <v>13</v>
      </c>
      <c r="B39" s="154" t="s">
        <v>89</v>
      </c>
      <c r="C39" s="141"/>
      <c r="D39" s="141"/>
      <c r="E39" s="141"/>
    </row>
    <row r="40" spans="1:5" ht="15" customHeight="1">
      <c r="A40" s="378">
        <v>1</v>
      </c>
      <c r="B40" s="370" t="s">
        <v>310</v>
      </c>
      <c r="C40" s="371"/>
      <c r="D40" s="371">
        <v>0</v>
      </c>
      <c r="E40" s="371">
        <f aca="true" t="shared" si="2" ref="E40:E68">C40+D40</f>
        <v>0</v>
      </c>
    </row>
    <row r="41" spans="1:5" ht="15" customHeight="1">
      <c r="A41" s="378">
        <v>2</v>
      </c>
      <c r="B41" s="370" t="s">
        <v>261</v>
      </c>
      <c r="C41" s="371"/>
      <c r="D41" s="371">
        <v>0</v>
      </c>
      <c r="E41" s="371">
        <f t="shared" si="2"/>
        <v>0</v>
      </c>
    </row>
    <row r="42" spans="1:5" ht="15" customHeight="1">
      <c r="A42" s="378">
        <v>3</v>
      </c>
      <c r="B42" s="373" t="s">
        <v>222</v>
      </c>
      <c r="C42" s="371"/>
      <c r="D42" s="371">
        <v>0</v>
      </c>
      <c r="E42" s="371">
        <f t="shared" si="2"/>
        <v>0</v>
      </c>
    </row>
    <row r="43" spans="1:5" ht="15" customHeight="1">
      <c r="A43" s="378">
        <v>4</v>
      </c>
      <c r="B43" s="370" t="s">
        <v>287</v>
      </c>
      <c r="C43" s="371"/>
      <c r="D43" s="371">
        <v>0</v>
      </c>
      <c r="E43" s="371">
        <f t="shared" si="2"/>
        <v>0</v>
      </c>
    </row>
    <row r="44" spans="1:5" ht="15" customHeight="1">
      <c r="A44" s="378">
        <v>5</v>
      </c>
      <c r="B44" s="373" t="s">
        <v>221</v>
      </c>
      <c r="C44" s="371"/>
      <c r="D44" s="371">
        <v>0</v>
      </c>
      <c r="E44" s="371">
        <f t="shared" si="2"/>
        <v>0</v>
      </c>
    </row>
    <row r="45" spans="1:5" ht="15" customHeight="1">
      <c r="A45" s="378">
        <v>6</v>
      </c>
      <c r="B45" s="370" t="s">
        <v>311</v>
      </c>
      <c r="C45" s="371"/>
      <c r="D45" s="371">
        <v>1021509</v>
      </c>
      <c r="E45" s="371">
        <f t="shared" si="2"/>
        <v>1021509</v>
      </c>
    </row>
    <row r="46" spans="1:5" ht="15" customHeight="1">
      <c r="A46" s="378">
        <v>7</v>
      </c>
      <c r="B46" s="375" t="s">
        <v>233</v>
      </c>
      <c r="C46" s="371"/>
      <c r="D46" s="371">
        <v>0</v>
      </c>
      <c r="E46" s="371">
        <f t="shared" si="2"/>
        <v>0</v>
      </c>
    </row>
    <row r="47" spans="1:5" ht="15" customHeight="1">
      <c r="A47" s="378">
        <v>8</v>
      </c>
      <c r="B47" s="378" t="s">
        <v>312</v>
      </c>
      <c r="C47" s="371"/>
      <c r="D47" s="371">
        <f>7495313-1470000</f>
        <v>6025313</v>
      </c>
      <c r="E47" s="371">
        <f t="shared" si="2"/>
        <v>6025313</v>
      </c>
    </row>
    <row r="48" spans="1:5" ht="15" customHeight="1">
      <c r="A48" s="378">
        <v>9</v>
      </c>
      <c r="B48" s="378" t="s">
        <v>224</v>
      </c>
      <c r="C48" s="371"/>
      <c r="D48" s="371">
        <f>264328585-54637-3178061</f>
        <v>261095887</v>
      </c>
      <c r="E48" s="371">
        <f t="shared" si="2"/>
        <v>261095887</v>
      </c>
    </row>
    <row r="49" spans="1:5" ht="15" customHeight="1">
      <c r="A49" s="378">
        <v>10</v>
      </c>
      <c r="B49" s="373" t="s">
        <v>259</v>
      </c>
      <c r="C49" s="374"/>
      <c r="D49" s="374">
        <v>4198500</v>
      </c>
      <c r="E49" s="374">
        <f t="shared" si="2"/>
        <v>4198500</v>
      </c>
    </row>
    <row r="50" spans="1:5" ht="15" customHeight="1">
      <c r="A50" s="378">
        <v>11</v>
      </c>
      <c r="B50" s="378" t="s">
        <v>225</v>
      </c>
      <c r="C50" s="371"/>
      <c r="D50" s="371">
        <f>91835856-105000-127000-1270000</f>
        <v>90333856</v>
      </c>
      <c r="E50" s="371">
        <f t="shared" si="2"/>
        <v>90333856</v>
      </c>
    </row>
    <row r="51" spans="1:5" ht="15" customHeight="1">
      <c r="A51" s="378">
        <v>12</v>
      </c>
      <c r="B51" s="378" t="s">
        <v>226</v>
      </c>
      <c r="C51" s="371"/>
      <c r="D51" s="371">
        <f>260572406-89705388-148500-54637-280000-1270000</f>
        <v>169113881</v>
      </c>
      <c r="E51" s="371">
        <f t="shared" si="2"/>
        <v>169113881</v>
      </c>
    </row>
    <row r="52" spans="1:5" ht="15" customHeight="1">
      <c r="A52" s="378">
        <v>13</v>
      </c>
      <c r="B52" s="373" t="s">
        <v>260</v>
      </c>
      <c r="C52" s="374"/>
      <c r="D52" s="374">
        <v>24999500</v>
      </c>
      <c r="E52" s="374">
        <f t="shared" si="2"/>
        <v>24999500</v>
      </c>
    </row>
    <row r="53" spans="1:5" ht="15" customHeight="1">
      <c r="A53" s="378">
        <v>14</v>
      </c>
      <c r="B53" s="373" t="s">
        <v>313</v>
      </c>
      <c r="C53" s="374"/>
      <c r="D53" s="374">
        <v>18128293</v>
      </c>
      <c r="E53" s="374">
        <f t="shared" si="2"/>
        <v>18128293</v>
      </c>
    </row>
    <row r="54" spans="1:5" ht="15" customHeight="1">
      <c r="A54" s="378">
        <v>15</v>
      </c>
      <c r="B54" s="378" t="s">
        <v>227</v>
      </c>
      <c r="C54" s="371"/>
      <c r="D54" s="371">
        <f>2475748-2247900</f>
        <v>227848</v>
      </c>
      <c r="E54" s="371">
        <f t="shared" si="2"/>
        <v>227848</v>
      </c>
    </row>
    <row r="55" spans="1:5" ht="15" customHeight="1">
      <c r="A55" s="378">
        <v>16</v>
      </c>
      <c r="B55" s="378" t="s">
        <v>228</v>
      </c>
      <c r="C55" s="371"/>
      <c r="D55" s="371">
        <v>91775543</v>
      </c>
      <c r="E55" s="371">
        <f t="shared" si="2"/>
        <v>91775543</v>
      </c>
    </row>
    <row r="56" spans="1:5" ht="15" customHeight="1">
      <c r="A56" s="378">
        <v>17</v>
      </c>
      <c r="B56" s="378" t="s">
        <v>229</v>
      </c>
      <c r="C56" s="371"/>
      <c r="D56" s="371">
        <f>37266272-100000</f>
        <v>37166272</v>
      </c>
      <c r="E56" s="371">
        <f t="shared" si="2"/>
        <v>37166272</v>
      </c>
    </row>
    <row r="57" spans="1:5" ht="15" customHeight="1">
      <c r="A57" s="378">
        <v>18</v>
      </c>
      <c r="B57" s="378" t="s">
        <v>230</v>
      </c>
      <c r="C57" s="371"/>
      <c r="D57" s="371">
        <v>0</v>
      </c>
      <c r="E57" s="371">
        <f t="shared" si="2"/>
        <v>0</v>
      </c>
    </row>
    <row r="58" spans="1:5" ht="15" customHeight="1">
      <c r="A58" s="378">
        <v>19</v>
      </c>
      <c r="B58" s="378" t="s">
        <v>231</v>
      </c>
      <c r="C58" s="371"/>
      <c r="D58" s="371">
        <f>5489915-622300</f>
        <v>4867615</v>
      </c>
      <c r="E58" s="371">
        <f t="shared" si="2"/>
        <v>4867615</v>
      </c>
    </row>
    <row r="59" spans="1:5" ht="15" customHeight="1">
      <c r="A59" s="378">
        <v>20</v>
      </c>
      <c r="B59" s="378" t="s">
        <v>258</v>
      </c>
      <c r="C59" s="371"/>
      <c r="D59" s="371">
        <v>40001704</v>
      </c>
      <c r="E59" s="371">
        <f t="shared" si="2"/>
        <v>40001704</v>
      </c>
    </row>
    <row r="60" spans="1:5" ht="15" customHeight="1">
      <c r="A60" s="378">
        <v>21</v>
      </c>
      <c r="B60" s="368" t="s">
        <v>257</v>
      </c>
      <c r="C60" s="371"/>
      <c r="D60" s="371">
        <v>0</v>
      </c>
      <c r="E60" s="371">
        <f t="shared" si="2"/>
        <v>0</v>
      </c>
    </row>
    <row r="61" spans="1:5" ht="15" customHeight="1">
      <c r="A61" s="378">
        <v>22</v>
      </c>
      <c r="B61" s="372" t="s">
        <v>248</v>
      </c>
      <c r="C61" s="371"/>
      <c r="D61" s="371">
        <v>0</v>
      </c>
      <c r="E61" s="371">
        <f t="shared" si="2"/>
        <v>0</v>
      </c>
    </row>
    <row r="62" spans="1:5" ht="15" customHeight="1">
      <c r="A62" s="378">
        <v>23</v>
      </c>
      <c r="B62" s="372" t="s">
        <v>314</v>
      </c>
      <c r="C62" s="371"/>
      <c r="D62" s="371">
        <v>44077146</v>
      </c>
      <c r="E62" s="371">
        <f t="shared" si="2"/>
        <v>44077146</v>
      </c>
    </row>
    <row r="63" spans="1:5" ht="15" customHeight="1">
      <c r="A63" s="378">
        <v>24</v>
      </c>
      <c r="B63" s="372" t="s">
        <v>315</v>
      </c>
      <c r="C63" s="371">
        <v>319024</v>
      </c>
      <c r="D63" s="371">
        <v>0</v>
      </c>
      <c r="E63" s="371">
        <f t="shared" si="2"/>
        <v>319024</v>
      </c>
    </row>
    <row r="64" spans="1:5" ht="15" customHeight="1">
      <c r="A64" s="378">
        <v>25</v>
      </c>
      <c r="B64" s="372" t="s">
        <v>316</v>
      </c>
      <c r="C64" s="371">
        <v>24911614</v>
      </c>
      <c r="D64" s="371">
        <v>0</v>
      </c>
      <c r="E64" s="371">
        <f t="shared" si="2"/>
        <v>24911614</v>
      </c>
    </row>
    <row r="65" spans="1:5" ht="15" customHeight="1">
      <c r="A65" s="378">
        <v>26</v>
      </c>
      <c r="B65" s="372" t="s">
        <v>317</v>
      </c>
      <c r="C65" s="371">
        <v>184051</v>
      </c>
      <c r="D65" s="371">
        <v>0</v>
      </c>
      <c r="E65" s="371">
        <f t="shared" si="2"/>
        <v>184051</v>
      </c>
    </row>
    <row r="66" spans="1:5" ht="15" customHeight="1">
      <c r="A66" s="378">
        <v>27</v>
      </c>
      <c r="B66" s="375" t="s">
        <v>318</v>
      </c>
      <c r="C66" s="371">
        <v>1780000</v>
      </c>
      <c r="D66" s="371">
        <v>0</v>
      </c>
      <c r="E66" s="371">
        <f t="shared" si="2"/>
        <v>1780000</v>
      </c>
    </row>
    <row r="67" spans="1:5" ht="15" customHeight="1">
      <c r="A67" s="350">
        <v>28</v>
      </c>
      <c r="B67" s="365" t="s">
        <v>301</v>
      </c>
      <c r="C67" s="351"/>
      <c r="D67" s="351">
        <v>37591829</v>
      </c>
      <c r="E67" s="351">
        <f t="shared" si="2"/>
        <v>37591829</v>
      </c>
    </row>
    <row r="68" spans="1:5" ht="12.75">
      <c r="A68" s="69"/>
      <c r="B68" s="146" t="s">
        <v>3</v>
      </c>
      <c r="C68" s="144">
        <f>SUM(C40:C67)</f>
        <v>27194689</v>
      </c>
      <c r="D68" s="144">
        <f>SUM(D40:D67)</f>
        <v>830624696</v>
      </c>
      <c r="E68" s="144">
        <f t="shared" si="2"/>
        <v>857819385</v>
      </c>
    </row>
    <row r="69" spans="1:5" ht="12.75">
      <c r="A69" s="69"/>
      <c r="B69" s="146"/>
      <c r="C69" s="144"/>
      <c r="D69" s="144"/>
      <c r="E69" s="144"/>
    </row>
    <row r="70" spans="1:5" ht="12.75">
      <c r="A70" s="69" t="s">
        <v>345</v>
      </c>
      <c r="B70" s="154" t="s">
        <v>346</v>
      </c>
      <c r="C70" s="144"/>
      <c r="D70" s="144"/>
      <c r="E70" s="144"/>
    </row>
    <row r="71" spans="1:5" ht="12.75">
      <c r="A71" s="69"/>
      <c r="B71" s="146"/>
      <c r="C71" s="144"/>
      <c r="D71" s="144"/>
      <c r="E71" s="144"/>
    </row>
    <row r="72" spans="1:5" ht="12.75">
      <c r="A72" s="390">
        <v>1</v>
      </c>
      <c r="B72" s="393" t="s">
        <v>347</v>
      </c>
      <c r="C72" s="387">
        <v>0</v>
      </c>
      <c r="D72" s="387">
        <v>55000000</v>
      </c>
      <c r="E72" s="387">
        <f>C72+D72</f>
        <v>55000000</v>
      </c>
    </row>
    <row r="73" spans="1:5" ht="12.75">
      <c r="A73" s="142"/>
      <c r="B73" s="142"/>
      <c r="C73" s="158"/>
      <c r="D73" s="158"/>
      <c r="E73" s="158"/>
    </row>
    <row r="74" spans="1:5" ht="12.75">
      <c r="A74" s="69"/>
      <c r="B74" s="154" t="s">
        <v>90</v>
      </c>
      <c r="C74" s="141">
        <f>C68+C72</f>
        <v>27194689</v>
      </c>
      <c r="D74" s="141">
        <f>D68+D72</f>
        <v>885624696</v>
      </c>
      <c r="E74" s="141">
        <f>C74+D74</f>
        <v>912819385</v>
      </c>
    </row>
    <row r="75" spans="1:5" ht="12.75">
      <c r="A75" s="69"/>
      <c r="B75" s="154"/>
      <c r="C75" s="141"/>
      <c r="D75" s="141"/>
      <c r="E75" s="141"/>
    </row>
    <row r="76" spans="1:5" ht="12.75">
      <c r="A76" s="142"/>
      <c r="B76" s="69" t="s">
        <v>14</v>
      </c>
      <c r="C76" s="157">
        <f>C37+C74</f>
        <v>30828932</v>
      </c>
      <c r="D76" s="157">
        <f>D37+D74</f>
        <v>1175031042</v>
      </c>
      <c r="E76" s="157">
        <f>C76+D76</f>
        <v>1205859974</v>
      </c>
    </row>
    <row r="77" spans="1:5" ht="12.75">
      <c r="A77" s="142"/>
      <c r="B77" s="69" t="s">
        <v>47</v>
      </c>
      <c r="C77" s="158"/>
      <c r="D77" s="158"/>
      <c r="E77" s="158"/>
    </row>
    <row r="78" spans="1:5" ht="12.75">
      <c r="A78" s="142"/>
      <c r="B78" s="380" t="s">
        <v>48</v>
      </c>
      <c r="C78" s="382">
        <f>C76-C79-C80</f>
        <v>30828932</v>
      </c>
      <c r="D78" s="382">
        <f>D76-D79-D80</f>
        <v>1027311001</v>
      </c>
      <c r="E78" s="382">
        <f>C78+D78</f>
        <v>1058139933</v>
      </c>
    </row>
    <row r="79" spans="1:5" ht="12.75">
      <c r="A79" s="142"/>
      <c r="B79" s="223" t="s">
        <v>46</v>
      </c>
      <c r="C79" s="222">
        <f>C29+C28+C27+C21+C20+C67</f>
        <v>0</v>
      </c>
      <c r="D79" s="222">
        <f>D29+D28+D27+D21+D20+D67</f>
        <v>92720041</v>
      </c>
      <c r="E79" s="222">
        <f>C79+D79</f>
        <v>92720041</v>
      </c>
    </row>
    <row r="80" spans="1:5" ht="12.75">
      <c r="A80" s="142"/>
      <c r="B80" s="390" t="s">
        <v>348</v>
      </c>
      <c r="C80" s="394">
        <f>C72</f>
        <v>0</v>
      </c>
      <c r="D80" s="394">
        <f>D72</f>
        <v>55000000</v>
      </c>
      <c r="E80" s="394">
        <f>C80+D80</f>
        <v>55000000</v>
      </c>
    </row>
    <row r="82" spans="3:5" ht="12.75">
      <c r="C82" s="215"/>
      <c r="D82" s="215"/>
      <c r="E82" s="215"/>
    </row>
  </sheetData>
  <sheetProtection/>
  <mergeCells count="3">
    <mergeCell ref="A1:E1"/>
    <mergeCell ref="A3:E3"/>
    <mergeCell ref="A4:E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141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72.75390625" style="0" bestFit="1" customWidth="1"/>
    <col min="3" max="3" width="11.00390625" style="0" bestFit="1" customWidth="1"/>
    <col min="4" max="4" width="12.75390625" style="0" bestFit="1" customWidth="1"/>
    <col min="5" max="5" width="12.25390625" style="0" bestFit="1" customWidth="1"/>
  </cols>
  <sheetData>
    <row r="1" spans="1:5" ht="13.5">
      <c r="A1" s="405" t="s">
        <v>359</v>
      </c>
      <c r="B1" s="405"/>
      <c r="C1" s="405"/>
      <c r="D1" s="405"/>
      <c r="E1" s="405"/>
    </row>
    <row r="2" spans="1:5" ht="12.75">
      <c r="A2" s="406" t="s">
        <v>252</v>
      </c>
      <c r="B2" s="406"/>
      <c r="C2" s="406"/>
      <c r="D2" s="406"/>
      <c r="E2" s="406"/>
    </row>
    <row r="3" spans="1:5" ht="12.75">
      <c r="A3" s="1"/>
      <c r="B3" s="1"/>
      <c r="C3" s="1" t="s">
        <v>304</v>
      </c>
      <c r="D3" s="1" t="s">
        <v>305</v>
      </c>
      <c r="E3" s="1" t="s">
        <v>306</v>
      </c>
    </row>
    <row r="4" spans="1:5" ht="12.75">
      <c r="A4" s="69" t="s">
        <v>1</v>
      </c>
      <c r="B4" s="140" t="s">
        <v>73</v>
      </c>
      <c r="C4" s="141"/>
      <c r="D4" s="141"/>
      <c r="E4" s="141"/>
    </row>
    <row r="5" spans="1:5" ht="15" customHeight="1">
      <c r="A5" s="367">
        <v>1</v>
      </c>
      <c r="B5" s="368" t="s">
        <v>22</v>
      </c>
      <c r="C5" s="369"/>
      <c r="D5" s="369">
        <v>6000000</v>
      </c>
      <c r="E5" s="369">
        <f aca="true" t="shared" si="0" ref="E5:E36">C5+D5</f>
        <v>6000000</v>
      </c>
    </row>
    <row r="6" spans="1:5" ht="15" customHeight="1">
      <c r="A6" s="367">
        <v>2</v>
      </c>
      <c r="B6" s="368" t="s">
        <v>20</v>
      </c>
      <c r="C6" s="369"/>
      <c r="D6" s="369">
        <v>5000000</v>
      </c>
      <c r="E6" s="369">
        <f t="shared" si="0"/>
        <v>5000000</v>
      </c>
    </row>
    <row r="7" spans="1:5" ht="15" customHeight="1">
      <c r="A7" s="367">
        <v>3</v>
      </c>
      <c r="B7" s="370" t="s">
        <v>148</v>
      </c>
      <c r="C7" s="371"/>
      <c r="D7" s="371">
        <v>3000000</v>
      </c>
      <c r="E7" s="371">
        <f t="shared" si="0"/>
        <v>3000000</v>
      </c>
    </row>
    <row r="8" spans="1:5" ht="15" customHeight="1">
      <c r="A8" s="367">
        <v>4</v>
      </c>
      <c r="B8" s="370" t="s">
        <v>64</v>
      </c>
      <c r="C8" s="371"/>
      <c r="D8" s="371">
        <v>5000000</v>
      </c>
      <c r="E8" s="371">
        <f t="shared" si="0"/>
        <v>5000000</v>
      </c>
    </row>
    <row r="9" spans="1:5" ht="15" customHeight="1">
      <c r="A9" s="367">
        <v>5</v>
      </c>
      <c r="B9" s="372" t="s">
        <v>254</v>
      </c>
      <c r="C9" s="371"/>
      <c r="D9" s="371">
        <v>100480000</v>
      </c>
      <c r="E9" s="371">
        <f t="shared" si="0"/>
        <v>100480000</v>
      </c>
    </row>
    <row r="10" spans="1:5" ht="15" customHeight="1">
      <c r="A10" s="367">
        <v>6</v>
      </c>
      <c r="B10" s="372" t="s">
        <v>248</v>
      </c>
      <c r="C10" s="371"/>
      <c r="D10" s="371">
        <v>7200000</v>
      </c>
      <c r="E10" s="371">
        <f t="shared" si="0"/>
        <v>7200000</v>
      </c>
    </row>
    <row r="11" spans="1:5" ht="15" customHeight="1">
      <c r="A11" s="352">
        <v>7</v>
      </c>
      <c r="B11" s="357" t="s">
        <v>303</v>
      </c>
      <c r="C11" s="356"/>
      <c r="D11" s="356">
        <v>53500000</v>
      </c>
      <c r="E11" s="356">
        <f t="shared" si="0"/>
        <v>53500000</v>
      </c>
    </row>
    <row r="12" spans="1:5" ht="15" customHeight="1">
      <c r="A12" s="367">
        <v>8</v>
      </c>
      <c r="B12" s="372" t="s">
        <v>319</v>
      </c>
      <c r="C12" s="371"/>
      <c r="D12" s="371">
        <v>1909445</v>
      </c>
      <c r="E12" s="371">
        <f t="shared" si="0"/>
        <v>1909445</v>
      </c>
    </row>
    <row r="13" spans="1:5" ht="15" customHeight="1">
      <c r="A13" s="367">
        <v>9</v>
      </c>
      <c r="B13" s="372" t="s">
        <v>287</v>
      </c>
      <c r="C13" s="371"/>
      <c r="D13" s="371">
        <v>2538938</v>
      </c>
      <c r="E13" s="371">
        <f t="shared" si="0"/>
        <v>2538938</v>
      </c>
    </row>
    <row r="14" spans="1:5" ht="15" customHeight="1">
      <c r="A14" s="367">
        <v>10</v>
      </c>
      <c r="B14" s="370" t="s">
        <v>320</v>
      </c>
      <c r="C14" s="371"/>
      <c r="D14" s="371">
        <v>11193971</v>
      </c>
      <c r="E14" s="371">
        <f t="shared" si="0"/>
        <v>11193971</v>
      </c>
    </row>
    <row r="15" spans="1:5" ht="15" customHeight="1">
      <c r="A15" s="367">
        <v>11</v>
      </c>
      <c r="B15" s="370" t="s">
        <v>321</v>
      </c>
      <c r="C15" s="371"/>
      <c r="D15" s="371">
        <v>13100000</v>
      </c>
      <c r="E15" s="371">
        <f t="shared" si="0"/>
        <v>13100000</v>
      </c>
    </row>
    <row r="16" spans="1:5" ht="15" customHeight="1">
      <c r="A16" s="367">
        <v>12</v>
      </c>
      <c r="B16" s="370" t="s">
        <v>261</v>
      </c>
      <c r="C16" s="371"/>
      <c r="D16" s="371">
        <v>3710686</v>
      </c>
      <c r="E16" s="371">
        <f t="shared" si="0"/>
        <v>3710686</v>
      </c>
    </row>
    <row r="17" spans="1:5" ht="15" customHeight="1">
      <c r="A17" s="367">
        <v>13</v>
      </c>
      <c r="B17" s="370" t="s">
        <v>322</v>
      </c>
      <c r="C17" s="371"/>
      <c r="D17" s="371">
        <v>2200000</v>
      </c>
      <c r="E17" s="371">
        <f t="shared" si="0"/>
        <v>2200000</v>
      </c>
    </row>
    <row r="18" spans="1:5" ht="15" customHeight="1">
      <c r="A18" s="367">
        <v>14</v>
      </c>
      <c r="B18" s="370" t="s">
        <v>323</v>
      </c>
      <c r="C18" s="371"/>
      <c r="D18" s="371">
        <v>1000000</v>
      </c>
      <c r="E18" s="371">
        <f t="shared" si="0"/>
        <v>1000000</v>
      </c>
    </row>
    <row r="19" spans="1:5" ht="15" customHeight="1">
      <c r="A19" s="367">
        <v>15</v>
      </c>
      <c r="B19" s="370" t="s">
        <v>264</v>
      </c>
      <c r="C19" s="371"/>
      <c r="D19" s="371">
        <v>3600000</v>
      </c>
      <c r="E19" s="371">
        <f t="shared" si="0"/>
        <v>3600000</v>
      </c>
    </row>
    <row r="20" spans="1:5" ht="15" customHeight="1">
      <c r="A20" s="367">
        <v>16</v>
      </c>
      <c r="B20" s="370" t="s">
        <v>314</v>
      </c>
      <c r="C20" s="371"/>
      <c r="D20" s="371">
        <v>44077146</v>
      </c>
      <c r="E20" s="371">
        <f t="shared" si="0"/>
        <v>44077146</v>
      </c>
    </row>
    <row r="21" spans="1:5" ht="15" customHeight="1">
      <c r="A21" s="367">
        <v>17</v>
      </c>
      <c r="B21" s="373" t="s">
        <v>224</v>
      </c>
      <c r="C21" s="374"/>
      <c r="D21" s="374">
        <f>264328585-54637-3178061</f>
        <v>261095887</v>
      </c>
      <c r="E21" s="374">
        <f t="shared" si="0"/>
        <v>261095887</v>
      </c>
    </row>
    <row r="22" spans="1:5" ht="15" customHeight="1">
      <c r="A22" s="367">
        <v>18</v>
      </c>
      <c r="B22" s="373" t="s">
        <v>259</v>
      </c>
      <c r="C22" s="374"/>
      <c r="D22" s="374">
        <v>4198500</v>
      </c>
      <c r="E22" s="374">
        <f t="shared" si="0"/>
        <v>4198500</v>
      </c>
    </row>
    <row r="23" spans="1:5" ht="15" customHeight="1">
      <c r="A23" s="367">
        <v>19</v>
      </c>
      <c r="B23" s="373" t="s">
        <v>225</v>
      </c>
      <c r="C23" s="374"/>
      <c r="D23" s="374">
        <f>91835856-105000-127000-1270000</f>
        <v>90333856</v>
      </c>
      <c r="E23" s="374">
        <f t="shared" si="0"/>
        <v>90333856</v>
      </c>
    </row>
    <row r="24" spans="1:5" ht="15" customHeight="1">
      <c r="A24" s="367">
        <v>20</v>
      </c>
      <c r="B24" s="373" t="s">
        <v>226</v>
      </c>
      <c r="C24" s="374"/>
      <c r="D24" s="374">
        <f>260572406-89705388-148500-54637-280000-1270000</f>
        <v>169113881</v>
      </c>
      <c r="E24" s="374">
        <f t="shared" si="0"/>
        <v>169113881</v>
      </c>
    </row>
    <row r="25" spans="1:5" ht="15" customHeight="1">
      <c r="A25" s="367">
        <v>21</v>
      </c>
      <c r="B25" s="373" t="s">
        <v>260</v>
      </c>
      <c r="C25" s="374"/>
      <c r="D25" s="374">
        <v>24999500</v>
      </c>
      <c r="E25" s="374">
        <f t="shared" si="0"/>
        <v>24999500</v>
      </c>
    </row>
    <row r="26" spans="1:5" ht="15" customHeight="1">
      <c r="A26" s="367">
        <v>22</v>
      </c>
      <c r="B26" s="373" t="s">
        <v>313</v>
      </c>
      <c r="C26" s="374"/>
      <c r="D26" s="374">
        <v>18128293</v>
      </c>
      <c r="E26" s="374">
        <f t="shared" si="0"/>
        <v>18128293</v>
      </c>
    </row>
    <row r="27" spans="1:5" ht="15" customHeight="1">
      <c r="A27" s="367">
        <v>23</v>
      </c>
      <c r="B27" s="373" t="s">
        <v>227</v>
      </c>
      <c r="C27" s="374"/>
      <c r="D27" s="374">
        <f>2475748-2247900</f>
        <v>227848</v>
      </c>
      <c r="E27" s="374">
        <f t="shared" si="0"/>
        <v>227848</v>
      </c>
    </row>
    <row r="28" spans="1:5" ht="15" customHeight="1">
      <c r="A28" s="367">
        <v>24</v>
      </c>
      <c r="B28" s="373" t="s">
        <v>228</v>
      </c>
      <c r="C28" s="374"/>
      <c r="D28" s="374">
        <v>91775543</v>
      </c>
      <c r="E28" s="374">
        <f t="shared" si="0"/>
        <v>91775543</v>
      </c>
    </row>
    <row r="29" spans="1:5" ht="15" customHeight="1">
      <c r="A29" s="367">
        <v>25</v>
      </c>
      <c r="B29" s="373" t="s">
        <v>229</v>
      </c>
      <c r="C29" s="374"/>
      <c r="D29" s="374">
        <f>37266272-100000</f>
        <v>37166272</v>
      </c>
      <c r="E29" s="374">
        <f t="shared" si="0"/>
        <v>37166272</v>
      </c>
    </row>
    <row r="30" spans="1:5" ht="15" customHeight="1">
      <c r="A30" s="367">
        <v>26</v>
      </c>
      <c r="B30" s="373" t="s">
        <v>324</v>
      </c>
      <c r="C30" s="374"/>
      <c r="D30" s="374">
        <v>5948477</v>
      </c>
      <c r="E30" s="374">
        <f t="shared" si="0"/>
        <v>5948477</v>
      </c>
    </row>
    <row r="31" spans="1:5" ht="15" customHeight="1">
      <c r="A31" s="367">
        <v>27</v>
      </c>
      <c r="B31" s="373" t="s">
        <v>230</v>
      </c>
      <c r="C31" s="374"/>
      <c r="D31" s="374">
        <v>0</v>
      </c>
      <c r="E31" s="374">
        <f t="shared" si="0"/>
        <v>0</v>
      </c>
    </row>
    <row r="32" spans="1:5" ht="15" customHeight="1">
      <c r="A32" s="367">
        <v>28</v>
      </c>
      <c r="B32" s="373" t="s">
        <v>231</v>
      </c>
      <c r="C32" s="374"/>
      <c r="D32" s="374">
        <f>5489915-622300</f>
        <v>4867615</v>
      </c>
      <c r="E32" s="374">
        <f t="shared" si="0"/>
        <v>4867615</v>
      </c>
    </row>
    <row r="33" spans="1:5" ht="15" customHeight="1">
      <c r="A33" s="367">
        <v>29</v>
      </c>
      <c r="B33" s="375" t="s">
        <v>255</v>
      </c>
      <c r="C33" s="376"/>
      <c r="D33" s="376">
        <f>198800+1160780</f>
        <v>1359580</v>
      </c>
      <c r="E33" s="376">
        <f t="shared" si="0"/>
        <v>1359580</v>
      </c>
    </row>
    <row r="34" spans="1:5" ht="15" customHeight="1">
      <c r="A34" s="367">
        <v>30</v>
      </c>
      <c r="B34" s="375" t="s">
        <v>256</v>
      </c>
      <c r="C34" s="376"/>
      <c r="D34" s="376">
        <f>20000000-5948477</f>
        <v>14051523</v>
      </c>
      <c r="E34" s="376">
        <f t="shared" si="0"/>
        <v>14051523</v>
      </c>
    </row>
    <row r="35" spans="1:5" ht="15" customHeight="1">
      <c r="A35" s="367">
        <v>31</v>
      </c>
      <c r="B35" s="373" t="s">
        <v>221</v>
      </c>
      <c r="C35" s="376"/>
      <c r="D35" s="376">
        <v>8800000</v>
      </c>
      <c r="E35" s="376">
        <f t="shared" si="0"/>
        <v>8800000</v>
      </c>
    </row>
    <row r="36" spans="1:5" ht="15" customHeight="1">
      <c r="A36" s="367">
        <v>32</v>
      </c>
      <c r="B36" s="370" t="s">
        <v>311</v>
      </c>
      <c r="C36" s="376"/>
      <c r="D36" s="376">
        <v>1021509</v>
      </c>
      <c r="E36" s="376">
        <f t="shared" si="0"/>
        <v>1021509</v>
      </c>
    </row>
    <row r="37" spans="1:5" ht="15" customHeight="1">
      <c r="A37" s="367">
        <v>33</v>
      </c>
      <c r="B37" s="375" t="s">
        <v>325</v>
      </c>
      <c r="C37" s="376">
        <v>184051</v>
      </c>
      <c r="D37" s="376"/>
      <c r="E37" s="376">
        <f aca="true" t="shared" si="1" ref="E37:E68">C37+D37</f>
        <v>184051</v>
      </c>
    </row>
    <row r="38" spans="1:5" ht="15" customHeight="1">
      <c r="A38" s="367">
        <v>34</v>
      </c>
      <c r="B38" s="375" t="s">
        <v>244</v>
      </c>
      <c r="C38" s="376">
        <v>1478181</v>
      </c>
      <c r="D38" s="376"/>
      <c r="E38" s="376">
        <f t="shared" si="1"/>
        <v>1478181</v>
      </c>
    </row>
    <row r="39" spans="1:5" ht="15" customHeight="1">
      <c r="A39" s="367">
        <v>35</v>
      </c>
      <c r="B39" s="375" t="s">
        <v>166</v>
      </c>
      <c r="C39" s="376">
        <v>1000000</v>
      </c>
      <c r="D39" s="376"/>
      <c r="E39" s="376">
        <f t="shared" si="1"/>
        <v>1000000</v>
      </c>
    </row>
    <row r="40" spans="1:5" ht="15" customHeight="1">
      <c r="A40" s="367">
        <v>36</v>
      </c>
      <c r="B40" s="373" t="s">
        <v>262</v>
      </c>
      <c r="C40" s="376">
        <v>1231900</v>
      </c>
      <c r="D40" s="376"/>
      <c r="E40" s="376">
        <f t="shared" si="1"/>
        <v>1231900</v>
      </c>
    </row>
    <row r="41" spans="1:5" ht="15" customHeight="1">
      <c r="A41" s="367">
        <v>37</v>
      </c>
      <c r="B41" s="373" t="s">
        <v>284</v>
      </c>
      <c r="C41" s="376">
        <v>200000</v>
      </c>
      <c r="D41" s="376"/>
      <c r="E41" s="376">
        <f t="shared" si="1"/>
        <v>200000</v>
      </c>
    </row>
    <row r="42" spans="1:5" ht="15" customHeight="1">
      <c r="A42" s="367">
        <v>38</v>
      </c>
      <c r="B42" s="373" t="s">
        <v>326</v>
      </c>
      <c r="C42" s="376">
        <v>4911725</v>
      </c>
      <c r="D42" s="376"/>
      <c r="E42" s="376">
        <f t="shared" si="1"/>
        <v>4911725</v>
      </c>
    </row>
    <row r="43" spans="1:5" ht="15" customHeight="1">
      <c r="A43" s="367">
        <v>39</v>
      </c>
      <c r="B43" s="373" t="s">
        <v>327</v>
      </c>
      <c r="C43" s="376">
        <v>319024</v>
      </c>
      <c r="D43" s="376"/>
      <c r="E43" s="376">
        <f t="shared" si="1"/>
        <v>319024</v>
      </c>
    </row>
    <row r="44" spans="1:5" ht="15" customHeight="1">
      <c r="A44" s="367">
        <v>40</v>
      </c>
      <c r="B44" s="375" t="s">
        <v>167</v>
      </c>
      <c r="C44" s="376">
        <v>5000000</v>
      </c>
      <c r="D44" s="376"/>
      <c r="E44" s="376">
        <f t="shared" si="1"/>
        <v>5000000</v>
      </c>
    </row>
    <row r="45" spans="1:5" ht="15" customHeight="1">
      <c r="A45" s="367">
        <v>41</v>
      </c>
      <c r="B45" s="375" t="s">
        <v>328</v>
      </c>
      <c r="C45" s="376">
        <v>180000</v>
      </c>
      <c r="D45" s="376"/>
      <c r="E45" s="376">
        <f t="shared" si="1"/>
        <v>180000</v>
      </c>
    </row>
    <row r="46" spans="1:5" ht="15" customHeight="1">
      <c r="A46" s="367">
        <v>42</v>
      </c>
      <c r="B46" s="375" t="s">
        <v>235</v>
      </c>
      <c r="C46" s="376">
        <f>3118000-180000</f>
        <v>2938000</v>
      </c>
      <c r="D46" s="376"/>
      <c r="E46" s="376">
        <f t="shared" si="1"/>
        <v>2938000</v>
      </c>
    </row>
    <row r="47" spans="1:5" ht="15" customHeight="1">
      <c r="A47" s="367">
        <v>43</v>
      </c>
      <c r="B47" s="375" t="s">
        <v>329</v>
      </c>
      <c r="C47" s="376">
        <v>1780000</v>
      </c>
      <c r="D47" s="376"/>
      <c r="E47" s="376">
        <f t="shared" si="1"/>
        <v>1780000</v>
      </c>
    </row>
    <row r="48" spans="1:5" ht="15" customHeight="1">
      <c r="A48" s="367">
        <v>44</v>
      </c>
      <c r="B48" s="375" t="s">
        <v>236</v>
      </c>
      <c r="C48" s="376">
        <v>900000</v>
      </c>
      <c r="D48" s="376"/>
      <c r="E48" s="376">
        <f t="shared" si="1"/>
        <v>900000</v>
      </c>
    </row>
    <row r="49" spans="1:5" ht="15" customHeight="1">
      <c r="A49" s="367">
        <v>45</v>
      </c>
      <c r="B49" s="375" t="s">
        <v>237</v>
      </c>
      <c r="C49" s="376">
        <v>105000</v>
      </c>
      <c r="D49" s="376"/>
      <c r="E49" s="376">
        <f t="shared" si="1"/>
        <v>105000</v>
      </c>
    </row>
    <row r="50" spans="1:5" ht="15" customHeight="1">
      <c r="A50" s="367">
        <v>46</v>
      </c>
      <c r="B50" s="375" t="s">
        <v>265</v>
      </c>
      <c r="C50" s="376">
        <v>500000</v>
      </c>
      <c r="D50" s="376"/>
      <c r="E50" s="376">
        <f t="shared" si="1"/>
        <v>500000</v>
      </c>
    </row>
    <row r="51" spans="1:5" ht="15" customHeight="1">
      <c r="A51" s="367">
        <v>47</v>
      </c>
      <c r="B51" s="375" t="s">
        <v>266</v>
      </c>
      <c r="C51" s="376">
        <v>315000</v>
      </c>
      <c r="D51" s="376"/>
      <c r="E51" s="376">
        <f t="shared" si="1"/>
        <v>315000</v>
      </c>
    </row>
    <row r="52" spans="1:5" ht="15" customHeight="1">
      <c r="A52" s="367">
        <v>48</v>
      </c>
      <c r="B52" s="375" t="s">
        <v>267</v>
      </c>
      <c r="C52" s="376">
        <v>295000</v>
      </c>
      <c r="D52" s="376"/>
      <c r="E52" s="376">
        <f t="shared" si="1"/>
        <v>295000</v>
      </c>
    </row>
    <row r="53" spans="1:5" ht="15" customHeight="1">
      <c r="A53" s="367">
        <v>49</v>
      </c>
      <c r="B53" s="375" t="s">
        <v>238</v>
      </c>
      <c r="C53" s="376">
        <v>2120000</v>
      </c>
      <c r="D53" s="376"/>
      <c r="E53" s="376">
        <f t="shared" si="1"/>
        <v>2120000</v>
      </c>
    </row>
    <row r="54" spans="1:5" ht="15" customHeight="1">
      <c r="A54" s="367">
        <v>50</v>
      </c>
      <c r="B54" s="375" t="s">
        <v>239</v>
      </c>
      <c r="C54" s="376">
        <v>320000</v>
      </c>
      <c r="D54" s="376"/>
      <c r="E54" s="376">
        <f t="shared" si="1"/>
        <v>320000</v>
      </c>
    </row>
    <row r="55" spans="1:5" ht="15" customHeight="1">
      <c r="A55" s="367">
        <v>51</v>
      </c>
      <c r="B55" s="375" t="s">
        <v>271</v>
      </c>
      <c r="C55" s="376">
        <v>200000</v>
      </c>
      <c r="D55" s="376"/>
      <c r="E55" s="376">
        <f t="shared" si="1"/>
        <v>200000</v>
      </c>
    </row>
    <row r="56" spans="1:5" ht="15" customHeight="1">
      <c r="A56" s="352">
        <v>52</v>
      </c>
      <c r="B56" s="353" t="s">
        <v>179</v>
      </c>
      <c r="C56" s="351"/>
      <c r="D56" s="351">
        <v>9679924</v>
      </c>
      <c r="E56" s="351">
        <f t="shared" si="1"/>
        <v>9679924</v>
      </c>
    </row>
    <row r="57" spans="1:5" ht="15" customHeight="1">
      <c r="A57" s="352">
        <v>53</v>
      </c>
      <c r="B57" s="353" t="s">
        <v>180</v>
      </c>
      <c r="C57" s="351"/>
      <c r="D57" s="351">
        <v>3555937</v>
      </c>
      <c r="E57" s="351">
        <f t="shared" si="1"/>
        <v>3555937</v>
      </c>
    </row>
    <row r="58" spans="1:5" ht="15" customHeight="1">
      <c r="A58" s="352">
        <v>54</v>
      </c>
      <c r="B58" s="353" t="s">
        <v>181</v>
      </c>
      <c r="C58" s="351"/>
      <c r="D58" s="351">
        <v>18039650</v>
      </c>
      <c r="E58" s="351">
        <f t="shared" si="1"/>
        <v>18039650</v>
      </c>
    </row>
    <row r="59" spans="1:5" ht="15" customHeight="1">
      <c r="A59" s="352">
        <v>55</v>
      </c>
      <c r="B59" s="353" t="s">
        <v>182</v>
      </c>
      <c r="C59" s="351"/>
      <c r="D59" s="351">
        <v>2251801</v>
      </c>
      <c r="E59" s="351">
        <f t="shared" si="1"/>
        <v>2251801</v>
      </c>
    </row>
    <row r="60" spans="1:5" ht="15" customHeight="1">
      <c r="A60" s="352">
        <v>56</v>
      </c>
      <c r="B60" s="353" t="s">
        <v>302</v>
      </c>
      <c r="C60" s="351"/>
      <c r="D60" s="351">
        <v>4064517</v>
      </c>
      <c r="E60" s="351">
        <f t="shared" si="1"/>
        <v>4064517</v>
      </c>
    </row>
    <row r="61" spans="1:5" ht="15" customHeight="1">
      <c r="A61" s="386">
        <v>57</v>
      </c>
      <c r="B61" s="383" t="s">
        <v>350</v>
      </c>
      <c r="C61" s="384"/>
      <c r="D61" s="385">
        <v>55000000</v>
      </c>
      <c r="E61" s="387">
        <f t="shared" si="1"/>
        <v>55000000</v>
      </c>
    </row>
    <row r="62" spans="1:5" ht="15" customHeight="1">
      <c r="A62" s="30"/>
      <c r="B62" s="69" t="s">
        <v>3</v>
      </c>
      <c r="C62" s="143">
        <f>SUM(C5:C61)</f>
        <v>23977881</v>
      </c>
      <c r="D62" s="143">
        <f>SUM(D5:D61)</f>
        <v>1089190299</v>
      </c>
      <c r="E62" s="143">
        <f>SUM(E5:E61)</f>
        <v>1113168180</v>
      </c>
    </row>
    <row r="63" spans="1:5" ht="15" customHeight="1">
      <c r="A63" s="30"/>
      <c r="B63" s="69"/>
      <c r="C63" s="143"/>
      <c r="D63" s="143"/>
      <c r="E63" s="143"/>
    </row>
    <row r="64" spans="1:5" ht="15" customHeight="1">
      <c r="A64" s="30"/>
      <c r="B64" s="69"/>
      <c r="C64" s="143"/>
      <c r="D64" s="143"/>
      <c r="E64" s="143"/>
    </row>
    <row r="65" spans="1:5" ht="15" customHeight="1">
      <c r="A65" s="30"/>
      <c r="B65" s="69"/>
      <c r="C65" s="143"/>
      <c r="D65" s="143"/>
      <c r="E65" s="143"/>
    </row>
    <row r="66" spans="1:5" ht="15" customHeight="1">
      <c r="A66" s="30"/>
      <c r="B66" s="69"/>
      <c r="C66" s="143"/>
      <c r="D66" s="143"/>
      <c r="E66" s="143"/>
    </row>
    <row r="67" spans="1:5" ht="12.75">
      <c r="A67" s="30"/>
      <c r="B67" s="69"/>
      <c r="C67" s="143"/>
      <c r="D67" s="143"/>
      <c r="E67" s="143"/>
    </row>
    <row r="68" spans="1:5" ht="12.75">
      <c r="A68" s="69" t="s">
        <v>2</v>
      </c>
      <c r="B68" s="69" t="s">
        <v>74</v>
      </c>
      <c r="C68" s="141"/>
      <c r="D68" s="141"/>
      <c r="E68" s="141"/>
    </row>
    <row r="69" spans="1:5" ht="15" customHeight="1">
      <c r="A69" s="377">
        <v>1</v>
      </c>
      <c r="B69" s="378" t="s">
        <v>258</v>
      </c>
      <c r="C69" s="369"/>
      <c r="D69" s="369">
        <v>40001698</v>
      </c>
      <c r="E69" s="369">
        <f aca="true" t="shared" si="2" ref="E69:E84">C69+D69</f>
        <v>40001698</v>
      </c>
    </row>
    <row r="70" spans="1:5" ht="15" customHeight="1">
      <c r="A70" s="377">
        <v>2</v>
      </c>
      <c r="B70" s="373" t="s">
        <v>234</v>
      </c>
      <c r="C70" s="376"/>
      <c r="D70" s="376">
        <v>7500000</v>
      </c>
      <c r="E70" s="376">
        <f t="shared" si="2"/>
        <v>7500000</v>
      </c>
    </row>
    <row r="71" spans="1:5" ht="15" customHeight="1">
      <c r="A71" s="377">
        <v>3</v>
      </c>
      <c r="B71" s="375" t="s">
        <v>283</v>
      </c>
      <c r="C71" s="376">
        <v>250000</v>
      </c>
      <c r="D71" s="376"/>
      <c r="E71" s="376">
        <f t="shared" si="2"/>
        <v>250000</v>
      </c>
    </row>
    <row r="72" spans="1:5" ht="15" customHeight="1">
      <c r="A72" s="377">
        <v>4</v>
      </c>
      <c r="B72" s="375" t="s">
        <v>273</v>
      </c>
      <c r="C72" s="376">
        <v>100000</v>
      </c>
      <c r="D72" s="376"/>
      <c r="E72" s="376">
        <f t="shared" si="2"/>
        <v>100000</v>
      </c>
    </row>
    <row r="73" spans="1:5" ht="15" customHeight="1">
      <c r="A73" s="377">
        <v>5</v>
      </c>
      <c r="B73" s="375" t="s">
        <v>285</v>
      </c>
      <c r="C73" s="376">
        <v>100000</v>
      </c>
      <c r="D73" s="376"/>
      <c r="E73" s="376">
        <f t="shared" si="2"/>
        <v>100000</v>
      </c>
    </row>
    <row r="74" spans="1:5" ht="15" customHeight="1">
      <c r="A74" s="377">
        <v>6</v>
      </c>
      <c r="B74" s="375" t="s">
        <v>330</v>
      </c>
      <c r="C74" s="376">
        <v>19999889</v>
      </c>
      <c r="D74" s="376"/>
      <c r="E74" s="376">
        <f t="shared" si="2"/>
        <v>19999889</v>
      </c>
    </row>
    <row r="75" spans="1:5" ht="15" customHeight="1">
      <c r="A75" s="377">
        <v>7</v>
      </c>
      <c r="B75" s="375" t="s">
        <v>286</v>
      </c>
      <c r="C75" s="376">
        <v>100000</v>
      </c>
      <c r="D75" s="376"/>
      <c r="E75" s="376">
        <f t="shared" si="2"/>
        <v>100000</v>
      </c>
    </row>
    <row r="76" spans="1:5" ht="15" customHeight="1">
      <c r="A76" s="377">
        <v>8</v>
      </c>
      <c r="B76" s="375" t="s">
        <v>274</v>
      </c>
      <c r="C76" s="376">
        <v>327000</v>
      </c>
      <c r="D76" s="376"/>
      <c r="E76" s="376">
        <f t="shared" si="2"/>
        <v>327000</v>
      </c>
    </row>
    <row r="77" spans="1:5" ht="15" customHeight="1">
      <c r="A77" s="377">
        <v>9</v>
      </c>
      <c r="B77" s="375" t="s">
        <v>275</v>
      </c>
      <c r="C77" s="376">
        <v>100000</v>
      </c>
      <c r="D77" s="376"/>
      <c r="E77" s="376">
        <f t="shared" si="2"/>
        <v>100000</v>
      </c>
    </row>
    <row r="78" spans="1:5" ht="15" customHeight="1">
      <c r="A78" s="377">
        <v>10</v>
      </c>
      <c r="B78" s="375" t="s">
        <v>276</v>
      </c>
      <c r="C78" s="376">
        <v>290000</v>
      </c>
      <c r="D78" s="376"/>
      <c r="E78" s="376">
        <f t="shared" si="2"/>
        <v>290000</v>
      </c>
    </row>
    <row r="79" spans="1:5" ht="15" customHeight="1">
      <c r="A79" s="377">
        <v>11</v>
      </c>
      <c r="B79" s="375" t="s">
        <v>277</v>
      </c>
      <c r="C79" s="376">
        <v>50000</v>
      </c>
      <c r="D79" s="376"/>
      <c r="E79" s="376">
        <f t="shared" si="2"/>
        <v>50000</v>
      </c>
    </row>
    <row r="80" spans="1:5" ht="15" customHeight="1">
      <c r="A80" s="377">
        <v>12</v>
      </c>
      <c r="B80" s="375" t="s">
        <v>278</v>
      </c>
      <c r="C80" s="376">
        <v>50000</v>
      </c>
      <c r="D80" s="376"/>
      <c r="E80" s="376">
        <f t="shared" si="2"/>
        <v>50000</v>
      </c>
    </row>
    <row r="81" spans="1:5" ht="15" customHeight="1">
      <c r="A81" s="377">
        <v>13</v>
      </c>
      <c r="B81" s="375" t="s">
        <v>279</v>
      </c>
      <c r="C81" s="376">
        <v>750000</v>
      </c>
      <c r="D81" s="376"/>
      <c r="E81" s="376">
        <f t="shared" si="2"/>
        <v>750000</v>
      </c>
    </row>
    <row r="82" spans="1:5" ht="15" customHeight="1">
      <c r="A82" s="377">
        <v>14</v>
      </c>
      <c r="B82" s="375" t="s">
        <v>280</v>
      </c>
      <c r="C82" s="376">
        <v>100000</v>
      </c>
      <c r="D82" s="376"/>
      <c r="E82" s="376">
        <f t="shared" si="2"/>
        <v>100000</v>
      </c>
    </row>
    <row r="83" spans="1:5" ht="15" customHeight="1">
      <c r="A83" s="377">
        <v>15</v>
      </c>
      <c r="B83" s="375" t="s">
        <v>281</v>
      </c>
      <c r="C83" s="376">
        <v>254000</v>
      </c>
      <c r="D83" s="376"/>
      <c r="E83" s="376">
        <f t="shared" si="2"/>
        <v>254000</v>
      </c>
    </row>
    <row r="84" spans="1:5" ht="15" customHeight="1">
      <c r="A84" s="377">
        <v>16</v>
      </c>
      <c r="B84" s="375" t="s">
        <v>282</v>
      </c>
      <c r="C84" s="376">
        <v>50000</v>
      </c>
      <c r="D84" s="376"/>
      <c r="E84" s="376">
        <f t="shared" si="2"/>
        <v>50000</v>
      </c>
    </row>
    <row r="85" spans="1:5" ht="15" customHeight="1">
      <c r="A85" s="142"/>
      <c r="B85" s="140" t="s">
        <v>3</v>
      </c>
      <c r="C85" s="143">
        <f>SUM(C69:C84)</f>
        <v>22520889</v>
      </c>
      <c r="D85" s="143">
        <f>SUM(D69:D84)</f>
        <v>47501698</v>
      </c>
      <c r="E85" s="143">
        <f>SUM(E69:E84)</f>
        <v>70022587</v>
      </c>
    </row>
    <row r="86" spans="1:5" ht="15" customHeight="1">
      <c r="A86" s="142"/>
      <c r="B86" s="140"/>
      <c r="C86" s="143"/>
      <c r="D86" s="143"/>
      <c r="E86" s="143"/>
    </row>
    <row r="87" spans="1:5" ht="15" customHeight="1">
      <c r="A87" s="69" t="s">
        <v>10</v>
      </c>
      <c r="B87" s="69" t="s">
        <v>91</v>
      </c>
      <c r="C87" s="141"/>
      <c r="D87" s="141"/>
      <c r="E87" s="141"/>
    </row>
    <row r="88" spans="1:5" ht="15" customHeight="1">
      <c r="A88" s="70" t="s">
        <v>4</v>
      </c>
      <c r="B88" s="70" t="s">
        <v>92</v>
      </c>
      <c r="C88" s="144"/>
      <c r="D88" s="144"/>
      <c r="E88" s="144"/>
    </row>
    <row r="89" spans="1:5" ht="15" customHeight="1">
      <c r="A89" s="354">
        <v>1</v>
      </c>
      <c r="B89" s="355" t="s">
        <v>12</v>
      </c>
      <c r="C89" s="356"/>
      <c r="D89" s="356">
        <v>1165207</v>
      </c>
      <c r="E89" s="356">
        <f>C89+D89</f>
        <v>1165207</v>
      </c>
    </row>
    <row r="90" spans="1:5" ht="15" customHeight="1">
      <c r="A90" s="354">
        <v>2</v>
      </c>
      <c r="B90" s="355" t="s">
        <v>44</v>
      </c>
      <c r="C90" s="356"/>
      <c r="D90" s="356">
        <v>0</v>
      </c>
      <c r="E90" s="356">
        <f>C90+D90</f>
        <v>0</v>
      </c>
    </row>
    <row r="91" spans="1:5" ht="15" customHeight="1">
      <c r="A91" s="69"/>
      <c r="B91" s="70" t="s">
        <v>3</v>
      </c>
      <c r="C91" s="144">
        <f>SUM(C89:C90)</f>
        <v>0</v>
      </c>
      <c r="D91" s="144">
        <f>SUM(D89:D90)</f>
        <v>1165207</v>
      </c>
      <c r="E91" s="144">
        <f>SUM(E89:E90)</f>
        <v>1165207</v>
      </c>
    </row>
    <row r="92" spans="1:5" ht="15" customHeight="1">
      <c r="A92" s="70" t="s">
        <v>5</v>
      </c>
      <c r="B92" s="70" t="s">
        <v>93</v>
      </c>
      <c r="C92" s="141"/>
      <c r="D92" s="141"/>
      <c r="E92" s="141"/>
    </row>
    <row r="93" spans="1:5" ht="15" customHeight="1">
      <c r="A93" s="379">
        <v>1</v>
      </c>
      <c r="B93" s="375" t="s">
        <v>233</v>
      </c>
      <c r="C93" s="374"/>
      <c r="D93" s="374">
        <v>5802000</v>
      </c>
      <c r="E93" s="374">
        <f>C93+D93</f>
        <v>5802000</v>
      </c>
    </row>
    <row r="94" spans="1:5" ht="15" customHeight="1">
      <c r="A94" s="379">
        <v>2</v>
      </c>
      <c r="B94" s="375" t="s">
        <v>268</v>
      </c>
      <c r="C94" s="374"/>
      <c r="D94" s="374">
        <v>5802000</v>
      </c>
      <c r="E94" s="374">
        <f>C94+D94</f>
        <v>5802000</v>
      </c>
    </row>
    <row r="95" spans="1:5" ht="15" customHeight="1">
      <c r="A95" s="69"/>
      <c r="B95" s="70" t="s">
        <v>3</v>
      </c>
      <c r="C95" s="144">
        <f>SUM(C93:C94)</f>
        <v>0</v>
      </c>
      <c r="D95" s="144">
        <f>SUM(D93:D94)</f>
        <v>11604000</v>
      </c>
      <c r="E95" s="144">
        <f>SUM(E93:E94)</f>
        <v>11604000</v>
      </c>
    </row>
    <row r="96" spans="1:5" ht="15" customHeight="1">
      <c r="A96" s="156" t="s">
        <v>6</v>
      </c>
      <c r="B96" s="70" t="s">
        <v>94</v>
      </c>
      <c r="C96" s="141"/>
      <c r="D96" s="141"/>
      <c r="E96" s="141"/>
    </row>
    <row r="97" spans="1:5" ht="15" customHeight="1">
      <c r="A97" s="354">
        <v>1</v>
      </c>
      <c r="B97" s="357" t="s">
        <v>331</v>
      </c>
      <c r="C97" s="356"/>
      <c r="D97" s="356">
        <v>9000000</v>
      </c>
      <c r="E97" s="356">
        <f>C97+D97</f>
        <v>9000000</v>
      </c>
    </row>
    <row r="98" spans="1:5" ht="15" customHeight="1">
      <c r="A98" s="354">
        <v>2</v>
      </c>
      <c r="B98" s="355" t="s">
        <v>332</v>
      </c>
      <c r="C98" s="356"/>
      <c r="D98" s="356">
        <v>900000</v>
      </c>
      <c r="E98" s="356">
        <f>C98+D98</f>
        <v>900000</v>
      </c>
    </row>
    <row r="99" spans="1:5" ht="15" customHeight="1">
      <c r="A99" s="354">
        <v>3</v>
      </c>
      <c r="B99" s="355" t="s">
        <v>333</v>
      </c>
      <c r="C99" s="356"/>
      <c r="D99" s="356">
        <v>0</v>
      </c>
      <c r="E99" s="356">
        <f>C99+D99</f>
        <v>0</v>
      </c>
    </row>
    <row r="100" spans="1:5" ht="15" customHeight="1">
      <c r="A100" s="69"/>
      <c r="B100" s="70" t="s">
        <v>3</v>
      </c>
      <c r="C100" s="144">
        <f>SUM(C97:C99)</f>
        <v>0</v>
      </c>
      <c r="D100" s="144">
        <f>SUM(D97:D99)</f>
        <v>9900000</v>
      </c>
      <c r="E100" s="144">
        <f>SUM(E97:E99)</f>
        <v>9900000</v>
      </c>
    </row>
    <row r="101" spans="1:5" ht="15" customHeight="1">
      <c r="A101" s="145" t="s">
        <v>7</v>
      </c>
      <c r="B101" s="146" t="s">
        <v>95</v>
      </c>
      <c r="C101" s="147"/>
      <c r="D101" s="147"/>
      <c r="E101" s="147"/>
    </row>
    <row r="102" spans="1:5" ht="15" customHeight="1">
      <c r="A102" s="358">
        <v>1</v>
      </c>
      <c r="B102" s="359" t="s">
        <v>45</v>
      </c>
      <c r="C102" s="360"/>
      <c r="D102" s="360"/>
      <c r="E102" s="360">
        <f>C102+D102</f>
        <v>0</v>
      </c>
    </row>
    <row r="103" spans="1:5" ht="15" customHeight="1">
      <c r="A103" s="148"/>
      <c r="B103" s="146" t="s">
        <v>3</v>
      </c>
      <c r="C103" s="149">
        <f>SUM(C102:C102)</f>
        <v>0</v>
      </c>
      <c r="D103" s="149">
        <f>SUM(D102:D102)</f>
        <v>0</v>
      </c>
      <c r="E103" s="149">
        <f>SUM(E102:E102)</f>
        <v>0</v>
      </c>
    </row>
    <row r="104" spans="1:5" ht="15" customHeight="1">
      <c r="A104" s="142"/>
      <c r="B104" s="140" t="s">
        <v>3</v>
      </c>
      <c r="C104" s="143">
        <f>C103+C100+C95+C91</f>
        <v>0</v>
      </c>
      <c r="D104" s="143">
        <f>D103+D100+D95+D91</f>
        <v>22669207</v>
      </c>
      <c r="E104" s="143">
        <f>E103+E100+E95+E91</f>
        <v>22669207</v>
      </c>
    </row>
    <row r="105" spans="1:5" ht="15" customHeight="1">
      <c r="A105" s="69"/>
      <c r="B105" s="69"/>
      <c r="C105" s="141"/>
      <c r="D105" s="141"/>
      <c r="E105" s="141"/>
    </row>
    <row r="106" spans="1:5" ht="15" customHeight="1">
      <c r="A106" s="69"/>
      <c r="B106" s="140" t="s">
        <v>96</v>
      </c>
      <c r="C106" s="141">
        <f>C104+C85+C62</f>
        <v>46498770</v>
      </c>
      <c r="D106" s="141">
        <f>D104+D85+D62</f>
        <v>1159361204</v>
      </c>
      <c r="E106" s="141">
        <f>E104+E85+E62</f>
        <v>1205859974</v>
      </c>
    </row>
    <row r="107" spans="1:5" ht="15" customHeight="1">
      <c r="A107" s="69"/>
      <c r="B107" s="140"/>
      <c r="C107" s="141"/>
      <c r="D107" s="141"/>
      <c r="E107" s="141"/>
    </row>
    <row r="108" spans="1:5" ht="15" customHeight="1">
      <c r="A108" s="69" t="s">
        <v>13</v>
      </c>
      <c r="B108" s="150" t="s">
        <v>99</v>
      </c>
      <c r="C108" s="141"/>
      <c r="D108" s="141"/>
      <c r="E108" s="141"/>
    </row>
    <row r="109" spans="1:5" ht="15" customHeight="1">
      <c r="A109" s="379">
        <v>1</v>
      </c>
      <c r="B109" s="370" t="s">
        <v>98</v>
      </c>
      <c r="C109" s="371">
        <v>0</v>
      </c>
      <c r="D109" s="371">
        <v>0</v>
      </c>
      <c r="E109" s="371">
        <f>C109+D109</f>
        <v>0</v>
      </c>
    </row>
    <row r="110" spans="1:5" ht="15" customHeight="1">
      <c r="A110" s="69"/>
      <c r="B110" s="150" t="s">
        <v>3</v>
      </c>
      <c r="C110" s="141">
        <f>SUM(C109:C109)</f>
        <v>0</v>
      </c>
      <c r="D110" s="141">
        <f>SUM(D109:D109)</f>
        <v>0</v>
      </c>
      <c r="E110" s="141">
        <f>SUM(E109:E109)</f>
        <v>0</v>
      </c>
    </row>
    <row r="111" spans="1:5" ht="15" customHeight="1">
      <c r="A111" s="151"/>
      <c r="B111" s="150" t="s">
        <v>97</v>
      </c>
      <c r="C111" s="141">
        <v>0</v>
      </c>
      <c r="D111" s="141">
        <v>0</v>
      </c>
      <c r="E111" s="141">
        <v>0</v>
      </c>
    </row>
    <row r="112" spans="1:5" ht="15" customHeight="1">
      <c r="A112" s="142"/>
      <c r="B112" s="69"/>
      <c r="C112" s="141"/>
      <c r="D112" s="141"/>
      <c r="E112" s="141"/>
    </row>
    <row r="113" spans="1:5" ht="15" customHeight="1">
      <c r="A113" s="142"/>
      <c r="B113" s="69" t="s">
        <v>14</v>
      </c>
      <c r="C113" s="141">
        <f>C106+C111</f>
        <v>46498770</v>
      </c>
      <c r="D113" s="141">
        <f>D106+D111</f>
        <v>1159361204</v>
      </c>
      <c r="E113" s="141">
        <f>E106+E111</f>
        <v>1205859974</v>
      </c>
    </row>
    <row r="114" spans="1:5" ht="15" customHeight="1">
      <c r="A114" s="142"/>
      <c r="B114" s="69" t="s">
        <v>47</v>
      </c>
      <c r="C114" s="141"/>
      <c r="D114" s="141"/>
      <c r="E114" s="141"/>
    </row>
    <row r="115" spans="1:5" ht="15" customHeight="1">
      <c r="A115" s="142"/>
      <c r="B115" s="380" t="s">
        <v>48</v>
      </c>
      <c r="C115" s="381">
        <f>C113-C116-C117</f>
        <v>46498770</v>
      </c>
      <c r="D115" s="381">
        <f>D113-D116-D117</f>
        <v>1002204168</v>
      </c>
      <c r="E115" s="381">
        <f>E113-E116-E117</f>
        <v>1048702938</v>
      </c>
    </row>
    <row r="116" spans="1:5" ht="15" customHeight="1">
      <c r="A116" s="142"/>
      <c r="B116" s="361" t="s">
        <v>46</v>
      </c>
      <c r="C116" s="362">
        <f>C102+C90+C89+C56+C57+C58+C60+C99+C97+C59+C98+C11</f>
        <v>0</v>
      </c>
      <c r="D116" s="362">
        <f>D102+D90+D89+D56+D57+D58+D99+D97+D59+D60+D98+D11</f>
        <v>102157036</v>
      </c>
      <c r="E116" s="362">
        <f>E102+E90+E89+E56+E57+E58+E99+E97+E59+E60+E98+E11</f>
        <v>102157036</v>
      </c>
    </row>
    <row r="117" spans="1:5" ht="15" customHeight="1">
      <c r="A117" s="142"/>
      <c r="B117" s="391" t="s">
        <v>343</v>
      </c>
      <c r="C117" s="392">
        <f>C61</f>
        <v>0</v>
      </c>
      <c r="D117" s="392">
        <f>D61</f>
        <v>55000000</v>
      </c>
      <c r="E117" s="392">
        <f>E61</f>
        <v>55000000</v>
      </c>
    </row>
    <row r="118" spans="1:5" ht="15" customHeight="1">
      <c r="A118" s="142"/>
      <c r="B118" s="69" t="s">
        <v>66</v>
      </c>
      <c r="C118" s="141">
        <f>C113-'4. melléklet'!C76</f>
        <v>15669838</v>
      </c>
      <c r="D118" s="141">
        <f>D113-'4. melléklet'!D76</f>
        <v>-15669838</v>
      </c>
      <c r="E118" s="141">
        <f>E113-'4. melléklet'!E76</f>
        <v>0</v>
      </c>
    </row>
    <row r="119" spans="1:5" ht="15" customHeight="1">
      <c r="A119" s="142"/>
      <c r="B119" s="69"/>
      <c r="C119" s="141"/>
      <c r="D119" s="141"/>
      <c r="E119" s="141"/>
    </row>
    <row r="120" spans="1:5" ht="15" customHeight="1">
      <c r="A120" s="142" t="s">
        <v>143</v>
      </c>
      <c r="B120" s="69" t="s">
        <v>65</v>
      </c>
      <c r="C120" s="152"/>
      <c r="D120" s="152"/>
      <c r="E120" s="152"/>
    </row>
    <row r="121" spans="1:5" ht="15" customHeight="1">
      <c r="A121" s="142"/>
      <c r="B121" s="366" t="s">
        <v>257</v>
      </c>
      <c r="C121" s="213"/>
      <c r="D121" s="213">
        <v>24350000</v>
      </c>
      <c r="E121" s="213">
        <f aca="true" t="shared" si="3" ref="E121:E132">C121+D121</f>
        <v>24350000</v>
      </c>
    </row>
    <row r="122" spans="1:5" ht="15" customHeight="1">
      <c r="A122" s="142"/>
      <c r="B122" s="212" t="s">
        <v>334</v>
      </c>
      <c r="C122" s="213"/>
      <c r="D122" s="213">
        <v>8600000</v>
      </c>
      <c r="E122" s="213">
        <f t="shared" si="3"/>
        <v>8600000</v>
      </c>
    </row>
    <row r="123" spans="1:5" ht="15" customHeight="1">
      <c r="A123" s="142"/>
      <c r="B123" s="212" t="s">
        <v>335</v>
      </c>
      <c r="C123" s="213"/>
      <c r="D123" s="213">
        <v>1111330</v>
      </c>
      <c r="E123" s="213">
        <f t="shared" si="3"/>
        <v>1111330</v>
      </c>
    </row>
    <row r="124" spans="1:5" ht="15" customHeight="1">
      <c r="A124" s="142"/>
      <c r="B124" s="214" t="s">
        <v>336</v>
      </c>
      <c r="C124" s="152"/>
      <c r="D124" s="152">
        <v>1000000</v>
      </c>
      <c r="E124" s="152">
        <f t="shared" si="3"/>
        <v>1000000</v>
      </c>
    </row>
    <row r="125" spans="1:5" ht="15" customHeight="1">
      <c r="A125" s="142"/>
      <c r="B125" s="214" t="s">
        <v>337</v>
      </c>
      <c r="C125" s="152"/>
      <c r="D125" s="152">
        <v>3810000</v>
      </c>
      <c r="E125" s="152">
        <f t="shared" si="3"/>
        <v>3810000</v>
      </c>
    </row>
    <row r="126" spans="1:5" ht="15" customHeight="1">
      <c r="A126" s="142"/>
      <c r="B126" s="212" t="s">
        <v>338</v>
      </c>
      <c r="C126" s="158"/>
      <c r="D126" s="158">
        <v>4800000</v>
      </c>
      <c r="E126" s="158">
        <f t="shared" si="3"/>
        <v>4800000</v>
      </c>
    </row>
    <row r="127" spans="1:5" ht="15" customHeight="1">
      <c r="A127" s="142"/>
      <c r="B127" s="212" t="s">
        <v>339</v>
      </c>
      <c r="C127" s="213"/>
      <c r="D127" s="213">
        <v>18000000</v>
      </c>
      <c r="E127" s="213">
        <f t="shared" si="3"/>
        <v>18000000</v>
      </c>
    </row>
    <row r="128" spans="1:5" ht="15" customHeight="1">
      <c r="A128" s="142"/>
      <c r="B128" s="212" t="s">
        <v>340</v>
      </c>
      <c r="C128" s="213"/>
      <c r="D128" s="213">
        <v>11328400</v>
      </c>
      <c r="E128" s="213">
        <f t="shared" si="3"/>
        <v>11328400</v>
      </c>
    </row>
    <row r="129" spans="2:5" ht="15" customHeight="1">
      <c r="B129" s="153" t="s">
        <v>333</v>
      </c>
      <c r="D129" s="213">
        <v>2791663</v>
      </c>
      <c r="E129" s="213">
        <f t="shared" si="3"/>
        <v>2791663</v>
      </c>
    </row>
    <row r="130" spans="2:5" ht="15" customHeight="1">
      <c r="B130" s="2" t="s">
        <v>341</v>
      </c>
      <c r="D130" s="213">
        <v>1950000</v>
      </c>
      <c r="E130" s="213">
        <f t="shared" si="3"/>
        <v>1950000</v>
      </c>
    </row>
    <row r="131" spans="2:5" ht="15" customHeight="1">
      <c r="B131" s="7" t="s">
        <v>342</v>
      </c>
      <c r="E131" s="213">
        <f t="shared" si="3"/>
        <v>0</v>
      </c>
    </row>
    <row r="132" spans="2:5" ht="15" customHeight="1">
      <c r="B132" s="7" t="s">
        <v>352</v>
      </c>
      <c r="D132" s="213">
        <v>2500000</v>
      </c>
      <c r="E132" s="213">
        <f t="shared" si="3"/>
        <v>2500000</v>
      </c>
    </row>
    <row r="133" spans="2:5" ht="15" customHeight="1">
      <c r="B133" s="2"/>
      <c r="C133" s="388"/>
      <c r="D133" s="213"/>
      <c r="E133" s="213"/>
    </row>
    <row r="134" spans="2:5" ht="15" customHeight="1">
      <c r="B134" s="2"/>
      <c r="C134" s="2"/>
      <c r="D134" s="213"/>
      <c r="E134" s="213"/>
    </row>
    <row r="135" spans="2:5" ht="26.25" customHeight="1">
      <c r="B135" s="18"/>
      <c r="C135" s="2"/>
      <c r="D135" s="2"/>
      <c r="E135" s="389"/>
    </row>
    <row r="136" spans="2:5" ht="15" customHeight="1">
      <c r="B136" s="7"/>
      <c r="C136" s="7"/>
      <c r="D136" s="7"/>
      <c r="E136" s="213"/>
    </row>
    <row r="137" spans="2:5" ht="15" customHeight="1">
      <c r="B137" s="7"/>
      <c r="C137" s="7"/>
      <c r="D137" s="7"/>
      <c r="E137" s="213"/>
    </row>
    <row r="138" spans="2:5" ht="15" customHeight="1">
      <c r="B138" s="7"/>
      <c r="C138" s="7"/>
      <c r="D138" s="7"/>
      <c r="E138" s="213"/>
    </row>
    <row r="139" spans="2:5" ht="15" customHeight="1">
      <c r="B139" s="7"/>
      <c r="C139" s="7"/>
      <c r="D139" s="7"/>
      <c r="E139" s="213"/>
    </row>
    <row r="140" spans="2:5" ht="15" customHeight="1">
      <c r="B140" s="7"/>
      <c r="C140" s="7"/>
      <c r="D140" s="7"/>
      <c r="E140" s="213"/>
    </row>
    <row r="141" spans="2:5" ht="15" customHeight="1">
      <c r="B141" s="7"/>
      <c r="C141" s="7"/>
      <c r="D141" s="7"/>
      <c r="E141" s="213"/>
    </row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  <rowBreaks count="2" manualBreakCount="2">
    <brk id="65" max="255" man="1"/>
    <brk id="11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37.125" style="7" customWidth="1"/>
    <col min="2" max="2" width="15.875" style="7" customWidth="1"/>
    <col min="3" max="3" width="13.75390625" style="7" customWidth="1"/>
    <col min="4" max="4" width="10.875" style="7" customWidth="1"/>
    <col min="5" max="6" width="10.875" style="7" bestFit="1" customWidth="1"/>
    <col min="7" max="7" width="12.25390625" style="7" bestFit="1" customWidth="1"/>
    <col min="8" max="8" width="9.625" style="7" customWidth="1"/>
    <col min="9" max="16384" width="9.125" style="7" customWidth="1"/>
  </cols>
  <sheetData>
    <row r="1" spans="1:3" ht="13.5">
      <c r="A1" s="405" t="s">
        <v>360</v>
      </c>
      <c r="B1" s="405"/>
      <c r="C1" s="405"/>
    </row>
    <row r="2" spans="1:9" ht="30.75" customHeight="1">
      <c r="A2" s="408" t="s">
        <v>292</v>
      </c>
      <c r="B2" s="408"/>
      <c r="C2" s="408"/>
      <c r="D2" s="408"/>
      <c r="E2" s="408"/>
      <c r="F2" s="408"/>
      <c r="G2" s="408"/>
      <c r="H2" s="101"/>
      <c r="I2" s="101"/>
    </row>
    <row r="4" spans="2:7" ht="52.5" customHeight="1">
      <c r="B4" s="103" t="s">
        <v>353</v>
      </c>
      <c r="C4" s="102" t="s">
        <v>354</v>
      </c>
      <c r="D4" s="104" t="s">
        <v>165</v>
      </c>
      <c r="E4" s="104" t="s">
        <v>247</v>
      </c>
      <c r="F4" s="104" t="s">
        <v>355</v>
      </c>
      <c r="G4" s="105" t="s">
        <v>3</v>
      </c>
    </row>
    <row r="5" spans="1:7" ht="12.75">
      <c r="A5" s="9" t="s">
        <v>30</v>
      </c>
      <c r="B5" s="106"/>
      <c r="C5" s="28"/>
      <c r="D5" s="107"/>
      <c r="E5" s="107"/>
      <c r="F5" s="107"/>
      <c r="G5" s="107"/>
    </row>
    <row r="6" spans="1:7" ht="12.75">
      <c r="A6" s="7" t="s">
        <v>127</v>
      </c>
      <c r="B6" s="109">
        <v>420000000</v>
      </c>
      <c r="C6" s="108">
        <v>501688723</v>
      </c>
      <c r="D6" s="110">
        <v>420000000</v>
      </c>
      <c r="E6" s="110">
        <v>420000000</v>
      </c>
      <c r="F6" s="110">
        <v>450000000</v>
      </c>
      <c r="G6" s="111">
        <f aca="true" t="shared" si="0" ref="G6:G12">SUM(C6:F6)</f>
        <v>1791688723</v>
      </c>
    </row>
    <row r="7" spans="1:7" ht="25.5">
      <c r="A7" s="27" t="s">
        <v>129</v>
      </c>
      <c r="B7" s="109">
        <v>20000000</v>
      </c>
      <c r="C7" s="108">
        <v>18000000</v>
      </c>
      <c r="D7" s="110">
        <v>20000000</v>
      </c>
      <c r="E7" s="110">
        <v>20000000</v>
      </c>
      <c r="F7" s="110">
        <v>20000000</v>
      </c>
      <c r="G7" s="111">
        <f t="shared" si="0"/>
        <v>78000000</v>
      </c>
    </row>
    <row r="8" spans="1:7" ht="12.75">
      <c r="A8" s="7" t="s">
        <v>130</v>
      </c>
      <c r="B8" s="109"/>
      <c r="C8" s="108"/>
      <c r="D8" s="110"/>
      <c r="E8" s="110"/>
      <c r="F8" s="110"/>
      <c r="G8" s="111">
        <f t="shared" si="0"/>
        <v>0</v>
      </c>
    </row>
    <row r="9" spans="1:7" ht="25.5">
      <c r="A9" s="27" t="s">
        <v>128</v>
      </c>
      <c r="B9" s="109">
        <v>35000000</v>
      </c>
      <c r="C9" s="108">
        <v>128090418</v>
      </c>
      <c r="D9" s="110">
        <v>35000000</v>
      </c>
      <c r="E9" s="110">
        <v>35000000</v>
      </c>
      <c r="F9" s="110">
        <v>80000000</v>
      </c>
      <c r="G9" s="111">
        <f t="shared" si="0"/>
        <v>278090418</v>
      </c>
    </row>
    <row r="10" spans="1:7" ht="12.75">
      <c r="A10" s="7" t="s">
        <v>131</v>
      </c>
      <c r="B10" s="109">
        <v>500000</v>
      </c>
      <c r="C10" s="108">
        <v>0</v>
      </c>
      <c r="D10" s="110">
        <v>500000</v>
      </c>
      <c r="E10" s="110">
        <v>0</v>
      </c>
      <c r="F10" s="110">
        <v>0</v>
      </c>
      <c r="G10" s="111">
        <f t="shared" si="0"/>
        <v>500000</v>
      </c>
    </row>
    <row r="11" spans="1:7" ht="12.75">
      <c r="A11" s="7" t="s">
        <v>132</v>
      </c>
      <c r="B11" s="109"/>
      <c r="C11" s="108"/>
      <c r="D11" s="110"/>
      <c r="E11" s="110"/>
      <c r="F11" s="110"/>
      <c r="G11" s="111">
        <f t="shared" si="0"/>
        <v>0</v>
      </c>
    </row>
    <row r="12" spans="1:7" s="9" customFormat="1" ht="12.75">
      <c r="A12" s="9" t="s">
        <v>3</v>
      </c>
      <c r="B12" s="112">
        <f>SUM(B6:B11)</f>
        <v>475500000</v>
      </c>
      <c r="C12" s="31">
        <f>SUM(C6:C11)</f>
        <v>647779141</v>
      </c>
      <c r="D12" s="111">
        <f>SUM(D6:D11)</f>
        <v>475500000</v>
      </c>
      <c r="E12" s="111">
        <f>SUM(E6:E11)</f>
        <v>475000000</v>
      </c>
      <c r="F12" s="111">
        <f>SUM(F6:F11)</f>
        <v>550000000</v>
      </c>
      <c r="G12" s="111">
        <f t="shared" si="0"/>
        <v>2148279141</v>
      </c>
    </row>
    <row r="13" spans="2:7" ht="12.75">
      <c r="B13" s="109"/>
      <c r="C13" s="108"/>
      <c r="D13" s="110"/>
      <c r="E13" s="110"/>
      <c r="F13" s="110"/>
      <c r="G13" s="111"/>
    </row>
    <row r="14" spans="1:7" s="9" customFormat="1" ht="12.75">
      <c r="A14" s="9" t="s">
        <v>133</v>
      </c>
      <c r="B14" s="112">
        <f>B12*0.5</f>
        <v>237750000</v>
      </c>
      <c r="C14" s="31">
        <f>C12*0.5</f>
        <v>323889570.5</v>
      </c>
      <c r="D14" s="111">
        <f>D12*0.5</f>
        <v>237750000</v>
      </c>
      <c r="E14" s="111">
        <f>E12*0.5</f>
        <v>237500000</v>
      </c>
      <c r="F14" s="111">
        <f>F12*0.5</f>
        <v>275000000</v>
      </c>
      <c r="G14" s="111"/>
    </row>
    <row r="15" spans="2:7" ht="12.75">
      <c r="B15" s="109"/>
      <c r="C15" s="108"/>
      <c r="D15" s="110"/>
      <c r="E15" s="110"/>
      <c r="F15" s="110"/>
      <c r="G15" s="111"/>
    </row>
    <row r="16" spans="1:7" ht="12.75">
      <c r="A16" s="9" t="s">
        <v>100</v>
      </c>
      <c r="B16" s="109"/>
      <c r="C16" s="108"/>
      <c r="D16" s="110"/>
      <c r="E16" s="110"/>
      <c r="F16" s="110"/>
      <c r="G16" s="111"/>
    </row>
    <row r="17" spans="1:7" ht="12.75">
      <c r="A17" s="7" t="s">
        <v>98</v>
      </c>
      <c r="B17" s="109"/>
      <c r="C17" s="108"/>
      <c r="D17" s="110">
        <v>12000000</v>
      </c>
      <c r="E17" s="110">
        <v>12000000</v>
      </c>
      <c r="F17" s="110">
        <v>12000000</v>
      </c>
      <c r="G17" s="111"/>
    </row>
    <row r="18" spans="1:7" ht="12.75">
      <c r="A18" s="7" t="s">
        <v>101</v>
      </c>
      <c r="B18" s="109"/>
      <c r="C18" s="108"/>
      <c r="D18" s="110"/>
      <c r="E18" s="110"/>
      <c r="F18" s="110"/>
      <c r="G18" s="111"/>
    </row>
    <row r="19" spans="1:7" s="9" customFormat="1" ht="25.5">
      <c r="A19" s="72" t="s">
        <v>102</v>
      </c>
      <c r="B19" s="112">
        <f aca="true" t="shared" si="1" ref="B19:G19">SUM(B17:B18)</f>
        <v>0</v>
      </c>
      <c r="C19" s="112">
        <f t="shared" si="1"/>
        <v>0</v>
      </c>
      <c r="D19" s="112">
        <f t="shared" si="1"/>
        <v>12000000</v>
      </c>
      <c r="E19" s="112">
        <f t="shared" si="1"/>
        <v>12000000</v>
      </c>
      <c r="F19" s="112">
        <f t="shared" si="1"/>
        <v>12000000</v>
      </c>
      <c r="G19" s="112">
        <f t="shared" si="1"/>
        <v>0</v>
      </c>
    </row>
    <row r="20" spans="2:7" ht="12.75">
      <c r="B20" s="8"/>
      <c r="C20" s="8"/>
      <c r="D20" s="8"/>
      <c r="E20" s="8"/>
      <c r="F20" s="8"/>
      <c r="G20" s="71"/>
    </row>
  </sheetData>
  <sheetProtection/>
  <mergeCells count="2">
    <mergeCell ref="A1:C1"/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42"/>
  <sheetViews>
    <sheetView zoomScaleSheetLayoutView="100" zoomScalePageLayoutView="0" workbookViewId="0" topLeftCell="A1">
      <selection activeCell="A1" sqref="A1:B1"/>
    </sheetView>
  </sheetViews>
  <sheetFormatPr defaultColWidth="9.00390625" defaultRowHeight="12.75"/>
  <cols>
    <col min="1" max="1" width="7.125" style="114" customWidth="1"/>
    <col min="2" max="2" width="39.375" style="27" customWidth="1"/>
    <col min="3" max="3" width="14.00390625" style="8" customWidth="1"/>
    <col min="4" max="4" width="16.125" style="7" customWidth="1"/>
    <col min="5" max="16384" width="9.125" style="7" customWidth="1"/>
  </cols>
  <sheetData>
    <row r="1" spans="1:3" ht="12.75" customHeight="1">
      <c r="A1" s="411" t="s">
        <v>361</v>
      </c>
      <c r="B1" s="411"/>
      <c r="C1" s="113"/>
    </row>
    <row r="2" spans="2:3" ht="13.5">
      <c r="B2" s="115"/>
      <c r="C2" s="113"/>
    </row>
    <row r="3" spans="2:4" ht="13.5">
      <c r="B3" s="411" t="s">
        <v>134</v>
      </c>
      <c r="C3" s="412"/>
      <c r="D3" s="412"/>
    </row>
    <row r="4" spans="1:5" ht="24.75" customHeight="1">
      <c r="A4" s="409" t="s">
        <v>298</v>
      </c>
      <c r="B4" s="410"/>
      <c r="C4" s="410"/>
      <c r="D4" s="410"/>
      <c r="E4" s="410"/>
    </row>
    <row r="5" spans="1:5" ht="12.75">
      <c r="A5" s="410"/>
      <c r="B5" s="410"/>
      <c r="C5" s="410"/>
      <c r="D5" s="410"/>
      <c r="E5" s="410"/>
    </row>
    <row r="6" spans="2:3" ht="13.5">
      <c r="B6" s="116"/>
      <c r="C6" s="117"/>
    </row>
    <row r="7" spans="1:4" ht="29.25" customHeight="1">
      <c r="A7" s="118" t="s">
        <v>135</v>
      </c>
      <c r="B7" s="413" t="s">
        <v>299</v>
      </c>
      <c r="C7" s="414"/>
      <c r="D7" s="414"/>
    </row>
    <row r="8" spans="1:4" ht="19.5" customHeight="1">
      <c r="A8" s="118"/>
      <c r="B8" s="119"/>
      <c r="C8" s="120"/>
      <c r="D8" s="120"/>
    </row>
    <row r="9" spans="2:4" ht="13.5">
      <c r="B9" s="123"/>
      <c r="C9" s="124"/>
      <c r="D9" s="8"/>
    </row>
    <row r="11" spans="1:4" ht="13.5">
      <c r="A11" s="114" t="s">
        <v>7</v>
      </c>
      <c r="B11" s="121" t="s">
        <v>184</v>
      </c>
      <c r="C11" s="122" t="s">
        <v>300</v>
      </c>
      <c r="D11" s="122" t="s">
        <v>3</v>
      </c>
    </row>
    <row r="12" spans="2:4" ht="13.5">
      <c r="B12" s="123" t="s">
        <v>136</v>
      </c>
      <c r="C12" s="124"/>
      <c r="D12" s="8"/>
    </row>
    <row r="13" spans="2:4" ht="13.5">
      <c r="B13" s="7" t="s">
        <v>137</v>
      </c>
      <c r="C13" s="8">
        <f>(8064650+12539350)*0.85</f>
        <v>17513400</v>
      </c>
      <c r="D13" s="8">
        <f>SUM(C13:C13)</f>
        <v>17513400</v>
      </c>
    </row>
    <row r="14" spans="2:4" ht="13.5">
      <c r="B14" s="7" t="s">
        <v>138</v>
      </c>
      <c r="C14" s="8">
        <f>(8064650+12539350)*0.1</f>
        <v>2060400</v>
      </c>
      <c r="D14" s="8">
        <f>SUM(C14:C14)</f>
        <v>2060400</v>
      </c>
    </row>
    <row r="15" spans="2:4" ht="13.5">
      <c r="B15" s="7" t="s">
        <v>139</v>
      </c>
      <c r="D15" s="8">
        <f>SUM(C15:C15)</f>
        <v>0</v>
      </c>
    </row>
    <row r="16" spans="2:4" ht="13.5">
      <c r="B16" s="7" t="s">
        <v>140</v>
      </c>
      <c r="C16" s="8">
        <f>C24-C13-C14-C15</f>
        <v>1030200</v>
      </c>
      <c r="D16" s="8">
        <f>SUM(C16:C16)</f>
        <v>1030200</v>
      </c>
    </row>
    <row r="17" spans="2:4" ht="13.5">
      <c r="B17" s="123" t="s">
        <v>3</v>
      </c>
      <c r="C17" s="124">
        <f>SUM(C13:C16)</f>
        <v>20604000</v>
      </c>
      <c r="D17" s="124">
        <f>SUM(C17:C17)</f>
        <v>20604000</v>
      </c>
    </row>
    <row r="18" spans="2:4" ht="9.75" customHeight="1">
      <c r="B18" s="7"/>
      <c r="D18" s="8"/>
    </row>
    <row r="19" spans="2:4" ht="13.5">
      <c r="B19" s="123" t="s">
        <v>141</v>
      </c>
      <c r="C19" s="124"/>
      <c r="D19" s="8"/>
    </row>
    <row r="20" spans="2:4" ht="13.5">
      <c r="B20" s="7" t="s">
        <v>17</v>
      </c>
      <c r="D20" s="8"/>
    </row>
    <row r="21" spans="2:4" ht="15" customHeight="1">
      <c r="B21" s="7" t="s">
        <v>61</v>
      </c>
      <c r="C21" s="8">
        <v>12062200</v>
      </c>
      <c r="D21" s="8">
        <f>SUM(C21:C21)</f>
        <v>12062200</v>
      </c>
    </row>
    <row r="22" spans="2:4" ht="13.5">
      <c r="B22" s="7" t="s">
        <v>15</v>
      </c>
      <c r="C22" s="8">
        <v>7429569</v>
      </c>
      <c r="D22" s="8">
        <f>SUM(C22:C22)</f>
        <v>7429569</v>
      </c>
    </row>
    <row r="23" spans="2:4" ht="13.5">
      <c r="B23" s="7" t="s">
        <v>142</v>
      </c>
      <c r="C23" s="8">
        <v>1112231</v>
      </c>
      <c r="D23" s="8">
        <f>SUM(C23:C23)</f>
        <v>1112231</v>
      </c>
    </row>
    <row r="24" spans="2:4" ht="13.5">
      <c r="B24" s="123" t="s">
        <v>3</v>
      </c>
      <c r="C24" s="124">
        <f>SUM(C20:C23)</f>
        <v>20604000</v>
      </c>
      <c r="D24" s="8">
        <f>SUM(C24:C24)</f>
        <v>20604000</v>
      </c>
    </row>
    <row r="25" spans="2:4" ht="13.5">
      <c r="B25" s="123"/>
      <c r="C25" s="124"/>
      <c r="D25" s="8"/>
    </row>
    <row r="27" spans="2:4" ht="13.5">
      <c r="B27" s="123"/>
      <c r="C27" s="124"/>
      <c r="D27" s="8"/>
    </row>
    <row r="28" spans="1:4" ht="13.5">
      <c r="A28" s="114" t="s">
        <v>18</v>
      </c>
      <c r="B28" s="121" t="s">
        <v>185</v>
      </c>
      <c r="C28" s="122" t="s">
        <v>300</v>
      </c>
      <c r="D28" s="122" t="s">
        <v>3</v>
      </c>
    </row>
    <row r="29" spans="2:4" ht="13.5">
      <c r="B29" s="123" t="s">
        <v>136</v>
      </c>
      <c r="C29" s="124"/>
      <c r="D29" s="8"/>
    </row>
    <row r="30" spans="2:4" ht="13.5">
      <c r="B30" s="7" t="s">
        <v>137</v>
      </c>
      <c r="D30" s="8">
        <f>SUM(C30:C30)</f>
        <v>0</v>
      </c>
    </row>
    <row r="31" spans="2:4" ht="13.5">
      <c r="B31" s="7" t="s">
        <v>138</v>
      </c>
      <c r="C31" s="8">
        <v>35672424</v>
      </c>
      <c r="D31" s="8">
        <f>SUM(C31:C31)</f>
        <v>35672424</v>
      </c>
    </row>
    <row r="32" spans="2:4" ht="13.5">
      <c r="B32" s="7" t="s">
        <v>139</v>
      </c>
      <c r="D32" s="8">
        <f>SUM(C32:C32)</f>
        <v>0</v>
      </c>
    </row>
    <row r="33" spans="2:4" ht="13.5">
      <c r="B33" s="7" t="s">
        <v>140</v>
      </c>
      <c r="C33" s="8">
        <f>C41-C30-C31-C32</f>
        <v>0</v>
      </c>
      <c r="D33" s="8">
        <f>SUM(C33:C33)</f>
        <v>0</v>
      </c>
    </row>
    <row r="34" spans="2:4" ht="13.5">
      <c r="B34" s="123" t="s">
        <v>3</v>
      </c>
      <c r="C34" s="124">
        <f>SUM(C30:C33)</f>
        <v>35672424</v>
      </c>
      <c r="D34" s="124">
        <f>SUM(C34:C34)</f>
        <v>35672424</v>
      </c>
    </row>
    <row r="35" spans="2:4" ht="9.75" customHeight="1">
      <c r="B35" s="7"/>
      <c r="D35" s="8"/>
    </row>
    <row r="36" spans="2:4" ht="13.5">
      <c r="B36" s="123" t="s">
        <v>141</v>
      </c>
      <c r="C36" s="124"/>
      <c r="D36" s="8"/>
    </row>
    <row r="37" spans="2:4" ht="13.5">
      <c r="B37" s="7" t="s">
        <v>17</v>
      </c>
      <c r="D37" s="8"/>
    </row>
    <row r="38" spans="2:4" ht="13.5">
      <c r="B38" s="7" t="s">
        <v>61</v>
      </c>
      <c r="D38" s="8">
        <f>SUM(C38:C38)</f>
        <v>0</v>
      </c>
    </row>
    <row r="39" spans="2:4" ht="13.5">
      <c r="B39" s="7" t="s">
        <v>15</v>
      </c>
      <c r="C39" s="8">
        <v>15592245</v>
      </c>
      <c r="D39" s="8">
        <f>SUM(C39:C39)</f>
        <v>15592245</v>
      </c>
    </row>
    <row r="40" spans="2:4" ht="13.5">
      <c r="B40" s="7" t="s">
        <v>186</v>
      </c>
      <c r="C40" s="8">
        <v>20080179</v>
      </c>
      <c r="D40" s="8">
        <f>SUM(C40:C40)</f>
        <v>20080179</v>
      </c>
    </row>
    <row r="41" spans="2:4" ht="13.5">
      <c r="B41" s="123" t="s">
        <v>3</v>
      </c>
      <c r="C41" s="124">
        <f>SUM(C37:C40)</f>
        <v>35672424</v>
      </c>
      <c r="D41" s="8">
        <f>SUM(C41:C41)</f>
        <v>35672424</v>
      </c>
    </row>
    <row r="42" spans="2:4" ht="13.5">
      <c r="B42" s="123"/>
      <c r="C42" s="124"/>
      <c r="D42" s="8"/>
    </row>
  </sheetData>
  <sheetProtection/>
  <mergeCells count="4">
    <mergeCell ref="A4:E5"/>
    <mergeCell ref="B3:D3"/>
    <mergeCell ref="B7:D7"/>
    <mergeCell ref="A1:B1"/>
  </mergeCells>
  <printOptions/>
  <pageMargins left="0.7874015748031497" right="0.7874015748031497" top="1.1023622047244095" bottom="1.1811023622047245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R22"/>
  <sheetViews>
    <sheetView workbookViewId="0" topLeftCell="A1">
      <selection activeCell="A3" sqref="A3"/>
    </sheetView>
  </sheetViews>
  <sheetFormatPr defaultColWidth="71.875" defaultRowHeight="12.75"/>
  <cols>
    <col min="1" max="1" width="60.875" style="283" customWidth="1"/>
    <col min="2" max="17" width="12.125" style="283" customWidth="1"/>
    <col min="18" max="18" width="10.875" style="283" customWidth="1"/>
    <col min="19" max="19" width="3.125" style="283" customWidth="1"/>
    <col min="20" max="24" width="9.25390625" style="283" customWidth="1"/>
    <col min="25" max="16384" width="71.875" style="283" customWidth="1"/>
  </cols>
  <sheetData>
    <row r="3" ht="12.75">
      <c r="A3" s="283" t="s">
        <v>362</v>
      </c>
    </row>
    <row r="4" spans="1:18" ht="21.75" customHeight="1">
      <c r="A4" s="405"/>
      <c r="B4" s="405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</row>
    <row r="5" spans="1:18" ht="15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</row>
    <row r="6" spans="1:18" ht="12.75">
      <c r="A6" s="417" t="s">
        <v>297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</row>
    <row r="7" spans="1:18" ht="12.75">
      <c r="A7" s="418" t="s">
        <v>188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</row>
    <row r="8" ht="12.75">
      <c r="A8" s="284"/>
    </row>
    <row r="9" ht="12.75">
      <c r="A9" s="284"/>
    </row>
    <row r="10" spans="1:18" ht="26.25" customHeight="1" thickBot="1">
      <c r="A10" s="419"/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</row>
    <row r="11" spans="1:18" ht="30" customHeight="1" thickBot="1">
      <c r="A11" s="420" t="s">
        <v>168</v>
      </c>
      <c r="B11" s="422" t="s">
        <v>169</v>
      </c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3"/>
    </row>
    <row r="12" spans="1:18" ht="78.75" customHeight="1" thickBot="1">
      <c r="A12" s="421"/>
      <c r="B12" s="286" t="s">
        <v>56</v>
      </c>
      <c r="C12" s="286" t="s">
        <v>144</v>
      </c>
      <c r="D12" s="286" t="s">
        <v>67</v>
      </c>
      <c r="E12" s="286" t="s">
        <v>40</v>
      </c>
      <c r="F12" s="286" t="s">
        <v>163</v>
      </c>
      <c r="G12" s="287" t="s">
        <v>211</v>
      </c>
      <c r="H12" s="288" t="s">
        <v>212</v>
      </c>
      <c r="I12" s="288" t="s">
        <v>213</v>
      </c>
      <c r="J12" s="288" t="s">
        <v>214</v>
      </c>
      <c r="K12" s="289" t="s">
        <v>215</v>
      </c>
      <c r="L12" s="329" t="s">
        <v>216</v>
      </c>
      <c r="M12" s="330" t="s">
        <v>217</v>
      </c>
      <c r="N12" s="331" t="s">
        <v>218</v>
      </c>
      <c r="O12" s="332" t="s">
        <v>219</v>
      </c>
      <c r="P12" s="333" t="s">
        <v>220</v>
      </c>
      <c r="Q12" s="290" t="s">
        <v>187</v>
      </c>
      <c r="R12" s="291" t="s">
        <v>170</v>
      </c>
    </row>
    <row r="13" spans="1:18" ht="12.75">
      <c r="A13" s="230" t="s">
        <v>171</v>
      </c>
      <c r="B13" s="292"/>
      <c r="C13" s="292"/>
      <c r="D13" s="292"/>
      <c r="E13" s="292">
        <v>53</v>
      </c>
      <c r="F13" s="292"/>
      <c r="G13" s="293"/>
      <c r="H13" s="294"/>
      <c r="I13" s="294"/>
      <c r="J13" s="294"/>
      <c r="K13" s="295"/>
      <c r="L13" s="296"/>
      <c r="M13" s="293"/>
      <c r="N13" s="294"/>
      <c r="O13" s="295"/>
      <c r="P13" s="334"/>
      <c r="Q13" s="297"/>
      <c r="R13" s="292">
        <f aca="true" t="shared" si="0" ref="R13:R20">B13+C13+D13+E13+F13+L13+P13+Q13</f>
        <v>53</v>
      </c>
    </row>
    <row r="14" spans="1:18" ht="12.75">
      <c r="A14" s="227" t="s">
        <v>172</v>
      </c>
      <c r="B14" s="298">
        <v>9</v>
      </c>
      <c r="C14" s="298">
        <v>16.5</v>
      </c>
      <c r="D14" s="298">
        <v>12</v>
      </c>
      <c r="E14" s="298"/>
      <c r="F14" s="298">
        <v>48.75</v>
      </c>
      <c r="G14" s="299">
        <v>20</v>
      </c>
      <c r="H14" s="300">
        <v>5.5</v>
      </c>
      <c r="I14" s="300">
        <v>10</v>
      </c>
      <c r="J14" s="300">
        <v>3.5</v>
      </c>
      <c r="K14" s="301">
        <v>3</v>
      </c>
      <c r="L14" s="302">
        <f>G14+H14+I14+J14+K14</f>
        <v>42</v>
      </c>
      <c r="M14" s="299">
        <v>19.5</v>
      </c>
      <c r="N14" s="300">
        <v>3</v>
      </c>
      <c r="O14" s="301">
        <v>3</v>
      </c>
      <c r="P14" s="335">
        <f>M14+N14+O14</f>
        <v>25.5</v>
      </c>
      <c r="Q14" s="303"/>
      <c r="R14" s="298">
        <f t="shared" si="0"/>
        <v>153.75</v>
      </c>
    </row>
    <row r="15" spans="1:18" ht="13.5" thickBot="1">
      <c r="A15" s="231" t="s">
        <v>173</v>
      </c>
      <c r="B15" s="304"/>
      <c r="C15" s="304"/>
      <c r="D15" s="304"/>
      <c r="E15" s="304">
        <v>2</v>
      </c>
      <c r="F15" s="304"/>
      <c r="G15" s="305"/>
      <c r="H15" s="306"/>
      <c r="I15" s="306"/>
      <c r="J15" s="306"/>
      <c r="K15" s="307"/>
      <c r="L15" s="308"/>
      <c r="M15" s="305"/>
      <c r="N15" s="306"/>
      <c r="O15" s="307"/>
      <c r="P15" s="336"/>
      <c r="Q15" s="309">
        <v>2.75</v>
      </c>
      <c r="R15" s="304">
        <f t="shared" si="0"/>
        <v>4.75</v>
      </c>
    </row>
    <row r="16" spans="1:18" ht="13.5" customHeight="1">
      <c r="A16" s="233" t="s">
        <v>174</v>
      </c>
      <c r="B16" s="310"/>
      <c r="C16" s="310"/>
      <c r="D16" s="310"/>
      <c r="E16" s="310"/>
      <c r="F16" s="310"/>
      <c r="G16" s="311"/>
      <c r="H16" s="312"/>
      <c r="I16" s="312"/>
      <c r="J16" s="312"/>
      <c r="K16" s="313"/>
      <c r="L16" s="314"/>
      <c r="M16" s="311"/>
      <c r="N16" s="312"/>
      <c r="O16" s="313"/>
      <c r="P16" s="337"/>
      <c r="Q16" s="315">
        <v>1</v>
      </c>
      <c r="R16" s="310">
        <f t="shared" si="0"/>
        <v>1</v>
      </c>
    </row>
    <row r="17" spans="1:18" ht="12.75">
      <c r="A17" s="228" t="s">
        <v>175</v>
      </c>
      <c r="B17" s="298"/>
      <c r="C17" s="298"/>
      <c r="D17" s="298"/>
      <c r="E17" s="298"/>
      <c r="F17" s="298"/>
      <c r="G17" s="299"/>
      <c r="H17" s="300"/>
      <c r="I17" s="300"/>
      <c r="J17" s="300"/>
      <c r="K17" s="301"/>
      <c r="L17" s="302"/>
      <c r="M17" s="299"/>
      <c r="N17" s="300"/>
      <c r="O17" s="301"/>
      <c r="P17" s="335"/>
      <c r="Q17" s="303">
        <v>9</v>
      </c>
      <c r="R17" s="298">
        <f t="shared" si="0"/>
        <v>9</v>
      </c>
    </row>
    <row r="18" spans="1:18" ht="12.75">
      <c r="A18" s="228" t="s">
        <v>176</v>
      </c>
      <c r="B18" s="298"/>
      <c r="C18" s="298"/>
      <c r="D18" s="298"/>
      <c r="E18" s="298"/>
      <c r="F18" s="298"/>
      <c r="G18" s="299"/>
      <c r="H18" s="300"/>
      <c r="I18" s="300"/>
      <c r="J18" s="300"/>
      <c r="K18" s="301"/>
      <c r="L18" s="302"/>
      <c r="M18" s="299"/>
      <c r="N18" s="300"/>
      <c r="O18" s="301"/>
      <c r="P18" s="335"/>
      <c r="Q18" s="303">
        <v>1</v>
      </c>
      <c r="R18" s="298">
        <f t="shared" si="0"/>
        <v>1</v>
      </c>
    </row>
    <row r="19" spans="1:18" ht="13.5" thickBot="1">
      <c r="A19" s="229" t="s">
        <v>177</v>
      </c>
      <c r="B19" s="316"/>
      <c r="C19" s="316"/>
      <c r="D19" s="316"/>
      <c r="E19" s="316"/>
      <c r="F19" s="316"/>
      <c r="G19" s="317"/>
      <c r="H19" s="318"/>
      <c r="I19" s="318"/>
      <c r="J19" s="318"/>
      <c r="K19" s="319"/>
      <c r="L19" s="320"/>
      <c r="M19" s="317"/>
      <c r="N19" s="318"/>
      <c r="O19" s="319"/>
      <c r="P19" s="338"/>
      <c r="Q19" s="321">
        <f>SUM(Q16:Q18)</f>
        <v>11</v>
      </c>
      <c r="R19" s="316">
        <f t="shared" si="0"/>
        <v>11</v>
      </c>
    </row>
    <row r="20" spans="1:18" ht="26.25" thickBot="1">
      <c r="A20" s="232" t="s">
        <v>178</v>
      </c>
      <c r="B20" s="322">
        <f aca="true" t="shared" si="1" ref="B20:Q20">B13+B14+B15+B19</f>
        <v>9</v>
      </c>
      <c r="C20" s="322">
        <f t="shared" si="1"/>
        <v>16.5</v>
      </c>
      <c r="D20" s="322">
        <f t="shared" si="1"/>
        <v>12</v>
      </c>
      <c r="E20" s="322">
        <f t="shared" si="1"/>
        <v>55</v>
      </c>
      <c r="F20" s="322">
        <f t="shared" si="1"/>
        <v>48.75</v>
      </c>
      <c r="G20" s="323">
        <f t="shared" si="1"/>
        <v>20</v>
      </c>
      <c r="H20" s="324">
        <f t="shared" si="1"/>
        <v>5.5</v>
      </c>
      <c r="I20" s="324">
        <f t="shared" si="1"/>
        <v>10</v>
      </c>
      <c r="J20" s="324">
        <f t="shared" si="1"/>
        <v>3.5</v>
      </c>
      <c r="K20" s="325">
        <f t="shared" si="1"/>
        <v>3</v>
      </c>
      <c r="L20" s="326">
        <f t="shared" si="1"/>
        <v>42</v>
      </c>
      <c r="M20" s="323">
        <f t="shared" si="1"/>
        <v>19.5</v>
      </c>
      <c r="N20" s="324">
        <f t="shared" si="1"/>
        <v>3</v>
      </c>
      <c r="O20" s="325">
        <f t="shared" si="1"/>
        <v>3</v>
      </c>
      <c r="P20" s="339">
        <f t="shared" si="1"/>
        <v>25.5</v>
      </c>
      <c r="Q20" s="327">
        <f t="shared" si="1"/>
        <v>13.75</v>
      </c>
      <c r="R20" s="328">
        <f t="shared" si="0"/>
        <v>222.5</v>
      </c>
    </row>
    <row r="21" spans="1:18" ht="12.75">
      <c r="A21" s="415"/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</row>
    <row r="22" spans="1:18" ht="12.75">
      <c r="A22" s="415"/>
      <c r="B22" s="416"/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</row>
  </sheetData>
  <sheetProtection/>
  <mergeCells count="8">
    <mergeCell ref="A21:R21"/>
    <mergeCell ref="A22:R22"/>
    <mergeCell ref="A4:B4"/>
    <mergeCell ref="A6:R6"/>
    <mergeCell ref="A7:R7"/>
    <mergeCell ref="A10:R10"/>
    <mergeCell ref="A11:A12"/>
    <mergeCell ref="B11:R11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user</cp:lastModifiedBy>
  <cp:lastPrinted>2019-02-11T09:50:29Z</cp:lastPrinted>
  <dcterms:created xsi:type="dcterms:W3CDTF">2007-11-15T07:32:30Z</dcterms:created>
  <dcterms:modified xsi:type="dcterms:W3CDTF">2019-02-15T10:47:44Z</dcterms:modified>
  <cp:category/>
  <cp:version/>
  <cp:contentType/>
  <cp:contentStatus/>
</cp:coreProperties>
</file>